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"/>
    </mc:Choice>
  </mc:AlternateContent>
  <bookViews>
    <workbookView xWindow="2490" yWindow="-15" windowWidth="20865" windowHeight="12135"/>
  </bookViews>
  <sheets>
    <sheet name="월기준" sheetId="13" r:id="rId1"/>
    <sheet name="수출" sheetId="1" r:id="rId2"/>
    <sheet name="수입" sheetId="2" r:id="rId3"/>
    <sheet name="수출입" sheetId="12" r:id="rId4"/>
    <sheet name="수출당월" sheetId="20" r:id="rId5"/>
    <sheet name="국가별수출" sheetId="22" r:id="rId6"/>
    <sheet name="수입당월" sheetId="23" r:id="rId7"/>
    <sheet name="국가별수입" sheetId="24" r:id="rId8"/>
    <sheet name="구리" sheetId="7" r:id="rId9"/>
    <sheet name="납" sheetId="8" r:id="rId10"/>
    <sheet name="아연" sheetId="9" r:id="rId11"/>
    <sheet name="알루미늄①" sheetId="10" r:id="rId12"/>
    <sheet name="알루미늄②" sheetId="11" r:id="rId13"/>
    <sheet name="니켈괴" sheetId="14" r:id="rId14"/>
    <sheet name="마그네슘괴" sheetId="16" r:id="rId15"/>
  </sheets>
  <definedNames>
    <definedName name="_xlnm.Print_Titles" localSheetId="9">납!$3:$5</definedName>
    <definedName name="_xlnm.Print_Titles" localSheetId="2">수입!$2:$5</definedName>
    <definedName name="_xlnm.Print_Titles" localSheetId="1">수출!$2:$5</definedName>
    <definedName name="_xlnm.Print_Titles" localSheetId="3">수출입!$2:$7</definedName>
    <definedName name="_xlnm.Print_Titles" localSheetId="10">아연!$2:$4</definedName>
  </definedNames>
  <calcPr calcId="152511"/>
</workbook>
</file>

<file path=xl/calcChain.xml><?xml version="1.0" encoding="utf-8"?>
<calcChain xmlns="http://schemas.openxmlformats.org/spreadsheetml/2006/main">
  <c r="BP185" i="7" l="1"/>
  <c r="BP186" i="7"/>
  <c r="BP187" i="7"/>
  <c r="BP188" i="7"/>
  <c r="BR188" i="7" s="1"/>
  <c r="BP189" i="7"/>
  <c r="BP190" i="7"/>
  <c r="BP191" i="7"/>
  <c r="BP192" i="7"/>
  <c r="BR192" i="7" s="1"/>
  <c r="BP193" i="7"/>
  <c r="BP194" i="7"/>
  <c r="BP195" i="7"/>
  <c r="BP196" i="7"/>
  <c r="BP197" i="7"/>
  <c r="BP198" i="7"/>
  <c r="BP199" i="7"/>
  <c r="BP200" i="7"/>
  <c r="BQ52" i="8"/>
  <c r="BR52" i="8"/>
  <c r="BQ53" i="8"/>
  <c r="BR53" i="8"/>
  <c r="BS53" i="8" s="1"/>
  <c r="BQ54" i="8"/>
  <c r="BR54" i="8"/>
  <c r="BQ55" i="8"/>
  <c r="BR55" i="8"/>
  <c r="BS55" i="8" s="1"/>
  <c r="BQ56" i="8"/>
  <c r="BR56" i="8"/>
  <c r="BQ57" i="8"/>
  <c r="BR57" i="8"/>
  <c r="BQ58" i="8"/>
  <c r="BR58" i="8"/>
  <c r="BQ59" i="8"/>
  <c r="BR59" i="8"/>
  <c r="BQ60" i="8"/>
  <c r="BR60" i="8"/>
  <c r="BQ61" i="8"/>
  <c r="BR61" i="8"/>
  <c r="BQ62" i="8"/>
  <c r="BR62" i="8"/>
  <c r="BQ63" i="8"/>
  <c r="BR63" i="8"/>
  <c r="BQ64" i="8"/>
  <c r="BR64" i="8"/>
  <c r="BQ65" i="8"/>
  <c r="BR65" i="8"/>
  <c r="BQ66" i="8"/>
  <c r="BR66" i="8"/>
  <c r="BQ67" i="8"/>
  <c r="BR67" i="8"/>
  <c r="BQ68" i="8"/>
  <c r="BR68" i="8"/>
  <c r="BQ69" i="8"/>
  <c r="BR69" i="8"/>
  <c r="BQ40" i="2"/>
  <c r="AY40" i="1"/>
  <c r="AY39" i="1"/>
  <c r="BE40" i="1"/>
  <c r="BK40" i="1"/>
  <c r="BK39" i="1"/>
  <c r="BQ40" i="1"/>
  <c r="BQ39" i="1"/>
  <c r="BQ51" i="10"/>
  <c r="BR51" i="10"/>
  <c r="BQ52" i="10"/>
  <c r="BR52" i="10"/>
  <c r="BS52" i="10" s="1"/>
  <c r="BQ53" i="10"/>
  <c r="BR53" i="10"/>
  <c r="BQ54" i="10"/>
  <c r="BR54" i="10"/>
  <c r="BQ55" i="10"/>
  <c r="BR55" i="10"/>
  <c r="BQ56" i="10"/>
  <c r="BR56" i="10"/>
  <c r="BU24" i="16"/>
  <c r="BQ24" i="16"/>
  <c r="BR24" i="16" s="1"/>
  <c r="BP24" i="16"/>
  <c r="BP23" i="16" s="1"/>
  <c r="BT23" i="16"/>
  <c r="BS23" i="16"/>
  <c r="BQ22" i="16"/>
  <c r="BP22" i="16"/>
  <c r="BQ21" i="16"/>
  <c r="BP21" i="16"/>
  <c r="BQ20" i="16"/>
  <c r="BP20" i="16"/>
  <c r="BQ19" i="16"/>
  <c r="BQ23" i="16" s="1"/>
  <c r="BP19" i="16"/>
  <c r="BU18" i="16"/>
  <c r="BQ18" i="16"/>
  <c r="BP18" i="16"/>
  <c r="BU17" i="16"/>
  <c r="BQ17" i="16"/>
  <c r="BR17" i="16" s="1"/>
  <c r="BP17" i="16"/>
  <c r="BU16" i="16"/>
  <c r="BQ16" i="16"/>
  <c r="BR16" i="16" s="1"/>
  <c r="BP16" i="16"/>
  <c r="BT15" i="16"/>
  <c r="BS15" i="16"/>
  <c r="BQ14" i="16"/>
  <c r="BP14" i="16"/>
  <c r="BQ13" i="16"/>
  <c r="BP13" i="16"/>
  <c r="BQ12" i="16"/>
  <c r="BP12" i="16"/>
  <c r="BQ11" i="16"/>
  <c r="BP11" i="16"/>
  <c r="BQ10" i="16"/>
  <c r="BP10" i="16"/>
  <c r="BU9" i="16"/>
  <c r="BQ9" i="16"/>
  <c r="BP9" i="16"/>
  <c r="BU8" i="16"/>
  <c r="BQ8" i="16"/>
  <c r="BP8" i="16"/>
  <c r="BU7" i="16"/>
  <c r="BQ7" i="16"/>
  <c r="BR7" i="16" s="1"/>
  <c r="BP7" i="16"/>
  <c r="BU6" i="16"/>
  <c r="BQ6" i="16"/>
  <c r="BR6" i="16" s="1"/>
  <c r="BP6" i="16"/>
  <c r="BU5" i="16"/>
  <c r="BQ5" i="16"/>
  <c r="BR5" i="16" s="1"/>
  <c r="BP5" i="16"/>
  <c r="BP15" i="16" s="1"/>
  <c r="BU35" i="14"/>
  <c r="BQ35" i="14"/>
  <c r="BP35" i="14"/>
  <c r="BR35" i="14" s="1"/>
  <c r="BT34" i="14"/>
  <c r="BU34" i="14" s="1"/>
  <c r="BS34" i="14"/>
  <c r="BQ33" i="14"/>
  <c r="BP33" i="14"/>
  <c r="BQ32" i="14"/>
  <c r="BP32" i="14"/>
  <c r="BQ31" i="14"/>
  <c r="BP31" i="14"/>
  <c r="BU30" i="14"/>
  <c r="BQ30" i="14"/>
  <c r="BP30" i="14"/>
  <c r="BU29" i="14"/>
  <c r="BR29" i="14"/>
  <c r="BQ29" i="14"/>
  <c r="BP29" i="14"/>
  <c r="BU28" i="14"/>
  <c r="BR28" i="14"/>
  <c r="BQ28" i="14"/>
  <c r="BP28" i="14"/>
  <c r="BU27" i="14"/>
  <c r="BR27" i="14"/>
  <c r="BQ27" i="14"/>
  <c r="BP27" i="14"/>
  <c r="BU26" i="14"/>
  <c r="BQ26" i="14"/>
  <c r="BP26" i="14"/>
  <c r="BU25" i="14"/>
  <c r="BQ25" i="14"/>
  <c r="BP25" i="14"/>
  <c r="BU24" i="14"/>
  <c r="BR24" i="14"/>
  <c r="BQ24" i="14"/>
  <c r="BP24" i="14"/>
  <c r="BU23" i="14"/>
  <c r="BR23" i="14"/>
  <c r="BQ23" i="14"/>
  <c r="BP23" i="14"/>
  <c r="BU22" i="14"/>
  <c r="BR22" i="14"/>
  <c r="BQ22" i="14"/>
  <c r="BP22" i="14"/>
  <c r="BU21" i="14"/>
  <c r="BR21" i="14"/>
  <c r="BQ21" i="14"/>
  <c r="BP21" i="14"/>
  <c r="BU20" i="14"/>
  <c r="BR20" i="14"/>
  <c r="BQ20" i="14"/>
  <c r="BP20" i="14"/>
  <c r="BU19" i="14"/>
  <c r="BR19" i="14"/>
  <c r="BQ19" i="14"/>
  <c r="BQ34" i="14" s="1"/>
  <c r="BP19" i="14"/>
  <c r="BU18" i="14"/>
  <c r="BR18" i="14"/>
  <c r="BQ18" i="14"/>
  <c r="BP18" i="14"/>
  <c r="BT17" i="14"/>
  <c r="BS17" i="14"/>
  <c r="BQ16" i="14"/>
  <c r="BP16" i="14"/>
  <c r="BQ15" i="14"/>
  <c r="BP15" i="14"/>
  <c r="BQ14" i="14"/>
  <c r="BP14" i="14"/>
  <c r="BQ13" i="14"/>
  <c r="BQ17" i="14" s="1"/>
  <c r="BP13" i="14"/>
  <c r="BQ12" i="14"/>
  <c r="BP12" i="14"/>
  <c r="BP17" i="14" s="1"/>
  <c r="BU11" i="14"/>
  <c r="BQ11" i="14"/>
  <c r="BP11" i="14"/>
  <c r="BU10" i="14"/>
  <c r="BQ10" i="14"/>
  <c r="BP10" i="14"/>
  <c r="BU9" i="14"/>
  <c r="BR9" i="14"/>
  <c r="BQ9" i="14"/>
  <c r="BP9" i="14"/>
  <c r="BU8" i="14"/>
  <c r="BR8" i="14"/>
  <c r="BQ8" i="14"/>
  <c r="BP8" i="14"/>
  <c r="BU7" i="14"/>
  <c r="BR7" i="14"/>
  <c r="BQ7" i="14"/>
  <c r="BP7" i="14"/>
  <c r="BU6" i="14"/>
  <c r="BR6" i="14"/>
  <c r="BQ6" i="14"/>
  <c r="BP6" i="14"/>
  <c r="BU5" i="14"/>
  <c r="BR5" i="14"/>
  <c r="BQ5" i="14"/>
  <c r="BP5" i="14"/>
  <c r="BU184" i="11"/>
  <c r="BQ184" i="11"/>
  <c r="BQ183" i="11" s="1"/>
  <c r="BP184" i="11"/>
  <c r="BP183" i="11" s="1"/>
  <c r="BT183" i="11"/>
  <c r="BU183" i="11" s="1"/>
  <c r="BS183" i="11"/>
  <c r="BU182" i="11"/>
  <c r="BQ182" i="11"/>
  <c r="BP182" i="11"/>
  <c r="BU181" i="11"/>
  <c r="BQ181" i="11"/>
  <c r="BP181" i="11"/>
  <c r="BU180" i="11"/>
  <c r="BQ180" i="11"/>
  <c r="BP180" i="11"/>
  <c r="BU179" i="11"/>
  <c r="BQ179" i="11"/>
  <c r="BR179" i="11" s="1"/>
  <c r="BP179" i="11"/>
  <c r="BU178" i="11"/>
  <c r="BQ178" i="11"/>
  <c r="BP178" i="11"/>
  <c r="BU177" i="11"/>
  <c r="BQ177" i="11"/>
  <c r="BR177" i="11" s="1"/>
  <c r="BP177" i="11"/>
  <c r="BU176" i="11"/>
  <c r="BQ176" i="11"/>
  <c r="BR176" i="11" s="1"/>
  <c r="BP176" i="11"/>
  <c r="BU175" i="11"/>
  <c r="BQ175" i="11"/>
  <c r="BR175" i="11" s="1"/>
  <c r="BP175" i="11"/>
  <c r="BU174" i="11"/>
  <c r="BQ174" i="11"/>
  <c r="BR174" i="11" s="1"/>
  <c r="BP174" i="11"/>
  <c r="BU173" i="11"/>
  <c r="BQ173" i="11"/>
  <c r="BR173" i="11" s="1"/>
  <c r="BP173" i="11"/>
  <c r="BU172" i="11"/>
  <c r="BQ172" i="11"/>
  <c r="BR172" i="11" s="1"/>
  <c r="BP172" i="11"/>
  <c r="BU171" i="11"/>
  <c r="BQ171" i="11"/>
  <c r="BR171" i="11" s="1"/>
  <c r="BP171" i="11"/>
  <c r="BU170" i="11"/>
  <c r="BQ170" i="11"/>
  <c r="BR170" i="11" s="1"/>
  <c r="BP170" i="11"/>
  <c r="BU169" i="11"/>
  <c r="BQ169" i="11"/>
  <c r="BQ168" i="11" s="1"/>
  <c r="BR168" i="11" s="1"/>
  <c r="BP169" i="11"/>
  <c r="BP168" i="11" s="1"/>
  <c r="BT168" i="11"/>
  <c r="BU168" i="11" s="1"/>
  <c r="BS168" i="11"/>
  <c r="BU167" i="11"/>
  <c r="BQ167" i="11"/>
  <c r="BP167" i="11"/>
  <c r="BU166" i="11"/>
  <c r="BR166" i="11"/>
  <c r="BQ166" i="11"/>
  <c r="BP166" i="11"/>
  <c r="BU165" i="11"/>
  <c r="BR165" i="11"/>
  <c r="BQ165" i="11"/>
  <c r="BP165" i="11"/>
  <c r="BU164" i="11"/>
  <c r="BR164" i="11"/>
  <c r="BQ164" i="11"/>
  <c r="BP164" i="11"/>
  <c r="BU163" i="11"/>
  <c r="BR163" i="11"/>
  <c r="BQ163" i="11"/>
  <c r="BP163" i="11"/>
  <c r="BU162" i="11"/>
  <c r="BR162" i="11"/>
  <c r="BQ162" i="11"/>
  <c r="BP162" i="11"/>
  <c r="BU161" i="11"/>
  <c r="BR161" i="11"/>
  <c r="BQ161" i="11"/>
  <c r="BP161" i="11"/>
  <c r="BU160" i="11"/>
  <c r="BR160" i="11"/>
  <c r="BQ160" i="11"/>
  <c r="BP160" i="11"/>
  <c r="BU159" i="11"/>
  <c r="BR159" i="11"/>
  <c r="BQ159" i="11"/>
  <c r="BP159" i="11"/>
  <c r="BU158" i="11"/>
  <c r="BR158" i="11"/>
  <c r="BQ158" i="11"/>
  <c r="BP158" i="11"/>
  <c r="BU157" i="11"/>
  <c r="BR157" i="11"/>
  <c r="BQ157" i="11"/>
  <c r="BP157" i="11"/>
  <c r="BU156" i="11"/>
  <c r="BR156" i="11"/>
  <c r="BQ156" i="11"/>
  <c r="BP156" i="11"/>
  <c r="BU155" i="11"/>
  <c r="BR155" i="11"/>
  <c r="BQ155" i="11"/>
  <c r="BP155" i="11"/>
  <c r="BU154" i="11"/>
  <c r="BR154" i="11"/>
  <c r="BQ154" i="11"/>
  <c r="BP154" i="11"/>
  <c r="BU153" i="11"/>
  <c r="BR153" i="11"/>
  <c r="BQ153" i="11"/>
  <c r="BP153" i="11"/>
  <c r="BU152" i="11"/>
  <c r="BR152" i="11"/>
  <c r="BQ152" i="11"/>
  <c r="BP152" i="11"/>
  <c r="BU151" i="11"/>
  <c r="BR151" i="11"/>
  <c r="BQ151" i="11"/>
  <c r="BP151" i="11"/>
  <c r="BU150" i="11"/>
  <c r="BR150" i="11"/>
  <c r="BQ150" i="11"/>
  <c r="BP150" i="11"/>
  <c r="BU149" i="11"/>
  <c r="BR149" i="11"/>
  <c r="BQ149" i="11"/>
  <c r="BP149" i="11"/>
  <c r="BU148" i="11"/>
  <c r="BR148" i="11"/>
  <c r="BQ148" i="11"/>
  <c r="BP148" i="11"/>
  <c r="BU147" i="11"/>
  <c r="BR147" i="11"/>
  <c r="BQ147" i="11"/>
  <c r="BP147" i="11"/>
  <c r="BU140" i="11"/>
  <c r="BR140" i="11"/>
  <c r="BQ140" i="11"/>
  <c r="BP140" i="11"/>
  <c r="BT139" i="11"/>
  <c r="BU139" i="11" s="1"/>
  <c r="BS139" i="11"/>
  <c r="BQ138" i="11"/>
  <c r="BP138" i="11"/>
  <c r="BU137" i="11"/>
  <c r="BR137" i="11"/>
  <c r="BQ137" i="11"/>
  <c r="BP137" i="11"/>
  <c r="BU136" i="11"/>
  <c r="BR136" i="11"/>
  <c r="BQ136" i="11"/>
  <c r="BP136" i="11"/>
  <c r="BU135" i="11"/>
  <c r="BQ135" i="11"/>
  <c r="BP135" i="11"/>
  <c r="BU134" i="11"/>
  <c r="BQ134" i="11"/>
  <c r="BR134" i="11" s="1"/>
  <c r="BP134" i="11"/>
  <c r="BU133" i="11"/>
  <c r="BQ133" i="11"/>
  <c r="BR133" i="11" s="1"/>
  <c r="BP133" i="11"/>
  <c r="BU132" i="11"/>
  <c r="BQ132" i="11"/>
  <c r="BP132" i="11"/>
  <c r="BU131" i="11"/>
  <c r="BQ131" i="11"/>
  <c r="BR131" i="11" s="1"/>
  <c r="BP131" i="11"/>
  <c r="BU130" i="11"/>
  <c r="BQ130" i="11"/>
  <c r="BR130" i="11" s="1"/>
  <c r="BP130" i="11"/>
  <c r="BU129" i="11"/>
  <c r="BQ129" i="11"/>
  <c r="BR129" i="11" s="1"/>
  <c r="BP129" i="11"/>
  <c r="BU128" i="11"/>
  <c r="BQ128" i="11"/>
  <c r="BR128" i="11" s="1"/>
  <c r="BP128" i="11"/>
  <c r="BU127" i="11"/>
  <c r="BQ127" i="11"/>
  <c r="BP127" i="11"/>
  <c r="BU126" i="11"/>
  <c r="BQ126" i="11"/>
  <c r="BR126" i="11" s="1"/>
  <c r="BP126" i="11"/>
  <c r="BU125" i="11"/>
  <c r="BQ125" i="11"/>
  <c r="BR125" i="11" s="1"/>
  <c r="BP125" i="11"/>
  <c r="BU124" i="11"/>
  <c r="BQ124" i="11"/>
  <c r="BR124" i="11" s="1"/>
  <c r="BP124" i="11"/>
  <c r="BP139" i="11" s="1"/>
  <c r="BU123" i="11"/>
  <c r="BQ123" i="11"/>
  <c r="BQ122" i="11" s="1"/>
  <c r="BP123" i="11"/>
  <c r="BP122" i="11" s="1"/>
  <c r="BT122" i="11"/>
  <c r="BU122" i="11" s="1"/>
  <c r="BS122" i="11"/>
  <c r="BU121" i="11"/>
  <c r="BQ121" i="11"/>
  <c r="BP121" i="11"/>
  <c r="BU120" i="11"/>
  <c r="BQ120" i="11"/>
  <c r="BP120" i="11"/>
  <c r="BU119" i="11"/>
  <c r="BQ119" i="11"/>
  <c r="BR119" i="11" s="1"/>
  <c r="BP119" i="11"/>
  <c r="BU118" i="11"/>
  <c r="BQ118" i="11"/>
  <c r="BP118" i="11"/>
  <c r="BU117" i="11"/>
  <c r="BQ117" i="11"/>
  <c r="BR117" i="11" s="1"/>
  <c r="BP117" i="11"/>
  <c r="BU116" i="11"/>
  <c r="BQ116" i="11"/>
  <c r="BR116" i="11" s="1"/>
  <c r="BP116" i="11"/>
  <c r="BU115" i="11"/>
  <c r="BQ115" i="11"/>
  <c r="BR115" i="11" s="1"/>
  <c r="BP115" i="11"/>
  <c r="BU114" i="11"/>
  <c r="BQ114" i="11"/>
  <c r="BR114" i="11" s="1"/>
  <c r="BP114" i="11"/>
  <c r="BU113" i="11"/>
  <c r="BQ113" i="11"/>
  <c r="BR113" i="11" s="1"/>
  <c r="BP113" i="11"/>
  <c r="BU112" i="11"/>
  <c r="BQ112" i="11"/>
  <c r="BR112" i="11" s="1"/>
  <c r="BP112" i="11"/>
  <c r="BU111" i="11"/>
  <c r="BQ111" i="11"/>
  <c r="BR111" i="11" s="1"/>
  <c r="BP111" i="11"/>
  <c r="BU110" i="11"/>
  <c r="BQ110" i="11"/>
  <c r="BR110" i="11" s="1"/>
  <c r="BP110" i="11"/>
  <c r="BU109" i="11"/>
  <c r="BQ109" i="11"/>
  <c r="BR109" i="11" s="1"/>
  <c r="BP109" i="11"/>
  <c r="BU108" i="11"/>
  <c r="BQ108" i="11"/>
  <c r="BR108" i="11" s="1"/>
  <c r="BP108" i="11"/>
  <c r="BU107" i="11"/>
  <c r="BQ107" i="11"/>
  <c r="BR107" i="11" s="1"/>
  <c r="BP107" i="11"/>
  <c r="BU106" i="11"/>
  <c r="BQ106" i="11"/>
  <c r="BR106" i="11" s="1"/>
  <c r="BP106" i="11"/>
  <c r="BU105" i="11"/>
  <c r="BQ105" i="11"/>
  <c r="BR105" i="11" s="1"/>
  <c r="BP105" i="11"/>
  <c r="BU104" i="11"/>
  <c r="BQ104" i="11"/>
  <c r="BR104" i="11" s="1"/>
  <c r="BP104" i="11"/>
  <c r="BU103" i="11"/>
  <c r="BQ103" i="11"/>
  <c r="BR103" i="11" s="1"/>
  <c r="BP103" i="11"/>
  <c r="BU102" i="11"/>
  <c r="BQ102" i="11"/>
  <c r="BR102" i="11" s="1"/>
  <c r="BP102" i="11"/>
  <c r="BU101" i="11"/>
  <c r="BQ101" i="11"/>
  <c r="BR101" i="11" s="1"/>
  <c r="BP101" i="11"/>
  <c r="BU100" i="11"/>
  <c r="BQ100" i="11"/>
  <c r="BR100" i="11" s="1"/>
  <c r="BP100" i="11"/>
  <c r="BU99" i="11"/>
  <c r="BQ99" i="11"/>
  <c r="BR99" i="11" s="1"/>
  <c r="BP99" i="11"/>
  <c r="BU98" i="11"/>
  <c r="BQ98" i="11"/>
  <c r="BR98" i="11" s="1"/>
  <c r="BP98" i="11"/>
  <c r="BU91" i="11"/>
  <c r="BQ91" i="11"/>
  <c r="BR91" i="11" s="1"/>
  <c r="BP91" i="11"/>
  <c r="BU90" i="11"/>
  <c r="BT90" i="11"/>
  <c r="BS90" i="11"/>
  <c r="BU89" i="11"/>
  <c r="BQ89" i="11"/>
  <c r="BP89" i="11"/>
  <c r="BU88" i="11"/>
  <c r="BQ88" i="11"/>
  <c r="BP88" i="11"/>
  <c r="BU87" i="11"/>
  <c r="BR87" i="11"/>
  <c r="BQ87" i="11"/>
  <c r="BP87" i="11"/>
  <c r="BU86" i="11"/>
  <c r="BQ86" i="11"/>
  <c r="BP86" i="11"/>
  <c r="BU85" i="11"/>
  <c r="BQ85" i="11"/>
  <c r="BP85" i="11"/>
  <c r="BP90" i="11" s="1"/>
  <c r="BU84" i="11"/>
  <c r="BQ84" i="11"/>
  <c r="BP84" i="11"/>
  <c r="BU83" i="11"/>
  <c r="BQ83" i="11"/>
  <c r="BR83" i="11" s="1"/>
  <c r="BP83" i="11"/>
  <c r="BU82" i="11"/>
  <c r="BQ82" i="11"/>
  <c r="BP82" i="11"/>
  <c r="BU81" i="11"/>
  <c r="BQ81" i="11"/>
  <c r="BR81" i="11" s="1"/>
  <c r="BP81" i="11"/>
  <c r="BU80" i="11"/>
  <c r="BQ80" i="11"/>
  <c r="BR80" i="11" s="1"/>
  <c r="BP80" i="11"/>
  <c r="BU79" i="11"/>
  <c r="BQ79" i="11"/>
  <c r="BP79" i="11"/>
  <c r="BU78" i="11"/>
  <c r="BR78" i="11"/>
  <c r="BQ78" i="11"/>
  <c r="BP78" i="11"/>
  <c r="BU77" i="11"/>
  <c r="BR77" i="11"/>
  <c r="BQ77" i="11"/>
  <c r="BP77" i="11"/>
  <c r="BU76" i="11"/>
  <c r="BR76" i="11"/>
  <c r="BQ76" i="11"/>
  <c r="BP76" i="11"/>
  <c r="BU75" i="11"/>
  <c r="BR75" i="11"/>
  <c r="BQ75" i="11"/>
  <c r="BP75" i="11"/>
  <c r="BU74" i="11"/>
  <c r="BQ74" i="11"/>
  <c r="BP74" i="11"/>
  <c r="BU73" i="11"/>
  <c r="BQ73" i="11"/>
  <c r="BR73" i="11" s="1"/>
  <c r="BP73" i="11"/>
  <c r="BU72" i="11"/>
  <c r="BQ72" i="11"/>
  <c r="BQ90" i="11" s="1"/>
  <c r="BP72" i="11"/>
  <c r="BU71" i="11"/>
  <c r="BQ71" i="11"/>
  <c r="BQ70" i="11" s="1"/>
  <c r="BP71" i="11"/>
  <c r="BT70" i="11"/>
  <c r="BU70" i="11" s="1"/>
  <c r="BS70" i="11"/>
  <c r="BQ69" i="11"/>
  <c r="BP69" i="11"/>
  <c r="BQ68" i="11"/>
  <c r="BP68" i="11"/>
  <c r="BP70" i="11" s="1"/>
  <c r="BU67" i="11"/>
  <c r="BQ67" i="11"/>
  <c r="BP67" i="11"/>
  <c r="BU66" i="11"/>
  <c r="BQ66" i="11"/>
  <c r="BP66" i="11"/>
  <c r="BU65" i="11"/>
  <c r="BR65" i="11"/>
  <c r="BQ65" i="11"/>
  <c r="BP65" i="11"/>
  <c r="BU64" i="11"/>
  <c r="BQ64" i="11"/>
  <c r="BP64" i="11"/>
  <c r="BU63" i="11"/>
  <c r="BR63" i="11"/>
  <c r="BQ63" i="11"/>
  <c r="BP63" i="11"/>
  <c r="BU62" i="11"/>
  <c r="BQ62" i="11"/>
  <c r="BP62" i="11"/>
  <c r="BU61" i="11"/>
  <c r="BQ61" i="11"/>
  <c r="BP61" i="11"/>
  <c r="BU60" i="11"/>
  <c r="BR60" i="11"/>
  <c r="BQ60" i="11"/>
  <c r="BP60" i="11"/>
  <c r="BU59" i="11"/>
  <c r="BR59" i="11"/>
  <c r="BQ59" i="11"/>
  <c r="BP59" i="11"/>
  <c r="BU58" i="11"/>
  <c r="BR58" i="11"/>
  <c r="BQ58" i="11"/>
  <c r="BP58" i="11"/>
  <c r="BU57" i="11"/>
  <c r="BQ57" i="11"/>
  <c r="BP57" i="11"/>
  <c r="BU56" i="11"/>
  <c r="BR56" i="11"/>
  <c r="BQ56" i="11"/>
  <c r="BP56" i="11"/>
  <c r="BU55" i="11"/>
  <c r="BR55" i="11"/>
  <c r="BQ55" i="11"/>
  <c r="BP55" i="11"/>
  <c r="BU54" i="11"/>
  <c r="BR54" i="11"/>
  <c r="BQ54" i="11"/>
  <c r="BP54" i="11"/>
  <c r="BU47" i="11"/>
  <c r="BR47" i="11"/>
  <c r="BQ47" i="11"/>
  <c r="BP47" i="11"/>
  <c r="BT46" i="11"/>
  <c r="BU46" i="11" s="1"/>
  <c r="BS46" i="11"/>
  <c r="BU45" i="11"/>
  <c r="BQ45" i="11"/>
  <c r="BP45" i="11"/>
  <c r="BU44" i="11"/>
  <c r="BQ44" i="11"/>
  <c r="BP44" i="11"/>
  <c r="BU43" i="11"/>
  <c r="BR43" i="11"/>
  <c r="BQ43" i="11"/>
  <c r="BP43" i="11"/>
  <c r="BU42" i="11"/>
  <c r="BQ42" i="11"/>
  <c r="BP42" i="11"/>
  <c r="BU41" i="11"/>
  <c r="BQ41" i="11"/>
  <c r="BP41" i="11"/>
  <c r="BU40" i="11"/>
  <c r="BQ40" i="11"/>
  <c r="BR40" i="11" s="1"/>
  <c r="BP40" i="11"/>
  <c r="BU39" i="11"/>
  <c r="BQ39" i="11"/>
  <c r="BQ46" i="11" s="1"/>
  <c r="BR46" i="11" s="1"/>
  <c r="BP39" i="11"/>
  <c r="BP46" i="11" s="1"/>
  <c r="BU38" i="11"/>
  <c r="BQ38" i="11"/>
  <c r="BP38" i="11"/>
  <c r="BU37" i="11"/>
  <c r="BQ37" i="11"/>
  <c r="BR37" i="11" s="1"/>
  <c r="BP37" i="11"/>
  <c r="BU36" i="11"/>
  <c r="BQ36" i="11"/>
  <c r="BR36" i="11" s="1"/>
  <c r="BP36" i="11"/>
  <c r="BU35" i="11"/>
  <c r="BQ35" i="11"/>
  <c r="BR35" i="11" s="1"/>
  <c r="BP35" i="11"/>
  <c r="BU34" i="11"/>
  <c r="BQ34" i="11"/>
  <c r="BR34" i="11" s="1"/>
  <c r="BP34" i="11"/>
  <c r="BU33" i="11"/>
  <c r="BQ33" i="11"/>
  <c r="BR33" i="11" s="1"/>
  <c r="BP33" i="11"/>
  <c r="BU32" i="11"/>
  <c r="BQ32" i="11"/>
  <c r="BR32" i="11" s="1"/>
  <c r="BP32" i="11"/>
  <c r="BU31" i="11"/>
  <c r="BQ31" i="11"/>
  <c r="BR31" i="11" s="1"/>
  <c r="BP31" i="11"/>
  <c r="BU30" i="11"/>
  <c r="BQ30" i="11"/>
  <c r="BR30" i="11" s="1"/>
  <c r="BP30" i="11"/>
  <c r="BU29" i="11"/>
  <c r="BQ29" i="11"/>
  <c r="BR29" i="11" s="1"/>
  <c r="BP29" i="11"/>
  <c r="BU28" i="11"/>
  <c r="BQ28" i="11"/>
  <c r="BR28" i="11" s="1"/>
  <c r="BP28" i="11"/>
  <c r="BU27" i="11"/>
  <c r="BQ27" i="11"/>
  <c r="BR27" i="11" s="1"/>
  <c r="BP27" i="11"/>
  <c r="BP26" i="11" s="1"/>
  <c r="BU26" i="11"/>
  <c r="BT26" i="11"/>
  <c r="BS26" i="11"/>
  <c r="BU25" i="11"/>
  <c r="BQ25" i="11"/>
  <c r="BP25" i="11"/>
  <c r="BU24" i="11"/>
  <c r="BQ24" i="11"/>
  <c r="BR24" i="11" s="1"/>
  <c r="BP24" i="11"/>
  <c r="BU23" i="11"/>
  <c r="BQ23" i="11"/>
  <c r="BP23" i="11"/>
  <c r="BU22" i="11"/>
  <c r="BQ22" i="11"/>
  <c r="BR22" i="11" s="1"/>
  <c r="BP22" i="11"/>
  <c r="BU21" i="11"/>
  <c r="BQ21" i="11"/>
  <c r="BR21" i="11" s="1"/>
  <c r="BP21" i="11"/>
  <c r="BQ20" i="11"/>
  <c r="BP20" i="11"/>
  <c r="BU19" i="11"/>
  <c r="BQ19" i="11"/>
  <c r="BR19" i="11" s="1"/>
  <c r="BP19" i="11"/>
  <c r="BU18" i="11"/>
  <c r="BQ18" i="11"/>
  <c r="BR18" i="11" s="1"/>
  <c r="BP18" i="11"/>
  <c r="BU17" i="11"/>
  <c r="BQ17" i="11"/>
  <c r="BP17" i="11"/>
  <c r="BU16" i="11"/>
  <c r="BQ16" i="11"/>
  <c r="BR16" i="11" s="1"/>
  <c r="BP16" i="11"/>
  <c r="BU15" i="11"/>
  <c r="BQ15" i="11"/>
  <c r="BR15" i="11" s="1"/>
  <c r="BP15" i="11"/>
  <c r="BU14" i="11"/>
  <c r="BQ14" i="11"/>
  <c r="BR14" i="11" s="1"/>
  <c r="BP14" i="11"/>
  <c r="BU13" i="11"/>
  <c r="BQ13" i="11"/>
  <c r="BR13" i="11" s="1"/>
  <c r="BP13" i="11"/>
  <c r="BU12" i="11"/>
  <c r="BQ12" i="11"/>
  <c r="BR12" i="11" s="1"/>
  <c r="BP12" i="11"/>
  <c r="BU11" i="11"/>
  <c r="BQ11" i="11"/>
  <c r="BR11" i="11" s="1"/>
  <c r="BP11" i="11"/>
  <c r="BU10" i="11"/>
  <c r="BQ10" i="11"/>
  <c r="BR10" i="11" s="1"/>
  <c r="BP10" i="11"/>
  <c r="BU9" i="11"/>
  <c r="BQ9" i="11"/>
  <c r="BR9" i="11" s="1"/>
  <c r="BP9" i="11"/>
  <c r="BU8" i="11"/>
  <c r="BQ8" i="11"/>
  <c r="BR8" i="11" s="1"/>
  <c r="BP8" i="11"/>
  <c r="BU7" i="11"/>
  <c r="BQ7" i="11"/>
  <c r="BR7" i="11" s="1"/>
  <c r="BP7" i="11"/>
  <c r="BU6" i="11"/>
  <c r="BQ6" i="11"/>
  <c r="BR6" i="11" s="1"/>
  <c r="BP6" i="11"/>
  <c r="BU5" i="11"/>
  <c r="BQ5" i="11"/>
  <c r="BR5" i="11" s="1"/>
  <c r="BP5" i="11"/>
  <c r="BU344" i="10"/>
  <c r="BT344" i="10"/>
  <c r="BV344" i="10" s="1"/>
  <c r="BV343" i="10"/>
  <c r="BS343" i="10"/>
  <c r="BR343" i="10"/>
  <c r="BQ343" i="10"/>
  <c r="BU342" i="10"/>
  <c r="BV342" i="10" s="1"/>
  <c r="BT342" i="10"/>
  <c r="BR341" i="10"/>
  <c r="BQ341" i="10"/>
  <c r="BR340" i="10"/>
  <c r="BQ340" i="10"/>
  <c r="BR339" i="10"/>
  <c r="BQ339" i="10"/>
  <c r="BR338" i="10"/>
  <c r="BR342" i="10" s="1"/>
  <c r="BQ338" i="10"/>
  <c r="BQ342" i="10" s="1"/>
  <c r="BV337" i="10"/>
  <c r="BR337" i="10"/>
  <c r="BQ337" i="10"/>
  <c r="BV336" i="10"/>
  <c r="BR336" i="10"/>
  <c r="BQ336" i="10"/>
  <c r="BV335" i="10"/>
  <c r="BR335" i="10"/>
  <c r="BQ335" i="10"/>
  <c r="BS335" i="10" s="1"/>
  <c r="BV334" i="10"/>
  <c r="BR334" i="10"/>
  <c r="BQ334" i="10"/>
  <c r="BS334" i="10" s="1"/>
  <c r="BV333" i="10"/>
  <c r="BR333" i="10"/>
  <c r="BQ333" i="10"/>
  <c r="BS333" i="10" s="1"/>
  <c r="BV332" i="10"/>
  <c r="BR332" i="10"/>
  <c r="BQ332" i="10"/>
  <c r="BS332" i="10" s="1"/>
  <c r="BV331" i="10"/>
  <c r="BR331" i="10"/>
  <c r="BQ331" i="10"/>
  <c r="BV330" i="10"/>
  <c r="BR330" i="10"/>
  <c r="BQ330" i="10"/>
  <c r="BS330" i="10" s="1"/>
  <c r="BV329" i="10"/>
  <c r="BR329" i="10"/>
  <c r="BQ329" i="10"/>
  <c r="BS329" i="10" s="1"/>
  <c r="BV328" i="10"/>
  <c r="BR328" i="10"/>
  <c r="BQ328" i="10"/>
  <c r="BS328" i="10" s="1"/>
  <c r="BV327" i="10"/>
  <c r="BR327" i="10"/>
  <c r="BQ327" i="10"/>
  <c r="BS327" i="10" s="1"/>
  <c r="BV326" i="10"/>
  <c r="BR326" i="10"/>
  <c r="BQ326" i="10"/>
  <c r="BS326" i="10" s="1"/>
  <c r="BV325" i="10"/>
  <c r="BR325" i="10"/>
  <c r="BQ325" i="10"/>
  <c r="BS325" i="10" s="1"/>
  <c r="BV324" i="10"/>
  <c r="BR324" i="10"/>
  <c r="BQ324" i="10"/>
  <c r="BS324" i="10" s="1"/>
  <c r="BV323" i="10"/>
  <c r="BR323" i="10"/>
  <c r="BR344" i="10" s="1"/>
  <c r="BQ323" i="10"/>
  <c r="BS323" i="10" s="1"/>
  <c r="BV322" i="10"/>
  <c r="BU322" i="10"/>
  <c r="BT322" i="10"/>
  <c r="BR321" i="10"/>
  <c r="BQ321" i="10"/>
  <c r="BR320" i="10"/>
  <c r="BQ320" i="10"/>
  <c r="BR319" i="10"/>
  <c r="BQ319" i="10"/>
  <c r="BR318" i="10"/>
  <c r="BQ318" i="10"/>
  <c r="BR317" i="10"/>
  <c r="BQ317" i="10"/>
  <c r="BV316" i="10"/>
  <c r="BR316" i="10"/>
  <c r="BQ316" i="10"/>
  <c r="BV315" i="10"/>
  <c r="BS315" i="10"/>
  <c r="BR315" i="10"/>
  <c r="BQ315" i="10"/>
  <c r="BV314" i="10"/>
  <c r="BR314" i="10"/>
  <c r="BQ314" i="10"/>
  <c r="BV313" i="10"/>
  <c r="BS313" i="10"/>
  <c r="BR313" i="10"/>
  <c r="BQ313" i="10"/>
  <c r="BV312" i="10"/>
  <c r="BS312" i="10"/>
  <c r="BR312" i="10"/>
  <c r="BQ312" i="10"/>
  <c r="BV311" i="10"/>
  <c r="BS311" i="10"/>
  <c r="BR311" i="10"/>
  <c r="BQ311" i="10"/>
  <c r="BV310" i="10"/>
  <c r="BR310" i="10"/>
  <c r="BQ310" i="10"/>
  <c r="BV309" i="10"/>
  <c r="BR309" i="10"/>
  <c r="BS309" i="10" s="1"/>
  <c r="BQ309" i="10"/>
  <c r="BV308" i="10"/>
  <c r="BR308" i="10"/>
  <c r="BQ308" i="10"/>
  <c r="BV307" i="10"/>
  <c r="BR307" i="10"/>
  <c r="BQ307" i="10"/>
  <c r="BV306" i="10"/>
  <c r="BR306" i="10"/>
  <c r="BS306" i="10" s="1"/>
  <c r="BQ306" i="10"/>
  <c r="BV305" i="10"/>
  <c r="BR305" i="10"/>
  <c r="BS305" i="10" s="1"/>
  <c r="BQ305" i="10"/>
  <c r="BV304" i="10"/>
  <c r="BR304" i="10"/>
  <c r="BQ304" i="10"/>
  <c r="BU298" i="10"/>
  <c r="BT298" i="10"/>
  <c r="BV298" i="10" s="1"/>
  <c r="BV297" i="10"/>
  <c r="BS297" i="10"/>
  <c r="BR297" i="10"/>
  <c r="BQ297" i="10"/>
  <c r="BV296" i="10"/>
  <c r="BU296" i="10"/>
  <c r="BT296" i="10"/>
  <c r="BR295" i="10"/>
  <c r="BQ295" i="10"/>
  <c r="BV294" i="10"/>
  <c r="BR294" i="10"/>
  <c r="BQ294" i="10"/>
  <c r="BV293" i="10"/>
  <c r="BR293" i="10"/>
  <c r="BQ293" i="10"/>
  <c r="BV292" i="10"/>
  <c r="BR292" i="10"/>
  <c r="BS292" i="10" s="1"/>
  <c r="BQ292" i="10"/>
  <c r="BV291" i="10"/>
  <c r="BR291" i="10"/>
  <c r="BQ291" i="10"/>
  <c r="BV290" i="10"/>
  <c r="BR290" i="10"/>
  <c r="BQ290" i="10"/>
  <c r="BV289" i="10"/>
  <c r="BR289" i="10"/>
  <c r="BS289" i="10" s="1"/>
  <c r="BQ289" i="10"/>
  <c r="BV288" i="10"/>
  <c r="BR288" i="10"/>
  <c r="BS288" i="10" s="1"/>
  <c r="BQ288" i="10"/>
  <c r="BV287" i="10"/>
  <c r="BR287" i="10"/>
  <c r="BQ287" i="10"/>
  <c r="BV286" i="10"/>
  <c r="BR286" i="10"/>
  <c r="BQ286" i="10"/>
  <c r="BV285" i="10"/>
  <c r="BR285" i="10"/>
  <c r="BS285" i="10" s="1"/>
  <c r="BQ285" i="10"/>
  <c r="BV284" i="10"/>
  <c r="BR284" i="10"/>
  <c r="BS284" i="10" s="1"/>
  <c r="BQ284" i="10"/>
  <c r="BV283" i="10"/>
  <c r="BR283" i="10"/>
  <c r="BQ283" i="10"/>
  <c r="BV282" i="10"/>
  <c r="BR282" i="10"/>
  <c r="BQ282" i="10"/>
  <c r="BV281" i="10"/>
  <c r="BR281" i="10"/>
  <c r="BS281" i="10" s="1"/>
  <c r="BQ281" i="10"/>
  <c r="BV280" i="10"/>
  <c r="BR280" i="10"/>
  <c r="BS280" i="10" s="1"/>
  <c r="BQ280" i="10"/>
  <c r="BV279" i="10"/>
  <c r="BR279" i="10"/>
  <c r="BQ279" i="10"/>
  <c r="BQ296" i="10" s="1"/>
  <c r="BV278" i="10"/>
  <c r="BR278" i="10"/>
  <c r="BR296" i="10" s="1"/>
  <c r="BQ278" i="10"/>
  <c r="BV277" i="10"/>
  <c r="BR277" i="10"/>
  <c r="BQ277" i="10"/>
  <c r="BU276" i="10"/>
  <c r="BT276" i="10"/>
  <c r="BV276" i="10" s="1"/>
  <c r="BV275" i="10"/>
  <c r="BR275" i="10"/>
  <c r="BQ275" i="10"/>
  <c r="BV274" i="10"/>
  <c r="BR274" i="10"/>
  <c r="BQ274" i="10"/>
  <c r="BV273" i="10"/>
  <c r="BS273" i="10"/>
  <c r="BR273" i="10"/>
  <c r="BQ273" i="10"/>
  <c r="BV272" i="10"/>
  <c r="BS272" i="10"/>
  <c r="BR272" i="10"/>
  <c r="BQ272" i="10"/>
  <c r="BV271" i="10"/>
  <c r="BR271" i="10"/>
  <c r="BQ271" i="10"/>
  <c r="BV270" i="10"/>
  <c r="BS270" i="10"/>
  <c r="BR270" i="10"/>
  <c r="BQ270" i="10"/>
  <c r="BV269" i="10"/>
  <c r="BS269" i="10"/>
  <c r="BR269" i="10"/>
  <c r="BQ269" i="10"/>
  <c r="BV268" i="10"/>
  <c r="BS268" i="10"/>
  <c r="BR268" i="10"/>
  <c r="BQ268" i="10"/>
  <c r="BV267" i="10"/>
  <c r="BS267" i="10"/>
  <c r="BR267" i="10"/>
  <c r="BQ267" i="10"/>
  <c r="BV266" i="10"/>
  <c r="BS266" i="10"/>
  <c r="BR266" i="10"/>
  <c r="BQ266" i="10"/>
  <c r="BV265" i="10"/>
  <c r="BS265" i="10"/>
  <c r="BR265" i="10"/>
  <c r="BQ265" i="10"/>
  <c r="BV264" i="10"/>
  <c r="BS264" i="10"/>
  <c r="BR264" i="10"/>
  <c r="BQ264" i="10"/>
  <c r="BV263" i="10"/>
  <c r="BS263" i="10"/>
  <c r="BR263" i="10"/>
  <c r="BQ263" i="10"/>
  <c r="BV262" i="10"/>
  <c r="BS262" i="10"/>
  <c r="BR262" i="10"/>
  <c r="BQ262" i="10"/>
  <c r="BV261" i="10"/>
  <c r="BS261" i="10"/>
  <c r="BR261" i="10"/>
  <c r="BQ261" i="10"/>
  <c r="BV260" i="10"/>
  <c r="BS260" i="10"/>
  <c r="BR260" i="10"/>
  <c r="BQ260" i="10"/>
  <c r="BV259" i="10"/>
  <c r="BS259" i="10"/>
  <c r="BR259" i="10"/>
  <c r="BQ259" i="10"/>
  <c r="BV258" i="10"/>
  <c r="BS258" i="10"/>
  <c r="BR258" i="10"/>
  <c r="BQ258" i="10"/>
  <c r="BV257" i="10"/>
  <c r="BS257" i="10"/>
  <c r="BR257" i="10"/>
  <c r="BQ257" i="10"/>
  <c r="BV256" i="10"/>
  <c r="BS256" i="10"/>
  <c r="BR256" i="10"/>
  <c r="BQ256" i="10"/>
  <c r="BV255" i="10"/>
  <c r="BS255" i="10"/>
  <c r="BR255" i="10"/>
  <c r="BQ255" i="10"/>
  <c r="BU247" i="10"/>
  <c r="BV247" i="10" s="1"/>
  <c r="BT247" i="10"/>
  <c r="BQ247" i="10"/>
  <c r="BV246" i="10"/>
  <c r="BR246" i="10"/>
  <c r="BQ246" i="10"/>
  <c r="BQ245" i="10" s="1"/>
  <c r="BU245" i="10"/>
  <c r="BT245" i="10"/>
  <c r="BV245" i="10" s="1"/>
  <c r="BV244" i="10"/>
  <c r="BV243" i="10"/>
  <c r="BR243" i="10"/>
  <c r="BQ243" i="10"/>
  <c r="BV242" i="10"/>
  <c r="BS242" i="10"/>
  <c r="BR242" i="10"/>
  <c r="BQ242" i="10"/>
  <c r="BV241" i="10"/>
  <c r="BS241" i="10"/>
  <c r="BR241" i="10"/>
  <c r="BQ241" i="10"/>
  <c r="BV240" i="10"/>
  <c r="BR240" i="10"/>
  <c r="BQ240" i="10"/>
  <c r="BV239" i="10"/>
  <c r="BR239" i="10"/>
  <c r="BS239" i="10" s="1"/>
  <c r="BQ239" i="10"/>
  <c r="BV238" i="10"/>
  <c r="BR238" i="10"/>
  <c r="BS238" i="10" s="1"/>
  <c r="BQ238" i="10"/>
  <c r="BV237" i="10"/>
  <c r="BR237" i="10"/>
  <c r="BS237" i="10" s="1"/>
  <c r="BQ237" i="10"/>
  <c r="BV236" i="10"/>
  <c r="BR236" i="10"/>
  <c r="BS236" i="10" s="1"/>
  <c r="BQ236" i="10"/>
  <c r="BV235" i="10"/>
  <c r="BR235" i="10"/>
  <c r="BS235" i="10" s="1"/>
  <c r="BQ235" i="10"/>
  <c r="BV234" i="10"/>
  <c r="BR234" i="10"/>
  <c r="BS234" i="10" s="1"/>
  <c r="BQ234" i="10"/>
  <c r="BV233" i="10"/>
  <c r="BR233" i="10"/>
  <c r="BS233" i="10" s="1"/>
  <c r="BQ233" i="10"/>
  <c r="BV232" i="10"/>
  <c r="BR232" i="10"/>
  <c r="BS232" i="10" s="1"/>
  <c r="BQ232" i="10"/>
  <c r="BV231" i="10"/>
  <c r="BR231" i="10"/>
  <c r="BS231" i="10" s="1"/>
  <c r="BQ231" i="10"/>
  <c r="BV230" i="10"/>
  <c r="BR230" i="10"/>
  <c r="BS230" i="10" s="1"/>
  <c r="BQ230" i="10"/>
  <c r="BV229" i="10"/>
  <c r="BR229" i="10"/>
  <c r="BS229" i="10" s="1"/>
  <c r="BQ229" i="10"/>
  <c r="BV228" i="10"/>
  <c r="BR228" i="10"/>
  <c r="BS228" i="10" s="1"/>
  <c r="BQ228" i="10"/>
  <c r="BV227" i="10"/>
  <c r="BR227" i="10"/>
  <c r="BS227" i="10" s="1"/>
  <c r="BQ227" i="10"/>
  <c r="BV226" i="10"/>
  <c r="BR226" i="10"/>
  <c r="BS226" i="10" s="1"/>
  <c r="BQ226" i="10"/>
  <c r="BV225" i="10"/>
  <c r="BR225" i="10"/>
  <c r="BQ225" i="10"/>
  <c r="BU224" i="10"/>
  <c r="BV224" i="10" s="1"/>
  <c r="BT224" i="10"/>
  <c r="BR223" i="10"/>
  <c r="BQ223" i="10"/>
  <c r="BV222" i="10"/>
  <c r="BR222" i="10"/>
  <c r="BQ222" i="10"/>
  <c r="BV221" i="10"/>
  <c r="BR221" i="10"/>
  <c r="BQ221" i="10"/>
  <c r="BQ224" i="10" s="1"/>
  <c r="BV220" i="10"/>
  <c r="BR220" i="10"/>
  <c r="BQ220" i="10"/>
  <c r="BS220" i="10" s="1"/>
  <c r="BV219" i="10"/>
  <c r="BR219" i="10"/>
  <c r="BQ219" i="10"/>
  <c r="BV218" i="10"/>
  <c r="BR218" i="10"/>
  <c r="BQ218" i="10"/>
  <c r="BV217" i="10"/>
  <c r="BS217" i="10"/>
  <c r="BR217" i="10"/>
  <c r="BQ217" i="10"/>
  <c r="BV216" i="10"/>
  <c r="BS216" i="10"/>
  <c r="BR216" i="10"/>
  <c r="BQ216" i="10"/>
  <c r="BV215" i="10"/>
  <c r="BS215" i="10"/>
  <c r="BR215" i="10"/>
  <c r="BQ215" i="10"/>
  <c r="BV214" i="10"/>
  <c r="BS214" i="10"/>
  <c r="BR214" i="10"/>
  <c r="BQ214" i="10"/>
  <c r="BV213" i="10"/>
  <c r="BS213" i="10"/>
  <c r="BR213" i="10"/>
  <c r="BQ213" i="10"/>
  <c r="BV212" i="10"/>
  <c r="BS212" i="10"/>
  <c r="BR212" i="10"/>
  <c r="BQ212" i="10"/>
  <c r="BU206" i="10"/>
  <c r="BV206" i="10" s="1"/>
  <c r="BT206" i="10"/>
  <c r="BR206" i="10"/>
  <c r="BV205" i="10"/>
  <c r="BR205" i="10"/>
  <c r="BQ205" i="10"/>
  <c r="BQ204" i="10" s="1"/>
  <c r="BU204" i="10"/>
  <c r="BT204" i="10"/>
  <c r="BV204" i="10" s="1"/>
  <c r="BV203" i="10"/>
  <c r="BS203" i="10"/>
  <c r="BR203" i="10"/>
  <c r="BQ203" i="10"/>
  <c r="BV202" i="10"/>
  <c r="BR202" i="10"/>
  <c r="BQ202" i="10"/>
  <c r="BV201" i="10"/>
  <c r="BR201" i="10"/>
  <c r="BQ201" i="10"/>
  <c r="BV200" i="10"/>
  <c r="BS200" i="10"/>
  <c r="BR200" i="10"/>
  <c r="BQ200" i="10"/>
  <c r="BV199" i="10"/>
  <c r="BS199" i="10"/>
  <c r="BR199" i="10"/>
  <c r="BQ199" i="10"/>
  <c r="BV198" i="10"/>
  <c r="BS198" i="10"/>
  <c r="BR198" i="10"/>
  <c r="BQ198" i="10"/>
  <c r="BV197" i="10"/>
  <c r="BS197" i="10"/>
  <c r="BR197" i="10"/>
  <c r="BQ197" i="10"/>
  <c r="BV196" i="10"/>
  <c r="BS196" i="10"/>
  <c r="BR196" i="10"/>
  <c r="BQ196" i="10"/>
  <c r="BV195" i="10"/>
  <c r="BS195" i="10"/>
  <c r="BR195" i="10"/>
  <c r="BQ195" i="10"/>
  <c r="BV194" i="10"/>
  <c r="BS194" i="10"/>
  <c r="BR194" i="10"/>
  <c r="BQ194" i="10"/>
  <c r="BV193" i="10"/>
  <c r="BS193" i="10"/>
  <c r="BR193" i="10"/>
  <c r="BQ193" i="10"/>
  <c r="BV192" i="10"/>
  <c r="BS192" i="10"/>
  <c r="BR192" i="10"/>
  <c r="BQ192" i="10"/>
  <c r="BV191" i="10"/>
  <c r="BS191" i="10"/>
  <c r="BR191" i="10"/>
  <c r="BQ191" i="10"/>
  <c r="BV190" i="10"/>
  <c r="BS190" i="10"/>
  <c r="BR190" i="10"/>
  <c r="BQ190" i="10"/>
  <c r="BV189" i="10"/>
  <c r="BS189" i="10"/>
  <c r="BR189" i="10"/>
  <c r="BQ189" i="10"/>
  <c r="BV188" i="10"/>
  <c r="BS188" i="10"/>
  <c r="BR188" i="10"/>
  <c r="BQ188" i="10"/>
  <c r="BV187" i="10"/>
  <c r="BS187" i="10"/>
  <c r="BR187" i="10"/>
  <c r="BQ187" i="10"/>
  <c r="BV186" i="10"/>
  <c r="BS186" i="10"/>
  <c r="BR186" i="10"/>
  <c r="BQ186" i="10"/>
  <c r="BV185" i="10"/>
  <c r="BS185" i="10"/>
  <c r="BR185" i="10"/>
  <c r="BQ185" i="10"/>
  <c r="BV184" i="10"/>
  <c r="BS184" i="10"/>
  <c r="BR184" i="10"/>
  <c r="BQ184" i="10"/>
  <c r="BV183" i="10"/>
  <c r="BS183" i="10"/>
  <c r="BR183" i="10"/>
  <c r="BQ183" i="10"/>
  <c r="BV182" i="10"/>
  <c r="BS182" i="10"/>
  <c r="BR182" i="10"/>
  <c r="BQ182" i="10"/>
  <c r="BV181" i="10"/>
  <c r="BS181" i="10"/>
  <c r="BR181" i="10"/>
  <c r="BQ181" i="10"/>
  <c r="BV180" i="10"/>
  <c r="BS180" i="10"/>
  <c r="BR180" i="10"/>
  <c r="BQ180" i="10"/>
  <c r="BV179" i="10"/>
  <c r="BS179" i="10"/>
  <c r="BR179" i="10"/>
  <c r="BQ179" i="10"/>
  <c r="BV178" i="10"/>
  <c r="BU178" i="10"/>
  <c r="BT178" i="10"/>
  <c r="BV177" i="10"/>
  <c r="BR177" i="10"/>
  <c r="BS177" i="10" s="1"/>
  <c r="BQ177" i="10"/>
  <c r="BV176" i="10"/>
  <c r="BR176" i="10"/>
  <c r="BS176" i="10" s="1"/>
  <c r="BQ176" i="10"/>
  <c r="BV175" i="10"/>
  <c r="BR175" i="10"/>
  <c r="BQ175" i="10"/>
  <c r="BV174" i="10"/>
  <c r="BR174" i="10"/>
  <c r="BQ174" i="10"/>
  <c r="BS174" i="10" s="1"/>
  <c r="BV173" i="10"/>
  <c r="BR173" i="10"/>
  <c r="BQ173" i="10"/>
  <c r="BS173" i="10" s="1"/>
  <c r="BV172" i="10"/>
  <c r="BR172" i="10"/>
  <c r="BQ172" i="10"/>
  <c r="BS172" i="10" s="1"/>
  <c r="BV171" i="10"/>
  <c r="BR171" i="10"/>
  <c r="BQ171" i="10"/>
  <c r="BS171" i="10" s="1"/>
  <c r="BV170" i="10"/>
  <c r="BR170" i="10"/>
  <c r="BQ170" i="10"/>
  <c r="BS170" i="10" s="1"/>
  <c r="BV169" i="10"/>
  <c r="BR169" i="10"/>
  <c r="BQ169" i="10"/>
  <c r="BS169" i="10" s="1"/>
  <c r="BV168" i="10"/>
  <c r="BR168" i="10"/>
  <c r="BQ168" i="10"/>
  <c r="BS168" i="10" s="1"/>
  <c r="BV167" i="10"/>
  <c r="BR167" i="10"/>
  <c r="BQ167" i="10"/>
  <c r="BS167" i="10" s="1"/>
  <c r="BV166" i="10"/>
  <c r="BR166" i="10"/>
  <c r="BQ166" i="10"/>
  <c r="BS166" i="10" s="1"/>
  <c r="BV165" i="10"/>
  <c r="BR165" i="10"/>
  <c r="BQ165" i="10"/>
  <c r="BS165" i="10" s="1"/>
  <c r="BV164" i="10"/>
  <c r="BR164" i="10"/>
  <c r="BQ164" i="10"/>
  <c r="BS164" i="10" s="1"/>
  <c r="BV163" i="10"/>
  <c r="BR163" i="10"/>
  <c r="BQ163" i="10"/>
  <c r="BS163" i="10" s="1"/>
  <c r="BV162" i="10"/>
  <c r="BR162" i="10"/>
  <c r="BQ162" i="10"/>
  <c r="BS162" i="10" s="1"/>
  <c r="BV154" i="10"/>
  <c r="BU154" i="10"/>
  <c r="BT154" i="10"/>
  <c r="BV153" i="10"/>
  <c r="BR153" i="10"/>
  <c r="BS153" i="10" s="1"/>
  <c r="BQ153" i="10"/>
  <c r="BU152" i="10"/>
  <c r="BV152" i="10" s="1"/>
  <c r="BT152" i="10"/>
  <c r="BR151" i="10"/>
  <c r="BQ151" i="10"/>
  <c r="BV150" i="10"/>
  <c r="BR150" i="10"/>
  <c r="BQ150" i="10"/>
  <c r="BV149" i="10"/>
  <c r="BR149" i="10"/>
  <c r="BQ149" i="10"/>
  <c r="BV148" i="10"/>
  <c r="BR148" i="10"/>
  <c r="BQ148" i="10"/>
  <c r="BV147" i="10"/>
  <c r="BR147" i="10"/>
  <c r="BQ147" i="10"/>
  <c r="BV146" i="10"/>
  <c r="BS146" i="10"/>
  <c r="BR146" i="10"/>
  <c r="BQ146" i="10"/>
  <c r="BV145" i="10"/>
  <c r="BS145" i="10"/>
  <c r="BR145" i="10"/>
  <c r="BQ145" i="10"/>
  <c r="BV144" i="10"/>
  <c r="BR144" i="10"/>
  <c r="BQ144" i="10"/>
  <c r="BV143" i="10"/>
  <c r="BR143" i="10"/>
  <c r="BS143" i="10" s="1"/>
  <c r="BQ143" i="10"/>
  <c r="BV142" i="10"/>
  <c r="BR142" i="10"/>
  <c r="BQ142" i="10"/>
  <c r="BV141" i="10"/>
  <c r="BR141" i="10"/>
  <c r="BS141" i="10" s="1"/>
  <c r="BQ141" i="10"/>
  <c r="BV140" i="10"/>
  <c r="BR140" i="10"/>
  <c r="BS140" i="10" s="1"/>
  <c r="BQ140" i="10"/>
  <c r="BV139" i="10"/>
  <c r="BR139" i="10"/>
  <c r="BS139" i="10" s="1"/>
  <c r="BQ139" i="10"/>
  <c r="BV138" i="10"/>
  <c r="BR138" i="10"/>
  <c r="BS138" i="10" s="1"/>
  <c r="BQ138" i="10"/>
  <c r="BV137" i="10"/>
  <c r="BR137" i="10"/>
  <c r="BQ137" i="10"/>
  <c r="BV136" i="10"/>
  <c r="BR136" i="10"/>
  <c r="BS136" i="10" s="1"/>
  <c r="BQ136" i="10"/>
  <c r="BV135" i="10"/>
  <c r="BR135" i="10"/>
  <c r="BS135" i="10" s="1"/>
  <c r="BQ135" i="10"/>
  <c r="BV134" i="10"/>
  <c r="BR134" i="10"/>
  <c r="BS134" i="10" s="1"/>
  <c r="BQ134" i="10"/>
  <c r="BV133" i="10"/>
  <c r="BR133" i="10"/>
  <c r="BQ133" i="10"/>
  <c r="BQ152" i="10" s="1"/>
  <c r="BV132" i="10"/>
  <c r="BR132" i="10"/>
  <c r="BS132" i="10" s="1"/>
  <c r="BQ132" i="10"/>
  <c r="BV131" i="10"/>
  <c r="BR131" i="10"/>
  <c r="BS131" i="10" s="1"/>
  <c r="BQ131" i="10"/>
  <c r="BV130" i="10"/>
  <c r="BR130" i="10"/>
  <c r="BQ130" i="10"/>
  <c r="BU129" i="10"/>
  <c r="BT129" i="10"/>
  <c r="BV129" i="10" s="1"/>
  <c r="BR128" i="10"/>
  <c r="BQ128" i="10"/>
  <c r="BV127" i="10"/>
  <c r="BR127" i="10"/>
  <c r="BQ127" i="10"/>
  <c r="BV126" i="10"/>
  <c r="BR126" i="10"/>
  <c r="BQ126" i="10"/>
  <c r="BS126" i="10" s="1"/>
  <c r="BV125" i="10"/>
  <c r="BR125" i="10"/>
  <c r="BQ125" i="10"/>
  <c r="BS125" i="10" s="1"/>
  <c r="BV124" i="10"/>
  <c r="BR124" i="10"/>
  <c r="BQ124" i="10"/>
  <c r="BS124" i="10" s="1"/>
  <c r="BV123" i="10"/>
  <c r="BR123" i="10"/>
  <c r="BQ123" i="10"/>
  <c r="BR122" i="10"/>
  <c r="BQ122" i="10"/>
  <c r="BV121" i="10"/>
  <c r="BR121" i="10"/>
  <c r="BQ121" i="10"/>
  <c r="BV120" i="10"/>
  <c r="BR120" i="10"/>
  <c r="BQ120" i="10"/>
  <c r="BS120" i="10" s="1"/>
  <c r="BV119" i="10"/>
  <c r="BR119" i="10"/>
  <c r="BQ119" i="10"/>
  <c r="BS119" i="10" s="1"/>
  <c r="BV118" i="10"/>
  <c r="BR118" i="10"/>
  <c r="BQ118" i="10"/>
  <c r="BS118" i="10" s="1"/>
  <c r="BV117" i="10"/>
  <c r="BR117" i="10"/>
  <c r="BQ117" i="10"/>
  <c r="BS117" i="10" s="1"/>
  <c r="BV116" i="10"/>
  <c r="BR116" i="10"/>
  <c r="BQ116" i="10"/>
  <c r="BV115" i="10"/>
  <c r="BR115" i="10"/>
  <c r="BQ115" i="10"/>
  <c r="BS115" i="10" s="1"/>
  <c r="BV114" i="10"/>
  <c r="BR114" i="10"/>
  <c r="BQ114" i="10"/>
  <c r="BS114" i="10" s="1"/>
  <c r="BV113" i="10"/>
  <c r="BR113" i="10"/>
  <c r="BQ113" i="10"/>
  <c r="BS113" i="10" s="1"/>
  <c r="BV112" i="10"/>
  <c r="BR112" i="10"/>
  <c r="BQ112" i="10"/>
  <c r="BS112" i="10" s="1"/>
  <c r="BV111" i="10"/>
  <c r="BR111" i="10"/>
  <c r="BQ111" i="10"/>
  <c r="BS111" i="10" s="1"/>
  <c r="BV105" i="10"/>
  <c r="BR105" i="10"/>
  <c r="BQ105" i="10"/>
  <c r="BV104" i="10"/>
  <c r="BU104" i="10"/>
  <c r="BT104" i="10"/>
  <c r="BR104" i="10"/>
  <c r="BR103" i="10"/>
  <c r="BQ103" i="10"/>
  <c r="BR102" i="10"/>
  <c r="BQ102" i="10"/>
  <c r="BV101" i="10"/>
  <c r="BR101" i="10"/>
  <c r="BQ101" i="10"/>
  <c r="BV100" i="10"/>
  <c r="BR100" i="10"/>
  <c r="BQ100" i="10"/>
  <c r="BV99" i="10"/>
  <c r="BR99" i="10"/>
  <c r="BQ99" i="10"/>
  <c r="BS99" i="10" s="1"/>
  <c r="BV98" i="10"/>
  <c r="BR98" i="10"/>
  <c r="BQ98" i="10"/>
  <c r="BV97" i="10"/>
  <c r="BR97" i="10"/>
  <c r="BQ97" i="10"/>
  <c r="BS97" i="10" s="1"/>
  <c r="BV96" i="10"/>
  <c r="BR96" i="10"/>
  <c r="BQ96" i="10"/>
  <c r="BS96" i="10" s="1"/>
  <c r="BV95" i="10"/>
  <c r="BR95" i="10"/>
  <c r="BQ95" i="10"/>
  <c r="BS95" i="10" s="1"/>
  <c r="BV94" i="10"/>
  <c r="BR94" i="10"/>
  <c r="BQ94" i="10"/>
  <c r="BS94" i="10" s="1"/>
  <c r="BV93" i="10"/>
  <c r="BR93" i="10"/>
  <c r="BQ93" i="10"/>
  <c r="BS93" i="10" s="1"/>
  <c r="BV92" i="10"/>
  <c r="BR92" i="10"/>
  <c r="BQ92" i="10"/>
  <c r="BS92" i="10" s="1"/>
  <c r="BV91" i="10"/>
  <c r="BR91" i="10"/>
  <c r="BQ91" i="10"/>
  <c r="BQ90" i="10" s="1"/>
  <c r="BV90" i="10"/>
  <c r="BU90" i="10"/>
  <c r="BT90" i="10"/>
  <c r="BR89" i="10"/>
  <c r="BQ89" i="10"/>
  <c r="BR88" i="10"/>
  <c r="BQ88" i="10"/>
  <c r="BR87" i="10"/>
  <c r="BQ87" i="10"/>
  <c r="BR86" i="10"/>
  <c r="BQ86" i="10"/>
  <c r="BR85" i="10"/>
  <c r="BQ85" i="10"/>
  <c r="BV84" i="10"/>
  <c r="BR84" i="10"/>
  <c r="BQ84" i="10"/>
  <c r="BV83" i="10"/>
  <c r="BR83" i="10"/>
  <c r="BQ83" i="10"/>
  <c r="BV82" i="10"/>
  <c r="BR82" i="10"/>
  <c r="BQ82" i="10"/>
  <c r="BV81" i="10"/>
  <c r="BR81" i="10"/>
  <c r="BQ81" i="10"/>
  <c r="BV80" i="10"/>
  <c r="BR80" i="10"/>
  <c r="BQ80" i="10"/>
  <c r="BV79" i="10"/>
  <c r="BR79" i="10"/>
  <c r="BQ79" i="10"/>
  <c r="BV78" i="10"/>
  <c r="BR78" i="10"/>
  <c r="BQ78" i="10"/>
  <c r="BV77" i="10"/>
  <c r="BR77" i="10"/>
  <c r="BQ77" i="10"/>
  <c r="BV76" i="10"/>
  <c r="BR76" i="10"/>
  <c r="BS76" i="10" s="1"/>
  <c r="BQ76" i="10"/>
  <c r="BV75" i="10"/>
  <c r="BR75" i="10"/>
  <c r="BS75" i="10" s="1"/>
  <c r="BQ75" i="10"/>
  <c r="BV74" i="10"/>
  <c r="BR74" i="10"/>
  <c r="BS74" i="10" s="1"/>
  <c r="BQ74" i="10"/>
  <c r="BV73" i="10"/>
  <c r="BR73" i="10"/>
  <c r="BQ73" i="10"/>
  <c r="BV72" i="10"/>
  <c r="BR72" i="10"/>
  <c r="BS72" i="10" s="1"/>
  <c r="BQ72" i="10"/>
  <c r="BV71" i="10"/>
  <c r="BR71" i="10"/>
  <c r="BS71" i="10" s="1"/>
  <c r="BQ71" i="10"/>
  <c r="BV70" i="10"/>
  <c r="BR70" i="10"/>
  <c r="BS70" i="10" s="1"/>
  <c r="BQ70" i="10"/>
  <c r="BV69" i="10"/>
  <c r="BR69" i="10"/>
  <c r="BQ69" i="10"/>
  <c r="BV68" i="10"/>
  <c r="BR68" i="10"/>
  <c r="BS68" i="10" s="1"/>
  <c r="BQ68" i="10"/>
  <c r="BV67" i="10"/>
  <c r="BR67" i="10"/>
  <c r="BS67" i="10" s="1"/>
  <c r="BQ67" i="10"/>
  <c r="BV66" i="10"/>
  <c r="BR66" i="10"/>
  <c r="BS66" i="10" s="1"/>
  <c r="BQ66" i="10"/>
  <c r="BU60" i="10"/>
  <c r="BT60" i="10"/>
  <c r="BV59" i="10"/>
  <c r="BR59" i="10"/>
  <c r="BS59" i="10" s="1"/>
  <c r="BQ59" i="10"/>
  <c r="BV58" i="10"/>
  <c r="BU58" i="10"/>
  <c r="BT58" i="10"/>
  <c r="BR57" i="10"/>
  <c r="BQ57" i="10"/>
  <c r="BV56" i="10"/>
  <c r="BV55" i="10"/>
  <c r="BV54" i="10"/>
  <c r="BV53" i="10"/>
  <c r="BV52" i="10"/>
  <c r="BV51" i="10"/>
  <c r="BS51" i="10"/>
  <c r="BV50" i="10"/>
  <c r="BR50" i="10"/>
  <c r="BQ50" i="10"/>
  <c r="BS50" i="10" s="1"/>
  <c r="BV49" i="10"/>
  <c r="BR49" i="10"/>
  <c r="BQ49" i="10"/>
  <c r="BS49" i="10" s="1"/>
  <c r="BV48" i="10"/>
  <c r="BR48" i="10"/>
  <c r="BQ48" i="10"/>
  <c r="BV47" i="10"/>
  <c r="BU47" i="10"/>
  <c r="BT47" i="10"/>
  <c r="BR46" i="10"/>
  <c r="BQ46" i="10"/>
  <c r="BR45" i="10"/>
  <c r="BQ45" i="10"/>
  <c r="BV44" i="10"/>
  <c r="BR44" i="10"/>
  <c r="BQ44" i="10"/>
  <c r="BV43" i="10"/>
  <c r="BR43" i="10"/>
  <c r="BQ43" i="10"/>
  <c r="BV42" i="10"/>
  <c r="BR42" i="10"/>
  <c r="BQ42" i="10"/>
  <c r="BV41" i="10"/>
  <c r="BR41" i="10"/>
  <c r="BQ41" i="10"/>
  <c r="BS41" i="10" s="1"/>
  <c r="BV40" i="10"/>
  <c r="BR40" i="10"/>
  <c r="BQ40" i="10"/>
  <c r="BS40" i="10" s="1"/>
  <c r="BV39" i="10"/>
  <c r="BR39" i="10"/>
  <c r="BQ39" i="10"/>
  <c r="BS39" i="10" s="1"/>
  <c r="BV38" i="10"/>
  <c r="BR38" i="10"/>
  <c r="BQ38" i="10"/>
  <c r="BS38" i="10" s="1"/>
  <c r="BV37" i="10"/>
  <c r="BR37" i="10"/>
  <c r="BQ37" i="10"/>
  <c r="BV36" i="10"/>
  <c r="BR36" i="10"/>
  <c r="BQ36" i="10"/>
  <c r="BS36" i="10" s="1"/>
  <c r="BV35" i="10"/>
  <c r="BR35" i="10"/>
  <c r="BQ35" i="10"/>
  <c r="BS35" i="10" s="1"/>
  <c r="BV34" i="10"/>
  <c r="BR34" i="10"/>
  <c r="BQ34" i="10"/>
  <c r="BV33" i="10"/>
  <c r="BR33" i="10"/>
  <c r="BQ33" i="10"/>
  <c r="BS33" i="10" s="1"/>
  <c r="BV32" i="10"/>
  <c r="BR32" i="10"/>
  <c r="BQ32" i="10"/>
  <c r="BS32" i="10" s="1"/>
  <c r="BV31" i="10"/>
  <c r="BS31" i="10"/>
  <c r="BR31" i="10"/>
  <c r="BQ31" i="10"/>
  <c r="BV30" i="10"/>
  <c r="BS30" i="10"/>
  <c r="BR30" i="10"/>
  <c r="BQ30" i="10"/>
  <c r="BV29" i="10"/>
  <c r="BS29" i="10"/>
  <c r="BR29" i="10"/>
  <c r="BQ29" i="10"/>
  <c r="BV28" i="10"/>
  <c r="BS28" i="10"/>
  <c r="BR28" i="10"/>
  <c r="BQ28" i="10"/>
  <c r="BU27" i="10"/>
  <c r="BV27" i="10" s="1"/>
  <c r="BT27" i="10"/>
  <c r="BQ27" i="10"/>
  <c r="BR26" i="10"/>
  <c r="BQ26" i="10"/>
  <c r="BV25" i="10"/>
  <c r="BR25" i="10"/>
  <c r="BQ25" i="10"/>
  <c r="BV24" i="10"/>
  <c r="BR24" i="10"/>
  <c r="BQ24" i="10"/>
  <c r="BV23" i="10"/>
  <c r="BR23" i="10"/>
  <c r="BQ23" i="10"/>
  <c r="BV22" i="10"/>
  <c r="BR22" i="10"/>
  <c r="BQ22" i="10"/>
  <c r="BV21" i="10"/>
  <c r="BS21" i="10"/>
  <c r="BR21" i="10"/>
  <c r="BQ21" i="10"/>
  <c r="BV20" i="10"/>
  <c r="BS20" i="10"/>
  <c r="BR20" i="10"/>
  <c r="BQ20" i="10"/>
  <c r="BV19" i="10"/>
  <c r="BR19" i="10"/>
  <c r="BQ19" i="10"/>
  <c r="BV18" i="10"/>
  <c r="BR18" i="10"/>
  <c r="BQ18" i="10"/>
  <c r="BV17" i="10"/>
  <c r="BR17" i="10"/>
  <c r="BQ17" i="10"/>
  <c r="BV16" i="10"/>
  <c r="BR16" i="10"/>
  <c r="BS16" i="10" s="1"/>
  <c r="BQ16" i="10"/>
  <c r="BV15" i="10"/>
  <c r="BR15" i="10"/>
  <c r="BQ15" i="10"/>
  <c r="BV14" i="10"/>
  <c r="BR14" i="10"/>
  <c r="BS14" i="10" s="1"/>
  <c r="BQ14" i="10"/>
  <c r="BV13" i="10"/>
  <c r="BR13" i="10"/>
  <c r="BR27" i="10" s="1"/>
  <c r="BQ13" i="10"/>
  <c r="BV12" i="10"/>
  <c r="BR12" i="10"/>
  <c r="BR11" i="10" s="1"/>
  <c r="BQ12" i="10"/>
  <c r="BU11" i="10"/>
  <c r="BT11" i="10"/>
  <c r="BV11" i="10" s="1"/>
  <c r="BR10" i="10"/>
  <c r="BQ10" i="10"/>
  <c r="BV9" i="10"/>
  <c r="BR9" i="10"/>
  <c r="BQ9" i="10"/>
  <c r="BV8" i="10"/>
  <c r="BR8" i="10"/>
  <c r="BQ8" i="10"/>
  <c r="BV7" i="10"/>
  <c r="BR7" i="10"/>
  <c r="BQ7" i="10"/>
  <c r="BV6" i="10"/>
  <c r="BR6" i="10"/>
  <c r="BQ6" i="10"/>
  <c r="BS6" i="10" s="1"/>
  <c r="BV5" i="10"/>
  <c r="BR5" i="10"/>
  <c r="BQ5" i="10"/>
  <c r="BQ11" i="10" s="1"/>
  <c r="BU49" i="9"/>
  <c r="BQ49" i="9"/>
  <c r="BP49" i="9"/>
  <c r="BP48" i="9" s="1"/>
  <c r="BT48" i="9"/>
  <c r="BS48" i="9"/>
  <c r="BQ47" i="9"/>
  <c r="BP47" i="9"/>
  <c r="BQ46" i="9"/>
  <c r="BP46" i="9"/>
  <c r="BQ45" i="9"/>
  <c r="BP45" i="9"/>
  <c r="BQ44" i="9"/>
  <c r="BP44" i="9"/>
  <c r="BQ43" i="9"/>
  <c r="BP43" i="9"/>
  <c r="BQ42" i="9"/>
  <c r="BP42" i="9"/>
  <c r="BQ41" i="9"/>
  <c r="BP41" i="9"/>
  <c r="BU40" i="9"/>
  <c r="BQ40" i="9"/>
  <c r="BP40" i="9"/>
  <c r="BU39" i="9"/>
  <c r="BQ39" i="9"/>
  <c r="BP39" i="9"/>
  <c r="BU38" i="9"/>
  <c r="BQ38" i="9"/>
  <c r="BP38" i="9"/>
  <c r="BU37" i="9"/>
  <c r="BQ37" i="9"/>
  <c r="BP37" i="9"/>
  <c r="BU36" i="9"/>
  <c r="BQ36" i="9"/>
  <c r="BR36" i="9" s="1"/>
  <c r="BP36" i="9"/>
  <c r="BU35" i="9"/>
  <c r="BQ35" i="9"/>
  <c r="BR35" i="9" s="1"/>
  <c r="BP35" i="9"/>
  <c r="BU34" i="9"/>
  <c r="BQ34" i="9"/>
  <c r="BR34" i="9" s="1"/>
  <c r="BP34" i="9"/>
  <c r="BU33" i="9"/>
  <c r="BQ33" i="9"/>
  <c r="BQ32" i="9" s="1"/>
  <c r="BP33" i="9"/>
  <c r="BP32" i="9" s="1"/>
  <c r="BT32" i="9"/>
  <c r="BU32" i="9" s="1"/>
  <c r="BS32" i="9"/>
  <c r="BU31" i="9"/>
  <c r="BQ31" i="9"/>
  <c r="BP31" i="9"/>
  <c r="BU30" i="9"/>
  <c r="BQ30" i="9"/>
  <c r="BP30" i="9"/>
  <c r="BU29" i="9"/>
  <c r="BQ29" i="9"/>
  <c r="BP29" i="9"/>
  <c r="BU28" i="9"/>
  <c r="BQ28" i="9"/>
  <c r="BR28" i="9" s="1"/>
  <c r="BP28" i="9"/>
  <c r="BU27" i="9"/>
  <c r="BQ27" i="9"/>
  <c r="BP27" i="9"/>
  <c r="BU26" i="9"/>
  <c r="BR26" i="9"/>
  <c r="BQ26" i="9"/>
  <c r="BP26" i="9"/>
  <c r="BU25" i="9"/>
  <c r="BR25" i="9"/>
  <c r="BQ25" i="9"/>
  <c r="BP25" i="9"/>
  <c r="BU24" i="9"/>
  <c r="BR24" i="9"/>
  <c r="BQ24" i="9"/>
  <c r="BP24" i="9"/>
  <c r="BU23" i="9"/>
  <c r="BR23" i="9"/>
  <c r="BQ23" i="9"/>
  <c r="BP23" i="9"/>
  <c r="BU22" i="9"/>
  <c r="BR22" i="9"/>
  <c r="BQ22" i="9"/>
  <c r="BP22" i="9"/>
  <c r="BU21" i="9"/>
  <c r="BQ21" i="9"/>
  <c r="BP21" i="9"/>
  <c r="BU20" i="9"/>
  <c r="BQ20" i="9"/>
  <c r="BR20" i="9" s="1"/>
  <c r="BP20" i="9"/>
  <c r="BU19" i="9"/>
  <c r="BQ19" i="9"/>
  <c r="BR19" i="9" s="1"/>
  <c r="BP19" i="9"/>
  <c r="BU18" i="9"/>
  <c r="BQ18" i="9"/>
  <c r="BR18" i="9" s="1"/>
  <c r="BP18" i="9"/>
  <c r="BU17" i="9"/>
  <c r="BQ17" i="9"/>
  <c r="BR17" i="9" s="1"/>
  <c r="BP17" i="9"/>
  <c r="BU16" i="9"/>
  <c r="BQ16" i="9"/>
  <c r="BR16" i="9" s="1"/>
  <c r="BP16" i="9"/>
  <c r="BU15" i="9"/>
  <c r="BQ15" i="9"/>
  <c r="BR15" i="9" s="1"/>
  <c r="BP15" i="9"/>
  <c r="BU14" i="9"/>
  <c r="BQ14" i="9"/>
  <c r="BR14" i="9" s="1"/>
  <c r="BP14" i="9"/>
  <c r="BU13" i="9"/>
  <c r="BQ13" i="9"/>
  <c r="BR13" i="9" s="1"/>
  <c r="BP13" i="9"/>
  <c r="BU12" i="9"/>
  <c r="BQ12" i="9"/>
  <c r="BR12" i="9" s="1"/>
  <c r="BP12" i="9"/>
  <c r="BU11" i="9"/>
  <c r="BQ11" i="9"/>
  <c r="BR11" i="9" s="1"/>
  <c r="BP11" i="9"/>
  <c r="BU10" i="9"/>
  <c r="BQ10" i="9"/>
  <c r="BR10" i="9" s="1"/>
  <c r="BP10" i="9"/>
  <c r="BU9" i="9"/>
  <c r="BQ9" i="9"/>
  <c r="BR9" i="9" s="1"/>
  <c r="BP9" i="9"/>
  <c r="BU8" i="9"/>
  <c r="BQ8" i="9"/>
  <c r="BR8" i="9" s="1"/>
  <c r="BP8" i="9"/>
  <c r="BU7" i="9"/>
  <c r="BQ7" i="9"/>
  <c r="BR7" i="9" s="1"/>
  <c r="BP7" i="9"/>
  <c r="BU6" i="9"/>
  <c r="BQ6" i="9"/>
  <c r="BR6" i="9" s="1"/>
  <c r="BP6" i="9"/>
  <c r="BU5" i="9"/>
  <c r="BQ5" i="9"/>
  <c r="BR5" i="9" s="1"/>
  <c r="BP5" i="9"/>
  <c r="BV98" i="8"/>
  <c r="BU98" i="8"/>
  <c r="BT98" i="8"/>
  <c r="BV97" i="8"/>
  <c r="BS97" i="8"/>
  <c r="BR97" i="8"/>
  <c r="BR96" i="8" s="1"/>
  <c r="BQ97" i="8"/>
  <c r="BU96" i="8"/>
  <c r="BV96" i="8" s="1"/>
  <c r="BT96" i="8"/>
  <c r="BR95" i="8"/>
  <c r="BQ95" i="8"/>
  <c r="BR94" i="8"/>
  <c r="BQ94" i="8"/>
  <c r="BR93" i="8"/>
  <c r="BQ93" i="8"/>
  <c r="BV92" i="8"/>
  <c r="BR92" i="8"/>
  <c r="BQ92" i="8"/>
  <c r="BV91" i="8"/>
  <c r="BR91" i="8"/>
  <c r="BQ91" i="8"/>
  <c r="BV90" i="8"/>
  <c r="BR90" i="8"/>
  <c r="BS90" i="8" s="1"/>
  <c r="BQ90" i="8"/>
  <c r="BV89" i="8"/>
  <c r="BR89" i="8"/>
  <c r="BS89" i="8" s="1"/>
  <c r="BQ89" i="8"/>
  <c r="BQ96" i="8" s="1"/>
  <c r="BV88" i="8"/>
  <c r="BR88" i="8"/>
  <c r="BQ88" i="8"/>
  <c r="BV87" i="8"/>
  <c r="BR87" i="8"/>
  <c r="BQ87" i="8"/>
  <c r="BV86" i="8"/>
  <c r="BS86" i="8"/>
  <c r="BR86" i="8"/>
  <c r="BQ86" i="8"/>
  <c r="BV85" i="8"/>
  <c r="BR85" i="8"/>
  <c r="BQ85" i="8"/>
  <c r="BV84" i="8"/>
  <c r="BS84" i="8"/>
  <c r="BR84" i="8"/>
  <c r="BQ84" i="8"/>
  <c r="BV83" i="8"/>
  <c r="BR83" i="8"/>
  <c r="BQ83" i="8"/>
  <c r="BV82" i="8"/>
  <c r="BR82" i="8"/>
  <c r="BQ82" i="8"/>
  <c r="BV81" i="8"/>
  <c r="BS81" i="8"/>
  <c r="BR81" i="8"/>
  <c r="BQ81" i="8"/>
  <c r="BV80" i="8"/>
  <c r="BR80" i="8"/>
  <c r="BQ80" i="8"/>
  <c r="BV79" i="8"/>
  <c r="BS79" i="8"/>
  <c r="BR79" i="8"/>
  <c r="BQ79" i="8"/>
  <c r="BV78" i="8"/>
  <c r="BS78" i="8"/>
  <c r="BR78" i="8"/>
  <c r="BQ78" i="8"/>
  <c r="BV77" i="8"/>
  <c r="BS77" i="8"/>
  <c r="BR77" i="8"/>
  <c r="BQ77" i="8"/>
  <c r="BV76" i="8"/>
  <c r="BS76" i="8"/>
  <c r="BR76" i="8"/>
  <c r="BQ76" i="8"/>
  <c r="BV75" i="8"/>
  <c r="BS75" i="8"/>
  <c r="BR75" i="8"/>
  <c r="BQ75" i="8"/>
  <c r="BV74" i="8"/>
  <c r="BS74" i="8"/>
  <c r="BR74" i="8"/>
  <c r="BQ74" i="8"/>
  <c r="BV73" i="8"/>
  <c r="BS73" i="8"/>
  <c r="BR73" i="8"/>
  <c r="BQ73" i="8"/>
  <c r="BV72" i="8"/>
  <c r="BS72" i="8"/>
  <c r="BR72" i="8"/>
  <c r="BQ72" i="8"/>
  <c r="BV71" i="8"/>
  <c r="BS71" i="8"/>
  <c r="BR71" i="8"/>
  <c r="BR98" i="8" s="1"/>
  <c r="BS98" i="8" s="1"/>
  <c r="BQ71" i="8"/>
  <c r="BQ98" i="8" s="1"/>
  <c r="BU70" i="8"/>
  <c r="BV70" i="8" s="1"/>
  <c r="BT70" i="8"/>
  <c r="BV66" i="8"/>
  <c r="BV65" i="8"/>
  <c r="BV64" i="8"/>
  <c r="BV63" i="8"/>
  <c r="BV62" i="8"/>
  <c r="BV61" i="8"/>
  <c r="BV60" i="8"/>
  <c r="BS60" i="8"/>
  <c r="BV59" i="8"/>
  <c r="BV58" i="8"/>
  <c r="BV57" i="8"/>
  <c r="BV56" i="8"/>
  <c r="BS56" i="8"/>
  <c r="BV55" i="8"/>
  <c r="BV54" i="8"/>
  <c r="BV53" i="8"/>
  <c r="BV52" i="8"/>
  <c r="BV51" i="8"/>
  <c r="BR51" i="8"/>
  <c r="BS51" i="8" s="1"/>
  <c r="BQ51" i="8"/>
  <c r="BV50" i="8"/>
  <c r="BR50" i="8"/>
  <c r="BS50" i="8" s="1"/>
  <c r="BQ50" i="8"/>
  <c r="BQ70" i="8" s="1"/>
  <c r="BU49" i="8"/>
  <c r="BT49" i="8"/>
  <c r="BV49" i="8" s="1"/>
  <c r="BV48" i="8"/>
  <c r="BS48" i="8"/>
  <c r="BR48" i="8"/>
  <c r="BQ48" i="8"/>
  <c r="BU47" i="8"/>
  <c r="BT47" i="8"/>
  <c r="BR46" i="8"/>
  <c r="BQ46" i="8"/>
  <c r="BR45" i="8"/>
  <c r="BQ45" i="8"/>
  <c r="BR44" i="8"/>
  <c r="BQ44" i="8"/>
  <c r="BR43" i="8"/>
  <c r="BQ43" i="8"/>
  <c r="BR42" i="8"/>
  <c r="BQ42" i="8"/>
  <c r="BR41" i="8"/>
  <c r="BQ41" i="8"/>
  <c r="BV40" i="8"/>
  <c r="BR40" i="8"/>
  <c r="BQ40" i="8"/>
  <c r="BV39" i="8"/>
  <c r="BR39" i="8"/>
  <c r="BQ39" i="8"/>
  <c r="BR38" i="8"/>
  <c r="BQ38" i="8"/>
  <c r="BV37" i="8"/>
  <c r="BS37" i="8"/>
  <c r="BR37" i="8"/>
  <c r="BQ37" i="8"/>
  <c r="BV36" i="8"/>
  <c r="BS36" i="8"/>
  <c r="BR36" i="8"/>
  <c r="BQ36" i="8"/>
  <c r="BV35" i="8"/>
  <c r="BS35" i="8"/>
  <c r="BR35" i="8"/>
  <c r="BQ35" i="8"/>
  <c r="BV34" i="8"/>
  <c r="BS34" i="8"/>
  <c r="BR34" i="8"/>
  <c r="BQ34" i="8"/>
  <c r="BV33" i="8"/>
  <c r="BS33" i="8"/>
  <c r="BR33" i="8"/>
  <c r="BQ33" i="8"/>
  <c r="BV32" i="8"/>
  <c r="BS32" i="8"/>
  <c r="BR32" i="8"/>
  <c r="BQ32" i="8"/>
  <c r="BV31" i="8"/>
  <c r="BS31" i="8"/>
  <c r="BR31" i="8"/>
  <c r="BQ31" i="8"/>
  <c r="BV30" i="8"/>
  <c r="BS30" i="8"/>
  <c r="BR30" i="8"/>
  <c r="BR47" i="8" s="1"/>
  <c r="BQ30" i="8"/>
  <c r="BQ47" i="8" s="1"/>
  <c r="BV29" i="8"/>
  <c r="BR29" i="8"/>
  <c r="BR49" i="8" s="1"/>
  <c r="BQ29" i="8"/>
  <c r="BQ49" i="8" s="1"/>
  <c r="BU28" i="8"/>
  <c r="BT28" i="8"/>
  <c r="BR27" i="8"/>
  <c r="BQ27" i="8"/>
  <c r="BR26" i="8"/>
  <c r="BQ26" i="8"/>
  <c r="BR25" i="8"/>
  <c r="BQ25" i="8"/>
  <c r="BR24" i="8"/>
  <c r="BQ24" i="8"/>
  <c r="BR23" i="8"/>
  <c r="BQ23" i="8"/>
  <c r="BR22" i="8"/>
  <c r="BQ22" i="8"/>
  <c r="BR21" i="8"/>
  <c r="BQ21" i="8"/>
  <c r="BV20" i="8"/>
  <c r="BR20" i="8"/>
  <c r="BQ20" i="8"/>
  <c r="BV19" i="8"/>
  <c r="BR19" i="8"/>
  <c r="BS19" i="8" s="1"/>
  <c r="BQ19" i="8"/>
  <c r="BV18" i="8"/>
  <c r="BR18" i="8"/>
  <c r="BQ18" i="8"/>
  <c r="BV17" i="8"/>
  <c r="BR17" i="8"/>
  <c r="BQ17" i="8"/>
  <c r="BS17" i="8" s="1"/>
  <c r="BV16" i="8"/>
  <c r="BR16" i="8"/>
  <c r="BQ16" i="8"/>
  <c r="BS16" i="8" s="1"/>
  <c r="BV15" i="8"/>
  <c r="BR15" i="8"/>
  <c r="BQ15" i="8"/>
  <c r="BS15" i="8" s="1"/>
  <c r="BV14" i="8"/>
  <c r="BR14" i="8"/>
  <c r="BQ14" i="8"/>
  <c r="BS14" i="8" s="1"/>
  <c r="BV13" i="8"/>
  <c r="BR13" i="8"/>
  <c r="BQ13" i="8"/>
  <c r="BS13" i="8" s="1"/>
  <c r="BV12" i="8"/>
  <c r="BR12" i="8"/>
  <c r="BQ12" i="8"/>
  <c r="BS12" i="8" s="1"/>
  <c r="BV11" i="8"/>
  <c r="BR11" i="8"/>
  <c r="BQ11" i="8"/>
  <c r="BS11" i="8" s="1"/>
  <c r="BV10" i="8"/>
  <c r="BR10" i="8"/>
  <c r="BQ10" i="8"/>
  <c r="BS10" i="8" s="1"/>
  <c r="BV9" i="8"/>
  <c r="BR9" i="8"/>
  <c r="BQ9" i="8"/>
  <c r="BS9" i="8" s="1"/>
  <c r="BV8" i="8"/>
  <c r="BR8" i="8"/>
  <c r="BQ8" i="8"/>
  <c r="BS8" i="8" s="1"/>
  <c r="BV7" i="8"/>
  <c r="BR7" i="8"/>
  <c r="BQ7" i="8"/>
  <c r="BS7" i="8" s="1"/>
  <c r="BV6" i="8"/>
  <c r="BR6" i="8"/>
  <c r="BQ6" i="8"/>
  <c r="BS6" i="8" s="1"/>
  <c r="BU266" i="7"/>
  <c r="BQ266" i="7"/>
  <c r="BR266" i="7" s="1"/>
  <c r="BP266" i="7"/>
  <c r="BP265" i="7" s="1"/>
  <c r="BU265" i="7"/>
  <c r="BT265" i="7"/>
  <c r="BS265" i="7"/>
  <c r="BQ265" i="7"/>
  <c r="BQ264" i="7"/>
  <c r="BP264" i="7"/>
  <c r="BU263" i="7"/>
  <c r="BQ263" i="7"/>
  <c r="BP263" i="7"/>
  <c r="BU262" i="7"/>
  <c r="BR262" i="7"/>
  <c r="BQ262" i="7"/>
  <c r="BP262" i="7"/>
  <c r="BU261" i="7"/>
  <c r="BR261" i="7"/>
  <c r="BQ261" i="7"/>
  <c r="BP261" i="7"/>
  <c r="BU260" i="7"/>
  <c r="BR260" i="7"/>
  <c r="BQ260" i="7"/>
  <c r="BP260" i="7"/>
  <c r="BU259" i="7"/>
  <c r="BQ259" i="7"/>
  <c r="BP259" i="7"/>
  <c r="BU258" i="7"/>
  <c r="BQ258" i="7"/>
  <c r="BR258" i="7" s="1"/>
  <c r="BP258" i="7"/>
  <c r="BU257" i="7"/>
  <c r="BQ257" i="7"/>
  <c r="BR257" i="7" s="1"/>
  <c r="BP257" i="7"/>
  <c r="BU256" i="7"/>
  <c r="BQ256" i="7"/>
  <c r="BR256" i="7" s="1"/>
  <c r="BP256" i="7"/>
  <c r="BU255" i="7"/>
  <c r="BQ255" i="7"/>
  <c r="BR255" i="7" s="1"/>
  <c r="BP255" i="7"/>
  <c r="BU254" i="7"/>
  <c r="BQ254" i="7"/>
  <c r="BR254" i="7" s="1"/>
  <c r="BP254" i="7"/>
  <c r="BU253" i="7"/>
  <c r="BQ253" i="7"/>
  <c r="BR253" i="7" s="1"/>
  <c r="BP253" i="7"/>
  <c r="BU252" i="7"/>
  <c r="BQ252" i="7"/>
  <c r="BR252" i="7" s="1"/>
  <c r="BP252" i="7"/>
  <c r="BU251" i="7"/>
  <c r="BQ251" i="7"/>
  <c r="BR251" i="7" s="1"/>
  <c r="BP251" i="7"/>
  <c r="BU250" i="7"/>
  <c r="BQ250" i="7"/>
  <c r="BQ249" i="7" s="1"/>
  <c r="BP250" i="7"/>
  <c r="BP249" i="7" s="1"/>
  <c r="BT249" i="7"/>
  <c r="BU249" i="7" s="1"/>
  <c r="BS249" i="7"/>
  <c r="BU248" i="7"/>
  <c r="BQ248" i="7"/>
  <c r="BP248" i="7"/>
  <c r="BU247" i="7"/>
  <c r="BR247" i="7"/>
  <c r="BQ247" i="7"/>
  <c r="BP247" i="7"/>
  <c r="BU246" i="7"/>
  <c r="BQ246" i="7"/>
  <c r="BP246" i="7"/>
  <c r="BU245" i="7"/>
  <c r="BR245" i="7"/>
  <c r="BQ245" i="7"/>
  <c r="BP245" i="7"/>
  <c r="BU244" i="7"/>
  <c r="BR244" i="7"/>
  <c r="BQ244" i="7"/>
  <c r="BP244" i="7"/>
  <c r="BU243" i="7"/>
  <c r="BR243" i="7"/>
  <c r="BQ243" i="7"/>
  <c r="BP243" i="7"/>
  <c r="BU242" i="7"/>
  <c r="BR242" i="7"/>
  <c r="BQ242" i="7"/>
  <c r="BP242" i="7"/>
  <c r="BU241" i="7"/>
  <c r="BQ241" i="7"/>
  <c r="BP241" i="7"/>
  <c r="BU240" i="7"/>
  <c r="BR240" i="7"/>
  <c r="BQ240" i="7"/>
  <c r="BP240" i="7"/>
  <c r="BU239" i="7"/>
  <c r="BR239" i="7"/>
  <c r="BQ239" i="7"/>
  <c r="BP239" i="7"/>
  <c r="BU238" i="7"/>
  <c r="BR238" i="7"/>
  <c r="BQ238" i="7"/>
  <c r="BP238" i="7"/>
  <c r="BU237" i="7"/>
  <c r="BR237" i="7"/>
  <c r="BQ237" i="7"/>
  <c r="BP237" i="7"/>
  <c r="BU236" i="7"/>
  <c r="BR236" i="7"/>
  <c r="BQ236" i="7"/>
  <c r="BP236" i="7"/>
  <c r="BU235" i="7"/>
  <c r="BR235" i="7"/>
  <c r="BQ235" i="7"/>
  <c r="BP235" i="7"/>
  <c r="BU234" i="7"/>
  <c r="BR234" i="7"/>
  <c r="BQ234" i="7"/>
  <c r="BP234" i="7"/>
  <c r="BU233" i="7"/>
  <c r="BR233" i="7"/>
  <c r="BQ233" i="7"/>
  <c r="BP233" i="7"/>
  <c r="BU232" i="7"/>
  <c r="BR232" i="7"/>
  <c r="BQ232" i="7"/>
  <c r="BP232" i="7"/>
  <c r="BU231" i="7"/>
  <c r="BR231" i="7"/>
  <c r="BQ231" i="7"/>
  <c r="BP231" i="7"/>
  <c r="BU230" i="7"/>
  <c r="BR230" i="7"/>
  <c r="BQ230" i="7"/>
  <c r="BP230" i="7"/>
  <c r="BU229" i="7"/>
  <c r="BR229" i="7"/>
  <c r="BQ229" i="7"/>
  <c r="BP229" i="7"/>
  <c r="BU228" i="7"/>
  <c r="BR228" i="7"/>
  <c r="BQ228" i="7"/>
  <c r="BP228" i="7"/>
  <c r="BU227" i="7"/>
  <c r="BR227" i="7"/>
  <c r="BQ227" i="7"/>
  <c r="BP227" i="7"/>
  <c r="BU226" i="7"/>
  <c r="BR226" i="7"/>
  <c r="BQ226" i="7"/>
  <c r="BP226" i="7"/>
  <c r="BU225" i="7"/>
  <c r="BR225" i="7"/>
  <c r="BQ225" i="7"/>
  <c r="BP225" i="7"/>
  <c r="BU224" i="7"/>
  <c r="BR224" i="7"/>
  <c r="BQ224" i="7"/>
  <c r="BP224" i="7"/>
  <c r="BU217" i="7"/>
  <c r="BR217" i="7"/>
  <c r="BQ217" i="7"/>
  <c r="BP217" i="7"/>
  <c r="BT216" i="7"/>
  <c r="BU216" i="7" s="1"/>
  <c r="BS216" i="7"/>
  <c r="BU215" i="7"/>
  <c r="BQ215" i="7"/>
  <c r="BR215" i="7" s="1"/>
  <c r="BP215" i="7"/>
  <c r="BU214" i="7"/>
  <c r="BQ214" i="7"/>
  <c r="BR214" i="7" s="1"/>
  <c r="BP214" i="7"/>
  <c r="BU213" i="7"/>
  <c r="BQ213" i="7"/>
  <c r="BR213" i="7" s="1"/>
  <c r="BP213" i="7"/>
  <c r="BU212" i="7"/>
  <c r="BQ212" i="7"/>
  <c r="BR212" i="7" s="1"/>
  <c r="BP212" i="7"/>
  <c r="BU211" i="7"/>
  <c r="BQ211" i="7"/>
  <c r="BR211" i="7" s="1"/>
  <c r="BP211" i="7"/>
  <c r="BU210" i="7"/>
  <c r="BQ210" i="7"/>
  <c r="BR210" i="7" s="1"/>
  <c r="BP210" i="7"/>
  <c r="BU209" i="7"/>
  <c r="BQ209" i="7"/>
  <c r="BR209" i="7" s="1"/>
  <c r="BP209" i="7"/>
  <c r="BU208" i="7"/>
  <c r="BQ208" i="7"/>
  <c r="BR208" i="7" s="1"/>
  <c r="BP208" i="7"/>
  <c r="BU207" i="7"/>
  <c r="BQ207" i="7"/>
  <c r="BR207" i="7" s="1"/>
  <c r="BP207" i="7"/>
  <c r="BU206" i="7"/>
  <c r="BQ206" i="7"/>
  <c r="BR206" i="7" s="1"/>
  <c r="BP206" i="7"/>
  <c r="BU205" i="7"/>
  <c r="BQ205" i="7"/>
  <c r="BR205" i="7" s="1"/>
  <c r="BP205" i="7"/>
  <c r="BU204" i="7"/>
  <c r="BQ204" i="7"/>
  <c r="BR204" i="7" s="1"/>
  <c r="BP204" i="7"/>
  <c r="BU203" i="7"/>
  <c r="BQ203" i="7"/>
  <c r="BR203" i="7" s="1"/>
  <c r="BP203" i="7"/>
  <c r="BP216" i="7" s="1"/>
  <c r="BU202" i="7"/>
  <c r="BQ202" i="7"/>
  <c r="BQ201" i="7" s="1"/>
  <c r="BP202" i="7"/>
  <c r="BT201" i="7"/>
  <c r="BS201" i="7"/>
  <c r="BU201" i="7" s="1"/>
  <c r="BQ200" i="7"/>
  <c r="BU199" i="7"/>
  <c r="BQ199" i="7"/>
  <c r="BU198" i="7"/>
  <c r="BQ198" i="7"/>
  <c r="BR198" i="7"/>
  <c r="BU197" i="7"/>
  <c r="BQ197" i="7"/>
  <c r="BU196" i="7"/>
  <c r="BQ196" i="7"/>
  <c r="BU195" i="7"/>
  <c r="BQ195" i="7"/>
  <c r="BR195" i="7"/>
  <c r="BU194" i="7"/>
  <c r="BQ194" i="7"/>
  <c r="BR194" i="7"/>
  <c r="BU193" i="7"/>
  <c r="BQ193" i="7"/>
  <c r="BR193" i="7"/>
  <c r="BU192" i="7"/>
  <c r="BQ192" i="7"/>
  <c r="BU191" i="7"/>
  <c r="BQ191" i="7"/>
  <c r="BR191" i="7"/>
  <c r="BU190" i="7"/>
  <c r="BQ190" i="7"/>
  <c r="BR190" i="7"/>
  <c r="BU189" i="7"/>
  <c r="BQ189" i="7"/>
  <c r="BU188" i="7"/>
  <c r="BQ188" i="7"/>
  <c r="BU187" i="7"/>
  <c r="BR187" i="7"/>
  <c r="BQ187" i="7"/>
  <c r="BU186" i="7"/>
  <c r="BR186" i="7"/>
  <c r="BQ186" i="7"/>
  <c r="BU185" i="7"/>
  <c r="BR185" i="7"/>
  <c r="BQ185" i="7"/>
  <c r="BU184" i="7"/>
  <c r="BR184" i="7"/>
  <c r="BQ184" i="7"/>
  <c r="BP184" i="7"/>
  <c r="BU183" i="7"/>
  <c r="BR183" i="7"/>
  <c r="BQ183" i="7"/>
  <c r="BP183" i="7"/>
  <c r="BU182" i="7"/>
  <c r="BR182" i="7"/>
  <c r="BQ182" i="7"/>
  <c r="BP182" i="7"/>
  <c r="BU181" i="7"/>
  <c r="BR181" i="7"/>
  <c r="BQ181" i="7"/>
  <c r="BP181" i="7"/>
  <c r="BU174" i="7"/>
  <c r="BR174" i="7"/>
  <c r="BQ174" i="7"/>
  <c r="BP174" i="7"/>
  <c r="BT173" i="7"/>
  <c r="BU173" i="7" s="1"/>
  <c r="BS173" i="7"/>
  <c r="BQ172" i="7"/>
  <c r="BP172" i="7"/>
  <c r="BQ171" i="7"/>
  <c r="BP171" i="7"/>
  <c r="BU170" i="7"/>
  <c r="BQ170" i="7"/>
  <c r="BP170" i="7"/>
  <c r="BP173" i="7" s="1"/>
  <c r="BU169" i="7"/>
  <c r="BQ169" i="7"/>
  <c r="BP169" i="7"/>
  <c r="BU168" i="7"/>
  <c r="BQ168" i="7"/>
  <c r="BP168" i="7"/>
  <c r="BR168" i="7" s="1"/>
  <c r="BU167" i="7"/>
  <c r="BQ167" i="7"/>
  <c r="BP167" i="7"/>
  <c r="BU166" i="7"/>
  <c r="BQ166" i="7"/>
  <c r="BP166" i="7"/>
  <c r="BR166" i="7" s="1"/>
  <c r="BU165" i="7"/>
  <c r="BQ165" i="7"/>
  <c r="BP165" i="7"/>
  <c r="BU164" i="7"/>
  <c r="BQ164" i="7"/>
  <c r="BP164" i="7"/>
  <c r="BR164" i="7" s="1"/>
  <c r="BU163" i="7"/>
  <c r="BQ163" i="7"/>
  <c r="BP163" i="7"/>
  <c r="BU162" i="7"/>
  <c r="BR162" i="7"/>
  <c r="BQ162" i="7"/>
  <c r="BP162" i="7"/>
  <c r="BU161" i="7"/>
  <c r="BR161" i="7"/>
  <c r="BQ161" i="7"/>
  <c r="BP161" i="7"/>
  <c r="BU160" i="7"/>
  <c r="BR160" i="7"/>
  <c r="BQ160" i="7"/>
  <c r="BP160" i="7"/>
  <c r="BU159" i="7"/>
  <c r="BR159" i="7"/>
  <c r="BQ159" i="7"/>
  <c r="BP159" i="7"/>
  <c r="BU158" i="7"/>
  <c r="BR158" i="7"/>
  <c r="BQ158" i="7"/>
  <c r="BP158" i="7"/>
  <c r="BU157" i="7"/>
  <c r="BR157" i="7"/>
  <c r="BQ157" i="7"/>
  <c r="BP157" i="7"/>
  <c r="BU156" i="7"/>
  <c r="BR156" i="7"/>
  <c r="BQ156" i="7"/>
  <c r="BP156" i="7"/>
  <c r="BT155" i="7"/>
  <c r="BU155" i="7" s="1"/>
  <c r="BS155" i="7"/>
  <c r="BU154" i="7"/>
  <c r="BQ154" i="7"/>
  <c r="BR154" i="7" s="1"/>
  <c r="BP154" i="7"/>
  <c r="BU153" i="7"/>
  <c r="BQ153" i="7"/>
  <c r="BP153" i="7"/>
  <c r="BU152" i="7"/>
  <c r="BQ152" i="7"/>
  <c r="BR152" i="7" s="1"/>
  <c r="BP152" i="7"/>
  <c r="BU151" i="7"/>
  <c r="BQ151" i="7"/>
  <c r="BR151" i="7" s="1"/>
  <c r="BP151" i="7"/>
  <c r="BU150" i="7"/>
  <c r="BQ150" i="7"/>
  <c r="BR150" i="7" s="1"/>
  <c r="BP150" i="7"/>
  <c r="BU149" i="7"/>
  <c r="BQ149" i="7"/>
  <c r="BR149" i="7" s="1"/>
  <c r="BP149" i="7"/>
  <c r="BU148" i="7"/>
  <c r="BQ148" i="7"/>
  <c r="BR148" i="7" s="1"/>
  <c r="BP148" i="7"/>
  <c r="BU147" i="7"/>
  <c r="BQ147" i="7"/>
  <c r="BR147" i="7" s="1"/>
  <c r="BP147" i="7"/>
  <c r="BU146" i="7"/>
  <c r="BQ146" i="7"/>
  <c r="BR146" i="7" s="1"/>
  <c r="BP146" i="7"/>
  <c r="BU145" i="7"/>
  <c r="BQ145" i="7"/>
  <c r="BR145" i="7" s="1"/>
  <c r="BP145" i="7"/>
  <c r="BU144" i="7"/>
  <c r="BQ144" i="7"/>
  <c r="BR144" i="7" s="1"/>
  <c r="BP144" i="7"/>
  <c r="BU143" i="7"/>
  <c r="BQ143" i="7"/>
  <c r="BR143" i="7" s="1"/>
  <c r="BP143" i="7"/>
  <c r="BU142" i="7"/>
  <c r="BQ142" i="7"/>
  <c r="BR142" i="7" s="1"/>
  <c r="BP142" i="7"/>
  <c r="BU141" i="7"/>
  <c r="BQ141" i="7"/>
  <c r="BR141" i="7" s="1"/>
  <c r="BP141" i="7"/>
  <c r="BU140" i="7"/>
  <c r="BQ140" i="7"/>
  <c r="BR140" i="7" s="1"/>
  <c r="BP140" i="7"/>
  <c r="BU139" i="7"/>
  <c r="BQ139" i="7"/>
  <c r="BR139" i="7" s="1"/>
  <c r="BP139" i="7"/>
  <c r="BU138" i="7"/>
  <c r="BQ138" i="7"/>
  <c r="BR138" i="7" s="1"/>
  <c r="BP138" i="7"/>
  <c r="BP155" i="7" s="1"/>
  <c r="BU131" i="7"/>
  <c r="BQ131" i="7"/>
  <c r="BQ130" i="7" s="1"/>
  <c r="BP131" i="7"/>
  <c r="BP130" i="7" s="1"/>
  <c r="BT130" i="7"/>
  <c r="BS130" i="7"/>
  <c r="BU130" i="7" s="1"/>
  <c r="BQ129" i="7"/>
  <c r="BP129" i="7"/>
  <c r="BQ128" i="7"/>
  <c r="BP128" i="7"/>
  <c r="BU127" i="7"/>
  <c r="BQ127" i="7"/>
  <c r="BP127" i="7"/>
  <c r="BU126" i="7"/>
  <c r="BQ126" i="7"/>
  <c r="BP126" i="7"/>
  <c r="BU125" i="7"/>
  <c r="BQ125" i="7"/>
  <c r="BR125" i="7" s="1"/>
  <c r="BP125" i="7"/>
  <c r="BU124" i="7"/>
  <c r="BQ124" i="7"/>
  <c r="BR124" i="7" s="1"/>
  <c r="BP124" i="7"/>
  <c r="BU123" i="7"/>
  <c r="BQ123" i="7"/>
  <c r="BP123" i="7"/>
  <c r="BU122" i="7"/>
  <c r="BQ122" i="7"/>
  <c r="BP122" i="7"/>
  <c r="BU121" i="7"/>
  <c r="BQ121" i="7"/>
  <c r="BR121" i="7" s="1"/>
  <c r="BP121" i="7"/>
  <c r="BU120" i="7"/>
  <c r="BQ120" i="7"/>
  <c r="BR120" i="7" s="1"/>
  <c r="BP120" i="7"/>
  <c r="BU119" i="7"/>
  <c r="BQ119" i="7"/>
  <c r="BR119" i="7" s="1"/>
  <c r="BP119" i="7"/>
  <c r="BU118" i="7"/>
  <c r="BQ118" i="7"/>
  <c r="BR118" i="7" s="1"/>
  <c r="BP118" i="7"/>
  <c r="BU117" i="7"/>
  <c r="BQ117" i="7"/>
  <c r="BR117" i="7" s="1"/>
  <c r="BP117" i="7"/>
  <c r="BU116" i="7"/>
  <c r="BQ116" i="7"/>
  <c r="BR116" i="7" s="1"/>
  <c r="BP116" i="7"/>
  <c r="BU115" i="7"/>
  <c r="BQ115" i="7"/>
  <c r="BR115" i="7" s="1"/>
  <c r="BP115" i="7"/>
  <c r="BP114" i="7" s="1"/>
  <c r="BU114" i="7"/>
  <c r="BT114" i="7"/>
  <c r="BS114" i="7"/>
  <c r="BQ113" i="7"/>
  <c r="BP113" i="7"/>
  <c r="BQ112" i="7"/>
  <c r="BP112" i="7"/>
  <c r="BU111" i="7"/>
  <c r="BQ111" i="7"/>
  <c r="BP111" i="7"/>
  <c r="BU110" i="7"/>
  <c r="BQ110" i="7"/>
  <c r="BP110" i="7"/>
  <c r="BU109" i="7"/>
  <c r="BQ109" i="7"/>
  <c r="BQ114" i="7" s="1"/>
  <c r="BR114" i="7" s="1"/>
  <c r="BP109" i="7"/>
  <c r="BU108" i="7"/>
  <c r="BQ108" i="7"/>
  <c r="BP108" i="7"/>
  <c r="BU107" i="7"/>
  <c r="BQ107" i="7"/>
  <c r="BP107" i="7"/>
  <c r="BU106" i="7"/>
  <c r="BQ106" i="7"/>
  <c r="BR106" i="7" s="1"/>
  <c r="BP106" i="7"/>
  <c r="BU105" i="7"/>
  <c r="BQ105" i="7"/>
  <c r="BR105" i="7" s="1"/>
  <c r="BP105" i="7"/>
  <c r="BU104" i="7"/>
  <c r="BQ104" i="7"/>
  <c r="BP104" i="7"/>
  <c r="BU103" i="7"/>
  <c r="BQ103" i="7"/>
  <c r="BP103" i="7"/>
  <c r="BU102" i="7"/>
  <c r="BR102" i="7"/>
  <c r="BQ102" i="7"/>
  <c r="BP102" i="7"/>
  <c r="BU101" i="7"/>
  <c r="BR101" i="7"/>
  <c r="BQ101" i="7"/>
  <c r="BP101" i="7"/>
  <c r="BU100" i="7"/>
  <c r="BR100" i="7"/>
  <c r="BQ100" i="7"/>
  <c r="BP100" i="7"/>
  <c r="BU99" i="7"/>
  <c r="BR99" i="7"/>
  <c r="BQ99" i="7"/>
  <c r="BP99" i="7"/>
  <c r="BU98" i="7"/>
  <c r="BR98" i="7"/>
  <c r="BQ98" i="7"/>
  <c r="BP98" i="7"/>
  <c r="BU97" i="7"/>
  <c r="BR97" i="7"/>
  <c r="BQ97" i="7"/>
  <c r="BP97" i="7"/>
  <c r="BU96" i="7"/>
  <c r="BR96" i="7"/>
  <c r="BQ96" i="7"/>
  <c r="BP96" i="7"/>
  <c r="BU95" i="7"/>
  <c r="BR95" i="7"/>
  <c r="BQ95" i="7"/>
  <c r="BP95" i="7"/>
  <c r="BU94" i="7"/>
  <c r="BR94" i="7"/>
  <c r="BQ94" i="7"/>
  <c r="BP94" i="7"/>
  <c r="BU93" i="7"/>
  <c r="BR93" i="7"/>
  <c r="BQ93" i="7"/>
  <c r="BP93" i="7"/>
  <c r="BU92" i="7"/>
  <c r="BR92" i="7"/>
  <c r="BQ92" i="7"/>
  <c r="BP92" i="7"/>
  <c r="BU91" i="7"/>
  <c r="BR91" i="7"/>
  <c r="BQ91" i="7"/>
  <c r="BP91" i="7"/>
  <c r="BU90" i="7"/>
  <c r="BR90" i="7"/>
  <c r="BQ90" i="7"/>
  <c r="BP90" i="7"/>
  <c r="BU89" i="7"/>
  <c r="BR89" i="7"/>
  <c r="BQ89" i="7"/>
  <c r="BP89" i="7"/>
  <c r="BU82" i="7"/>
  <c r="BR82" i="7"/>
  <c r="BQ82" i="7"/>
  <c r="BP82" i="7"/>
  <c r="BU81" i="7"/>
  <c r="BT81" i="7"/>
  <c r="BS81" i="7"/>
  <c r="BQ80" i="7"/>
  <c r="BP80" i="7"/>
  <c r="BQ79" i="7"/>
  <c r="BQ81" i="7" s="1"/>
  <c r="BP79" i="7"/>
  <c r="BP81" i="7" s="1"/>
  <c r="BQ78" i="7"/>
  <c r="BP78" i="7"/>
  <c r="BU77" i="7"/>
  <c r="BR77" i="7"/>
  <c r="BQ77" i="7"/>
  <c r="BP77" i="7"/>
  <c r="BU76" i="7"/>
  <c r="BQ76" i="7"/>
  <c r="BP76" i="7"/>
  <c r="BU75" i="7"/>
  <c r="BQ75" i="7"/>
  <c r="BP75" i="7"/>
  <c r="BU74" i="7"/>
  <c r="BR74" i="7"/>
  <c r="BQ74" i="7"/>
  <c r="BP74" i="7"/>
  <c r="BU73" i="7"/>
  <c r="BR73" i="7"/>
  <c r="BQ73" i="7"/>
  <c r="BP73" i="7"/>
  <c r="BU72" i="7"/>
  <c r="BR72" i="7"/>
  <c r="BQ72" i="7"/>
  <c r="BP72" i="7"/>
  <c r="BU71" i="7"/>
  <c r="BR71" i="7"/>
  <c r="BQ71" i="7"/>
  <c r="BP71" i="7"/>
  <c r="BU70" i="7"/>
  <c r="BQ70" i="7"/>
  <c r="BP70" i="7"/>
  <c r="BU69" i="7"/>
  <c r="BR69" i="7"/>
  <c r="BQ69" i="7"/>
  <c r="BP69" i="7"/>
  <c r="BU68" i="7"/>
  <c r="BR68" i="7"/>
  <c r="BQ68" i="7"/>
  <c r="BP68" i="7"/>
  <c r="BU67" i="7"/>
  <c r="BR67" i="7"/>
  <c r="BQ67" i="7"/>
  <c r="BP67" i="7"/>
  <c r="BU66" i="7"/>
  <c r="BR66" i="7"/>
  <c r="BQ66" i="7"/>
  <c r="BP66" i="7"/>
  <c r="BU65" i="7"/>
  <c r="BR65" i="7"/>
  <c r="BQ65" i="7"/>
  <c r="BP65" i="7"/>
  <c r="BU64" i="7"/>
  <c r="BR64" i="7"/>
  <c r="BQ64" i="7"/>
  <c r="BP64" i="7"/>
  <c r="BU63" i="7"/>
  <c r="BR63" i="7"/>
  <c r="BQ63" i="7"/>
  <c r="BQ62" i="7" s="1"/>
  <c r="BP63" i="7"/>
  <c r="BT62" i="7"/>
  <c r="BU62" i="7" s="1"/>
  <c r="BS62" i="7"/>
  <c r="BQ61" i="7"/>
  <c r="BP61" i="7"/>
  <c r="BQ60" i="7"/>
  <c r="BP60" i="7"/>
  <c r="BU59" i="7"/>
  <c r="BQ59" i="7"/>
  <c r="BR59" i="7" s="1"/>
  <c r="BP59" i="7"/>
  <c r="BU58" i="7"/>
  <c r="BQ58" i="7"/>
  <c r="BR58" i="7" s="1"/>
  <c r="BP58" i="7"/>
  <c r="BU57" i="7"/>
  <c r="BQ57" i="7"/>
  <c r="BR57" i="7" s="1"/>
  <c r="BP57" i="7"/>
  <c r="BU56" i="7"/>
  <c r="BQ56" i="7"/>
  <c r="BR56" i="7" s="1"/>
  <c r="BP56" i="7"/>
  <c r="BU55" i="7"/>
  <c r="BQ55" i="7"/>
  <c r="BR55" i="7" s="1"/>
  <c r="BP55" i="7"/>
  <c r="BU54" i="7"/>
  <c r="BQ54" i="7"/>
  <c r="BR54" i="7" s="1"/>
  <c r="BP54" i="7"/>
  <c r="BU53" i="7"/>
  <c r="BQ53" i="7"/>
  <c r="BR53" i="7" s="1"/>
  <c r="BP53" i="7"/>
  <c r="BU52" i="7"/>
  <c r="BQ52" i="7"/>
  <c r="BR52" i="7" s="1"/>
  <c r="BP52" i="7"/>
  <c r="BU51" i="7"/>
  <c r="BQ51" i="7"/>
  <c r="BR51" i="7" s="1"/>
  <c r="BP51" i="7"/>
  <c r="BU50" i="7"/>
  <c r="BQ50" i="7"/>
  <c r="BR50" i="7" s="1"/>
  <c r="BP50" i="7"/>
  <c r="BU49" i="7"/>
  <c r="BQ49" i="7"/>
  <c r="BR49" i="7" s="1"/>
  <c r="BP49" i="7"/>
  <c r="BU48" i="7"/>
  <c r="BQ48" i="7"/>
  <c r="BR48" i="7" s="1"/>
  <c r="BP48" i="7"/>
  <c r="BU47" i="7"/>
  <c r="BQ47" i="7"/>
  <c r="BR47" i="7" s="1"/>
  <c r="BP47" i="7"/>
  <c r="BU46" i="7"/>
  <c r="BQ46" i="7"/>
  <c r="BR46" i="7" s="1"/>
  <c r="BP46" i="7"/>
  <c r="BU45" i="7"/>
  <c r="BQ45" i="7"/>
  <c r="BR45" i="7" s="1"/>
  <c r="BP45" i="7"/>
  <c r="BU44" i="7"/>
  <c r="BQ44" i="7"/>
  <c r="BR44" i="7" s="1"/>
  <c r="BP44" i="7"/>
  <c r="BU43" i="7"/>
  <c r="BQ43" i="7"/>
  <c r="BR43" i="7" s="1"/>
  <c r="BP43" i="7"/>
  <c r="BU42" i="7"/>
  <c r="BQ42" i="7"/>
  <c r="BR42" i="7" s="1"/>
  <c r="BP42" i="7"/>
  <c r="BP62" i="7" s="1"/>
  <c r="BU35" i="7"/>
  <c r="BQ35" i="7"/>
  <c r="BR35" i="7" s="1"/>
  <c r="BP35" i="7"/>
  <c r="BP34" i="7" s="1"/>
  <c r="BU34" i="7"/>
  <c r="BT34" i="7"/>
  <c r="BS34" i="7"/>
  <c r="BQ33" i="7"/>
  <c r="BP33" i="7"/>
  <c r="BQ32" i="7"/>
  <c r="BP32" i="7"/>
  <c r="BQ31" i="7"/>
  <c r="BP31" i="7"/>
  <c r="BQ30" i="7"/>
  <c r="BP30" i="7"/>
  <c r="BQ29" i="7"/>
  <c r="BP29" i="7"/>
  <c r="BU28" i="7"/>
  <c r="BQ28" i="7"/>
  <c r="BP28" i="7"/>
  <c r="BU27" i="7"/>
  <c r="BQ27" i="7"/>
  <c r="BP27" i="7"/>
  <c r="BU26" i="7"/>
  <c r="BR26" i="7"/>
  <c r="BQ26" i="7"/>
  <c r="BP26" i="7"/>
  <c r="BU25" i="7"/>
  <c r="BR25" i="7"/>
  <c r="BQ25" i="7"/>
  <c r="BP25" i="7"/>
  <c r="BU24" i="7"/>
  <c r="BQ24" i="7"/>
  <c r="BP24" i="7"/>
  <c r="BU23" i="7"/>
  <c r="BQ23" i="7"/>
  <c r="BR23" i="7" s="1"/>
  <c r="BP23" i="7"/>
  <c r="BU22" i="7"/>
  <c r="BQ22" i="7"/>
  <c r="BR22" i="7" s="1"/>
  <c r="BP22" i="7"/>
  <c r="BU21" i="7"/>
  <c r="BQ21" i="7"/>
  <c r="BR21" i="7" s="1"/>
  <c r="BP21" i="7"/>
  <c r="BU20" i="7"/>
  <c r="BQ20" i="7"/>
  <c r="BR20" i="7" s="1"/>
  <c r="BP20" i="7"/>
  <c r="BU19" i="7"/>
  <c r="BQ19" i="7"/>
  <c r="BQ34" i="7" s="1"/>
  <c r="BP19" i="7"/>
  <c r="BU18" i="7"/>
  <c r="BQ18" i="7"/>
  <c r="BQ17" i="7" s="1"/>
  <c r="BP18" i="7"/>
  <c r="BT17" i="7"/>
  <c r="BS17" i="7"/>
  <c r="BQ16" i="7"/>
  <c r="BP16" i="7"/>
  <c r="BQ15" i="7"/>
  <c r="BP15" i="7"/>
  <c r="BQ14" i="7"/>
  <c r="BP14" i="7"/>
  <c r="BQ13" i="7"/>
  <c r="BP13" i="7"/>
  <c r="BP17" i="7" s="1"/>
  <c r="BQ12" i="7"/>
  <c r="BP12" i="7"/>
  <c r="BU11" i="7"/>
  <c r="BQ11" i="7"/>
  <c r="BP11" i="7"/>
  <c r="BU10" i="7"/>
  <c r="BQ10" i="7"/>
  <c r="BP10" i="7"/>
  <c r="BU9" i="7"/>
  <c r="BR9" i="7"/>
  <c r="BQ9" i="7"/>
  <c r="BP9" i="7"/>
  <c r="BU8" i="7"/>
  <c r="BR8" i="7"/>
  <c r="BQ8" i="7"/>
  <c r="BP8" i="7"/>
  <c r="BU7" i="7"/>
  <c r="BR7" i="7"/>
  <c r="BQ7" i="7"/>
  <c r="BP7" i="7"/>
  <c r="BU6" i="7"/>
  <c r="BR6" i="7"/>
  <c r="BQ6" i="7"/>
  <c r="BP6" i="7"/>
  <c r="BU5" i="7"/>
  <c r="BR5" i="7"/>
  <c r="BQ5" i="7"/>
  <c r="BP5" i="7"/>
  <c r="AH439" i="24"/>
  <c r="AI439" i="24" s="1"/>
  <c r="AF439" i="24"/>
  <c r="AF438" i="24" s="1"/>
  <c r="AG438" i="24" s="1"/>
  <c r="AE439" i="24"/>
  <c r="AE438" i="24" s="1"/>
  <c r="AD439" i="24"/>
  <c r="AH438" i="24"/>
  <c r="AI438" i="24" s="1"/>
  <c r="AD438" i="24"/>
  <c r="AC438" i="24"/>
  <c r="AB438" i="24"/>
  <c r="AA438" i="24"/>
  <c r="Z438" i="24"/>
  <c r="Y438" i="24"/>
  <c r="X438" i="24"/>
  <c r="W438" i="24"/>
  <c r="V438" i="24"/>
  <c r="U438" i="24"/>
  <c r="T438" i="24"/>
  <c r="S438" i="24"/>
  <c r="R438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E438" i="24"/>
  <c r="D438" i="24"/>
  <c r="C438" i="24"/>
  <c r="B438" i="24"/>
  <c r="AH437" i="24"/>
  <c r="AI437" i="24" s="1"/>
  <c r="AF437" i="24"/>
  <c r="AE437" i="24"/>
  <c r="AD437" i="24"/>
  <c r="AH436" i="24"/>
  <c r="AF436" i="24"/>
  <c r="AG436" i="24" s="1"/>
  <c r="AE436" i="24"/>
  <c r="AD436" i="24"/>
  <c r="AH435" i="24"/>
  <c r="AI435" i="24" s="1"/>
  <c r="AF435" i="24"/>
  <c r="AG435" i="24" s="1"/>
  <c r="AE435" i="24"/>
  <c r="AD435" i="24"/>
  <c r="AH434" i="24"/>
  <c r="AI434" i="24" s="1"/>
  <c r="AF434" i="24"/>
  <c r="AG434" i="24" s="1"/>
  <c r="AE434" i="24"/>
  <c r="AD434" i="24"/>
  <c r="AH433" i="24"/>
  <c r="AI433" i="24" s="1"/>
  <c r="AF433" i="24"/>
  <c r="AE433" i="24"/>
  <c r="AD433" i="24"/>
  <c r="AH432" i="24"/>
  <c r="AF432" i="24"/>
  <c r="AG432" i="24" s="1"/>
  <c r="AE432" i="24"/>
  <c r="AD432" i="24"/>
  <c r="AH431" i="24"/>
  <c r="AI431" i="24" s="1"/>
  <c r="AF431" i="24"/>
  <c r="AG431" i="24" s="1"/>
  <c r="AE431" i="24"/>
  <c r="AD431" i="24"/>
  <c r="AH430" i="24"/>
  <c r="AI430" i="24" s="1"/>
  <c r="AF430" i="24"/>
  <c r="AG430" i="24" s="1"/>
  <c r="AE430" i="24"/>
  <c r="AD430" i="24"/>
  <c r="AH429" i="24"/>
  <c r="AI429" i="24" s="1"/>
  <c r="AF429" i="24"/>
  <c r="AE429" i="24"/>
  <c r="AD429" i="24"/>
  <c r="AH428" i="24"/>
  <c r="AF428" i="24"/>
  <c r="AG428" i="24" s="1"/>
  <c r="AE428" i="24"/>
  <c r="AD428" i="24"/>
  <c r="AH427" i="24"/>
  <c r="AI427" i="24" s="1"/>
  <c r="AF427" i="24"/>
  <c r="AG427" i="24" s="1"/>
  <c r="AE427" i="24"/>
  <c r="AD427" i="24"/>
  <c r="AH426" i="24"/>
  <c r="AI426" i="24" s="1"/>
  <c r="AF426" i="24"/>
  <c r="AG426" i="24" s="1"/>
  <c r="AE426" i="24"/>
  <c r="AD426" i="24"/>
  <c r="AH425" i="24"/>
  <c r="AI425" i="24" s="1"/>
  <c r="AF425" i="24"/>
  <c r="AE425" i="24"/>
  <c r="AD425" i="24"/>
  <c r="AH424" i="24"/>
  <c r="AF424" i="24"/>
  <c r="AG424" i="24" s="1"/>
  <c r="AE424" i="24"/>
  <c r="AD424" i="24"/>
  <c r="AH423" i="24"/>
  <c r="AI423" i="24" s="1"/>
  <c r="AF423" i="24"/>
  <c r="AG423" i="24" s="1"/>
  <c r="AE423" i="24"/>
  <c r="AD423" i="24"/>
  <c r="AH422" i="24"/>
  <c r="AI422" i="24" s="1"/>
  <c r="AF422" i="24"/>
  <c r="AG422" i="24" s="1"/>
  <c r="AE422" i="24"/>
  <c r="AD422" i="24"/>
  <c r="AH421" i="24"/>
  <c r="AI421" i="24" s="1"/>
  <c r="AF421" i="24"/>
  <c r="AE421" i="24"/>
  <c r="AD421" i="24"/>
  <c r="AH420" i="24"/>
  <c r="AF420" i="24"/>
  <c r="AG420" i="24" s="1"/>
  <c r="AE420" i="24"/>
  <c r="AD420" i="24"/>
  <c r="AH419" i="24"/>
  <c r="AI419" i="24" s="1"/>
  <c r="AF419" i="24"/>
  <c r="AG419" i="24" s="1"/>
  <c r="AE419" i="24"/>
  <c r="AD419" i="24"/>
  <c r="AH418" i="24"/>
  <c r="AI418" i="24" s="1"/>
  <c r="AF418" i="24"/>
  <c r="AG418" i="24" s="1"/>
  <c r="AE418" i="24"/>
  <c r="AD418" i="24"/>
  <c r="AH417" i="24"/>
  <c r="AI417" i="24" s="1"/>
  <c r="AF417" i="24"/>
  <c r="AE417" i="24"/>
  <c r="AD417" i="24"/>
  <c r="AH416" i="24"/>
  <c r="AF416" i="24"/>
  <c r="AG416" i="24" s="1"/>
  <c r="AE416" i="24"/>
  <c r="AD416" i="24"/>
  <c r="AH415" i="24"/>
  <c r="AI415" i="24" s="1"/>
  <c r="AF415" i="24"/>
  <c r="AG415" i="24" s="1"/>
  <c r="AE415" i="24"/>
  <c r="AD415" i="24"/>
  <c r="AH414" i="24"/>
  <c r="AI414" i="24" s="1"/>
  <c r="AF414" i="24"/>
  <c r="AG414" i="24" s="1"/>
  <c r="AE414" i="24"/>
  <c r="AD414" i="24"/>
  <c r="AH413" i="24"/>
  <c r="AI413" i="24" s="1"/>
  <c r="AF413" i="24"/>
  <c r="AE413" i="24"/>
  <c r="AD413" i="24"/>
  <c r="AH412" i="24"/>
  <c r="AF412" i="24"/>
  <c r="AG412" i="24" s="1"/>
  <c r="AE412" i="24"/>
  <c r="AD412" i="24"/>
  <c r="AH411" i="24"/>
  <c r="AI411" i="24" s="1"/>
  <c r="AF411" i="24"/>
  <c r="AG411" i="24" s="1"/>
  <c r="AE411" i="24"/>
  <c r="AD411" i="24"/>
  <c r="AH410" i="24"/>
  <c r="AI410" i="24" s="1"/>
  <c r="AF410" i="24"/>
  <c r="AG410" i="24" s="1"/>
  <c r="AE410" i="24"/>
  <c r="AD410" i="24"/>
  <c r="AH409" i="24"/>
  <c r="AI409" i="24" s="1"/>
  <c r="AF409" i="24"/>
  <c r="AE409" i="24"/>
  <c r="AD409" i="24"/>
  <c r="AH408" i="24"/>
  <c r="AF408" i="24"/>
  <c r="AG408" i="24" s="1"/>
  <c r="AE408" i="24"/>
  <c r="AD408" i="24"/>
  <c r="AH439" i="22"/>
  <c r="AI439" i="22" s="1"/>
  <c r="AF439" i="22"/>
  <c r="AF438" i="22" s="1"/>
  <c r="AG438" i="22" s="1"/>
  <c r="AE439" i="22"/>
  <c r="AE438" i="22" s="1"/>
  <c r="AD439" i="22"/>
  <c r="AH438" i="22"/>
  <c r="AD438" i="22"/>
  <c r="AC438" i="22"/>
  <c r="AB438" i="22"/>
  <c r="AA438" i="22"/>
  <c r="Z438" i="22"/>
  <c r="Y438" i="22"/>
  <c r="X438" i="22"/>
  <c r="W438" i="22"/>
  <c r="V438" i="22"/>
  <c r="U438" i="22"/>
  <c r="T438" i="22"/>
  <c r="S438" i="22"/>
  <c r="R438" i="22"/>
  <c r="Q438" i="22"/>
  <c r="P438" i="22"/>
  <c r="O438" i="22"/>
  <c r="N438" i="22"/>
  <c r="M438" i="22"/>
  <c r="L438" i="22"/>
  <c r="K438" i="22"/>
  <c r="J438" i="22"/>
  <c r="I438" i="22"/>
  <c r="H438" i="22"/>
  <c r="G438" i="22"/>
  <c r="F438" i="22"/>
  <c r="E438" i="22"/>
  <c r="D438" i="22"/>
  <c r="C438" i="22"/>
  <c r="B438" i="22"/>
  <c r="AH437" i="22"/>
  <c r="AI437" i="22" s="1"/>
  <c r="AF437" i="22"/>
  <c r="AG437" i="22" s="1"/>
  <c r="AE437" i="22"/>
  <c r="AD437" i="22"/>
  <c r="AH436" i="22"/>
  <c r="AF436" i="22"/>
  <c r="AG436" i="22" s="1"/>
  <c r="AE436" i="22"/>
  <c r="AD436" i="22"/>
  <c r="AH435" i="22"/>
  <c r="AI435" i="22" s="1"/>
  <c r="AF435" i="22"/>
  <c r="AE435" i="22"/>
  <c r="AD435" i="22"/>
  <c r="AH434" i="22"/>
  <c r="AF434" i="22"/>
  <c r="AG434" i="22" s="1"/>
  <c r="AE434" i="22"/>
  <c r="AD434" i="22"/>
  <c r="AH433" i="22"/>
  <c r="AI433" i="22" s="1"/>
  <c r="AF433" i="22"/>
  <c r="AG433" i="22" s="1"/>
  <c r="AE433" i="22"/>
  <c r="AD433" i="22"/>
  <c r="AH432" i="22"/>
  <c r="AI432" i="22" s="1"/>
  <c r="AF432" i="22"/>
  <c r="AG432" i="22" s="1"/>
  <c r="AE432" i="22"/>
  <c r="AD432" i="22"/>
  <c r="AH431" i="22"/>
  <c r="AI431" i="22" s="1"/>
  <c r="AF431" i="22"/>
  <c r="AE431" i="22"/>
  <c r="AD431" i="22"/>
  <c r="AH430" i="22"/>
  <c r="AF430" i="22"/>
  <c r="AG430" i="22" s="1"/>
  <c r="AE430" i="22"/>
  <c r="AD430" i="22"/>
  <c r="AH429" i="22"/>
  <c r="AI429" i="22" s="1"/>
  <c r="AF429" i="22"/>
  <c r="AG429" i="22" s="1"/>
  <c r="AE429" i="22"/>
  <c r="AD429" i="22"/>
  <c r="AH428" i="22"/>
  <c r="AI428" i="22" s="1"/>
  <c r="AF428" i="22"/>
  <c r="AG428" i="22" s="1"/>
  <c r="AE428" i="22"/>
  <c r="AD428" i="22"/>
  <c r="AH427" i="22"/>
  <c r="AI427" i="22" s="1"/>
  <c r="AF427" i="22"/>
  <c r="AE427" i="22"/>
  <c r="AD427" i="22"/>
  <c r="AH426" i="22"/>
  <c r="AF426" i="22"/>
  <c r="AG426" i="22" s="1"/>
  <c r="AE426" i="22"/>
  <c r="AD426" i="22"/>
  <c r="AH425" i="22"/>
  <c r="AI425" i="22" s="1"/>
  <c r="AF425" i="22"/>
  <c r="AG425" i="22" s="1"/>
  <c r="AE425" i="22"/>
  <c r="AD425" i="22"/>
  <c r="AH424" i="22"/>
  <c r="AI424" i="22" s="1"/>
  <c r="AF424" i="22"/>
  <c r="AG424" i="22" s="1"/>
  <c r="AE424" i="22"/>
  <c r="AD424" i="22"/>
  <c r="AH423" i="22"/>
  <c r="AI423" i="22" s="1"/>
  <c r="AF423" i="22"/>
  <c r="AE423" i="22"/>
  <c r="AD423" i="22"/>
  <c r="AH422" i="22"/>
  <c r="AF422" i="22"/>
  <c r="AG422" i="22" s="1"/>
  <c r="AE422" i="22"/>
  <c r="AD422" i="22"/>
  <c r="AH421" i="22"/>
  <c r="AI421" i="22" s="1"/>
  <c r="AF421" i="22"/>
  <c r="AG421" i="22" s="1"/>
  <c r="AE421" i="22"/>
  <c r="AD421" i="22"/>
  <c r="AH420" i="22"/>
  <c r="AI420" i="22" s="1"/>
  <c r="AF420" i="22"/>
  <c r="AG420" i="22" s="1"/>
  <c r="AE420" i="22"/>
  <c r="AD420" i="22"/>
  <c r="AH419" i="22"/>
  <c r="AI419" i="22" s="1"/>
  <c r="AF419" i="22"/>
  <c r="AE419" i="22"/>
  <c r="AD419" i="22"/>
  <c r="AH418" i="22"/>
  <c r="AF418" i="22"/>
  <c r="AG418" i="22" s="1"/>
  <c r="AE418" i="22"/>
  <c r="AD418" i="22"/>
  <c r="AH417" i="22"/>
  <c r="AI417" i="22" s="1"/>
  <c r="AF417" i="22"/>
  <c r="AG417" i="22" s="1"/>
  <c r="AE417" i="22"/>
  <c r="AD417" i="22"/>
  <c r="AH416" i="22"/>
  <c r="AI416" i="22" s="1"/>
  <c r="AF416" i="22"/>
  <c r="AG416" i="22" s="1"/>
  <c r="AE416" i="22"/>
  <c r="AD416" i="22"/>
  <c r="AH415" i="22"/>
  <c r="AI415" i="22" s="1"/>
  <c r="AF415" i="22"/>
  <c r="AE415" i="22"/>
  <c r="AD415" i="22"/>
  <c r="AH414" i="22"/>
  <c r="AF414" i="22"/>
  <c r="AG414" i="22" s="1"/>
  <c r="AE414" i="22"/>
  <c r="AD414" i="22"/>
  <c r="AH413" i="22"/>
  <c r="AI413" i="22" s="1"/>
  <c r="AF413" i="22"/>
  <c r="AG413" i="22" s="1"/>
  <c r="AE413" i="22"/>
  <c r="AD413" i="22"/>
  <c r="AH412" i="22"/>
  <c r="AI412" i="22" s="1"/>
  <c r="AF412" i="22"/>
  <c r="AG412" i="22" s="1"/>
  <c r="AE412" i="22"/>
  <c r="AD412" i="22"/>
  <c r="AH411" i="22"/>
  <c r="AI411" i="22" s="1"/>
  <c r="AF411" i="22"/>
  <c r="AE411" i="22"/>
  <c r="AD411" i="22"/>
  <c r="AH410" i="22"/>
  <c r="AF410" i="22"/>
  <c r="AG410" i="22" s="1"/>
  <c r="AE410" i="22"/>
  <c r="AD410" i="22"/>
  <c r="AH409" i="22"/>
  <c r="AI409" i="22" s="1"/>
  <c r="AF409" i="22"/>
  <c r="AG409" i="22" s="1"/>
  <c r="AE409" i="22"/>
  <c r="AD409" i="22"/>
  <c r="AH408" i="22"/>
  <c r="AI408" i="22" s="1"/>
  <c r="AF408" i="22"/>
  <c r="AG408" i="22" s="1"/>
  <c r="AE408" i="22"/>
  <c r="AD408" i="22"/>
  <c r="EQ65" i="12"/>
  <c r="EO65" i="12"/>
  <c r="EJ65" i="12"/>
  <c r="EK65" i="12" s="1"/>
  <c r="EH65" i="12"/>
  <c r="EI65" i="12" s="1"/>
  <c r="EG65" i="12"/>
  <c r="EF65" i="12"/>
  <c r="EQ64" i="12"/>
  <c r="EO64" i="12"/>
  <c r="EJ64" i="12"/>
  <c r="EK64" i="12" s="1"/>
  <c r="EH64" i="12"/>
  <c r="EG64" i="12"/>
  <c r="EF64" i="12"/>
  <c r="EP59" i="12"/>
  <c r="EQ59" i="12" s="1"/>
  <c r="EN59" i="12"/>
  <c r="EO59" i="12" s="1"/>
  <c r="EM59" i="12"/>
  <c r="EL59" i="12"/>
  <c r="EP58" i="12"/>
  <c r="EQ58" i="12" s="1"/>
  <c r="EN58" i="12"/>
  <c r="EO58" i="12" s="1"/>
  <c r="EM58" i="12"/>
  <c r="EL58" i="12"/>
  <c r="EP57" i="12"/>
  <c r="EQ57" i="12" s="1"/>
  <c r="EN57" i="12"/>
  <c r="EO57" i="12" s="1"/>
  <c r="EM57" i="12"/>
  <c r="EM63" i="12" s="1"/>
  <c r="EL57" i="12"/>
  <c r="EP56" i="12"/>
  <c r="EQ56" i="12" s="1"/>
  <c r="EN56" i="12"/>
  <c r="EO56" i="12" s="1"/>
  <c r="EM56" i="12"/>
  <c r="EL56" i="12"/>
  <c r="EQ55" i="12"/>
  <c r="EO55" i="12"/>
  <c r="EJ55" i="12"/>
  <c r="EK55" i="12" s="1"/>
  <c r="EH55" i="12"/>
  <c r="EI55" i="12" s="1"/>
  <c r="EG55" i="12"/>
  <c r="EF55" i="12"/>
  <c r="EQ54" i="12"/>
  <c r="EO54" i="12"/>
  <c r="EJ54" i="12"/>
  <c r="EK54" i="12" s="1"/>
  <c r="EH54" i="12"/>
  <c r="EG54" i="12"/>
  <c r="EF54" i="12"/>
  <c r="EP53" i="12"/>
  <c r="EQ53" i="12" s="1"/>
  <c r="EN53" i="12"/>
  <c r="EO53" i="12" s="1"/>
  <c r="EM53" i="12"/>
  <c r="EL53" i="12"/>
  <c r="EP52" i="12"/>
  <c r="EQ52" i="12" s="1"/>
  <c r="EN52" i="12"/>
  <c r="EO52" i="12" s="1"/>
  <c r="EM52" i="12"/>
  <c r="EL52" i="12"/>
  <c r="EJ52" i="12"/>
  <c r="EQ51" i="12"/>
  <c r="EO51" i="12"/>
  <c r="EJ51" i="12"/>
  <c r="EK51" i="12" s="1"/>
  <c r="EH51" i="12"/>
  <c r="EI51" i="12" s="1"/>
  <c r="EG51" i="12"/>
  <c r="EF51" i="12"/>
  <c r="EQ50" i="12"/>
  <c r="EO50" i="12"/>
  <c r="EJ50" i="12"/>
  <c r="EK50" i="12" s="1"/>
  <c r="EH50" i="12"/>
  <c r="EG50" i="12"/>
  <c r="EF50" i="12"/>
  <c r="EQ49" i="12"/>
  <c r="EO49" i="12"/>
  <c r="EJ49" i="12"/>
  <c r="EK49" i="12" s="1"/>
  <c r="EH49" i="12"/>
  <c r="EG49" i="12"/>
  <c r="EG53" i="12" s="1"/>
  <c r="EF49" i="12"/>
  <c r="EF53" i="12" s="1"/>
  <c r="EQ48" i="12"/>
  <c r="EO48" i="12"/>
  <c r="EJ48" i="12"/>
  <c r="EK48" i="12" s="1"/>
  <c r="EH48" i="12"/>
  <c r="EG48" i="12"/>
  <c r="EG52" i="12" s="1"/>
  <c r="EF48" i="12"/>
  <c r="EF52" i="12" s="1"/>
  <c r="EQ47" i="12"/>
  <c r="EO47" i="12"/>
  <c r="EJ47" i="12"/>
  <c r="EK47" i="12" s="1"/>
  <c r="EH47" i="12"/>
  <c r="EI47" i="12" s="1"/>
  <c r="EG47" i="12"/>
  <c r="EF47" i="12"/>
  <c r="EQ46" i="12"/>
  <c r="EO46" i="12"/>
  <c r="EJ46" i="12"/>
  <c r="EK46" i="12" s="1"/>
  <c r="EH46" i="12"/>
  <c r="EG46" i="12"/>
  <c r="EF46" i="12"/>
  <c r="EF44" i="12" s="1"/>
  <c r="EP45" i="12"/>
  <c r="EQ45" i="12" s="1"/>
  <c r="EN45" i="12"/>
  <c r="EM45" i="12"/>
  <c r="EL45" i="12"/>
  <c r="EP44" i="12"/>
  <c r="EQ44" i="12" s="1"/>
  <c r="EN44" i="12"/>
  <c r="EM44" i="12"/>
  <c r="EL44" i="12"/>
  <c r="EJ44" i="12"/>
  <c r="EK44" i="12" s="1"/>
  <c r="EQ43" i="12"/>
  <c r="EO43" i="12"/>
  <c r="EJ43" i="12"/>
  <c r="EK43" i="12" s="1"/>
  <c r="EH43" i="12"/>
  <c r="EI43" i="12" s="1"/>
  <c r="EG43" i="12"/>
  <c r="EF43" i="12"/>
  <c r="EQ42" i="12"/>
  <c r="EO42" i="12"/>
  <c r="EJ42" i="12"/>
  <c r="EK42" i="12" s="1"/>
  <c r="EH42" i="12"/>
  <c r="EH44" i="12" s="1"/>
  <c r="EI44" i="12" s="1"/>
  <c r="EG42" i="12"/>
  <c r="EF42" i="12"/>
  <c r="EQ41" i="12"/>
  <c r="EO41" i="12"/>
  <c r="EJ41" i="12"/>
  <c r="EK41" i="12" s="1"/>
  <c r="EH41" i="12"/>
  <c r="EI41" i="12" s="1"/>
  <c r="EG41" i="12"/>
  <c r="EG45" i="12" s="1"/>
  <c r="EF41" i="12"/>
  <c r="EF45" i="12" s="1"/>
  <c r="EQ40" i="12"/>
  <c r="EO40" i="12"/>
  <c r="EJ40" i="12"/>
  <c r="EK40" i="12" s="1"/>
  <c r="EI40" i="12"/>
  <c r="EH40" i="12"/>
  <c r="EG40" i="12"/>
  <c r="EG44" i="12" s="1"/>
  <c r="EF40" i="12"/>
  <c r="EQ39" i="12"/>
  <c r="EO39" i="12"/>
  <c r="EJ39" i="12"/>
  <c r="EK39" i="12" s="1"/>
  <c r="EH39" i="12"/>
  <c r="EG39" i="12"/>
  <c r="EF39" i="12"/>
  <c r="EQ38" i="12"/>
  <c r="EO38" i="12"/>
  <c r="EJ38" i="12"/>
  <c r="EK38" i="12" s="1"/>
  <c r="EH38" i="12"/>
  <c r="EI38" i="12" s="1"/>
  <c r="EG38" i="12"/>
  <c r="EF38" i="12"/>
  <c r="EP37" i="12"/>
  <c r="EQ37" i="12" s="1"/>
  <c r="EN37" i="12"/>
  <c r="EO37" i="12" s="1"/>
  <c r="EM37" i="12"/>
  <c r="EL37" i="12"/>
  <c r="EP36" i="12"/>
  <c r="EQ36" i="12" s="1"/>
  <c r="EN36" i="12"/>
  <c r="EM36" i="12"/>
  <c r="EL36" i="12"/>
  <c r="EJ36" i="12"/>
  <c r="EK36" i="12" s="1"/>
  <c r="EQ35" i="12"/>
  <c r="EO35" i="12"/>
  <c r="EJ35" i="12"/>
  <c r="EK35" i="12" s="1"/>
  <c r="EH35" i="12"/>
  <c r="EI35" i="12" s="1"/>
  <c r="EG35" i="12"/>
  <c r="EF35" i="12"/>
  <c r="EQ34" i="12"/>
  <c r="EO34" i="12"/>
  <c r="EJ34" i="12"/>
  <c r="EK34" i="12" s="1"/>
  <c r="EH34" i="12"/>
  <c r="EI34" i="12" s="1"/>
  <c r="EG34" i="12"/>
  <c r="EF34" i="12"/>
  <c r="EQ33" i="12"/>
  <c r="EO33" i="12"/>
  <c r="EJ33" i="12"/>
  <c r="EK33" i="12" s="1"/>
  <c r="EH33" i="12"/>
  <c r="EI33" i="12" s="1"/>
  <c r="EG33" i="12"/>
  <c r="EG37" i="12" s="1"/>
  <c r="EF33" i="12"/>
  <c r="EF37" i="12" s="1"/>
  <c r="EQ32" i="12"/>
  <c r="EO32" i="12"/>
  <c r="EJ32" i="12"/>
  <c r="EK32" i="12" s="1"/>
  <c r="EI32" i="12"/>
  <c r="EH32" i="12"/>
  <c r="EG32" i="12"/>
  <c r="EG36" i="12" s="1"/>
  <c r="EF32" i="12"/>
  <c r="EF36" i="12" s="1"/>
  <c r="EQ31" i="12"/>
  <c r="EO31" i="12"/>
  <c r="EJ31" i="12"/>
  <c r="EK31" i="12" s="1"/>
  <c r="EH31" i="12"/>
  <c r="EH29" i="12" s="1"/>
  <c r="EG31" i="12"/>
  <c r="EF31" i="12"/>
  <c r="EQ30" i="12"/>
  <c r="EO30" i="12"/>
  <c r="EJ30" i="12"/>
  <c r="EK30" i="12" s="1"/>
  <c r="EH30" i="12"/>
  <c r="EI30" i="12" s="1"/>
  <c r="EG30" i="12"/>
  <c r="EF30" i="12"/>
  <c r="EP29" i="12"/>
  <c r="EQ29" i="12" s="1"/>
  <c r="EN29" i="12"/>
  <c r="EO29" i="12" s="1"/>
  <c r="EM29" i="12"/>
  <c r="EL29" i="12"/>
  <c r="EP28" i="12"/>
  <c r="EQ28" i="12" s="1"/>
  <c r="EN28" i="12"/>
  <c r="EM28" i="12"/>
  <c r="EL28" i="12"/>
  <c r="EJ28" i="12"/>
  <c r="EK28" i="12" s="1"/>
  <c r="EQ27" i="12"/>
  <c r="EO27" i="12"/>
  <c r="EJ27" i="12"/>
  <c r="EK27" i="12" s="1"/>
  <c r="EH27" i="12"/>
  <c r="EI27" i="12" s="1"/>
  <c r="EG27" i="12"/>
  <c r="EF27" i="12"/>
  <c r="EQ26" i="12"/>
  <c r="EO26" i="12"/>
  <c r="EJ26" i="12"/>
  <c r="EK26" i="12" s="1"/>
  <c r="EH26" i="12"/>
  <c r="EI26" i="12" s="1"/>
  <c r="EG26" i="12"/>
  <c r="EF26" i="12"/>
  <c r="EQ25" i="12"/>
  <c r="EO25" i="12"/>
  <c r="EJ25" i="12"/>
  <c r="EK25" i="12" s="1"/>
  <c r="EH25" i="12"/>
  <c r="EI25" i="12" s="1"/>
  <c r="EG25" i="12"/>
  <c r="EG29" i="12" s="1"/>
  <c r="EF25" i="12"/>
  <c r="EF29" i="12" s="1"/>
  <c r="EQ24" i="12"/>
  <c r="EO24" i="12"/>
  <c r="EJ24" i="12"/>
  <c r="EK24" i="12" s="1"/>
  <c r="EI24" i="12"/>
  <c r="EH24" i="12"/>
  <c r="EG24" i="12"/>
  <c r="EG28" i="12" s="1"/>
  <c r="EF24" i="12"/>
  <c r="EF28" i="12" s="1"/>
  <c r="EQ23" i="12"/>
  <c r="EO23" i="12"/>
  <c r="EJ23" i="12"/>
  <c r="EK23" i="12" s="1"/>
  <c r="EH23" i="12"/>
  <c r="EH21" i="12" s="1"/>
  <c r="EG23" i="12"/>
  <c r="EF23" i="12"/>
  <c r="EQ22" i="12"/>
  <c r="EO22" i="12"/>
  <c r="EJ22" i="12"/>
  <c r="EK22" i="12" s="1"/>
  <c r="EH22" i="12"/>
  <c r="EI22" i="12" s="1"/>
  <c r="EG22" i="12"/>
  <c r="EF22" i="12"/>
  <c r="EP21" i="12"/>
  <c r="EQ21" i="12" s="1"/>
  <c r="EN21" i="12"/>
  <c r="EO21" i="12" s="1"/>
  <c r="EM21" i="12"/>
  <c r="EL21" i="12"/>
  <c r="EP20" i="12"/>
  <c r="EQ20" i="12" s="1"/>
  <c r="EN20" i="12"/>
  <c r="EM20" i="12"/>
  <c r="EL20" i="12"/>
  <c r="EQ19" i="12"/>
  <c r="EO19" i="12"/>
  <c r="EJ19" i="12"/>
  <c r="EK19" i="12" s="1"/>
  <c r="EH19" i="12"/>
  <c r="EI19" i="12" s="1"/>
  <c r="EG19" i="12"/>
  <c r="EF19" i="12"/>
  <c r="EQ18" i="12"/>
  <c r="EO18" i="12"/>
  <c r="EJ18" i="12"/>
  <c r="EK18" i="12" s="1"/>
  <c r="EH18" i="12"/>
  <c r="EG18" i="12"/>
  <c r="EF18" i="12"/>
  <c r="EQ17" i="12"/>
  <c r="EO17" i="12"/>
  <c r="EJ17" i="12"/>
  <c r="EK17" i="12" s="1"/>
  <c r="EH17" i="12"/>
  <c r="EI17" i="12" s="1"/>
  <c r="EG17" i="12"/>
  <c r="EG21" i="12" s="1"/>
  <c r="EF17" i="12"/>
  <c r="EF21" i="12" s="1"/>
  <c r="EQ16" i="12"/>
  <c r="EO16" i="12"/>
  <c r="EJ16" i="12"/>
  <c r="EK16" i="12" s="1"/>
  <c r="EH16" i="12"/>
  <c r="EI16" i="12" s="1"/>
  <c r="EG16" i="12"/>
  <c r="EG20" i="12" s="1"/>
  <c r="EF16" i="12"/>
  <c r="EF20" i="12" s="1"/>
  <c r="EQ15" i="12"/>
  <c r="EO15" i="12"/>
  <c r="EJ15" i="12"/>
  <c r="EK15" i="12" s="1"/>
  <c r="EH15" i="12"/>
  <c r="EI15" i="12" s="1"/>
  <c r="EG15" i="12"/>
  <c r="EF15" i="12"/>
  <c r="EQ14" i="12"/>
  <c r="EO14" i="12"/>
  <c r="EJ14" i="12"/>
  <c r="EK14" i="12" s="1"/>
  <c r="EH14" i="12"/>
  <c r="EI14" i="12" s="1"/>
  <c r="EG14" i="12"/>
  <c r="EF14" i="12"/>
  <c r="EP13" i="12"/>
  <c r="EN13" i="12"/>
  <c r="EN61" i="12" s="1"/>
  <c r="EM13" i="12"/>
  <c r="EM61" i="12" s="1"/>
  <c r="EL13" i="12"/>
  <c r="EP12" i="12"/>
  <c r="EN12" i="12"/>
  <c r="EN60" i="12" s="1"/>
  <c r="EM12" i="12"/>
  <c r="EL12" i="12"/>
  <c r="EQ11" i="12"/>
  <c r="EO11" i="12"/>
  <c r="EJ11" i="12"/>
  <c r="EH11" i="12"/>
  <c r="EG11" i="12"/>
  <c r="EG59" i="12" s="1"/>
  <c r="EF11" i="12"/>
  <c r="EF59" i="12" s="1"/>
  <c r="EQ10" i="12"/>
  <c r="EO10" i="12"/>
  <c r="EJ10" i="12"/>
  <c r="EJ58" i="12" s="1"/>
  <c r="EK58" i="12" s="1"/>
  <c r="EH10" i="12"/>
  <c r="EG10" i="12"/>
  <c r="EG58" i="12" s="1"/>
  <c r="EF10" i="12"/>
  <c r="EF58" i="12" s="1"/>
  <c r="EQ9" i="12"/>
  <c r="EO9" i="12"/>
  <c r="EJ9" i="12"/>
  <c r="EJ57" i="12" s="1"/>
  <c r="EH9" i="12"/>
  <c r="EG9" i="12"/>
  <c r="EG57" i="12" s="1"/>
  <c r="EF9" i="12"/>
  <c r="EF57" i="12" s="1"/>
  <c r="EQ8" i="12"/>
  <c r="EO8" i="12"/>
  <c r="EJ8" i="12"/>
  <c r="EJ56" i="12" s="1"/>
  <c r="EH8" i="12"/>
  <c r="EH56" i="12" s="1"/>
  <c r="EG8" i="12"/>
  <c r="EG56" i="12" s="1"/>
  <c r="EF8" i="12"/>
  <c r="EF56" i="12" s="1"/>
  <c r="BW106" i="2"/>
  <c r="BV106" i="2"/>
  <c r="BV107" i="2" s="1"/>
  <c r="BX105" i="2"/>
  <c r="BW105" i="2"/>
  <c r="BV105" i="2"/>
  <c r="BU105" i="2"/>
  <c r="BW104" i="2"/>
  <c r="BX104" i="2" s="1"/>
  <c r="BV104" i="2"/>
  <c r="BX103" i="2"/>
  <c r="BT103" i="2"/>
  <c r="BS103" i="2"/>
  <c r="BS104" i="2" s="1"/>
  <c r="BX102" i="2"/>
  <c r="BT102" i="2"/>
  <c r="BU102" i="2" s="1"/>
  <c r="BS102" i="2"/>
  <c r="BX101" i="2"/>
  <c r="BW101" i="2"/>
  <c r="BV101" i="2"/>
  <c r="BX100" i="2"/>
  <c r="BU100" i="2"/>
  <c r="BT100" i="2"/>
  <c r="BT101" i="2" s="1"/>
  <c r="BU101" i="2" s="1"/>
  <c r="BS100" i="2"/>
  <c r="BS101" i="2" s="1"/>
  <c r="BX99" i="2"/>
  <c r="BU99" i="2"/>
  <c r="BT99" i="2"/>
  <c r="BT96" i="2" s="1"/>
  <c r="BU96" i="2" s="1"/>
  <c r="BS99" i="2"/>
  <c r="BX97" i="2"/>
  <c r="BW97" i="2"/>
  <c r="BV97" i="2"/>
  <c r="BW96" i="2"/>
  <c r="BX96" i="2" s="1"/>
  <c r="BV96" i="2"/>
  <c r="BV98" i="2" s="1"/>
  <c r="BS96" i="2"/>
  <c r="BX95" i="2"/>
  <c r="BW95" i="2"/>
  <c r="BV95" i="2"/>
  <c r="BX94" i="2"/>
  <c r="BU94" i="2"/>
  <c r="BT94" i="2"/>
  <c r="BT97" i="2" s="1"/>
  <c r="BU97" i="2" s="1"/>
  <c r="BS94" i="2"/>
  <c r="BS97" i="2" s="1"/>
  <c r="BS98" i="2" s="1"/>
  <c r="BX93" i="2"/>
  <c r="BU93" i="2"/>
  <c r="BT93" i="2"/>
  <c r="BS93" i="2"/>
  <c r="BW92" i="2"/>
  <c r="BX92" i="2" s="1"/>
  <c r="BV92" i="2"/>
  <c r="BX91" i="2"/>
  <c r="BT91" i="2"/>
  <c r="BS91" i="2"/>
  <c r="BS92" i="2" s="1"/>
  <c r="BX90" i="2"/>
  <c r="BT90" i="2"/>
  <c r="BU90" i="2" s="1"/>
  <c r="BS90" i="2"/>
  <c r="BW88" i="2"/>
  <c r="BV88" i="2"/>
  <c r="BV89" i="2" s="1"/>
  <c r="BX87" i="2"/>
  <c r="BW87" i="2"/>
  <c r="BV87" i="2"/>
  <c r="BT87" i="2"/>
  <c r="BW86" i="2"/>
  <c r="BX86" i="2" s="1"/>
  <c r="BV86" i="2"/>
  <c r="BX85" i="2"/>
  <c r="BT85" i="2"/>
  <c r="BS85" i="2"/>
  <c r="BS86" i="2" s="1"/>
  <c r="BX84" i="2"/>
  <c r="BT84" i="2"/>
  <c r="BU84" i="2" s="1"/>
  <c r="BS84" i="2"/>
  <c r="BX83" i="2"/>
  <c r="BW83" i="2"/>
  <c r="BV83" i="2"/>
  <c r="BX82" i="2"/>
  <c r="BU82" i="2"/>
  <c r="BT82" i="2"/>
  <c r="BT83" i="2" s="1"/>
  <c r="BU83" i="2" s="1"/>
  <c r="BS82" i="2"/>
  <c r="BS83" i="2" s="1"/>
  <c r="BX81" i="2"/>
  <c r="BU81" i="2"/>
  <c r="BT81" i="2"/>
  <c r="BT78" i="2" s="1"/>
  <c r="BU78" i="2" s="1"/>
  <c r="BS81" i="2"/>
  <c r="BX79" i="2"/>
  <c r="BW79" i="2"/>
  <c r="BV79" i="2"/>
  <c r="BW78" i="2"/>
  <c r="BX78" i="2" s="1"/>
  <c r="BV78" i="2"/>
  <c r="BV80" i="2" s="1"/>
  <c r="BS78" i="2"/>
  <c r="BX77" i="2"/>
  <c r="BW77" i="2"/>
  <c r="BV77" i="2"/>
  <c r="BX76" i="2"/>
  <c r="BU76" i="2"/>
  <c r="BT76" i="2"/>
  <c r="BT79" i="2" s="1"/>
  <c r="BU79" i="2" s="1"/>
  <c r="BS76" i="2"/>
  <c r="BS79" i="2" s="1"/>
  <c r="BS80" i="2" s="1"/>
  <c r="BX75" i="2"/>
  <c r="BU75" i="2"/>
  <c r="BT75" i="2"/>
  <c r="BS75" i="2"/>
  <c r="BW74" i="2"/>
  <c r="BX74" i="2" s="1"/>
  <c r="BV74" i="2"/>
  <c r="BX73" i="2"/>
  <c r="BT73" i="2"/>
  <c r="BS73" i="2"/>
  <c r="BS74" i="2" s="1"/>
  <c r="BX72" i="2"/>
  <c r="BT72" i="2"/>
  <c r="BU72" i="2" s="1"/>
  <c r="BS72" i="2"/>
  <c r="BW70" i="2"/>
  <c r="BV70" i="2"/>
  <c r="BV71" i="2" s="1"/>
  <c r="BX69" i="2"/>
  <c r="BW69" i="2"/>
  <c r="BV69" i="2"/>
  <c r="BT69" i="2"/>
  <c r="BW68" i="2"/>
  <c r="BX68" i="2" s="1"/>
  <c r="BV68" i="2"/>
  <c r="BX67" i="2"/>
  <c r="BT67" i="2"/>
  <c r="BS67" i="2"/>
  <c r="BS68" i="2" s="1"/>
  <c r="BX66" i="2"/>
  <c r="BT66" i="2"/>
  <c r="BU66" i="2" s="1"/>
  <c r="BS66" i="2"/>
  <c r="BX65" i="2"/>
  <c r="BW65" i="2"/>
  <c r="BV65" i="2"/>
  <c r="BX64" i="2"/>
  <c r="BU64" i="2"/>
  <c r="BT64" i="2"/>
  <c r="BT65" i="2" s="1"/>
  <c r="BU65" i="2" s="1"/>
  <c r="BS64" i="2"/>
  <c r="BS65" i="2" s="1"/>
  <c r="BX63" i="2"/>
  <c r="BU63" i="2"/>
  <c r="BT63" i="2"/>
  <c r="BS63" i="2"/>
  <c r="BW60" i="2"/>
  <c r="BX59" i="2"/>
  <c r="BW59" i="2"/>
  <c r="BV59" i="2"/>
  <c r="BX58" i="2"/>
  <c r="BU58" i="2"/>
  <c r="BT58" i="2"/>
  <c r="BT59" i="2" s="1"/>
  <c r="BU59" i="2" s="1"/>
  <c r="BS58" i="2"/>
  <c r="BS59" i="2" s="1"/>
  <c r="BX57" i="2"/>
  <c r="BU57" i="2"/>
  <c r="BT57" i="2"/>
  <c r="BS57" i="2"/>
  <c r="BW56" i="2"/>
  <c r="BX56" i="2" s="1"/>
  <c r="BV56" i="2"/>
  <c r="BX55" i="2"/>
  <c r="BT55" i="2"/>
  <c r="BS55" i="2"/>
  <c r="BS56" i="2" s="1"/>
  <c r="BX54" i="2"/>
  <c r="BT54" i="2"/>
  <c r="BU54" i="2" s="1"/>
  <c r="BS54" i="2"/>
  <c r="BX53" i="2"/>
  <c r="BW53" i="2"/>
  <c r="BV53" i="2"/>
  <c r="BT53" i="2"/>
  <c r="BU53" i="2" s="1"/>
  <c r="BX52" i="2"/>
  <c r="BU52" i="2"/>
  <c r="BT52" i="2"/>
  <c r="BS52" i="2"/>
  <c r="BS53" i="2" s="1"/>
  <c r="BX51" i="2"/>
  <c r="BU51" i="2"/>
  <c r="BT51" i="2"/>
  <c r="BS51" i="2"/>
  <c r="BW50" i="2"/>
  <c r="BV50" i="2"/>
  <c r="BX49" i="2"/>
  <c r="BT49" i="2"/>
  <c r="BS49" i="2"/>
  <c r="BS50" i="2" s="1"/>
  <c r="BX48" i="2"/>
  <c r="BT48" i="2"/>
  <c r="BU48" i="2" s="1"/>
  <c r="BS48" i="2"/>
  <c r="BX47" i="2"/>
  <c r="BW47" i="2"/>
  <c r="BV47" i="2"/>
  <c r="BT47" i="2"/>
  <c r="BU47" i="2" s="1"/>
  <c r="BX46" i="2"/>
  <c r="BU46" i="2"/>
  <c r="BT46" i="2"/>
  <c r="BS46" i="2"/>
  <c r="BS47" i="2" s="1"/>
  <c r="BX45" i="2"/>
  <c r="BU45" i="2"/>
  <c r="BT45" i="2"/>
  <c r="BS45" i="2"/>
  <c r="BW44" i="2"/>
  <c r="BV44" i="2"/>
  <c r="BX43" i="2"/>
  <c r="BT43" i="2"/>
  <c r="BS43" i="2"/>
  <c r="BS44" i="2" s="1"/>
  <c r="BX42" i="2"/>
  <c r="BT42" i="2"/>
  <c r="BU42" i="2" s="1"/>
  <c r="BS42" i="2"/>
  <c r="BW40" i="2"/>
  <c r="BV40" i="2"/>
  <c r="BX39" i="2"/>
  <c r="BW39" i="2"/>
  <c r="BV39" i="2"/>
  <c r="BV60" i="2" s="1"/>
  <c r="BW38" i="2"/>
  <c r="BX38" i="2" s="1"/>
  <c r="BV38" i="2"/>
  <c r="BX37" i="2"/>
  <c r="BT37" i="2"/>
  <c r="BS37" i="2"/>
  <c r="BS38" i="2" s="1"/>
  <c r="BX36" i="2"/>
  <c r="BT36" i="2"/>
  <c r="BU36" i="2" s="1"/>
  <c r="BS36" i="2"/>
  <c r="BW35" i="2"/>
  <c r="BV35" i="2"/>
  <c r="BX35" i="2" s="1"/>
  <c r="BT35" i="2"/>
  <c r="BU35" i="2" s="1"/>
  <c r="BX34" i="2"/>
  <c r="BU34" i="2"/>
  <c r="BT34" i="2"/>
  <c r="BT106" i="2" s="1"/>
  <c r="BS34" i="2"/>
  <c r="BS35" i="2" s="1"/>
  <c r="BX33" i="2"/>
  <c r="BU33" i="2"/>
  <c r="BT33" i="2"/>
  <c r="BT105" i="2" s="1"/>
  <c r="BS33" i="2"/>
  <c r="BS105" i="2" s="1"/>
  <c r="BW30" i="2"/>
  <c r="BX29" i="2"/>
  <c r="BW29" i="2"/>
  <c r="BV29" i="2"/>
  <c r="BX28" i="2"/>
  <c r="BT28" i="2"/>
  <c r="BT29" i="2" s="1"/>
  <c r="BU29" i="2" s="1"/>
  <c r="BS28" i="2"/>
  <c r="BS29" i="2" s="1"/>
  <c r="BX27" i="2"/>
  <c r="BT27" i="2"/>
  <c r="BU27" i="2" s="1"/>
  <c r="BS27" i="2"/>
  <c r="BW26" i="2"/>
  <c r="BV26" i="2"/>
  <c r="BX26" i="2" s="1"/>
  <c r="BX25" i="2"/>
  <c r="BT25" i="2"/>
  <c r="BU25" i="2" s="1"/>
  <c r="BS25" i="2"/>
  <c r="BX24" i="2"/>
  <c r="BT24" i="2"/>
  <c r="BS24" i="2"/>
  <c r="BS26" i="2" s="1"/>
  <c r="BX23" i="2"/>
  <c r="BW23" i="2"/>
  <c r="BV23" i="2"/>
  <c r="BX22" i="2"/>
  <c r="BT22" i="2"/>
  <c r="BT23" i="2" s="1"/>
  <c r="BU23" i="2" s="1"/>
  <c r="BS22" i="2"/>
  <c r="BS23" i="2" s="1"/>
  <c r="BX21" i="2"/>
  <c r="BT21" i="2"/>
  <c r="BU21" i="2" s="1"/>
  <c r="BS21" i="2"/>
  <c r="BW20" i="2"/>
  <c r="BV20" i="2"/>
  <c r="BX20" i="2" s="1"/>
  <c r="BX19" i="2"/>
  <c r="BT19" i="2"/>
  <c r="BU19" i="2" s="1"/>
  <c r="BS19" i="2"/>
  <c r="BX18" i="2"/>
  <c r="BT18" i="2"/>
  <c r="BS18" i="2"/>
  <c r="BS20" i="2" s="1"/>
  <c r="BX17" i="2"/>
  <c r="BW17" i="2"/>
  <c r="BV17" i="2"/>
  <c r="BX16" i="2"/>
  <c r="BT16" i="2"/>
  <c r="BT17" i="2" s="1"/>
  <c r="BU17" i="2" s="1"/>
  <c r="BS16" i="2"/>
  <c r="BS17" i="2" s="1"/>
  <c r="BX15" i="2"/>
  <c r="BT15" i="2"/>
  <c r="BU15" i="2" s="1"/>
  <c r="BS15" i="2"/>
  <c r="BW14" i="2"/>
  <c r="BV14" i="2"/>
  <c r="BX14" i="2" s="1"/>
  <c r="BX13" i="2"/>
  <c r="BT13" i="2"/>
  <c r="BU13" i="2" s="1"/>
  <c r="BS13" i="2"/>
  <c r="BX12" i="2"/>
  <c r="BT12" i="2"/>
  <c r="BS12" i="2"/>
  <c r="BS14" i="2" s="1"/>
  <c r="BW10" i="2"/>
  <c r="BV10" i="2"/>
  <c r="BV31" i="2" s="1"/>
  <c r="BT10" i="2"/>
  <c r="BU10" i="2" s="1"/>
  <c r="BS10" i="2"/>
  <c r="BW9" i="2"/>
  <c r="BV9" i="2"/>
  <c r="BS9" i="2" s="1"/>
  <c r="BS30" i="2" s="1"/>
  <c r="BT9" i="2"/>
  <c r="BU9" i="2" s="1"/>
  <c r="BW8" i="2"/>
  <c r="BX8" i="2" s="1"/>
  <c r="BV8" i="2"/>
  <c r="BX7" i="2"/>
  <c r="BT7" i="2"/>
  <c r="BS7" i="2"/>
  <c r="BS31" i="2" s="1"/>
  <c r="BX6" i="2"/>
  <c r="BT6" i="2"/>
  <c r="BU6" i="2" s="1"/>
  <c r="BS6" i="2"/>
  <c r="BW106" i="1"/>
  <c r="BV106" i="1"/>
  <c r="BS106" i="1"/>
  <c r="BW105" i="1"/>
  <c r="BX105" i="1" s="1"/>
  <c r="BV105" i="1"/>
  <c r="BV107" i="1" s="1"/>
  <c r="BW104" i="1"/>
  <c r="BX104" i="1" s="1"/>
  <c r="BV104" i="1"/>
  <c r="BX103" i="1"/>
  <c r="BT103" i="1"/>
  <c r="BU103" i="1" s="1"/>
  <c r="BS103" i="1"/>
  <c r="BX102" i="1"/>
  <c r="BT102" i="1"/>
  <c r="BS102" i="1"/>
  <c r="BS104" i="1" s="1"/>
  <c r="BW101" i="1"/>
  <c r="BV101" i="1"/>
  <c r="BX101" i="1" s="1"/>
  <c r="BX100" i="1"/>
  <c r="BU100" i="1"/>
  <c r="BT100" i="1"/>
  <c r="BT101" i="1" s="1"/>
  <c r="BS100" i="1"/>
  <c r="BS101" i="1" s="1"/>
  <c r="BU101" i="1" s="1"/>
  <c r="BX99" i="1"/>
  <c r="BU99" i="1"/>
  <c r="BT99" i="1"/>
  <c r="BS99" i="1"/>
  <c r="BW98" i="1"/>
  <c r="BX98" i="1" s="1"/>
  <c r="BW97" i="1"/>
  <c r="BV97" i="1"/>
  <c r="BV98" i="1" s="1"/>
  <c r="BU97" i="1"/>
  <c r="BW96" i="1"/>
  <c r="BX96" i="1" s="1"/>
  <c r="BV96" i="1"/>
  <c r="BT96" i="1"/>
  <c r="BS96" i="1"/>
  <c r="BW95" i="1"/>
  <c r="BV95" i="1"/>
  <c r="BX95" i="1" s="1"/>
  <c r="BX94" i="1"/>
  <c r="BU94" i="1"/>
  <c r="BT94" i="1"/>
  <c r="BT97" i="1" s="1"/>
  <c r="BT98" i="1" s="1"/>
  <c r="BS94" i="1"/>
  <c r="BS97" i="1" s="1"/>
  <c r="BS98" i="1" s="1"/>
  <c r="BX93" i="1"/>
  <c r="BU93" i="1"/>
  <c r="BT93" i="1"/>
  <c r="BS93" i="1"/>
  <c r="BW92" i="1"/>
  <c r="BX92" i="1" s="1"/>
  <c r="BV92" i="1"/>
  <c r="BX91" i="1"/>
  <c r="BT91" i="1"/>
  <c r="BU91" i="1" s="1"/>
  <c r="BS91" i="1"/>
  <c r="BS92" i="1" s="1"/>
  <c r="BX90" i="1"/>
  <c r="BT90" i="1"/>
  <c r="BT87" i="1" s="1"/>
  <c r="BS90" i="1"/>
  <c r="BW88" i="1"/>
  <c r="BV88" i="1"/>
  <c r="BS88" i="1"/>
  <c r="BW87" i="1"/>
  <c r="BV87" i="1"/>
  <c r="BX87" i="1" s="1"/>
  <c r="BW86" i="1"/>
  <c r="BX86" i="1" s="1"/>
  <c r="BV86" i="1"/>
  <c r="BX85" i="1"/>
  <c r="BT85" i="1"/>
  <c r="BU85" i="1" s="1"/>
  <c r="BS85" i="1"/>
  <c r="BX84" i="1"/>
  <c r="BT84" i="1"/>
  <c r="BS84" i="1"/>
  <c r="BS86" i="1" s="1"/>
  <c r="BW83" i="1"/>
  <c r="BV83" i="1"/>
  <c r="BX83" i="1" s="1"/>
  <c r="BX82" i="1"/>
  <c r="BU82" i="1"/>
  <c r="BT82" i="1"/>
  <c r="BT83" i="1" s="1"/>
  <c r="BU83" i="1" s="1"/>
  <c r="BS82" i="1"/>
  <c r="BS83" i="1" s="1"/>
  <c r="BX81" i="1"/>
  <c r="BU81" i="1"/>
  <c r="BT81" i="1"/>
  <c r="BS81" i="1"/>
  <c r="BW80" i="1"/>
  <c r="BW79" i="1"/>
  <c r="BV79" i="1"/>
  <c r="BV80" i="1" s="1"/>
  <c r="BU79" i="1"/>
  <c r="BW78" i="1"/>
  <c r="BX78" i="1" s="1"/>
  <c r="BV78" i="1"/>
  <c r="BT78" i="1"/>
  <c r="BS78" i="1"/>
  <c r="BW77" i="1"/>
  <c r="BV77" i="1"/>
  <c r="BX77" i="1" s="1"/>
  <c r="BX76" i="1"/>
  <c r="BU76" i="1"/>
  <c r="BT76" i="1"/>
  <c r="BT79" i="1" s="1"/>
  <c r="BT80" i="1" s="1"/>
  <c r="BS76" i="1"/>
  <c r="BS79" i="1" s="1"/>
  <c r="BX75" i="1"/>
  <c r="BU75" i="1"/>
  <c r="BT75" i="1"/>
  <c r="BS75" i="1"/>
  <c r="BW74" i="1"/>
  <c r="BX74" i="1" s="1"/>
  <c r="BV74" i="1"/>
  <c r="BX73" i="1"/>
  <c r="BT73" i="1"/>
  <c r="BU73" i="1" s="1"/>
  <c r="BS73" i="1"/>
  <c r="BS74" i="1" s="1"/>
  <c r="BX72" i="1"/>
  <c r="BT72" i="1"/>
  <c r="BT69" i="1" s="1"/>
  <c r="BS72" i="1"/>
  <c r="BW70" i="1"/>
  <c r="BV70" i="1"/>
  <c r="BS70" i="1"/>
  <c r="BW69" i="1"/>
  <c r="BV69" i="1"/>
  <c r="BX69" i="1" s="1"/>
  <c r="BW68" i="1"/>
  <c r="BX68" i="1" s="1"/>
  <c r="BV68" i="1"/>
  <c r="BX67" i="1"/>
  <c r="BT67" i="1"/>
  <c r="BU67" i="1" s="1"/>
  <c r="BS67" i="1"/>
  <c r="BS68" i="1" s="1"/>
  <c r="BX66" i="1"/>
  <c r="BT66" i="1"/>
  <c r="BS66" i="1"/>
  <c r="BW65" i="1"/>
  <c r="BV65" i="1"/>
  <c r="BX65" i="1" s="1"/>
  <c r="BX64" i="1"/>
  <c r="BU64" i="1"/>
  <c r="BT64" i="1"/>
  <c r="BT65" i="1" s="1"/>
  <c r="BU65" i="1" s="1"/>
  <c r="BS64" i="1"/>
  <c r="BS65" i="1" s="1"/>
  <c r="BX63" i="1"/>
  <c r="BU63" i="1"/>
  <c r="BT63" i="1"/>
  <c r="BS63" i="1"/>
  <c r="BW60" i="1"/>
  <c r="BW59" i="1"/>
  <c r="BV59" i="1"/>
  <c r="BX59" i="1" s="1"/>
  <c r="BX58" i="1"/>
  <c r="BU58" i="1"/>
  <c r="BT58" i="1"/>
  <c r="BT59" i="1" s="1"/>
  <c r="BU59" i="1" s="1"/>
  <c r="BS58" i="1"/>
  <c r="BS59" i="1" s="1"/>
  <c r="BX57" i="1"/>
  <c r="BU57" i="1"/>
  <c r="BT57" i="1"/>
  <c r="BS57" i="1"/>
  <c r="BW56" i="1"/>
  <c r="BX56" i="1" s="1"/>
  <c r="BV56" i="1"/>
  <c r="BX55" i="1"/>
  <c r="BT55" i="1"/>
  <c r="BU55" i="1" s="1"/>
  <c r="BS55" i="1"/>
  <c r="BS56" i="1" s="1"/>
  <c r="BX54" i="1"/>
  <c r="BT54" i="1"/>
  <c r="BS54" i="1"/>
  <c r="BW53" i="1"/>
  <c r="BV53" i="1"/>
  <c r="BX53" i="1" s="1"/>
  <c r="BX52" i="1"/>
  <c r="BU52" i="1"/>
  <c r="BT52" i="1"/>
  <c r="BT53" i="1" s="1"/>
  <c r="BU53" i="1" s="1"/>
  <c r="BS52" i="1"/>
  <c r="BS53" i="1" s="1"/>
  <c r="BX51" i="1"/>
  <c r="BU51" i="1"/>
  <c r="BT51" i="1"/>
  <c r="BS51" i="1"/>
  <c r="BX50" i="1"/>
  <c r="BW50" i="1"/>
  <c r="BV50" i="1"/>
  <c r="BS50" i="1"/>
  <c r="BX49" i="1"/>
  <c r="BT49" i="1"/>
  <c r="BU49" i="1" s="1"/>
  <c r="BS49" i="1"/>
  <c r="BX48" i="1"/>
  <c r="BT48" i="1"/>
  <c r="BU48" i="1" s="1"/>
  <c r="BS48" i="1"/>
  <c r="BW47" i="1"/>
  <c r="BV47" i="1"/>
  <c r="BX47" i="1" s="1"/>
  <c r="BX46" i="1"/>
  <c r="BU46" i="1"/>
  <c r="BT46" i="1"/>
  <c r="BT47" i="1" s="1"/>
  <c r="BU47" i="1" s="1"/>
  <c r="BS46" i="1"/>
  <c r="BS47" i="1" s="1"/>
  <c r="BX45" i="1"/>
  <c r="BU45" i="1"/>
  <c r="BT45" i="1"/>
  <c r="BS45" i="1"/>
  <c r="BX44" i="1"/>
  <c r="BW44" i="1"/>
  <c r="BV44" i="1"/>
  <c r="BX43" i="1"/>
  <c r="BT43" i="1"/>
  <c r="BU43" i="1" s="1"/>
  <c r="BS43" i="1"/>
  <c r="BS44" i="1" s="1"/>
  <c r="BX42" i="1"/>
  <c r="BT42" i="1"/>
  <c r="BS42" i="1"/>
  <c r="BW40" i="1"/>
  <c r="BV40" i="1"/>
  <c r="BV61" i="1" s="1"/>
  <c r="BX39" i="1"/>
  <c r="BW39" i="1"/>
  <c r="BV39" i="1"/>
  <c r="BT39" i="1"/>
  <c r="BX38" i="1"/>
  <c r="BW38" i="1"/>
  <c r="BV38" i="1"/>
  <c r="BT38" i="1"/>
  <c r="BX37" i="1"/>
  <c r="BT37" i="1"/>
  <c r="BS37" i="1"/>
  <c r="BX36" i="1"/>
  <c r="BT36" i="1"/>
  <c r="BS36" i="1"/>
  <c r="BX35" i="1"/>
  <c r="BW35" i="1"/>
  <c r="BV35" i="1"/>
  <c r="BT35" i="1"/>
  <c r="BU35" i="1" s="1"/>
  <c r="BX34" i="1"/>
  <c r="BU34" i="1"/>
  <c r="BT34" i="1"/>
  <c r="BT106" i="1" s="1"/>
  <c r="BS34" i="1"/>
  <c r="BS35" i="1" s="1"/>
  <c r="BX33" i="1"/>
  <c r="BU33" i="1"/>
  <c r="BT33" i="1"/>
  <c r="BT105" i="1" s="1"/>
  <c r="BU105" i="1" s="1"/>
  <c r="BS33" i="1"/>
  <c r="BS105" i="1" s="1"/>
  <c r="BW30" i="1"/>
  <c r="BV30" i="1"/>
  <c r="BX30" i="1" s="1"/>
  <c r="BW29" i="1"/>
  <c r="BV29" i="1"/>
  <c r="BX29" i="1" s="1"/>
  <c r="BX28" i="1"/>
  <c r="BU28" i="1"/>
  <c r="BT28" i="1"/>
  <c r="BT29" i="1" s="1"/>
  <c r="BU29" i="1" s="1"/>
  <c r="BS28" i="1"/>
  <c r="BS29" i="1" s="1"/>
  <c r="BX27" i="1"/>
  <c r="BU27" i="1"/>
  <c r="BT27" i="1"/>
  <c r="BS27" i="1"/>
  <c r="BX26" i="1"/>
  <c r="BW26" i="1"/>
  <c r="BV26" i="1"/>
  <c r="BS26" i="1"/>
  <c r="BX25" i="1"/>
  <c r="BT25" i="1"/>
  <c r="BU25" i="1" s="1"/>
  <c r="BS25" i="1"/>
  <c r="BX24" i="1"/>
  <c r="BT24" i="1"/>
  <c r="BU24" i="1" s="1"/>
  <c r="BS24" i="1"/>
  <c r="BW23" i="1"/>
  <c r="BV23" i="1"/>
  <c r="BX23" i="1" s="1"/>
  <c r="BX22" i="1"/>
  <c r="BU22" i="1"/>
  <c r="BT22" i="1"/>
  <c r="BT23" i="1" s="1"/>
  <c r="BU23" i="1" s="1"/>
  <c r="BS22" i="1"/>
  <c r="BS23" i="1" s="1"/>
  <c r="BX21" i="1"/>
  <c r="BU21" i="1"/>
  <c r="BT21" i="1"/>
  <c r="BS21" i="1"/>
  <c r="BX20" i="1"/>
  <c r="BW20" i="1"/>
  <c r="BV20" i="1"/>
  <c r="BS20" i="1"/>
  <c r="BX19" i="1"/>
  <c r="BT19" i="1"/>
  <c r="BU19" i="1" s="1"/>
  <c r="BS19" i="1"/>
  <c r="BX18" i="1"/>
  <c r="BT18" i="1"/>
  <c r="BU18" i="1" s="1"/>
  <c r="BS18" i="1"/>
  <c r="BW17" i="1"/>
  <c r="BV17" i="1"/>
  <c r="BX17" i="1" s="1"/>
  <c r="BX16" i="1"/>
  <c r="BU16" i="1"/>
  <c r="BT16" i="1"/>
  <c r="BT17" i="1" s="1"/>
  <c r="BU17" i="1" s="1"/>
  <c r="BS16" i="1"/>
  <c r="BS17" i="1" s="1"/>
  <c r="BX15" i="1"/>
  <c r="BU15" i="1"/>
  <c r="BT15" i="1"/>
  <c r="BS15" i="1"/>
  <c r="BX14" i="1"/>
  <c r="BW14" i="1"/>
  <c r="BV14" i="1"/>
  <c r="BS14" i="1"/>
  <c r="BX13" i="1"/>
  <c r="BT13" i="1"/>
  <c r="BU13" i="1" s="1"/>
  <c r="BS13" i="1"/>
  <c r="BX12" i="1"/>
  <c r="BT12" i="1"/>
  <c r="BU12" i="1" s="1"/>
  <c r="BS12" i="1"/>
  <c r="BV11" i="1"/>
  <c r="BW10" i="1"/>
  <c r="BT10" i="1" s="1"/>
  <c r="BV10" i="1"/>
  <c r="BV31" i="1" s="1"/>
  <c r="BV32" i="1" s="1"/>
  <c r="BX9" i="1"/>
  <c r="BW9" i="1"/>
  <c r="BV9" i="1"/>
  <c r="BS9" i="1" s="1"/>
  <c r="BT9" i="1"/>
  <c r="BU9" i="1" s="1"/>
  <c r="BX8" i="1"/>
  <c r="BW8" i="1"/>
  <c r="BV8" i="1"/>
  <c r="BT8" i="1"/>
  <c r="BX7" i="1"/>
  <c r="BT7" i="1"/>
  <c r="BS7" i="1"/>
  <c r="BX6" i="1"/>
  <c r="BT6" i="1"/>
  <c r="BU6" i="1" s="1"/>
  <c r="BS6" i="1"/>
  <c r="BS30" i="1" s="1"/>
  <c r="BP201" i="7" l="1"/>
  <c r="BS80" i="1"/>
  <c r="BX80" i="1"/>
  <c r="EI18" i="12"/>
  <c r="BV28" i="8"/>
  <c r="BS49" i="8"/>
  <c r="BS29" i="8"/>
  <c r="BQ48" i="9"/>
  <c r="BU48" i="9"/>
  <c r="EJ59" i="12"/>
  <c r="EK59" i="12" s="1"/>
  <c r="EH37" i="12"/>
  <c r="EI37" i="12" s="1"/>
  <c r="BR58" i="10"/>
  <c r="BQ15" i="16"/>
  <c r="BP34" i="14"/>
  <c r="BR34" i="14" s="1"/>
  <c r="BR122" i="11"/>
  <c r="BR70" i="11"/>
  <c r="BQ26" i="11"/>
  <c r="BR26" i="11" s="1"/>
  <c r="BR71" i="11"/>
  <c r="BR72" i="11"/>
  <c r="BQ139" i="11"/>
  <c r="BR139" i="11" s="1"/>
  <c r="BR123" i="11"/>
  <c r="BR169" i="11"/>
  <c r="BR184" i="11"/>
  <c r="BS296" i="10"/>
  <c r="BS206" i="10"/>
  <c r="BS12" i="10"/>
  <c r="BS13" i="10"/>
  <c r="BR47" i="10"/>
  <c r="BV60" i="10"/>
  <c r="BQ60" i="10"/>
  <c r="BS69" i="10"/>
  <c r="BS73" i="10"/>
  <c r="BS77" i="10"/>
  <c r="BS105" i="10"/>
  <c r="BQ104" i="10"/>
  <c r="BS133" i="10"/>
  <c r="BS149" i="10"/>
  <c r="BR178" i="10"/>
  <c r="BR204" i="10"/>
  <c r="BS204" i="10" s="1"/>
  <c r="BS205" i="10"/>
  <c r="BS279" i="10"/>
  <c r="BS283" i="10"/>
  <c r="BS287" i="10"/>
  <c r="BS304" i="10"/>
  <c r="BS308" i="10"/>
  <c r="BR322" i="10"/>
  <c r="BR129" i="10"/>
  <c r="BS130" i="10"/>
  <c r="BR152" i="10"/>
  <c r="BS152" i="10" s="1"/>
  <c r="BR245" i="10"/>
  <c r="BS245" i="10" s="1"/>
  <c r="BS246" i="10"/>
  <c r="BS5" i="10"/>
  <c r="BS48" i="10"/>
  <c r="BQ47" i="10"/>
  <c r="BR224" i="10"/>
  <c r="BS224" i="10" s="1"/>
  <c r="BQ298" i="10"/>
  <c r="BQ276" i="10"/>
  <c r="BS278" i="10"/>
  <c r="BS282" i="10"/>
  <c r="BS286" i="10"/>
  <c r="BS307" i="10"/>
  <c r="BQ178" i="10"/>
  <c r="BQ58" i="10"/>
  <c r="BR90" i="10"/>
  <c r="BQ154" i="10"/>
  <c r="BS91" i="10"/>
  <c r="BQ129" i="10"/>
  <c r="BR154" i="10"/>
  <c r="BS154" i="10" s="1"/>
  <c r="BQ206" i="10"/>
  <c r="BS225" i="10"/>
  <c r="BR247" i="10"/>
  <c r="BS247" i="10" s="1"/>
  <c r="BR298" i="10"/>
  <c r="BR276" i="10"/>
  <c r="BS277" i="10"/>
  <c r="BS342" i="10"/>
  <c r="BQ344" i="10"/>
  <c r="BS344" i="10" s="1"/>
  <c r="BQ322" i="10"/>
  <c r="BR32" i="9"/>
  <c r="BR33" i="9"/>
  <c r="BR49" i="9"/>
  <c r="BS96" i="8"/>
  <c r="BQ28" i="8"/>
  <c r="BR28" i="8"/>
  <c r="BR70" i="8"/>
  <c r="BS70" i="8" s="1"/>
  <c r="BR81" i="7"/>
  <c r="BR62" i="7"/>
  <c r="BR130" i="7"/>
  <c r="BR249" i="7"/>
  <c r="BR18" i="7"/>
  <c r="BR19" i="7"/>
  <c r="BR109" i="7"/>
  <c r="BQ155" i="7"/>
  <c r="BR155" i="7" s="1"/>
  <c r="BQ173" i="7"/>
  <c r="BR173" i="7" s="1"/>
  <c r="BQ216" i="7"/>
  <c r="BR216" i="7" s="1"/>
  <c r="BR250" i="7"/>
  <c r="BR131" i="7"/>
  <c r="BR202" i="7"/>
  <c r="AI408" i="24"/>
  <c r="AG409" i="24"/>
  <c r="AI412" i="24"/>
  <c r="AG413" i="24"/>
  <c r="AI416" i="24"/>
  <c r="AG417" i="24"/>
  <c r="AI420" i="24"/>
  <c r="AG421" i="24"/>
  <c r="AI424" i="24"/>
  <c r="AG425" i="24"/>
  <c r="AI428" i="24"/>
  <c r="AG429" i="24"/>
  <c r="AI432" i="24"/>
  <c r="AG433" i="24"/>
  <c r="AI436" i="24"/>
  <c r="AG437" i="24"/>
  <c r="AG439" i="24"/>
  <c r="AI438" i="22"/>
  <c r="AI410" i="22"/>
  <c r="AG411" i="22"/>
  <c r="AI414" i="22"/>
  <c r="AG415" i="22"/>
  <c r="AI418" i="22"/>
  <c r="AG419" i="22"/>
  <c r="AI422" i="22"/>
  <c r="AG423" i="22"/>
  <c r="AI426" i="22"/>
  <c r="AG427" i="22"/>
  <c r="AI430" i="22"/>
  <c r="AG431" i="22"/>
  <c r="AI434" i="22"/>
  <c r="AG435" i="22"/>
  <c r="AI436" i="22"/>
  <c r="AG439" i="22"/>
  <c r="EK56" i="12"/>
  <c r="EI21" i="12"/>
  <c r="EK57" i="12"/>
  <c r="EO61" i="12"/>
  <c r="EI29" i="12"/>
  <c r="EJ12" i="12"/>
  <c r="EF13" i="12"/>
  <c r="EF61" i="12" s="1"/>
  <c r="EF63" i="12" s="1"/>
  <c r="EJ20" i="12"/>
  <c r="EK20" i="12" s="1"/>
  <c r="EK8" i="12"/>
  <c r="EK9" i="12"/>
  <c r="EK10" i="12"/>
  <c r="EK11" i="12"/>
  <c r="EG12" i="12"/>
  <c r="EG60" i="12" s="1"/>
  <c r="EG62" i="12" s="1"/>
  <c r="EO12" i="12"/>
  <c r="EG13" i="12"/>
  <c r="EG61" i="12" s="1"/>
  <c r="EG63" i="12" s="1"/>
  <c r="EO13" i="12"/>
  <c r="EJ21" i="12"/>
  <c r="EK21" i="12" s="1"/>
  <c r="EI23" i="12"/>
  <c r="EJ29" i="12"/>
  <c r="EK29" i="12" s="1"/>
  <c r="EI31" i="12"/>
  <c r="EJ37" i="12"/>
  <c r="EK37" i="12" s="1"/>
  <c r="EI39" i="12"/>
  <c r="EK52" i="12"/>
  <c r="EI56" i="12"/>
  <c r="EH57" i="12"/>
  <c r="EH58" i="12"/>
  <c r="EI58" i="12" s="1"/>
  <c r="EH59" i="12"/>
  <c r="EI59" i="12" s="1"/>
  <c r="EH12" i="12"/>
  <c r="EL60" i="12"/>
  <c r="EO60" i="12" s="1"/>
  <c r="EP60" i="12"/>
  <c r="EH13" i="12"/>
  <c r="EL61" i="12"/>
  <c r="EL63" i="12" s="1"/>
  <c r="EP61" i="12"/>
  <c r="EQ61" i="12" s="1"/>
  <c r="EH20" i="12"/>
  <c r="EI20" i="12" s="1"/>
  <c r="EH28" i="12"/>
  <c r="EI28" i="12" s="1"/>
  <c r="EH36" i="12"/>
  <c r="EI36" i="12" s="1"/>
  <c r="EI42" i="12"/>
  <c r="EH45" i="12"/>
  <c r="EI45" i="12" s="1"/>
  <c r="EO45" i="12"/>
  <c r="EI46" i="12"/>
  <c r="EI48" i="12"/>
  <c r="EH52" i="12"/>
  <c r="EI52" i="12" s="1"/>
  <c r="EI50" i="12"/>
  <c r="EI54" i="12"/>
  <c r="EL62" i="12"/>
  <c r="EI64" i="12"/>
  <c r="EF12" i="12"/>
  <c r="EF60" i="12" s="1"/>
  <c r="EF62" i="12" s="1"/>
  <c r="EJ13" i="12"/>
  <c r="EI49" i="12"/>
  <c r="EH53" i="12"/>
  <c r="EI53" i="12" s="1"/>
  <c r="EN62" i="12"/>
  <c r="EI8" i="12"/>
  <c r="EI9" i="12"/>
  <c r="EI10" i="12"/>
  <c r="EI11" i="12"/>
  <c r="EM60" i="12"/>
  <c r="EM62" i="12" s="1"/>
  <c r="EQ12" i="12"/>
  <c r="EQ13" i="12"/>
  <c r="EO20" i="12"/>
  <c r="EO28" i="12"/>
  <c r="EO36" i="12"/>
  <c r="EO44" i="12"/>
  <c r="EJ45" i="12"/>
  <c r="EK45" i="12" s="1"/>
  <c r="EJ53" i="12"/>
  <c r="EK53" i="12" s="1"/>
  <c r="EN63" i="12"/>
  <c r="EP62" i="12"/>
  <c r="EP63" i="12"/>
  <c r="EQ63" i="12" s="1"/>
  <c r="BS32" i="2"/>
  <c r="BV32" i="2"/>
  <c r="BS8" i="2"/>
  <c r="BU12" i="2"/>
  <c r="BU16" i="2"/>
  <c r="BU18" i="2"/>
  <c r="BU22" i="2"/>
  <c r="BU24" i="2"/>
  <c r="BU28" i="2"/>
  <c r="BT30" i="2"/>
  <c r="BU30" i="2" s="1"/>
  <c r="BT31" i="2"/>
  <c r="BW61" i="2"/>
  <c r="BW41" i="2"/>
  <c r="BX40" i="2"/>
  <c r="BU43" i="2"/>
  <c r="BX44" i="2"/>
  <c r="BU55" i="2"/>
  <c r="BS70" i="2"/>
  <c r="BS69" i="2"/>
  <c r="BU69" i="2" s="1"/>
  <c r="BU73" i="2"/>
  <c r="BS88" i="2"/>
  <c r="BS89" i="2" s="1"/>
  <c r="BS87" i="2"/>
  <c r="BU87" i="2" s="1"/>
  <c r="BU91" i="2"/>
  <c r="BT11" i="2"/>
  <c r="BV61" i="2"/>
  <c r="BV62" i="2" s="1"/>
  <c r="BV41" i="2"/>
  <c r="BS106" i="2"/>
  <c r="BS107" i="2" s="1"/>
  <c r="BT8" i="2"/>
  <c r="BU8" i="2" s="1"/>
  <c r="BX9" i="2"/>
  <c r="BW31" i="2"/>
  <c r="BW11" i="2"/>
  <c r="BV11" i="2"/>
  <c r="BV30" i="2"/>
  <c r="BX30" i="2" s="1"/>
  <c r="BT38" i="2"/>
  <c r="BU38" i="2" s="1"/>
  <c r="BW80" i="2"/>
  <c r="BX80" i="2" s="1"/>
  <c r="BW98" i="2"/>
  <c r="BX98" i="2" s="1"/>
  <c r="BW107" i="2"/>
  <c r="BX107" i="2" s="1"/>
  <c r="BX106" i="2"/>
  <c r="BU7" i="2"/>
  <c r="BS11" i="2"/>
  <c r="BX10" i="2"/>
  <c r="BT14" i="2"/>
  <c r="BU14" i="2" s="1"/>
  <c r="BT20" i="2"/>
  <c r="BU20" i="2" s="1"/>
  <c r="BT26" i="2"/>
  <c r="BU26" i="2" s="1"/>
  <c r="BT107" i="2"/>
  <c r="BU107" i="2" s="1"/>
  <c r="BU106" i="2"/>
  <c r="BU37" i="2"/>
  <c r="BS40" i="2"/>
  <c r="BS41" i="2" s="1"/>
  <c r="BU49" i="2"/>
  <c r="BX50" i="2"/>
  <c r="BX60" i="2"/>
  <c r="BU67" i="2"/>
  <c r="BW71" i="2"/>
  <c r="BX71" i="2" s="1"/>
  <c r="BX70" i="2"/>
  <c r="BT80" i="2"/>
  <c r="BU80" i="2" s="1"/>
  <c r="BU85" i="2"/>
  <c r="BW89" i="2"/>
  <c r="BX89" i="2" s="1"/>
  <c r="BX88" i="2"/>
  <c r="BT98" i="2"/>
  <c r="BU98" i="2" s="1"/>
  <c r="BU103" i="2"/>
  <c r="BT44" i="2"/>
  <c r="BU44" i="2" s="1"/>
  <c r="BT50" i="2"/>
  <c r="BU50" i="2" s="1"/>
  <c r="BT56" i="2"/>
  <c r="BU56" i="2" s="1"/>
  <c r="BT68" i="2"/>
  <c r="BU68" i="2" s="1"/>
  <c r="BT70" i="2"/>
  <c r="BT74" i="2"/>
  <c r="BU74" i="2" s="1"/>
  <c r="BT86" i="2"/>
  <c r="BU86" i="2" s="1"/>
  <c r="BT88" i="2"/>
  <c r="BT92" i="2"/>
  <c r="BU92" i="2" s="1"/>
  <c r="BT104" i="2"/>
  <c r="BU104" i="2" s="1"/>
  <c r="BS39" i="2"/>
  <c r="BS60" i="2" s="1"/>
  <c r="BS77" i="2"/>
  <c r="BS95" i="2"/>
  <c r="BT77" i="2"/>
  <c r="BU77" i="2" s="1"/>
  <c r="BT95" i="2"/>
  <c r="BU95" i="2" s="1"/>
  <c r="BT11" i="1"/>
  <c r="BU8" i="1"/>
  <c r="BW61" i="1"/>
  <c r="BW41" i="1"/>
  <c r="BS69" i="1"/>
  <c r="BU69" i="1" s="1"/>
  <c r="BU7" i="1"/>
  <c r="BS10" i="1"/>
  <c r="BS11" i="1" s="1"/>
  <c r="BX10" i="1"/>
  <c r="BT14" i="1"/>
  <c r="BU14" i="1" s="1"/>
  <c r="BT20" i="1"/>
  <c r="BU20" i="1" s="1"/>
  <c r="BT26" i="1"/>
  <c r="BU26" i="1" s="1"/>
  <c r="BT107" i="1"/>
  <c r="BU106" i="1"/>
  <c r="BU37" i="1"/>
  <c r="BS40" i="1"/>
  <c r="BX40" i="1"/>
  <c r="BU42" i="1"/>
  <c r="BT50" i="1"/>
  <c r="BU50" i="1" s="1"/>
  <c r="BU54" i="1"/>
  <c r="BX60" i="1"/>
  <c r="BU66" i="1"/>
  <c r="BU78" i="1"/>
  <c r="BU84" i="1"/>
  <c r="BU96" i="1"/>
  <c r="BU102" i="1"/>
  <c r="BS31" i="1"/>
  <c r="BS32" i="1" s="1"/>
  <c r="BS87" i="1"/>
  <c r="BU87" i="1" s="1"/>
  <c r="BU36" i="1"/>
  <c r="BT60" i="1"/>
  <c r="BV60" i="1"/>
  <c r="BS39" i="1"/>
  <c r="BS60" i="1" s="1"/>
  <c r="BT40" i="1"/>
  <c r="BW71" i="1"/>
  <c r="BX70" i="1"/>
  <c r="BU80" i="1"/>
  <c r="BW89" i="1"/>
  <c r="BX88" i="1"/>
  <c r="BU98" i="1"/>
  <c r="BW107" i="1"/>
  <c r="BX107" i="1" s="1"/>
  <c r="BX106" i="1"/>
  <c r="BW31" i="1"/>
  <c r="BW11" i="1"/>
  <c r="BX11" i="1" s="1"/>
  <c r="BS61" i="1"/>
  <c r="BS62" i="1" s="1"/>
  <c r="BS107" i="1"/>
  <c r="BS8" i="1"/>
  <c r="BT30" i="1"/>
  <c r="BU30" i="1" s="1"/>
  <c r="BT31" i="1"/>
  <c r="BS38" i="1"/>
  <c r="BU38" i="1" s="1"/>
  <c r="BV62" i="1"/>
  <c r="BV41" i="1"/>
  <c r="BT44" i="1"/>
  <c r="BU44" i="1" s="1"/>
  <c r="BT56" i="1"/>
  <c r="BU56" i="1" s="1"/>
  <c r="BT68" i="1"/>
  <c r="BU68" i="1" s="1"/>
  <c r="BT70" i="1"/>
  <c r="BV71" i="1"/>
  <c r="BT74" i="1"/>
  <c r="BU74" i="1" s="1"/>
  <c r="BT86" i="1"/>
  <c r="BU86" i="1" s="1"/>
  <c r="BT88" i="1"/>
  <c r="BV89" i="1"/>
  <c r="BT92" i="1"/>
  <c r="BU92" i="1" s="1"/>
  <c r="BT104" i="1"/>
  <c r="BU104" i="1" s="1"/>
  <c r="BU72" i="1"/>
  <c r="BS77" i="1"/>
  <c r="BU90" i="1"/>
  <c r="BS95" i="1"/>
  <c r="BT77" i="1"/>
  <c r="BX79" i="1"/>
  <c r="BT95" i="1"/>
  <c r="BX97" i="1"/>
  <c r="BU77" i="1" l="1"/>
  <c r="BS129" i="10"/>
  <c r="BS47" i="10"/>
  <c r="BS276" i="10"/>
  <c r="BS322" i="10"/>
  <c r="BS178" i="10"/>
  <c r="BS298" i="10"/>
  <c r="EQ62" i="12"/>
  <c r="EO62" i="12"/>
  <c r="EJ61" i="12"/>
  <c r="EK13" i="12"/>
  <c r="EH60" i="12"/>
  <c r="EI12" i="12"/>
  <c r="EO63" i="12"/>
  <c r="EH61" i="12"/>
  <c r="EI61" i="12" s="1"/>
  <c r="EI13" i="12"/>
  <c r="EJ60" i="12"/>
  <c r="EK12" i="12"/>
  <c r="EQ60" i="12"/>
  <c r="EI57" i="12"/>
  <c r="BT71" i="2"/>
  <c r="BU70" i="2"/>
  <c r="BX11" i="2"/>
  <c r="BU11" i="2"/>
  <c r="BX41" i="2"/>
  <c r="BT89" i="2"/>
  <c r="BU89" i="2" s="1"/>
  <c r="BU88" i="2"/>
  <c r="BS61" i="2"/>
  <c r="BS62" i="2" s="1"/>
  <c r="BW32" i="2"/>
  <c r="BX32" i="2" s="1"/>
  <c r="BX31" i="2"/>
  <c r="BX61" i="2"/>
  <c r="BW62" i="2"/>
  <c r="BX62" i="2" s="1"/>
  <c r="BS71" i="2"/>
  <c r="BT32" i="2"/>
  <c r="BU32" i="2" s="1"/>
  <c r="BU31" i="2"/>
  <c r="BS71" i="1"/>
  <c r="BS41" i="1"/>
  <c r="BU107" i="1"/>
  <c r="BX41" i="1"/>
  <c r="BU39" i="1"/>
  <c r="BT71" i="1"/>
  <c r="BU71" i="1" s="1"/>
  <c r="BU70" i="1"/>
  <c r="BU95" i="1"/>
  <c r="BW32" i="1"/>
  <c r="BX32" i="1" s="1"/>
  <c r="BX31" i="1"/>
  <c r="BX71" i="1"/>
  <c r="BU60" i="1"/>
  <c r="BX61" i="1"/>
  <c r="BW62" i="1"/>
  <c r="BX62" i="1" s="1"/>
  <c r="BU11" i="1"/>
  <c r="BT89" i="1"/>
  <c r="BU88" i="1"/>
  <c r="BU31" i="1"/>
  <c r="BT32" i="1"/>
  <c r="BU32" i="1" s="1"/>
  <c r="BS89" i="1"/>
  <c r="BX89" i="1"/>
  <c r="BT41" i="1"/>
  <c r="BU41" i="1" s="1"/>
  <c r="BU40" i="1"/>
  <c r="BT61" i="1"/>
  <c r="BU10" i="1"/>
  <c r="EK61" i="12" l="1"/>
  <c r="EJ63" i="12"/>
  <c r="EK63" i="12" s="1"/>
  <c r="EH63" i="12"/>
  <c r="EI63" i="12" s="1"/>
  <c r="EK60" i="12"/>
  <c r="EJ62" i="12"/>
  <c r="EK62" i="12" s="1"/>
  <c r="EI60" i="12"/>
  <c r="EH62" i="12"/>
  <c r="EI62" i="12" s="1"/>
  <c r="BU71" i="2"/>
  <c r="BT62" i="1"/>
  <c r="BU62" i="1" s="1"/>
  <c r="BU61" i="1"/>
  <c r="BU89" i="1"/>
  <c r="BU55" i="13" l="1"/>
  <c r="BT55" i="13"/>
  <c r="BT56" i="13" s="1"/>
  <c r="BU54" i="13"/>
  <c r="BT54" i="13"/>
  <c r="BQ54" i="13"/>
  <c r="BU52" i="13"/>
  <c r="BU53" i="13" s="1"/>
  <c r="BT52" i="13"/>
  <c r="BQ52" i="13"/>
  <c r="BU51" i="13"/>
  <c r="BT51" i="13"/>
  <c r="BQ51" i="13" s="1"/>
  <c r="BU49" i="13"/>
  <c r="BT49" i="13"/>
  <c r="BU48" i="13"/>
  <c r="BT48" i="13"/>
  <c r="BQ48" i="13" s="1"/>
  <c r="BU46" i="13"/>
  <c r="BU47" i="13" s="1"/>
  <c r="BT46" i="13"/>
  <c r="BQ46" i="13"/>
  <c r="BU45" i="13"/>
  <c r="BT45" i="13"/>
  <c r="BQ45" i="13" s="1"/>
  <c r="BU43" i="13"/>
  <c r="BT43" i="13"/>
  <c r="BT44" i="13" s="1"/>
  <c r="BU42" i="13"/>
  <c r="BT42" i="13"/>
  <c r="BQ42" i="13" s="1"/>
  <c r="BU40" i="13"/>
  <c r="BU41" i="13" s="1"/>
  <c r="BT40" i="13"/>
  <c r="BQ40" i="13"/>
  <c r="BU39" i="13"/>
  <c r="BT39" i="13"/>
  <c r="BQ39" i="13" s="1"/>
  <c r="BU37" i="13"/>
  <c r="BT37" i="13"/>
  <c r="BU36" i="13"/>
  <c r="BU57" i="13" s="1"/>
  <c r="BT36" i="13"/>
  <c r="BT57" i="13" s="1"/>
  <c r="BQ57" i="13" s="1"/>
  <c r="BU25" i="13"/>
  <c r="BT25" i="13"/>
  <c r="BU24" i="13"/>
  <c r="BT24" i="13"/>
  <c r="BQ24" i="13" s="1"/>
  <c r="BU22" i="13"/>
  <c r="BT22" i="13"/>
  <c r="BQ22" i="13"/>
  <c r="BQ23" i="13" s="1"/>
  <c r="BU21" i="13"/>
  <c r="BT21" i="13"/>
  <c r="BQ21" i="13" s="1"/>
  <c r="BU19" i="13"/>
  <c r="BT19" i="13"/>
  <c r="BT20" i="13" s="1"/>
  <c r="BU18" i="13"/>
  <c r="BV18" i="13" s="1"/>
  <c r="BT18" i="13"/>
  <c r="BQ18" i="13"/>
  <c r="BU16" i="13"/>
  <c r="BU17" i="13" s="1"/>
  <c r="BT16" i="13"/>
  <c r="BQ16" i="13" s="1"/>
  <c r="BU15" i="13"/>
  <c r="BT15" i="13"/>
  <c r="BQ15" i="13" s="1"/>
  <c r="BU13" i="13"/>
  <c r="BT13" i="13"/>
  <c r="BU12" i="13"/>
  <c r="BT12" i="13"/>
  <c r="BQ12" i="13" s="1"/>
  <c r="BU10" i="13"/>
  <c r="BT10" i="13"/>
  <c r="BQ10" i="13" s="1"/>
  <c r="BQ11" i="13" s="1"/>
  <c r="BU9" i="13"/>
  <c r="BT9" i="13"/>
  <c r="BQ9" i="13" s="1"/>
  <c r="BU7" i="13"/>
  <c r="BT7" i="13"/>
  <c r="BU6" i="13"/>
  <c r="BT6" i="13"/>
  <c r="BQ6" i="13"/>
  <c r="BO184" i="11"/>
  <c r="BK184" i="11"/>
  <c r="BJ184" i="11"/>
  <c r="BL184" i="11" s="1"/>
  <c r="BN183" i="11"/>
  <c r="BM183" i="11"/>
  <c r="BO182" i="11"/>
  <c r="BK182" i="11"/>
  <c r="BJ182" i="11"/>
  <c r="BO181" i="11"/>
  <c r="BK181" i="11"/>
  <c r="BJ181" i="11"/>
  <c r="BO180" i="11"/>
  <c r="BK180" i="11"/>
  <c r="BJ180" i="11"/>
  <c r="BO179" i="11"/>
  <c r="BK179" i="11"/>
  <c r="BL179" i="11" s="1"/>
  <c r="BJ179" i="11"/>
  <c r="BO178" i="11"/>
  <c r="BK178" i="11"/>
  <c r="BJ178" i="11"/>
  <c r="BO177" i="11"/>
  <c r="BK177" i="11"/>
  <c r="BL177" i="11" s="1"/>
  <c r="BJ177" i="11"/>
  <c r="BO176" i="11"/>
  <c r="BK176" i="11"/>
  <c r="BL176" i="11" s="1"/>
  <c r="BJ176" i="11"/>
  <c r="BO175" i="11"/>
  <c r="BK175" i="11"/>
  <c r="BL175" i="11" s="1"/>
  <c r="BJ175" i="11"/>
  <c r="BO174" i="11"/>
  <c r="BK174" i="11"/>
  <c r="BL174" i="11" s="1"/>
  <c r="BJ174" i="11"/>
  <c r="BO173" i="11"/>
  <c r="BK173" i="11"/>
  <c r="BL173" i="11" s="1"/>
  <c r="BJ173" i="11"/>
  <c r="BO172" i="11"/>
  <c r="BK172" i="11"/>
  <c r="BL172" i="11" s="1"/>
  <c r="BJ172" i="11"/>
  <c r="BO171" i="11"/>
  <c r="BK171" i="11"/>
  <c r="BL171" i="11" s="1"/>
  <c r="BJ171" i="11"/>
  <c r="BO170" i="11"/>
  <c r="BK170" i="11"/>
  <c r="BJ170" i="11"/>
  <c r="BO169" i="11"/>
  <c r="BK169" i="11"/>
  <c r="BL169" i="11" s="1"/>
  <c r="BJ169" i="11"/>
  <c r="BN168" i="11"/>
  <c r="BM168" i="11"/>
  <c r="BO167" i="11"/>
  <c r="BK167" i="11"/>
  <c r="BJ167" i="11"/>
  <c r="BO166" i="11"/>
  <c r="BK166" i="11"/>
  <c r="BJ166" i="11"/>
  <c r="BO165" i="11"/>
  <c r="BK165" i="11"/>
  <c r="BJ165" i="11"/>
  <c r="BL165" i="11" s="1"/>
  <c r="BO164" i="11"/>
  <c r="BK164" i="11"/>
  <c r="BJ164" i="11"/>
  <c r="BO163" i="11"/>
  <c r="BK163" i="11"/>
  <c r="BL163" i="11" s="1"/>
  <c r="BJ163" i="11"/>
  <c r="BO162" i="11"/>
  <c r="BK162" i="11"/>
  <c r="BL162" i="11" s="1"/>
  <c r="BJ162" i="11"/>
  <c r="BO161" i="11"/>
  <c r="BK161" i="11"/>
  <c r="BJ161" i="11"/>
  <c r="BO160" i="11"/>
  <c r="BK160" i="11"/>
  <c r="BL160" i="11" s="1"/>
  <c r="BJ160" i="11"/>
  <c r="BO159" i="11"/>
  <c r="BK159" i="11"/>
  <c r="BJ159" i="11"/>
  <c r="BO158" i="11"/>
  <c r="BK158" i="11"/>
  <c r="BJ158" i="11"/>
  <c r="BO157" i="11"/>
  <c r="BK157" i="11"/>
  <c r="BJ157" i="11"/>
  <c r="BO156" i="11"/>
  <c r="BK156" i="11"/>
  <c r="BL156" i="11" s="1"/>
  <c r="BJ156" i="11"/>
  <c r="BO155" i="11"/>
  <c r="BK155" i="11"/>
  <c r="BJ155" i="11"/>
  <c r="BO154" i="11"/>
  <c r="BK154" i="11"/>
  <c r="BJ154" i="11"/>
  <c r="BO153" i="11"/>
  <c r="BK153" i="11"/>
  <c r="BJ153" i="11"/>
  <c r="BO152" i="11"/>
  <c r="BK152" i="11"/>
  <c r="BL152" i="11" s="1"/>
  <c r="BJ152" i="11"/>
  <c r="BO151" i="11"/>
  <c r="BK151" i="11"/>
  <c r="BJ151" i="11"/>
  <c r="BO150" i="11"/>
  <c r="BK150" i="11"/>
  <c r="BJ150" i="11"/>
  <c r="BO149" i="11"/>
  <c r="BK149" i="11"/>
  <c r="BJ149" i="11"/>
  <c r="BO148" i="11"/>
  <c r="BK148" i="11"/>
  <c r="BL148" i="11" s="1"/>
  <c r="BJ148" i="11"/>
  <c r="BO147" i="11"/>
  <c r="BK147" i="11"/>
  <c r="BJ147" i="11"/>
  <c r="BO140" i="11"/>
  <c r="BK140" i="11"/>
  <c r="BJ140" i="11"/>
  <c r="BN139" i="11"/>
  <c r="BO139" i="11" s="1"/>
  <c r="BM139" i="11"/>
  <c r="BK138" i="11"/>
  <c r="BJ138" i="11"/>
  <c r="BO137" i="11"/>
  <c r="BK137" i="11"/>
  <c r="BJ137" i="11"/>
  <c r="BO136" i="11"/>
  <c r="BK136" i="11"/>
  <c r="BJ136" i="11"/>
  <c r="BO135" i="11"/>
  <c r="BK135" i="11"/>
  <c r="BJ135" i="11"/>
  <c r="BO134" i="11"/>
  <c r="BK134" i="11"/>
  <c r="BJ134" i="11"/>
  <c r="BO133" i="11"/>
  <c r="BK133" i="11"/>
  <c r="BJ133" i="11"/>
  <c r="BO132" i="11"/>
  <c r="BK132" i="11"/>
  <c r="BL132" i="11" s="1"/>
  <c r="BJ132" i="11"/>
  <c r="BO131" i="11"/>
  <c r="BK131" i="11"/>
  <c r="BJ131" i="11"/>
  <c r="BO130" i="11"/>
  <c r="BK130" i="11"/>
  <c r="BJ130" i="11"/>
  <c r="BO129" i="11"/>
  <c r="BK129" i="11"/>
  <c r="BJ129" i="11"/>
  <c r="BO128" i="11"/>
  <c r="BK128" i="11"/>
  <c r="BL128" i="11" s="1"/>
  <c r="BJ128" i="11"/>
  <c r="BO127" i="11"/>
  <c r="BK127" i="11"/>
  <c r="BJ127" i="11"/>
  <c r="BO126" i="11"/>
  <c r="BK126" i="11"/>
  <c r="BL126" i="11" s="1"/>
  <c r="BJ126" i="11"/>
  <c r="BO125" i="11"/>
  <c r="BK125" i="11"/>
  <c r="BL125" i="11" s="1"/>
  <c r="BJ125" i="11"/>
  <c r="BO124" i="11"/>
  <c r="BK124" i="11"/>
  <c r="BJ124" i="11"/>
  <c r="BO123" i="11"/>
  <c r="BK123" i="11"/>
  <c r="BJ123" i="11"/>
  <c r="BN122" i="11"/>
  <c r="BM122" i="11"/>
  <c r="BO121" i="11"/>
  <c r="BK121" i="11"/>
  <c r="BJ121" i="11"/>
  <c r="BO120" i="11"/>
  <c r="BK120" i="11"/>
  <c r="BJ120" i="11"/>
  <c r="BO119" i="11"/>
  <c r="BK119" i="11"/>
  <c r="BJ119" i="11"/>
  <c r="BO118" i="11"/>
  <c r="BK118" i="11"/>
  <c r="BJ118" i="11"/>
  <c r="BO117" i="11"/>
  <c r="BK117" i="11"/>
  <c r="BJ117" i="11"/>
  <c r="BO116" i="11"/>
  <c r="BK116" i="11"/>
  <c r="BJ116" i="11"/>
  <c r="BO115" i="11"/>
  <c r="BL115" i="11"/>
  <c r="BK115" i="11"/>
  <c r="BJ115" i="11"/>
  <c r="BO114" i="11"/>
  <c r="BK114" i="11"/>
  <c r="BJ114" i="11"/>
  <c r="BO113" i="11"/>
  <c r="BK113" i="11"/>
  <c r="BL113" i="11" s="1"/>
  <c r="BJ113" i="11"/>
  <c r="BO112" i="11"/>
  <c r="BK112" i="11"/>
  <c r="BJ112" i="11"/>
  <c r="BO111" i="11"/>
  <c r="BK111" i="11"/>
  <c r="BJ111" i="11"/>
  <c r="BO110" i="11"/>
  <c r="BK110" i="11"/>
  <c r="BL110" i="11" s="1"/>
  <c r="BJ110" i="11"/>
  <c r="BO109" i="11"/>
  <c r="BK109" i="11"/>
  <c r="BL109" i="11" s="1"/>
  <c r="BJ109" i="11"/>
  <c r="BO108" i="11"/>
  <c r="BK108" i="11"/>
  <c r="BJ108" i="11"/>
  <c r="BO107" i="11"/>
  <c r="BK107" i="11"/>
  <c r="BJ107" i="11"/>
  <c r="BO106" i="11"/>
  <c r="BK106" i="11"/>
  <c r="BL106" i="11" s="1"/>
  <c r="BJ106" i="11"/>
  <c r="BO105" i="11"/>
  <c r="BK105" i="11"/>
  <c r="BL105" i="11" s="1"/>
  <c r="BJ105" i="11"/>
  <c r="BO104" i="11"/>
  <c r="BK104" i="11"/>
  <c r="BJ104" i="11"/>
  <c r="BO103" i="11"/>
  <c r="BK103" i="11"/>
  <c r="BJ103" i="11"/>
  <c r="BO102" i="11"/>
  <c r="BK102" i="11"/>
  <c r="BL102" i="11" s="1"/>
  <c r="BJ102" i="11"/>
  <c r="BO101" i="11"/>
  <c r="BK101" i="11"/>
  <c r="BL101" i="11" s="1"/>
  <c r="BJ101" i="11"/>
  <c r="BO100" i="11"/>
  <c r="BK100" i="11"/>
  <c r="BJ100" i="11"/>
  <c r="BO99" i="11"/>
  <c r="BK99" i="11"/>
  <c r="BJ99" i="11"/>
  <c r="BO98" i="11"/>
  <c r="BK98" i="11"/>
  <c r="BL98" i="11" s="1"/>
  <c r="BJ98" i="11"/>
  <c r="BO91" i="11"/>
  <c r="BK91" i="11"/>
  <c r="BJ91" i="11"/>
  <c r="BN90" i="11"/>
  <c r="BM90" i="11"/>
  <c r="BO90" i="11" s="1"/>
  <c r="BO89" i="11"/>
  <c r="BK89" i="11"/>
  <c r="BJ89" i="11"/>
  <c r="BO88" i="11"/>
  <c r="BK88" i="11"/>
  <c r="BJ88" i="11"/>
  <c r="BO87" i="11"/>
  <c r="BK87" i="11"/>
  <c r="BJ87" i="11"/>
  <c r="BL87" i="11" s="1"/>
  <c r="BO86" i="11"/>
  <c r="BK86" i="11"/>
  <c r="BJ86" i="11"/>
  <c r="BO85" i="11"/>
  <c r="BK85" i="11"/>
  <c r="BJ85" i="11"/>
  <c r="BO84" i="11"/>
  <c r="BK84" i="11"/>
  <c r="BJ84" i="11"/>
  <c r="BO83" i="11"/>
  <c r="BK83" i="11"/>
  <c r="BJ83" i="11"/>
  <c r="BO82" i="11"/>
  <c r="BK82" i="11"/>
  <c r="BJ82" i="11"/>
  <c r="BL82" i="11" s="1"/>
  <c r="BO81" i="11"/>
  <c r="BK81" i="11"/>
  <c r="BJ81" i="11"/>
  <c r="BO80" i="11"/>
  <c r="BK80" i="11"/>
  <c r="BL80" i="11" s="1"/>
  <c r="BJ80" i="11"/>
  <c r="BO79" i="11"/>
  <c r="BK79" i="11"/>
  <c r="BJ79" i="11"/>
  <c r="BO78" i="11"/>
  <c r="BK78" i="11"/>
  <c r="BJ78" i="11"/>
  <c r="BO77" i="11"/>
  <c r="BK77" i="11"/>
  <c r="BJ77" i="11"/>
  <c r="BO76" i="11"/>
  <c r="BK76" i="11"/>
  <c r="BL76" i="11" s="1"/>
  <c r="BJ76" i="11"/>
  <c r="BO75" i="11"/>
  <c r="BK75" i="11"/>
  <c r="BL75" i="11" s="1"/>
  <c r="BJ75" i="11"/>
  <c r="BO74" i="11"/>
  <c r="BK74" i="11"/>
  <c r="BJ74" i="11"/>
  <c r="BO73" i="11"/>
  <c r="BK73" i="11"/>
  <c r="BL73" i="11" s="1"/>
  <c r="BJ73" i="11"/>
  <c r="BO72" i="11"/>
  <c r="BK72" i="11"/>
  <c r="BL72" i="11" s="1"/>
  <c r="BJ72" i="11"/>
  <c r="BO71" i="11"/>
  <c r="BK71" i="11"/>
  <c r="BJ71" i="11"/>
  <c r="BN70" i="11"/>
  <c r="BM70" i="11"/>
  <c r="BK69" i="11"/>
  <c r="BJ69" i="11"/>
  <c r="BK68" i="11"/>
  <c r="BJ68" i="11"/>
  <c r="BO67" i="11"/>
  <c r="BK67" i="11"/>
  <c r="BJ67" i="11"/>
  <c r="BO66" i="11"/>
  <c r="BK66" i="11"/>
  <c r="BL66" i="11" s="1"/>
  <c r="BJ66" i="11"/>
  <c r="BO65" i="11"/>
  <c r="BK65" i="11"/>
  <c r="BJ65" i="11"/>
  <c r="BO64" i="11"/>
  <c r="BK64" i="11"/>
  <c r="BJ64" i="11"/>
  <c r="BO63" i="11"/>
  <c r="BK63" i="11"/>
  <c r="BL63" i="11" s="1"/>
  <c r="BJ63" i="11"/>
  <c r="BO62" i="11"/>
  <c r="BK62" i="11"/>
  <c r="BL62" i="11" s="1"/>
  <c r="BJ62" i="11"/>
  <c r="BO61" i="11"/>
  <c r="BK61" i="11"/>
  <c r="BJ61" i="11"/>
  <c r="BO60" i="11"/>
  <c r="BK60" i="11"/>
  <c r="BJ60" i="11"/>
  <c r="BO59" i="11"/>
  <c r="BK59" i="11"/>
  <c r="BL59" i="11" s="1"/>
  <c r="BJ59" i="11"/>
  <c r="BO58" i="11"/>
  <c r="BK58" i="11"/>
  <c r="BL58" i="11" s="1"/>
  <c r="BJ58" i="11"/>
  <c r="BO57" i="11"/>
  <c r="BK57" i="11"/>
  <c r="BJ57" i="11"/>
  <c r="BO56" i="11"/>
  <c r="BK56" i="11"/>
  <c r="BJ56" i="11"/>
  <c r="BO55" i="11"/>
  <c r="BK55" i="11"/>
  <c r="BL55" i="11" s="1"/>
  <c r="BJ55" i="11"/>
  <c r="BO54" i="11"/>
  <c r="BK54" i="11"/>
  <c r="BL54" i="11" s="1"/>
  <c r="BJ54" i="11"/>
  <c r="BO47" i="11"/>
  <c r="BK47" i="11"/>
  <c r="BJ47" i="11"/>
  <c r="BN46" i="11"/>
  <c r="BM46" i="11"/>
  <c r="BO45" i="11"/>
  <c r="BK45" i="11"/>
  <c r="BJ45" i="11"/>
  <c r="BO44" i="11"/>
  <c r="BK44" i="11"/>
  <c r="BJ44" i="11"/>
  <c r="BO43" i="11"/>
  <c r="BK43" i="11"/>
  <c r="BJ43" i="11"/>
  <c r="BO42" i="11"/>
  <c r="BK42" i="11"/>
  <c r="BJ42" i="11"/>
  <c r="BO41" i="11"/>
  <c r="BK41" i="11"/>
  <c r="BJ41" i="11"/>
  <c r="BO40" i="11"/>
  <c r="BK40" i="11"/>
  <c r="BJ40" i="11"/>
  <c r="BL40" i="11" s="1"/>
  <c r="BO39" i="11"/>
  <c r="BK39" i="11"/>
  <c r="BJ39" i="11"/>
  <c r="BO38" i="11"/>
  <c r="BK38" i="11"/>
  <c r="BJ38" i="11"/>
  <c r="BO37" i="11"/>
  <c r="BL37" i="11"/>
  <c r="BK37" i="11"/>
  <c r="BJ37" i="11"/>
  <c r="BO36" i="11"/>
  <c r="BL36" i="11"/>
  <c r="BK36" i="11"/>
  <c r="BJ36" i="11"/>
  <c r="BO35" i="11"/>
  <c r="BK35" i="11"/>
  <c r="BJ35" i="11"/>
  <c r="BO34" i="11"/>
  <c r="BK34" i="11"/>
  <c r="BJ34" i="11"/>
  <c r="BO33" i="11"/>
  <c r="BK33" i="11"/>
  <c r="BJ33" i="11"/>
  <c r="BO32" i="11"/>
  <c r="BK32" i="11"/>
  <c r="BJ32" i="11"/>
  <c r="BO31" i="11"/>
  <c r="BK31" i="11"/>
  <c r="BJ31" i="11"/>
  <c r="BO30" i="11"/>
  <c r="BK30" i="11"/>
  <c r="BJ30" i="11"/>
  <c r="BL30" i="11" s="1"/>
  <c r="BO29" i="11"/>
  <c r="BK29" i="11"/>
  <c r="BJ29" i="11"/>
  <c r="BL29" i="11" s="1"/>
  <c r="BO28" i="11"/>
  <c r="BK28" i="11"/>
  <c r="BJ28" i="11"/>
  <c r="BO27" i="11"/>
  <c r="BK27" i="11"/>
  <c r="BJ27" i="11"/>
  <c r="BN26" i="11"/>
  <c r="BM26" i="11"/>
  <c r="BO25" i="11"/>
  <c r="BL25" i="11"/>
  <c r="BK25" i="11"/>
  <c r="BJ25" i="11"/>
  <c r="BO24" i="11"/>
  <c r="BL24" i="11"/>
  <c r="BK24" i="11"/>
  <c r="BJ24" i="11"/>
  <c r="BO23" i="11"/>
  <c r="BL23" i="11"/>
  <c r="BK23" i="11"/>
  <c r="BJ23" i="11"/>
  <c r="BO22" i="11"/>
  <c r="BL22" i="11"/>
  <c r="BK22" i="11"/>
  <c r="BJ22" i="11"/>
  <c r="BO21" i="11"/>
  <c r="BL21" i="11"/>
  <c r="BK21" i="11"/>
  <c r="BJ21" i="11"/>
  <c r="BK20" i="11"/>
  <c r="BJ20" i="11"/>
  <c r="BO19" i="11"/>
  <c r="BK19" i="11"/>
  <c r="BJ19" i="11"/>
  <c r="BL19" i="11" s="1"/>
  <c r="BO18" i="11"/>
  <c r="BK18" i="11"/>
  <c r="BJ18" i="11"/>
  <c r="BL18" i="11" s="1"/>
  <c r="BO17" i="11"/>
  <c r="BK17" i="11"/>
  <c r="BJ17" i="11"/>
  <c r="BO16" i="11"/>
  <c r="BK16" i="11"/>
  <c r="BJ16" i="11"/>
  <c r="BO15" i="11"/>
  <c r="BK15" i="11"/>
  <c r="BJ15" i="11"/>
  <c r="BL15" i="11" s="1"/>
  <c r="BO14" i="11"/>
  <c r="BK14" i="11"/>
  <c r="BJ14" i="11"/>
  <c r="BL14" i="11" s="1"/>
  <c r="BO13" i="11"/>
  <c r="BK13" i="11"/>
  <c r="BJ13" i="11"/>
  <c r="BO12" i="11"/>
  <c r="BK12" i="11"/>
  <c r="BJ12" i="11"/>
  <c r="BO11" i="11"/>
  <c r="BK11" i="11"/>
  <c r="BJ11" i="11"/>
  <c r="BL11" i="11" s="1"/>
  <c r="BO10" i="11"/>
  <c r="BK10" i="11"/>
  <c r="BJ10" i="11"/>
  <c r="BL10" i="11" s="1"/>
  <c r="BO9" i="11"/>
  <c r="BK9" i="11"/>
  <c r="BJ9" i="11"/>
  <c r="BO8" i="11"/>
  <c r="BK8" i="11"/>
  <c r="BJ8" i="11"/>
  <c r="BO7" i="11"/>
  <c r="BK7" i="11"/>
  <c r="BJ7" i="11"/>
  <c r="BL7" i="11" s="1"/>
  <c r="BO6" i="11"/>
  <c r="BK6" i="11"/>
  <c r="BJ6" i="11"/>
  <c r="BL6" i="11" s="1"/>
  <c r="BO5" i="11"/>
  <c r="BK5" i="11"/>
  <c r="BJ5" i="11"/>
  <c r="BO344" i="10"/>
  <c r="BN344" i="10"/>
  <c r="BP343" i="10"/>
  <c r="BL343" i="10"/>
  <c r="BK343" i="10"/>
  <c r="BM343" i="10" s="1"/>
  <c r="BO342" i="10"/>
  <c r="BP342" i="10" s="1"/>
  <c r="BN342" i="10"/>
  <c r="BL341" i="10"/>
  <c r="BK341" i="10"/>
  <c r="BL340" i="10"/>
  <c r="BK340" i="10"/>
  <c r="BL339" i="10"/>
  <c r="BK339" i="10"/>
  <c r="BL338" i="10"/>
  <c r="BK338" i="10"/>
  <c r="BP337" i="10"/>
  <c r="BL337" i="10"/>
  <c r="BK337" i="10"/>
  <c r="BP336" i="10"/>
  <c r="BL336" i="10"/>
  <c r="BK336" i="10"/>
  <c r="BP335" i="10"/>
  <c r="BL335" i="10"/>
  <c r="BM335" i="10" s="1"/>
  <c r="BK335" i="10"/>
  <c r="BP334" i="10"/>
  <c r="BL334" i="10"/>
  <c r="BM334" i="10" s="1"/>
  <c r="BK334" i="10"/>
  <c r="BP333" i="10"/>
  <c r="BL333" i="10"/>
  <c r="BK333" i="10"/>
  <c r="BP332" i="10"/>
  <c r="BL332" i="10"/>
  <c r="BK332" i="10"/>
  <c r="BP331" i="10"/>
  <c r="BL331" i="10"/>
  <c r="BM331" i="10" s="1"/>
  <c r="BK331" i="10"/>
  <c r="BP330" i="10"/>
  <c r="BL330" i="10"/>
  <c r="BM330" i="10" s="1"/>
  <c r="BK330" i="10"/>
  <c r="BP329" i="10"/>
  <c r="BL329" i="10"/>
  <c r="BK329" i="10"/>
  <c r="BP328" i="10"/>
  <c r="BL328" i="10"/>
  <c r="BK328" i="10"/>
  <c r="BP327" i="10"/>
  <c r="BL327" i="10"/>
  <c r="BM327" i="10" s="1"/>
  <c r="BK327" i="10"/>
  <c r="BP326" i="10"/>
  <c r="BL326" i="10"/>
  <c r="BM326" i="10" s="1"/>
  <c r="BK326" i="10"/>
  <c r="BP325" i="10"/>
  <c r="BL325" i="10"/>
  <c r="BK325" i="10"/>
  <c r="BP324" i="10"/>
  <c r="BL324" i="10"/>
  <c r="BK324" i="10"/>
  <c r="BP323" i="10"/>
  <c r="BL323" i="10"/>
  <c r="BL344" i="10" s="1"/>
  <c r="BK323" i="10"/>
  <c r="BO322" i="10"/>
  <c r="BP322" i="10" s="1"/>
  <c r="BN322" i="10"/>
  <c r="BL321" i="10"/>
  <c r="BK321" i="10"/>
  <c r="BL320" i="10"/>
  <c r="BK320" i="10"/>
  <c r="BL319" i="10"/>
  <c r="BK319" i="10"/>
  <c r="BL318" i="10"/>
  <c r="BK318" i="10"/>
  <c r="BL317" i="10"/>
  <c r="BK317" i="10"/>
  <c r="BP316" i="10"/>
  <c r="BL316" i="10"/>
  <c r="BK316" i="10"/>
  <c r="BP315" i="10"/>
  <c r="BM315" i="10"/>
  <c r="BL315" i="10"/>
  <c r="BK315" i="10"/>
  <c r="BP314" i="10"/>
  <c r="BL314" i="10"/>
  <c r="BK314" i="10"/>
  <c r="BL313" i="10"/>
  <c r="BK313" i="10"/>
  <c r="BP312" i="10"/>
  <c r="BL312" i="10"/>
  <c r="BK312" i="10"/>
  <c r="BP311" i="10"/>
  <c r="BM311" i="10"/>
  <c r="BL311" i="10"/>
  <c r="BK311" i="10"/>
  <c r="BP310" i="10"/>
  <c r="BL310" i="10"/>
  <c r="BK310" i="10"/>
  <c r="BP309" i="10"/>
  <c r="BL309" i="10"/>
  <c r="BK309" i="10"/>
  <c r="BP308" i="10"/>
  <c r="BL308" i="10"/>
  <c r="BK308" i="10"/>
  <c r="BP307" i="10"/>
  <c r="BL307" i="10"/>
  <c r="BM307" i="10" s="1"/>
  <c r="BK307" i="10"/>
  <c r="BP306" i="10"/>
  <c r="BL306" i="10"/>
  <c r="BM306" i="10" s="1"/>
  <c r="BK306" i="10"/>
  <c r="BP305" i="10"/>
  <c r="BL305" i="10"/>
  <c r="BK305" i="10"/>
  <c r="BP304" i="10"/>
  <c r="BL304" i="10"/>
  <c r="BK304" i="10"/>
  <c r="BO298" i="10"/>
  <c r="BN298" i="10"/>
  <c r="BP297" i="10"/>
  <c r="BL297" i="10"/>
  <c r="BK297" i="10"/>
  <c r="BO296" i="10"/>
  <c r="BN296" i="10"/>
  <c r="BP296" i="10" s="1"/>
  <c r="BL295" i="10"/>
  <c r="BK295" i="10"/>
  <c r="BP294" i="10"/>
  <c r="BL294" i="10"/>
  <c r="BK294" i="10"/>
  <c r="BP293" i="10"/>
  <c r="BL293" i="10"/>
  <c r="BM293" i="10" s="1"/>
  <c r="BK293" i="10"/>
  <c r="BP292" i="10"/>
  <c r="BL292" i="10"/>
  <c r="BK292" i="10"/>
  <c r="BP291" i="10"/>
  <c r="BL291" i="10"/>
  <c r="BK291" i="10"/>
  <c r="BP290" i="10"/>
  <c r="BL290" i="10"/>
  <c r="BK290" i="10"/>
  <c r="BP289" i="10"/>
  <c r="BL289" i="10"/>
  <c r="BK289" i="10"/>
  <c r="BM289" i="10" s="1"/>
  <c r="BP288" i="10"/>
  <c r="BL288" i="10"/>
  <c r="BK288" i="10"/>
  <c r="BM288" i="10" s="1"/>
  <c r="BP287" i="10"/>
  <c r="BL287" i="10"/>
  <c r="BK287" i="10"/>
  <c r="BP286" i="10"/>
  <c r="BL286" i="10"/>
  <c r="BK286" i="10"/>
  <c r="BP285" i="10"/>
  <c r="BL285" i="10"/>
  <c r="BK285" i="10"/>
  <c r="BM285" i="10" s="1"/>
  <c r="BP284" i="10"/>
  <c r="BL284" i="10"/>
  <c r="BK284" i="10"/>
  <c r="BM284" i="10" s="1"/>
  <c r="BP283" i="10"/>
  <c r="BL283" i="10"/>
  <c r="BK283" i="10"/>
  <c r="BP282" i="10"/>
  <c r="BL282" i="10"/>
  <c r="BM282" i="10" s="1"/>
  <c r="BK282" i="10"/>
  <c r="BP281" i="10"/>
  <c r="BL281" i="10"/>
  <c r="BK281" i="10"/>
  <c r="BP280" i="10"/>
  <c r="BL280" i="10"/>
  <c r="BK280" i="10"/>
  <c r="BP279" i="10"/>
  <c r="BL279" i="10"/>
  <c r="BM279" i="10" s="1"/>
  <c r="BK279" i="10"/>
  <c r="BP278" i="10"/>
  <c r="BL278" i="10"/>
  <c r="BM278" i="10" s="1"/>
  <c r="BK278" i="10"/>
  <c r="BP277" i="10"/>
  <c r="BL277" i="10"/>
  <c r="BL298" i="10" s="1"/>
  <c r="BK277" i="10"/>
  <c r="BO276" i="10"/>
  <c r="BN276" i="10"/>
  <c r="BP276" i="10" s="1"/>
  <c r="BP275" i="10"/>
  <c r="BL275" i="10"/>
  <c r="BM275" i="10" s="1"/>
  <c r="BK275" i="10"/>
  <c r="BP274" i="10"/>
  <c r="BL274" i="10"/>
  <c r="BM274" i="10" s="1"/>
  <c r="BK274" i="10"/>
  <c r="BP273" i="10"/>
  <c r="BL273" i="10"/>
  <c r="BK273" i="10"/>
  <c r="BP272" i="10"/>
  <c r="BL272" i="10"/>
  <c r="BK272" i="10"/>
  <c r="BP271" i="10"/>
  <c r="BL271" i="10"/>
  <c r="BM271" i="10" s="1"/>
  <c r="BK271" i="10"/>
  <c r="BP270" i="10"/>
  <c r="BL270" i="10"/>
  <c r="BM270" i="10" s="1"/>
  <c r="BK270" i="10"/>
  <c r="BP269" i="10"/>
  <c r="BL269" i="10"/>
  <c r="BK269" i="10"/>
  <c r="BP268" i="10"/>
  <c r="BL268" i="10"/>
  <c r="BK268" i="10"/>
  <c r="BP267" i="10"/>
  <c r="BL267" i="10"/>
  <c r="BM267" i="10" s="1"/>
  <c r="BK267" i="10"/>
  <c r="BP266" i="10"/>
  <c r="BL266" i="10"/>
  <c r="BM266" i="10" s="1"/>
  <c r="BK266" i="10"/>
  <c r="BP265" i="10"/>
  <c r="BL265" i="10"/>
  <c r="BK265" i="10"/>
  <c r="BP264" i="10"/>
  <c r="BL264" i="10"/>
  <c r="BK264" i="10"/>
  <c r="BP263" i="10"/>
  <c r="BL263" i="10"/>
  <c r="BM263" i="10" s="1"/>
  <c r="BK263" i="10"/>
  <c r="BP262" i="10"/>
  <c r="BL262" i="10"/>
  <c r="BM262" i="10" s="1"/>
  <c r="BK262" i="10"/>
  <c r="BP261" i="10"/>
  <c r="BL261" i="10"/>
  <c r="BK261" i="10"/>
  <c r="BP260" i="10"/>
  <c r="BL260" i="10"/>
  <c r="BK260" i="10"/>
  <c r="BP259" i="10"/>
  <c r="BL259" i="10"/>
  <c r="BM259" i="10" s="1"/>
  <c r="BK259" i="10"/>
  <c r="BP258" i="10"/>
  <c r="BL258" i="10"/>
  <c r="BM258" i="10" s="1"/>
  <c r="BK258" i="10"/>
  <c r="BP257" i="10"/>
  <c r="BL257" i="10"/>
  <c r="BK257" i="10"/>
  <c r="BP256" i="10"/>
  <c r="BL256" i="10"/>
  <c r="BK256" i="10"/>
  <c r="BP255" i="10"/>
  <c r="BL255" i="10"/>
  <c r="BK255" i="10"/>
  <c r="BO247" i="10"/>
  <c r="BP247" i="10" s="1"/>
  <c r="BN247" i="10"/>
  <c r="BP246" i="10"/>
  <c r="BL246" i="10"/>
  <c r="BK246" i="10"/>
  <c r="BO245" i="10"/>
  <c r="BN245" i="10"/>
  <c r="BP244" i="10"/>
  <c r="BP243" i="10"/>
  <c r="BL243" i="10"/>
  <c r="BK243" i="10"/>
  <c r="BP242" i="10"/>
  <c r="BL242" i="10"/>
  <c r="BM242" i="10" s="1"/>
  <c r="BK242" i="10"/>
  <c r="BP241" i="10"/>
  <c r="BL241" i="10"/>
  <c r="BK241" i="10"/>
  <c r="BP240" i="10"/>
  <c r="BL240" i="10"/>
  <c r="BK240" i="10"/>
  <c r="BP239" i="10"/>
  <c r="BM239" i="10"/>
  <c r="BL239" i="10"/>
  <c r="BK239" i="10"/>
  <c r="BP238" i="10"/>
  <c r="BM238" i="10"/>
  <c r="BL238" i="10"/>
  <c r="BK238" i="10"/>
  <c r="BP237" i="10"/>
  <c r="BM237" i="10"/>
  <c r="BL237" i="10"/>
  <c r="BK237" i="10"/>
  <c r="BP236" i="10"/>
  <c r="BM236" i="10"/>
  <c r="BL236" i="10"/>
  <c r="BK236" i="10"/>
  <c r="BP235" i="10"/>
  <c r="BM235" i="10"/>
  <c r="BL235" i="10"/>
  <c r="BK235" i="10"/>
  <c r="BP234" i="10"/>
  <c r="BM234" i="10"/>
  <c r="BL234" i="10"/>
  <c r="BK234" i="10"/>
  <c r="BP233" i="10"/>
  <c r="BM233" i="10"/>
  <c r="BL233" i="10"/>
  <c r="BK233" i="10"/>
  <c r="BP232" i="10"/>
  <c r="BM232" i="10"/>
  <c r="BL232" i="10"/>
  <c r="BK232" i="10"/>
  <c r="BP231" i="10"/>
  <c r="BM231" i="10"/>
  <c r="BL231" i="10"/>
  <c r="BK231" i="10"/>
  <c r="BP230" i="10"/>
  <c r="BM230" i="10"/>
  <c r="BL230" i="10"/>
  <c r="BK230" i="10"/>
  <c r="BP229" i="10"/>
  <c r="BM229" i="10"/>
  <c r="BL229" i="10"/>
  <c r="BK229" i="10"/>
  <c r="BP228" i="10"/>
  <c r="BM228" i="10"/>
  <c r="BL228" i="10"/>
  <c r="BK228" i="10"/>
  <c r="BP227" i="10"/>
  <c r="BM227" i="10"/>
  <c r="BL227" i="10"/>
  <c r="BK227" i="10"/>
  <c r="BP226" i="10"/>
  <c r="BM226" i="10"/>
  <c r="BL226" i="10"/>
  <c r="BK226" i="10"/>
  <c r="BP225" i="10"/>
  <c r="BM225" i="10"/>
  <c r="BL225" i="10"/>
  <c r="BK225" i="10"/>
  <c r="BO224" i="10"/>
  <c r="BP224" i="10" s="1"/>
  <c r="BN224" i="10"/>
  <c r="BL223" i="10"/>
  <c r="BK223" i="10"/>
  <c r="BP222" i="10"/>
  <c r="BL222" i="10"/>
  <c r="BK222" i="10"/>
  <c r="BP221" i="10"/>
  <c r="BL221" i="10"/>
  <c r="BK221" i="10"/>
  <c r="BP220" i="10"/>
  <c r="BL220" i="10"/>
  <c r="BK220" i="10"/>
  <c r="BP219" i="10"/>
  <c r="BL219" i="10"/>
  <c r="BK219" i="10"/>
  <c r="BP218" i="10"/>
  <c r="BL218" i="10"/>
  <c r="BM218" i="10" s="1"/>
  <c r="BK218" i="10"/>
  <c r="BP217" i="10"/>
  <c r="BL217" i="10"/>
  <c r="BM217" i="10" s="1"/>
  <c r="BK217" i="10"/>
  <c r="BP216" i="10"/>
  <c r="BL216" i="10"/>
  <c r="BK216" i="10"/>
  <c r="BP215" i="10"/>
  <c r="BL215" i="10"/>
  <c r="BK215" i="10"/>
  <c r="BP214" i="10"/>
  <c r="BL214" i="10"/>
  <c r="BM214" i="10" s="1"/>
  <c r="BK214" i="10"/>
  <c r="BP213" i="10"/>
  <c r="BL213" i="10"/>
  <c r="BM213" i="10" s="1"/>
  <c r="BK213" i="10"/>
  <c r="BP212" i="10"/>
  <c r="BL212" i="10"/>
  <c r="BK212" i="10"/>
  <c r="BO206" i="10"/>
  <c r="BN206" i="10"/>
  <c r="BP205" i="10"/>
  <c r="BL205" i="10"/>
  <c r="BK205" i="10"/>
  <c r="BO204" i="10"/>
  <c r="BP204" i="10" s="1"/>
  <c r="BN204" i="10"/>
  <c r="BP203" i="10"/>
  <c r="BL203" i="10"/>
  <c r="BK203" i="10"/>
  <c r="BP202" i="10"/>
  <c r="BL202" i="10"/>
  <c r="BK202" i="10"/>
  <c r="BM202" i="10" s="1"/>
  <c r="BP201" i="10"/>
  <c r="BL201" i="10"/>
  <c r="BK201" i="10"/>
  <c r="BP200" i="10"/>
  <c r="BL200" i="10"/>
  <c r="BK200" i="10"/>
  <c r="BP199" i="10"/>
  <c r="BL199" i="10"/>
  <c r="BK199" i="10"/>
  <c r="BM199" i="10" s="1"/>
  <c r="BP198" i="10"/>
  <c r="BL198" i="10"/>
  <c r="BK198" i="10"/>
  <c r="BM198" i="10" s="1"/>
  <c r="BP197" i="10"/>
  <c r="BL197" i="10"/>
  <c r="BK197" i="10"/>
  <c r="BP196" i="10"/>
  <c r="BL196" i="10"/>
  <c r="BK196" i="10"/>
  <c r="BP195" i="10"/>
  <c r="BL195" i="10"/>
  <c r="BK195" i="10"/>
  <c r="BM195" i="10" s="1"/>
  <c r="BP194" i="10"/>
  <c r="BL194" i="10"/>
  <c r="BK194" i="10"/>
  <c r="BM194" i="10" s="1"/>
  <c r="BP193" i="10"/>
  <c r="BL193" i="10"/>
  <c r="BK193" i="10"/>
  <c r="BP192" i="10"/>
  <c r="BL192" i="10"/>
  <c r="BK192" i="10"/>
  <c r="BP191" i="10"/>
  <c r="BL191" i="10"/>
  <c r="BK191" i="10"/>
  <c r="BM191" i="10" s="1"/>
  <c r="BP190" i="10"/>
  <c r="BL190" i="10"/>
  <c r="BK190" i="10"/>
  <c r="BM190" i="10" s="1"/>
  <c r="BP189" i="10"/>
  <c r="BL189" i="10"/>
  <c r="BK189" i="10"/>
  <c r="BP188" i="10"/>
  <c r="BL188" i="10"/>
  <c r="BK188" i="10"/>
  <c r="BP187" i="10"/>
  <c r="BL187" i="10"/>
  <c r="BK187" i="10"/>
  <c r="BM187" i="10" s="1"/>
  <c r="BP186" i="10"/>
  <c r="BL186" i="10"/>
  <c r="BK186" i="10"/>
  <c r="BM186" i="10" s="1"/>
  <c r="BP185" i="10"/>
  <c r="BL185" i="10"/>
  <c r="BK185" i="10"/>
  <c r="BP184" i="10"/>
  <c r="BL184" i="10"/>
  <c r="BK184" i="10"/>
  <c r="BP183" i="10"/>
  <c r="BL183" i="10"/>
  <c r="BK183" i="10"/>
  <c r="BM183" i="10" s="1"/>
  <c r="BP182" i="10"/>
  <c r="BL182" i="10"/>
  <c r="BK182" i="10"/>
  <c r="BM182" i="10" s="1"/>
  <c r="BP181" i="10"/>
  <c r="BL181" i="10"/>
  <c r="BK181" i="10"/>
  <c r="BP180" i="10"/>
  <c r="BL180" i="10"/>
  <c r="BK180" i="10"/>
  <c r="BP179" i="10"/>
  <c r="BL179" i="10"/>
  <c r="BK179" i="10"/>
  <c r="BM179" i="10" s="1"/>
  <c r="BO178" i="10"/>
  <c r="BP178" i="10" s="1"/>
  <c r="BN178" i="10"/>
  <c r="BP177" i="10"/>
  <c r="BL177" i="10"/>
  <c r="BK177" i="10"/>
  <c r="BP176" i="10"/>
  <c r="BL176" i="10"/>
  <c r="BK176" i="10"/>
  <c r="BP175" i="10"/>
  <c r="BL175" i="10"/>
  <c r="BK175" i="10"/>
  <c r="BP174" i="10"/>
  <c r="BL174" i="10"/>
  <c r="BK174" i="10"/>
  <c r="BP173" i="10"/>
  <c r="BL173" i="10"/>
  <c r="BK173" i="10"/>
  <c r="BP172" i="10"/>
  <c r="BL172" i="10"/>
  <c r="BK172" i="10"/>
  <c r="BM172" i="10" s="1"/>
  <c r="BP171" i="10"/>
  <c r="BL171" i="10"/>
  <c r="BK171" i="10"/>
  <c r="BM171" i="10" s="1"/>
  <c r="BP170" i="10"/>
  <c r="BL170" i="10"/>
  <c r="BK170" i="10"/>
  <c r="BP169" i="10"/>
  <c r="BL169" i="10"/>
  <c r="BM169" i="10" s="1"/>
  <c r="BK169" i="10"/>
  <c r="BP168" i="10"/>
  <c r="BL168" i="10"/>
  <c r="BK168" i="10"/>
  <c r="BP167" i="10"/>
  <c r="BL167" i="10"/>
  <c r="BK167" i="10"/>
  <c r="BP166" i="10"/>
  <c r="BL166" i="10"/>
  <c r="BM166" i="10" s="1"/>
  <c r="BK166" i="10"/>
  <c r="BP165" i="10"/>
  <c r="BL165" i="10"/>
  <c r="BM165" i="10" s="1"/>
  <c r="BK165" i="10"/>
  <c r="BP164" i="10"/>
  <c r="BL164" i="10"/>
  <c r="BK164" i="10"/>
  <c r="BP163" i="10"/>
  <c r="BL163" i="10"/>
  <c r="BK163" i="10"/>
  <c r="BP162" i="10"/>
  <c r="BL162" i="10"/>
  <c r="BK162" i="10"/>
  <c r="BO154" i="10"/>
  <c r="BP154" i="10" s="1"/>
  <c r="BN154" i="10"/>
  <c r="BP153" i="10"/>
  <c r="BL153" i="10"/>
  <c r="BK153" i="10"/>
  <c r="BO152" i="10"/>
  <c r="BN152" i="10"/>
  <c r="BL151" i="10"/>
  <c r="BK151" i="10"/>
  <c r="BP150" i="10"/>
  <c r="BL150" i="10"/>
  <c r="BK150" i="10"/>
  <c r="BP149" i="10"/>
  <c r="BL149" i="10"/>
  <c r="BK149" i="10"/>
  <c r="BP148" i="10"/>
  <c r="BL148" i="10"/>
  <c r="BK148" i="10"/>
  <c r="BP147" i="10"/>
  <c r="BL147" i="10"/>
  <c r="BK147" i="10"/>
  <c r="BP146" i="10"/>
  <c r="BL146" i="10"/>
  <c r="BK146" i="10"/>
  <c r="BP145" i="10"/>
  <c r="BL145" i="10"/>
  <c r="BK145" i="10"/>
  <c r="BP144" i="10"/>
  <c r="BL144" i="10"/>
  <c r="BK144" i="10"/>
  <c r="BP143" i="10"/>
  <c r="BL143" i="10"/>
  <c r="BK143" i="10"/>
  <c r="BP142" i="10"/>
  <c r="BL142" i="10"/>
  <c r="BK142" i="10"/>
  <c r="BP141" i="10"/>
  <c r="BL141" i="10"/>
  <c r="BM141" i="10" s="1"/>
  <c r="BK141" i="10"/>
  <c r="BP140" i="10"/>
  <c r="BL140" i="10"/>
  <c r="BM140" i="10" s="1"/>
  <c r="BK140" i="10"/>
  <c r="BP139" i="10"/>
  <c r="BL139" i="10"/>
  <c r="BK139" i="10"/>
  <c r="BP138" i="10"/>
  <c r="BL138" i="10"/>
  <c r="BK138" i="10"/>
  <c r="BP137" i="10"/>
  <c r="BL137" i="10"/>
  <c r="BK137" i="10"/>
  <c r="BP136" i="10"/>
  <c r="BM136" i="10"/>
  <c r="BL136" i="10"/>
  <c r="BK136" i="10"/>
  <c r="BP135" i="10"/>
  <c r="BL135" i="10"/>
  <c r="BK135" i="10"/>
  <c r="BP134" i="10"/>
  <c r="BL134" i="10"/>
  <c r="BK134" i="10"/>
  <c r="BP133" i="10"/>
  <c r="BL133" i="10"/>
  <c r="BK133" i="10"/>
  <c r="BM133" i="10" s="1"/>
  <c r="BP132" i="10"/>
  <c r="BL132" i="10"/>
  <c r="BK132" i="10"/>
  <c r="BP131" i="10"/>
  <c r="BL131" i="10"/>
  <c r="BK131" i="10"/>
  <c r="BP130" i="10"/>
  <c r="BL130" i="10"/>
  <c r="BK130" i="10"/>
  <c r="BM130" i="10" s="1"/>
  <c r="BO129" i="10"/>
  <c r="BP129" i="10" s="1"/>
  <c r="BN129" i="10"/>
  <c r="BL128" i="10"/>
  <c r="BK128" i="10"/>
  <c r="BP127" i="10"/>
  <c r="BL127" i="10"/>
  <c r="BK127" i="10"/>
  <c r="BP126" i="10"/>
  <c r="BL126" i="10"/>
  <c r="BM126" i="10" s="1"/>
  <c r="BK126" i="10"/>
  <c r="BP125" i="10"/>
  <c r="BL125" i="10"/>
  <c r="BK125" i="10"/>
  <c r="BP124" i="10"/>
  <c r="BL124" i="10"/>
  <c r="BM124" i="10" s="1"/>
  <c r="BK124" i="10"/>
  <c r="BP123" i="10"/>
  <c r="BL123" i="10"/>
  <c r="BK123" i="10"/>
  <c r="BL122" i="10"/>
  <c r="BK122" i="10"/>
  <c r="BP121" i="10"/>
  <c r="BL121" i="10"/>
  <c r="BK121" i="10"/>
  <c r="BP120" i="10"/>
  <c r="BL120" i="10"/>
  <c r="BM120" i="10" s="1"/>
  <c r="BK120" i="10"/>
  <c r="BP119" i="10"/>
  <c r="BL119" i="10"/>
  <c r="BM119" i="10" s="1"/>
  <c r="BK119" i="10"/>
  <c r="BP118" i="10"/>
  <c r="BL118" i="10"/>
  <c r="BM118" i="10" s="1"/>
  <c r="BK118" i="10"/>
  <c r="BP117" i="10"/>
  <c r="BL117" i="10"/>
  <c r="BM117" i="10" s="1"/>
  <c r="BK117" i="10"/>
  <c r="BP116" i="10"/>
  <c r="BL116" i="10"/>
  <c r="BM116" i="10" s="1"/>
  <c r="BK116" i="10"/>
  <c r="BP115" i="10"/>
  <c r="BL115" i="10"/>
  <c r="BM115" i="10" s="1"/>
  <c r="BK115" i="10"/>
  <c r="BP114" i="10"/>
  <c r="BL114" i="10"/>
  <c r="BM114" i="10" s="1"/>
  <c r="BK114" i="10"/>
  <c r="BP113" i="10"/>
  <c r="BL113" i="10"/>
  <c r="BM113" i="10" s="1"/>
  <c r="BK113" i="10"/>
  <c r="BP112" i="10"/>
  <c r="BL112" i="10"/>
  <c r="BM112" i="10" s="1"/>
  <c r="BK112" i="10"/>
  <c r="BP111" i="10"/>
  <c r="BL111" i="10"/>
  <c r="BL129" i="10" s="1"/>
  <c r="BK111" i="10"/>
  <c r="BP105" i="10"/>
  <c r="BL105" i="10"/>
  <c r="BM105" i="10" s="1"/>
  <c r="BK105" i="10"/>
  <c r="BO104" i="10"/>
  <c r="BN104" i="10"/>
  <c r="BL103" i="10"/>
  <c r="BK103" i="10"/>
  <c r="BL102" i="10"/>
  <c r="BK102" i="10"/>
  <c r="BP101" i="10"/>
  <c r="BL101" i="10"/>
  <c r="BK101" i="10"/>
  <c r="BP100" i="10"/>
  <c r="BL100" i="10"/>
  <c r="BK100" i="10"/>
  <c r="BP99" i="10"/>
  <c r="BL99" i="10"/>
  <c r="BK99" i="10"/>
  <c r="BP98" i="10"/>
  <c r="BL98" i="10"/>
  <c r="BK98" i="10"/>
  <c r="BP97" i="10"/>
  <c r="BL97" i="10"/>
  <c r="BK97" i="10"/>
  <c r="BP96" i="10"/>
  <c r="BL96" i="10"/>
  <c r="BK96" i="10"/>
  <c r="BP95" i="10"/>
  <c r="BL95" i="10"/>
  <c r="BK95" i="10"/>
  <c r="BM95" i="10" s="1"/>
  <c r="BP94" i="10"/>
  <c r="BL94" i="10"/>
  <c r="BK94" i="10"/>
  <c r="BM94" i="10" s="1"/>
  <c r="BP93" i="10"/>
  <c r="BL93" i="10"/>
  <c r="BK93" i="10"/>
  <c r="BP92" i="10"/>
  <c r="BL92" i="10"/>
  <c r="BM92" i="10" s="1"/>
  <c r="BK92" i="10"/>
  <c r="BP91" i="10"/>
  <c r="BL91" i="10"/>
  <c r="BK91" i="10"/>
  <c r="BK154" i="10" s="1"/>
  <c r="BO90" i="10"/>
  <c r="BN90" i="10"/>
  <c r="BL89" i="10"/>
  <c r="BK89" i="10"/>
  <c r="BL88" i="10"/>
  <c r="BK88" i="10"/>
  <c r="BL87" i="10"/>
  <c r="BK87" i="10"/>
  <c r="BL86" i="10"/>
  <c r="BK86" i="10"/>
  <c r="BL85" i="10"/>
  <c r="BK85" i="10"/>
  <c r="BP84" i="10"/>
  <c r="BL84" i="10"/>
  <c r="BK84" i="10"/>
  <c r="BP83" i="10"/>
  <c r="BL83" i="10"/>
  <c r="BK83" i="10"/>
  <c r="BP82" i="10"/>
  <c r="BL82" i="10"/>
  <c r="BK82" i="10"/>
  <c r="BP81" i="10"/>
  <c r="BL81" i="10"/>
  <c r="BK81" i="10"/>
  <c r="BP80" i="10"/>
  <c r="BL80" i="10"/>
  <c r="BK80" i="10"/>
  <c r="BP79" i="10"/>
  <c r="BL79" i="10"/>
  <c r="BK79" i="10"/>
  <c r="BP78" i="10"/>
  <c r="BL78" i="10"/>
  <c r="BK78" i="10"/>
  <c r="BP77" i="10"/>
  <c r="BL77" i="10"/>
  <c r="BK77" i="10"/>
  <c r="BP76" i="10"/>
  <c r="BL76" i="10"/>
  <c r="BK76" i="10"/>
  <c r="BP75" i="10"/>
  <c r="BL75" i="10"/>
  <c r="BK75" i="10"/>
  <c r="BP74" i="10"/>
  <c r="BL74" i="10"/>
  <c r="BM74" i="10" s="1"/>
  <c r="BK74" i="10"/>
  <c r="BP73" i="10"/>
  <c r="BL73" i="10"/>
  <c r="BM73" i="10" s="1"/>
  <c r="BK73" i="10"/>
  <c r="BP72" i="10"/>
  <c r="BL72" i="10"/>
  <c r="BK72" i="10"/>
  <c r="BP71" i="10"/>
  <c r="BL71" i="10"/>
  <c r="BK71" i="10"/>
  <c r="BP70" i="10"/>
  <c r="BL70" i="10"/>
  <c r="BK70" i="10"/>
  <c r="BP69" i="10"/>
  <c r="BM69" i="10"/>
  <c r="BL69" i="10"/>
  <c r="BK69" i="10"/>
  <c r="BP68" i="10"/>
  <c r="BM68" i="10"/>
  <c r="BL68" i="10"/>
  <c r="BK68" i="10"/>
  <c r="BP67" i="10"/>
  <c r="BM67" i="10"/>
  <c r="BL67" i="10"/>
  <c r="BK67" i="10"/>
  <c r="BP66" i="10"/>
  <c r="BL66" i="10"/>
  <c r="BM66" i="10" s="1"/>
  <c r="BK66" i="10"/>
  <c r="BO60" i="10"/>
  <c r="BR60" i="10" s="1"/>
  <c r="BS60" i="10" s="1"/>
  <c r="BN60" i="10"/>
  <c r="BP59" i="10"/>
  <c r="BL59" i="10"/>
  <c r="BK59" i="10"/>
  <c r="BO58" i="10"/>
  <c r="BP58" i="10" s="1"/>
  <c r="BN58" i="10"/>
  <c r="BL57" i="10"/>
  <c r="BK57" i="10"/>
  <c r="BP56" i="10"/>
  <c r="BL56" i="10"/>
  <c r="BK56" i="10"/>
  <c r="BP55" i="10"/>
  <c r="BL55" i="10"/>
  <c r="BK55" i="10"/>
  <c r="BM55" i="10" s="1"/>
  <c r="BP54" i="10"/>
  <c r="BL54" i="10"/>
  <c r="BK54" i="10"/>
  <c r="BM54" i="10" s="1"/>
  <c r="BP53" i="10"/>
  <c r="BL53" i="10"/>
  <c r="BK53" i="10"/>
  <c r="BP52" i="10"/>
  <c r="BL52" i="10"/>
  <c r="BM52" i="10" s="1"/>
  <c r="BK52" i="10"/>
  <c r="BP51" i="10"/>
  <c r="BL51" i="10"/>
  <c r="BK51" i="10"/>
  <c r="BP50" i="10"/>
  <c r="BL50" i="10"/>
  <c r="BK50" i="10"/>
  <c r="BP49" i="10"/>
  <c r="BL49" i="10"/>
  <c r="BK49" i="10"/>
  <c r="BP48" i="10"/>
  <c r="BL48" i="10"/>
  <c r="BK48" i="10"/>
  <c r="BO47" i="10"/>
  <c r="BN47" i="10"/>
  <c r="BL46" i="10"/>
  <c r="BK46" i="10"/>
  <c r="BL45" i="10"/>
  <c r="BK45" i="10"/>
  <c r="BP44" i="10"/>
  <c r="BL44" i="10"/>
  <c r="BK44" i="10"/>
  <c r="BP43" i="10"/>
  <c r="BM43" i="10"/>
  <c r="BL43" i="10"/>
  <c r="BK43" i="10"/>
  <c r="BP42" i="10"/>
  <c r="BL42" i="10"/>
  <c r="BK42" i="10"/>
  <c r="BP41" i="10"/>
  <c r="BL41" i="10"/>
  <c r="BK41" i="10"/>
  <c r="BP40" i="10"/>
  <c r="BL40" i="10"/>
  <c r="BK40" i="10"/>
  <c r="BP39" i="10"/>
  <c r="BL39" i="10"/>
  <c r="BM39" i="10" s="1"/>
  <c r="BK39" i="10"/>
  <c r="BP38" i="10"/>
  <c r="BL38" i="10"/>
  <c r="BM38" i="10" s="1"/>
  <c r="BK38" i="10"/>
  <c r="BP37" i="10"/>
  <c r="BL37" i="10"/>
  <c r="BK37" i="10"/>
  <c r="BP36" i="10"/>
  <c r="BL36" i="10"/>
  <c r="BK36" i="10"/>
  <c r="BP35" i="10"/>
  <c r="BL35" i="10"/>
  <c r="BM35" i="10" s="1"/>
  <c r="BK35" i="10"/>
  <c r="BP34" i="10"/>
  <c r="BL34" i="10"/>
  <c r="BM34" i="10" s="1"/>
  <c r="BK34" i="10"/>
  <c r="BP33" i="10"/>
  <c r="BL33" i="10"/>
  <c r="BK33" i="10"/>
  <c r="BP32" i="10"/>
  <c r="BL32" i="10"/>
  <c r="BK32" i="10"/>
  <c r="BP31" i="10"/>
  <c r="BL31" i="10"/>
  <c r="BM31" i="10" s="1"/>
  <c r="BK31" i="10"/>
  <c r="BP30" i="10"/>
  <c r="BL30" i="10"/>
  <c r="BM30" i="10" s="1"/>
  <c r="BK30" i="10"/>
  <c r="BP29" i="10"/>
  <c r="BL29" i="10"/>
  <c r="BK29" i="10"/>
  <c r="BK47" i="10" s="1"/>
  <c r="BP28" i="10"/>
  <c r="BL28" i="10"/>
  <c r="BK28" i="10"/>
  <c r="BO27" i="10"/>
  <c r="BN27" i="10"/>
  <c r="BL26" i="10"/>
  <c r="BK26" i="10"/>
  <c r="BP25" i="10"/>
  <c r="BL25" i="10"/>
  <c r="BK25" i="10"/>
  <c r="BP24" i="10"/>
  <c r="BL24" i="10"/>
  <c r="BK24" i="10"/>
  <c r="BP23" i="10"/>
  <c r="BL23" i="10"/>
  <c r="BK23" i="10"/>
  <c r="BP22" i="10"/>
  <c r="BL22" i="10"/>
  <c r="BK22" i="10"/>
  <c r="BP21" i="10"/>
  <c r="BL21" i="10"/>
  <c r="BM21" i="10" s="1"/>
  <c r="BK21" i="10"/>
  <c r="BP20" i="10"/>
  <c r="BL20" i="10"/>
  <c r="BM20" i="10" s="1"/>
  <c r="BK20" i="10"/>
  <c r="BP19" i="10"/>
  <c r="BL19" i="10"/>
  <c r="BK19" i="10"/>
  <c r="BP18" i="10"/>
  <c r="BL18" i="10"/>
  <c r="BK18" i="10"/>
  <c r="BP17" i="10"/>
  <c r="BL17" i="10"/>
  <c r="BK17" i="10"/>
  <c r="BP16" i="10"/>
  <c r="BL16" i="10"/>
  <c r="BK16" i="10"/>
  <c r="BP15" i="10"/>
  <c r="BL15" i="10"/>
  <c r="BK15" i="10"/>
  <c r="BM15" i="10" s="1"/>
  <c r="BP14" i="10"/>
  <c r="BL14" i="10"/>
  <c r="BK14" i="10"/>
  <c r="BM14" i="10" s="1"/>
  <c r="BP13" i="10"/>
  <c r="BL13" i="10"/>
  <c r="BK13" i="10"/>
  <c r="BP12" i="10"/>
  <c r="BL12" i="10"/>
  <c r="BK12" i="10"/>
  <c r="BO11" i="10"/>
  <c r="BN11" i="10"/>
  <c r="BL10" i="10"/>
  <c r="BK10" i="10"/>
  <c r="BP9" i="10"/>
  <c r="BL9" i="10"/>
  <c r="BK9" i="10"/>
  <c r="BP8" i="10"/>
  <c r="BL8" i="10"/>
  <c r="BK8" i="10"/>
  <c r="BP7" i="10"/>
  <c r="BL7" i="10"/>
  <c r="BK7" i="10"/>
  <c r="BP6" i="10"/>
  <c r="BL6" i="10"/>
  <c r="BK6" i="10"/>
  <c r="BP5" i="10"/>
  <c r="BL5" i="10"/>
  <c r="BK5" i="10"/>
  <c r="BO49" i="9"/>
  <c r="BK49" i="9"/>
  <c r="BJ49" i="9"/>
  <c r="BL49" i="9" s="1"/>
  <c r="BN48" i="9"/>
  <c r="BO48" i="9" s="1"/>
  <c r="BM48" i="9"/>
  <c r="BK47" i="9"/>
  <c r="BJ47" i="9"/>
  <c r="BK46" i="9"/>
  <c r="BJ46" i="9"/>
  <c r="BK45" i="9"/>
  <c r="BJ45" i="9"/>
  <c r="BK44" i="9"/>
  <c r="BJ44" i="9"/>
  <c r="BK43" i="9"/>
  <c r="BJ43" i="9"/>
  <c r="BK42" i="9"/>
  <c r="BJ42" i="9"/>
  <c r="BK41" i="9"/>
  <c r="BJ41" i="9"/>
  <c r="BO40" i="9"/>
  <c r="BK40" i="9"/>
  <c r="BJ40" i="9"/>
  <c r="BO39" i="9"/>
  <c r="BK39" i="9"/>
  <c r="BJ39" i="9"/>
  <c r="BO38" i="9"/>
  <c r="BK38" i="9"/>
  <c r="BJ38" i="9"/>
  <c r="BO37" i="9"/>
  <c r="BK37" i="9"/>
  <c r="BJ37" i="9"/>
  <c r="BO36" i="9"/>
  <c r="BK36" i="9"/>
  <c r="BJ36" i="9"/>
  <c r="BL36" i="9" s="1"/>
  <c r="BO35" i="9"/>
  <c r="BK35" i="9"/>
  <c r="BJ35" i="9"/>
  <c r="BO34" i="9"/>
  <c r="BK34" i="9"/>
  <c r="BK48" i="9" s="1"/>
  <c r="BJ34" i="9"/>
  <c r="BO33" i="9"/>
  <c r="BK33" i="9"/>
  <c r="BJ33" i="9"/>
  <c r="BL33" i="9" s="1"/>
  <c r="BN32" i="9"/>
  <c r="BO32" i="9" s="1"/>
  <c r="BM32" i="9"/>
  <c r="BO31" i="9"/>
  <c r="BK31" i="9"/>
  <c r="BJ31" i="9"/>
  <c r="BO30" i="9"/>
  <c r="BK30" i="9"/>
  <c r="BJ30" i="9"/>
  <c r="BO29" i="9"/>
  <c r="BK29" i="9"/>
  <c r="BJ29" i="9"/>
  <c r="BO28" i="9"/>
  <c r="BK28" i="9"/>
  <c r="BJ28" i="9"/>
  <c r="BO27" i="9"/>
  <c r="BK27" i="9"/>
  <c r="BJ27" i="9"/>
  <c r="BO26" i="9"/>
  <c r="BK26" i="9"/>
  <c r="BJ26" i="9"/>
  <c r="BO25" i="9"/>
  <c r="BK25" i="9"/>
  <c r="BJ25" i="9"/>
  <c r="BO24" i="9"/>
  <c r="BK24" i="9"/>
  <c r="BJ24" i="9"/>
  <c r="BL24" i="9" s="1"/>
  <c r="BO23" i="9"/>
  <c r="BK23" i="9"/>
  <c r="BJ23" i="9"/>
  <c r="BL23" i="9" s="1"/>
  <c r="BO22" i="9"/>
  <c r="BK22" i="9"/>
  <c r="BJ22" i="9"/>
  <c r="BO21" i="9"/>
  <c r="BK21" i="9"/>
  <c r="BJ21" i="9"/>
  <c r="BO20" i="9"/>
  <c r="BK20" i="9"/>
  <c r="BL20" i="9" s="1"/>
  <c r="BJ20" i="9"/>
  <c r="BO19" i="9"/>
  <c r="BK19" i="9"/>
  <c r="BJ19" i="9"/>
  <c r="BK18" i="9"/>
  <c r="BJ18" i="9"/>
  <c r="BO17" i="9"/>
  <c r="BK17" i="9"/>
  <c r="BL17" i="9" s="1"/>
  <c r="BJ17" i="9"/>
  <c r="BO16" i="9"/>
  <c r="BK16" i="9"/>
  <c r="BJ16" i="9"/>
  <c r="BO15" i="9"/>
  <c r="BK15" i="9"/>
  <c r="BJ15" i="9"/>
  <c r="BO14" i="9"/>
  <c r="BK14" i="9"/>
  <c r="BL14" i="9" s="1"/>
  <c r="BJ14" i="9"/>
  <c r="BO13" i="9"/>
  <c r="BK13" i="9"/>
  <c r="BL13" i="9" s="1"/>
  <c r="BJ13" i="9"/>
  <c r="BO12" i="9"/>
  <c r="BK12" i="9"/>
  <c r="BJ12" i="9"/>
  <c r="BO11" i="9"/>
  <c r="BK11" i="9"/>
  <c r="BJ11" i="9"/>
  <c r="BO10" i="9"/>
  <c r="BK10" i="9"/>
  <c r="BL10" i="9" s="1"/>
  <c r="BJ10" i="9"/>
  <c r="BO9" i="9"/>
  <c r="BK9" i="9"/>
  <c r="BL9" i="9" s="1"/>
  <c r="BJ9" i="9"/>
  <c r="BO8" i="9"/>
  <c r="BK8" i="9"/>
  <c r="BJ8" i="9"/>
  <c r="BO7" i="9"/>
  <c r="BK7" i="9"/>
  <c r="BJ7" i="9"/>
  <c r="BO6" i="9"/>
  <c r="BK6" i="9"/>
  <c r="BL6" i="9" s="1"/>
  <c r="BJ6" i="9"/>
  <c r="BO5" i="9"/>
  <c r="BK5" i="9"/>
  <c r="BL5" i="9" s="1"/>
  <c r="BJ5" i="9"/>
  <c r="BO98" i="8"/>
  <c r="BN98" i="8"/>
  <c r="BP97" i="8"/>
  <c r="BL97" i="8"/>
  <c r="BK97" i="8"/>
  <c r="BO96" i="8"/>
  <c r="BN96" i="8"/>
  <c r="BL95" i="8"/>
  <c r="BK95" i="8"/>
  <c r="BL94" i="8"/>
  <c r="BK94" i="8"/>
  <c r="BL93" i="8"/>
  <c r="BK93" i="8"/>
  <c r="BP92" i="8"/>
  <c r="BL92" i="8"/>
  <c r="BK92" i="8"/>
  <c r="BP91" i="8"/>
  <c r="BL91" i="8"/>
  <c r="BK91" i="8"/>
  <c r="BP90" i="8"/>
  <c r="BL90" i="8"/>
  <c r="BK90" i="8"/>
  <c r="BP89" i="8"/>
  <c r="BL89" i="8"/>
  <c r="BK89" i="8"/>
  <c r="BP88" i="8"/>
  <c r="BL88" i="8"/>
  <c r="BK88" i="8"/>
  <c r="BP87" i="8"/>
  <c r="BL87" i="8"/>
  <c r="BK87" i="8"/>
  <c r="BP86" i="8"/>
  <c r="BL86" i="8"/>
  <c r="BK86" i="8"/>
  <c r="BP85" i="8"/>
  <c r="BL85" i="8"/>
  <c r="BK85" i="8"/>
  <c r="BM85" i="8" s="1"/>
  <c r="BP84" i="8"/>
  <c r="BL84" i="8"/>
  <c r="BK84" i="8"/>
  <c r="BM84" i="8" s="1"/>
  <c r="BP83" i="8"/>
  <c r="BL83" i="8"/>
  <c r="BK83" i="8"/>
  <c r="BP82" i="8"/>
  <c r="BL82" i="8"/>
  <c r="BK82" i="8"/>
  <c r="BP81" i="8"/>
  <c r="BL81" i="8"/>
  <c r="BK81" i="8"/>
  <c r="BM81" i="8" s="1"/>
  <c r="BP80" i="8"/>
  <c r="BL80" i="8"/>
  <c r="BK80" i="8"/>
  <c r="BM80" i="8" s="1"/>
  <c r="BP79" i="8"/>
  <c r="BL79" i="8"/>
  <c r="BK79" i="8"/>
  <c r="BP78" i="8"/>
  <c r="BL78" i="8"/>
  <c r="BK78" i="8"/>
  <c r="BP77" i="8"/>
  <c r="BL77" i="8"/>
  <c r="BK77" i="8"/>
  <c r="BM77" i="8" s="1"/>
  <c r="BP76" i="8"/>
  <c r="BL76" i="8"/>
  <c r="BK76" i="8"/>
  <c r="BM76" i="8" s="1"/>
  <c r="BP75" i="8"/>
  <c r="BL75" i="8"/>
  <c r="BK75" i="8"/>
  <c r="BP74" i="8"/>
  <c r="BL74" i="8"/>
  <c r="BK74" i="8"/>
  <c r="BP73" i="8"/>
  <c r="BL73" i="8"/>
  <c r="BK73" i="8"/>
  <c r="BM73" i="8" s="1"/>
  <c r="BP72" i="8"/>
  <c r="BL72" i="8"/>
  <c r="BK72" i="8"/>
  <c r="BP71" i="8"/>
  <c r="BL71" i="8"/>
  <c r="BL98" i="8" s="1"/>
  <c r="BK71" i="8"/>
  <c r="BO70" i="8"/>
  <c r="BN70" i="8"/>
  <c r="BL69" i="8"/>
  <c r="BK69" i="8"/>
  <c r="BL68" i="8"/>
  <c r="BK68" i="8"/>
  <c r="BL67" i="8"/>
  <c r="BK67" i="8"/>
  <c r="BP66" i="8"/>
  <c r="BL66" i="8"/>
  <c r="BK66" i="8"/>
  <c r="BP65" i="8"/>
  <c r="BL65" i="8"/>
  <c r="BK65" i="8"/>
  <c r="BP64" i="8"/>
  <c r="BL64" i="8"/>
  <c r="BK64" i="8"/>
  <c r="BP63" i="8"/>
  <c r="BL63" i="8"/>
  <c r="BK63" i="8"/>
  <c r="BP62" i="8"/>
  <c r="BL62" i="8"/>
  <c r="BM62" i="8" s="1"/>
  <c r="BK62" i="8"/>
  <c r="BP61" i="8"/>
  <c r="BL61" i="8"/>
  <c r="BK61" i="8"/>
  <c r="BP60" i="8"/>
  <c r="BL60" i="8"/>
  <c r="BK60" i="8"/>
  <c r="BP59" i="8"/>
  <c r="BL59" i="8"/>
  <c r="BK59" i="8"/>
  <c r="BP58" i="8"/>
  <c r="BL58" i="8"/>
  <c r="BK58" i="8"/>
  <c r="BP57" i="8"/>
  <c r="BL57" i="8"/>
  <c r="BK57" i="8"/>
  <c r="BP56" i="8"/>
  <c r="BL56" i="8"/>
  <c r="BK56" i="8"/>
  <c r="BP55" i="8"/>
  <c r="BL55" i="8"/>
  <c r="BK55" i="8"/>
  <c r="BP54" i="8"/>
  <c r="BL54" i="8"/>
  <c r="BK54" i="8"/>
  <c r="BP53" i="8"/>
  <c r="BL53" i="8"/>
  <c r="BK53" i="8"/>
  <c r="BM53" i="8" s="1"/>
  <c r="BP52" i="8"/>
  <c r="BL52" i="8"/>
  <c r="BK52" i="8"/>
  <c r="BM52" i="8" s="1"/>
  <c r="BP51" i="8"/>
  <c r="BL51" i="8"/>
  <c r="BK51" i="8"/>
  <c r="BP50" i="8"/>
  <c r="BL50" i="8"/>
  <c r="BK50" i="8"/>
  <c r="BO49" i="8"/>
  <c r="BN49" i="8"/>
  <c r="BP48" i="8"/>
  <c r="BL48" i="8"/>
  <c r="BK48" i="8"/>
  <c r="BO47" i="8"/>
  <c r="BN47" i="8"/>
  <c r="BL46" i="8"/>
  <c r="BK46" i="8"/>
  <c r="BL45" i="8"/>
  <c r="BK45" i="8"/>
  <c r="BL44" i="8"/>
  <c r="BK44" i="8"/>
  <c r="BL43" i="8"/>
  <c r="BK43" i="8"/>
  <c r="BL42" i="8"/>
  <c r="BK42" i="8"/>
  <c r="BL41" i="8"/>
  <c r="BK41" i="8"/>
  <c r="BP40" i="8"/>
  <c r="BL40" i="8"/>
  <c r="BK40" i="8"/>
  <c r="BP39" i="8"/>
  <c r="BL39" i="8"/>
  <c r="BK39" i="8"/>
  <c r="BL38" i="8"/>
  <c r="BK38" i="8"/>
  <c r="BP37" i="8"/>
  <c r="BL37" i="8"/>
  <c r="BK37" i="8"/>
  <c r="BM37" i="8" s="1"/>
  <c r="BP36" i="8"/>
  <c r="BL36" i="8"/>
  <c r="BK36" i="8"/>
  <c r="BP35" i="8"/>
  <c r="BL35" i="8"/>
  <c r="BK35" i="8"/>
  <c r="BP34" i="8"/>
  <c r="BL34" i="8"/>
  <c r="BK34" i="8"/>
  <c r="BM34" i="8" s="1"/>
  <c r="BP33" i="8"/>
  <c r="BL33" i="8"/>
  <c r="BK33" i="8"/>
  <c r="BM33" i="8" s="1"/>
  <c r="BP32" i="8"/>
  <c r="BL32" i="8"/>
  <c r="BK32" i="8"/>
  <c r="BP31" i="8"/>
  <c r="BL31" i="8"/>
  <c r="BK31" i="8"/>
  <c r="BP30" i="8"/>
  <c r="BL30" i="8"/>
  <c r="BK30" i="8"/>
  <c r="BK47" i="8" s="1"/>
  <c r="BP29" i="8"/>
  <c r="BL29" i="8"/>
  <c r="BK29" i="8"/>
  <c r="BK49" i="8" s="1"/>
  <c r="BO28" i="8"/>
  <c r="BP28" i="8" s="1"/>
  <c r="BN28" i="8"/>
  <c r="BL27" i="8"/>
  <c r="BK27" i="8"/>
  <c r="BL26" i="8"/>
  <c r="BK26" i="8"/>
  <c r="BL25" i="8"/>
  <c r="BK25" i="8"/>
  <c r="BL24" i="8"/>
  <c r="BK24" i="8"/>
  <c r="BL23" i="8"/>
  <c r="BK23" i="8"/>
  <c r="BL22" i="8"/>
  <c r="BK22" i="8"/>
  <c r="BL21" i="8"/>
  <c r="BK21" i="8"/>
  <c r="BP20" i="8"/>
  <c r="BL20" i="8"/>
  <c r="BK20" i="8"/>
  <c r="BP19" i="8"/>
  <c r="BM19" i="8"/>
  <c r="BL19" i="8"/>
  <c r="BK19" i="8"/>
  <c r="BP18" i="8"/>
  <c r="BL18" i="8"/>
  <c r="BK18" i="8"/>
  <c r="BP17" i="8"/>
  <c r="BL17" i="8"/>
  <c r="BK17" i="8"/>
  <c r="BP16" i="8"/>
  <c r="BL16" i="8"/>
  <c r="BK16" i="8"/>
  <c r="BM16" i="8" s="1"/>
  <c r="BP15" i="8"/>
  <c r="BL15" i="8"/>
  <c r="BK15" i="8"/>
  <c r="BP14" i="8"/>
  <c r="BL14" i="8"/>
  <c r="BM14" i="8" s="1"/>
  <c r="BK14" i="8"/>
  <c r="BP13" i="8"/>
  <c r="BL13" i="8"/>
  <c r="BK13" i="8"/>
  <c r="BP12" i="8"/>
  <c r="BL12" i="8"/>
  <c r="BK12" i="8"/>
  <c r="BP11" i="8"/>
  <c r="BL11" i="8"/>
  <c r="BM11" i="8" s="1"/>
  <c r="BK11" i="8"/>
  <c r="BP10" i="8"/>
  <c r="BL10" i="8"/>
  <c r="BM10" i="8" s="1"/>
  <c r="BK10" i="8"/>
  <c r="BP9" i="8"/>
  <c r="BL9" i="8"/>
  <c r="BK9" i="8"/>
  <c r="BP8" i="8"/>
  <c r="BL8" i="8"/>
  <c r="BK8" i="8"/>
  <c r="BP7" i="8"/>
  <c r="BL7" i="8"/>
  <c r="BM7" i="8" s="1"/>
  <c r="BK7" i="8"/>
  <c r="BP6" i="8"/>
  <c r="BL6" i="8"/>
  <c r="BL28" i="8" s="1"/>
  <c r="BK6" i="8"/>
  <c r="BO266" i="7"/>
  <c r="BK266" i="7"/>
  <c r="BJ266" i="7"/>
  <c r="BN265" i="7"/>
  <c r="BO265" i="7" s="1"/>
  <c r="BM265" i="7"/>
  <c r="BK264" i="7"/>
  <c r="BJ264" i="7"/>
  <c r="BO263" i="7"/>
  <c r="BK263" i="7"/>
  <c r="BJ263" i="7"/>
  <c r="BK262" i="7"/>
  <c r="BJ262" i="7"/>
  <c r="BO261" i="7"/>
  <c r="BK261" i="7"/>
  <c r="BL261" i="7" s="1"/>
  <c r="BJ261" i="7"/>
  <c r="BO260" i="7"/>
  <c r="BK260" i="7"/>
  <c r="BL260" i="7" s="1"/>
  <c r="BJ260" i="7"/>
  <c r="BO259" i="7"/>
  <c r="BK259" i="7"/>
  <c r="BJ259" i="7"/>
  <c r="BO258" i="7"/>
  <c r="BK258" i="7"/>
  <c r="BJ258" i="7"/>
  <c r="BO257" i="7"/>
  <c r="BK257" i="7"/>
  <c r="BL257" i="7" s="1"/>
  <c r="BJ257" i="7"/>
  <c r="BO256" i="7"/>
  <c r="BK256" i="7"/>
  <c r="BL256" i="7" s="1"/>
  <c r="BJ256" i="7"/>
  <c r="BO255" i="7"/>
  <c r="BK255" i="7"/>
  <c r="BJ255" i="7"/>
  <c r="BO254" i="7"/>
  <c r="BK254" i="7"/>
  <c r="BJ254" i="7"/>
  <c r="BO253" i="7"/>
  <c r="BK253" i="7"/>
  <c r="BL253" i="7" s="1"/>
  <c r="BJ253" i="7"/>
  <c r="BO252" i="7"/>
  <c r="BK252" i="7"/>
  <c r="BL252" i="7" s="1"/>
  <c r="BJ252" i="7"/>
  <c r="BO251" i="7"/>
  <c r="BK251" i="7"/>
  <c r="BJ251" i="7"/>
  <c r="BO250" i="7"/>
  <c r="BK250" i="7"/>
  <c r="BJ250" i="7"/>
  <c r="BJ249" i="7" s="1"/>
  <c r="BN249" i="7"/>
  <c r="BO249" i="7" s="1"/>
  <c r="BM249" i="7"/>
  <c r="BO248" i="7"/>
  <c r="BK248" i="7"/>
  <c r="BJ248" i="7"/>
  <c r="BO247" i="7"/>
  <c r="BL247" i="7"/>
  <c r="BK247" i="7"/>
  <c r="BJ247" i="7"/>
  <c r="BO246" i="7"/>
  <c r="BL246" i="7"/>
  <c r="BK246" i="7"/>
  <c r="BJ246" i="7"/>
  <c r="BO245" i="7"/>
  <c r="BL245" i="7"/>
  <c r="BK245" i="7"/>
  <c r="BJ245" i="7"/>
  <c r="BO244" i="7"/>
  <c r="BL244" i="7"/>
  <c r="BK244" i="7"/>
  <c r="BJ244" i="7"/>
  <c r="BO243" i="7"/>
  <c r="BL243" i="7"/>
  <c r="BK243" i="7"/>
  <c r="BJ243" i="7"/>
  <c r="BO242" i="7"/>
  <c r="BL242" i="7"/>
  <c r="BK242" i="7"/>
  <c r="BJ242" i="7"/>
  <c r="BO241" i="7"/>
  <c r="BL241" i="7"/>
  <c r="BK241" i="7"/>
  <c r="BJ241" i="7"/>
  <c r="BO240" i="7"/>
  <c r="BL240" i="7"/>
  <c r="BK240" i="7"/>
  <c r="BJ240" i="7"/>
  <c r="BO239" i="7"/>
  <c r="BL239" i="7"/>
  <c r="BK239" i="7"/>
  <c r="BJ239" i="7"/>
  <c r="BO238" i="7"/>
  <c r="BL238" i="7"/>
  <c r="BK238" i="7"/>
  <c r="BJ238" i="7"/>
  <c r="BO237" i="7"/>
  <c r="BL237" i="7"/>
  <c r="BK237" i="7"/>
  <c r="BJ237" i="7"/>
  <c r="BO236" i="7"/>
  <c r="BL236" i="7"/>
  <c r="BK236" i="7"/>
  <c r="BJ236" i="7"/>
  <c r="BO235" i="7"/>
  <c r="BL235" i="7"/>
  <c r="BK235" i="7"/>
  <c r="BJ235" i="7"/>
  <c r="BO234" i="7"/>
  <c r="BL234" i="7"/>
  <c r="BK234" i="7"/>
  <c r="BJ234" i="7"/>
  <c r="BO233" i="7"/>
  <c r="BL233" i="7"/>
  <c r="BK233" i="7"/>
  <c r="BJ233" i="7"/>
  <c r="BO232" i="7"/>
  <c r="BL232" i="7"/>
  <c r="BK232" i="7"/>
  <c r="BJ232" i="7"/>
  <c r="BO231" i="7"/>
  <c r="BL231" i="7"/>
  <c r="BK231" i="7"/>
  <c r="BJ231" i="7"/>
  <c r="BO230" i="7"/>
  <c r="BL230" i="7"/>
  <c r="BK230" i="7"/>
  <c r="BJ230" i="7"/>
  <c r="BO229" i="7"/>
  <c r="BL229" i="7"/>
  <c r="BK229" i="7"/>
  <c r="BJ229" i="7"/>
  <c r="BO228" i="7"/>
  <c r="BL228" i="7"/>
  <c r="BK228" i="7"/>
  <c r="BJ228" i="7"/>
  <c r="BO227" i="7"/>
  <c r="BL227" i="7"/>
  <c r="BK227" i="7"/>
  <c r="BJ227" i="7"/>
  <c r="BO226" i="7"/>
  <c r="BL226" i="7"/>
  <c r="BK226" i="7"/>
  <c r="BJ226" i="7"/>
  <c r="BO225" i="7"/>
  <c r="BL225" i="7"/>
  <c r="BK225" i="7"/>
  <c r="BJ225" i="7"/>
  <c r="BO224" i="7"/>
  <c r="BL224" i="7"/>
  <c r="BK224" i="7"/>
  <c r="BJ224" i="7"/>
  <c r="BO217" i="7"/>
  <c r="BL217" i="7"/>
  <c r="BK217" i="7"/>
  <c r="BJ217" i="7"/>
  <c r="BN216" i="7"/>
  <c r="BM216" i="7"/>
  <c r="BO215" i="7"/>
  <c r="BK215" i="7"/>
  <c r="BL215" i="7" s="1"/>
  <c r="BJ215" i="7"/>
  <c r="BO214" i="7"/>
  <c r="BK214" i="7"/>
  <c r="BL214" i="7" s="1"/>
  <c r="BJ214" i="7"/>
  <c r="BO213" i="7"/>
  <c r="BK213" i="7"/>
  <c r="BL213" i="7" s="1"/>
  <c r="BJ213" i="7"/>
  <c r="BO212" i="7"/>
  <c r="BK212" i="7"/>
  <c r="BJ212" i="7"/>
  <c r="BO211" i="7"/>
  <c r="BK211" i="7"/>
  <c r="BJ211" i="7"/>
  <c r="BO210" i="7"/>
  <c r="BK210" i="7"/>
  <c r="BJ210" i="7"/>
  <c r="BO209" i="7"/>
  <c r="BK209" i="7"/>
  <c r="BJ209" i="7"/>
  <c r="BO208" i="7"/>
  <c r="BK208" i="7"/>
  <c r="BJ208" i="7"/>
  <c r="BL208" i="7" s="1"/>
  <c r="BO207" i="7"/>
  <c r="BK207" i="7"/>
  <c r="BJ207" i="7"/>
  <c r="BO206" i="7"/>
  <c r="BK206" i="7"/>
  <c r="BJ206" i="7"/>
  <c r="BO205" i="7"/>
  <c r="BK205" i="7"/>
  <c r="BJ205" i="7"/>
  <c r="BO204" i="7"/>
  <c r="BK204" i="7"/>
  <c r="BJ204" i="7"/>
  <c r="BL204" i="7" s="1"/>
  <c r="BO203" i="7"/>
  <c r="BK203" i="7"/>
  <c r="BJ203" i="7"/>
  <c r="BO202" i="7"/>
  <c r="BK202" i="7"/>
  <c r="BJ202" i="7"/>
  <c r="BN201" i="7"/>
  <c r="BM201" i="7"/>
  <c r="BK200" i="7"/>
  <c r="BJ200" i="7"/>
  <c r="BO199" i="7"/>
  <c r="BK199" i="7"/>
  <c r="BJ199" i="7"/>
  <c r="BO198" i="7"/>
  <c r="BK198" i="7"/>
  <c r="BJ198" i="7"/>
  <c r="BO197" i="7"/>
  <c r="BK197" i="7"/>
  <c r="BJ197" i="7"/>
  <c r="BO196" i="7"/>
  <c r="BK196" i="7"/>
  <c r="BL196" i="7" s="1"/>
  <c r="BJ196" i="7"/>
  <c r="BO195" i="7"/>
  <c r="BK195" i="7"/>
  <c r="BL195" i="7" s="1"/>
  <c r="BJ195" i="7"/>
  <c r="BO194" i="7"/>
  <c r="BK194" i="7"/>
  <c r="BJ194" i="7"/>
  <c r="BO193" i="7"/>
  <c r="BK193" i="7"/>
  <c r="BJ193" i="7"/>
  <c r="BO192" i="7"/>
  <c r="BK192" i="7"/>
  <c r="BL192" i="7" s="1"/>
  <c r="BJ192" i="7"/>
  <c r="BO191" i="7"/>
  <c r="BK191" i="7"/>
  <c r="BL191" i="7" s="1"/>
  <c r="BJ191" i="7"/>
  <c r="BO190" i="7"/>
  <c r="BK190" i="7"/>
  <c r="BJ190" i="7"/>
  <c r="BO189" i="7"/>
  <c r="BK189" i="7"/>
  <c r="BJ189" i="7"/>
  <c r="BO188" i="7"/>
  <c r="BK188" i="7"/>
  <c r="BL188" i="7" s="1"/>
  <c r="BJ188" i="7"/>
  <c r="BO187" i="7"/>
  <c r="BK187" i="7"/>
  <c r="BL187" i="7" s="1"/>
  <c r="BJ187" i="7"/>
  <c r="BO186" i="7"/>
  <c r="BK186" i="7"/>
  <c r="BJ186" i="7"/>
  <c r="BO185" i="7"/>
  <c r="BK185" i="7"/>
  <c r="BJ185" i="7"/>
  <c r="BO184" i="7"/>
  <c r="BK184" i="7"/>
  <c r="BL184" i="7" s="1"/>
  <c r="BJ184" i="7"/>
  <c r="BO183" i="7"/>
  <c r="BK183" i="7"/>
  <c r="BL183" i="7" s="1"/>
  <c r="BJ183" i="7"/>
  <c r="BO182" i="7"/>
  <c r="BK182" i="7"/>
  <c r="BJ182" i="7"/>
  <c r="BO181" i="7"/>
  <c r="BK181" i="7"/>
  <c r="BJ181" i="7"/>
  <c r="BO174" i="7"/>
  <c r="BK174" i="7"/>
  <c r="BL174" i="7" s="1"/>
  <c r="BJ174" i="7"/>
  <c r="BN173" i="7"/>
  <c r="BM173" i="7"/>
  <c r="BK172" i="7"/>
  <c r="BJ172" i="7"/>
  <c r="BK171" i="7"/>
  <c r="BJ171" i="7"/>
  <c r="BO170" i="7"/>
  <c r="BK170" i="7"/>
  <c r="BJ170" i="7"/>
  <c r="BO169" i="7"/>
  <c r="BK169" i="7"/>
  <c r="BJ169" i="7"/>
  <c r="BO168" i="7"/>
  <c r="BK168" i="7"/>
  <c r="BJ168" i="7"/>
  <c r="BO167" i="7"/>
  <c r="BK167" i="7"/>
  <c r="BL167" i="7" s="1"/>
  <c r="BJ167" i="7"/>
  <c r="BO166" i="7"/>
  <c r="BK166" i="7"/>
  <c r="BJ166" i="7"/>
  <c r="BO165" i="7"/>
  <c r="BK165" i="7"/>
  <c r="BJ165" i="7"/>
  <c r="BO164" i="7"/>
  <c r="BK164" i="7"/>
  <c r="BL164" i="7" s="1"/>
  <c r="BJ164" i="7"/>
  <c r="BO163" i="7"/>
  <c r="BK163" i="7"/>
  <c r="BJ163" i="7"/>
  <c r="BO162" i="7"/>
  <c r="BK162" i="7"/>
  <c r="BJ162" i="7"/>
  <c r="BO161" i="7"/>
  <c r="BK161" i="7"/>
  <c r="BJ161" i="7"/>
  <c r="BO160" i="7"/>
  <c r="BK160" i="7"/>
  <c r="BL160" i="7" s="1"/>
  <c r="BJ160" i="7"/>
  <c r="BO159" i="7"/>
  <c r="BK159" i="7"/>
  <c r="BL159" i="7" s="1"/>
  <c r="BJ159" i="7"/>
  <c r="BO158" i="7"/>
  <c r="BK158" i="7"/>
  <c r="BJ158" i="7"/>
  <c r="BO157" i="7"/>
  <c r="BK157" i="7"/>
  <c r="BJ157" i="7"/>
  <c r="BO156" i="7"/>
  <c r="BK156" i="7"/>
  <c r="BL156" i="7" s="1"/>
  <c r="BJ156" i="7"/>
  <c r="BN155" i="7"/>
  <c r="BO155" i="7" s="1"/>
  <c r="BM155" i="7"/>
  <c r="BO154" i="7"/>
  <c r="BK154" i="7"/>
  <c r="BJ154" i="7"/>
  <c r="BO153" i="7"/>
  <c r="BK153" i="7"/>
  <c r="BJ153" i="7"/>
  <c r="BO152" i="7"/>
  <c r="BK152" i="7"/>
  <c r="BL152" i="7" s="1"/>
  <c r="BJ152" i="7"/>
  <c r="BO151" i="7"/>
  <c r="BK151" i="7"/>
  <c r="BL151" i="7" s="1"/>
  <c r="BJ151" i="7"/>
  <c r="BO150" i="7"/>
  <c r="BK150" i="7"/>
  <c r="BJ150" i="7"/>
  <c r="BO149" i="7"/>
  <c r="BK149" i="7"/>
  <c r="BJ149" i="7"/>
  <c r="BO148" i="7"/>
  <c r="BK148" i="7"/>
  <c r="BL148" i="7" s="1"/>
  <c r="BJ148" i="7"/>
  <c r="BO147" i="7"/>
  <c r="BK147" i="7"/>
  <c r="BL147" i="7" s="1"/>
  <c r="BJ147" i="7"/>
  <c r="BO146" i="7"/>
  <c r="BK146" i="7"/>
  <c r="BJ146" i="7"/>
  <c r="BO145" i="7"/>
  <c r="BK145" i="7"/>
  <c r="BJ145" i="7"/>
  <c r="BO144" i="7"/>
  <c r="BK144" i="7"/>
  <c r="BL144" i="7" s="1"/>
  <c r="BJ144" i="7"/>
  <c r="BO143" i="7"/>
  <c r="BK143" i="7"/>
  <c r="BL143" i="7" s="1"/>
  <c r="BJ143" i="7"/>
  <c r="BO142" i="7"/>
  <c r="BK142" i="7"/>
  <c r="BJ142" i="7"/>
  <c r="BO141" i="7"/>
  <c r="BK141" i="7"/>
  <c r="BJ141" i="7"/>
  <c r="BO140" i="7"/>
  <c r="BK140" i="7"/>
  <c r="BL140" i="7" s="1"/>
  <c r="BJ140" i="7"/>
  <c r="BO139" i="7"/>
  <c r="BK139" i="7"/>
  <c r="BL139" i="7" s="1"/>
  <c r="BJ139" i="7"/>
  <c r="BO138" i="7"/>
  <c r="BK138" i="7"/>
  <c r="BJ138" i="7"/>
  <c r="BO131" i="7"/>
  <c r="BK131" i="7"/>
  <c r="BJ131" i="7"/>
  <c r="BN130" i="7"/>
  <c r="BO130" i="7" s="1"/>
  <c r="BM130" i="7"/>
  <c r="BK129" i="7"/>
  <c r="BJ129" i="7"/>
  <c r="BK128" i="7"/>
  <c r="BJ128" i="7"/>
  <c r="BO127" i="7"/>
  <c r="BK127" i="7"/>
  <c r="BJ127" i="7"/>
  <c r="BO126" i="7"/>
  <c r="BK126" i="7"/>
  <c r="BJ126" i="7"/>
  <c r="BO125" i="7"/>
  <c r="BK125" i="7"/>
  <c r="BL125" i="7" s="1"/>
  <c r="BJ125" i="7"/>
  <c r="BO124" i="7"/>
  <c r="BK124" i="7"/>
  <c r="BJ124" i="7"/>
  <c r="BO123" i="7"/>
  <c r="BK123" i="7"/>
  <c r="BJ123" i="7"/>
  <c r="BO122" i="7"/>
  <c r="BK122" i="7"/>
  <c r="BJ122" i="7"/>
  <c r="BO121" i="7"/>
  <c r="BK121" i="7"/>
  <c r="BL121" i="7" s="1"/>
  <c r="BJ121" i="7"/>
  <c r="BO120" i="7"/>
  <c r="BK120" i="7"/>
  <c r="BL120" i="7" s="1"/>
  <c r="BJ120" i="7"/>
  <c r="BO119" i="7"/>
  <c r="BK119" i="7"/>
  <c r="BJ119" i="7"/>
  <c r="BO118" i="7"/>
  <c r="BK118" i="7"/>
  <c r="BJ118" i="7"/>
  <c r="BO117" i="7"/>
  <c r="BK117" i="7"/>
  <c r="BL117" i="7" s="1"/>
  <c r="BJ117" i="7"/>
  <c r="BO116" i="7"/>
  <c r="BK116" i="7"/>
  <c r="BL116" i="7" s="1"/>
  <c r="BJ116" i="7"/>
  <c r="BO115" i="7"/>
  <c r="BK115" i="7"/>
  <c r="BJ115" i="7"/>
  <c r="BN114" i="7"/>
  <c r="BO114" i="7" s="1"/>
  <c r="BM114" i="7"/>
  <c r="BK113" i="7"/>
  <c r="BJ113" i="7"/>
  <c r="BK112" i="7"/>
  <c r="BJ112" i="7"/>
  <c r="BO111" i="7"/>
  <c r="BL111" i="7"/>
  <c r="BK111" i="7"/>
  <c r="BJ111" i="7"/>
  <c r="BO110" i="7"/>
  <c r="BK110" i="7"/>
  <c r="BJ110" i="7"/>
  <c r="BO109" i="7"/>
  <c r="BK109" i="7"/>
  <c r="BJ109" i="7"/>
  <c r="BO108" i="7"/>
  <c r="BK108" i="7"/>
  <c r="BJ108" i="7"/>
  <c r="BO107" i="7"/>
  <c r="BK107" i="7"/>
  <c r="BL107" i="7" s="1"/>
  <c r="BJ107" i="7"/>
  <c r="BO106" i="7"/>
  <c r="BK106" i="7"/>
  <c r="BL106" i="7" s="1"/>
  <c r="BJ106" i="7"/>
  <c r="BO105" i="7"/>
  <c r="BK105" i="7"/>
  <c r="BJ105" i="7"/>
  <c r="BO104" i="7"/>
  <c r="BK104" i="7"/>
  <c r="BJ104" i="7"/>
  <c r="BO103" i="7"/>
  <c r="BK103" i="7"/>
  <c r="BJ103" i="7"/>
  <c r="BO102" i="7"/>
  <c r="BK102" i="7"/>
  <c r="BL102" i="7" s="1"/>
  <c r="BJ102" i="7"/>
  <c r="BO101" i="7"/>
  <c r="BK101" i="7"/>
  <c r="BJ101" i="7"/>
  <c r="BO100" i="7"/>
  <c r="BK100" i="7"/>
  <c r="BJ100" i="7"/>
  <c r="BO99" i="7"/>
  <c r="BK99" i="7"/>
  <c r="BL99" i="7" s="1"/>
  <c r="BJ99" i="7"/>
  <c r="BO98" i="7"/>
  <c r="BK98" i="7"/>
  <c r="BL98" i="7" s="1"/>
  <c r="BJ98" i="7"/>
  <c r="BO97" i="7"/>
  <c r="BK97" i="7"/>
  <c r="BJ97" i="7"/>
  <c r="BO96" i="7"/>
  <c r="BK96" i="7"/>
  <c r="BJ96" i="7"/>
  <c r="BO95" i="7"/>
  <c r="BK95" i="7"/>
  <c r="BL95" i="7" s="1"/>
  <c r="BJ95" i="7"/>
  <c r="BO94" i="7"/>
  <c r="BK94" i="7"/>
  <c r="BL94" i="7" s="1"/>
  <c r="BJ94" i="7"/>
  <c r="BO93" i="7"/>
  <c r="BK93" i="7"/>
  <c r="BJ93" i="7"/>
  <c r="BO92" i="7"/>
  <c r="BK92" i="7"/>
  <c r="BJ92" i="7"/>
  <c r="BO91" i="7"/>
  <c r="BK91" i="7"/>
  <c r="BL91" i="7" s="1"/>
  <c r="BJ91" i="7"/>
  <c r="BO90" i="7"/>
  <c r="BK90" i="7"/>
  <c r="BL90" i="7" s="1"/>
  <c r="BJ90" i="7"/>
  <c r="BO89" i="7"/>
  <c r="BK89" i="7"/>
  <c r="BJ89" i="7"/>
  <c r="BO82" i="7"/>
  <c r="BK82" i="7"/>
  <c r="BJ82" i="7"/>
  <c r="BO81" i="7"/>
  <c r="BN81" i="7"/>
  <c r="BM81" i="7"/>
  <c r="BK80" i="7"/>
  <c r="BJ80" i="7"/>
  <c r="BK79" i="7"/>
  <c r="BJ79" i="7"/>
  <c r="BK78" i="7"/>
  <c r="BJ78" i="7"/>
  <c r="BO77" i="7"/>
  <c r="BK77" i="7"/>
  <c r="BJ77" i="7"/>
  <c r="BO76" i="7"/>
  <c r="BK76" i="7"/>
  <c r="BJ76" i="7"/>
  <c r="BO75" i="7"/>
  <c r="BK75" i="7"/>
  <c r="BJ75" i="7"/>
  <c r="BO74" i="7"/>
  <c r="BK74" i="7"/>
  <c r="BL74" i="7" s="1"/>
  <c r="BJ74" i="7"/>
  <c r="BO73" i="7"/>
  <c r="BK73" i="7"/>
  <c r="BL73" i="7" s="1"/>
  <c r="BJ73" i="7"/>
  <c r="BO72" i="7"/>
  <c r="BK72" i="7"/>
  <c r="BL72" i="7" s="1"/>
  <c r="BJ72" i="7"/>
  <c r="BO71" i="7"/>
  <c r="BK71" i="7"/>
  <c r="BL71" i="7" s="1"/>
  <c r="BJ71" i="7"/>
  <c r="BO70" i="7"/>
  <c r="BK70" i="7"/>
  <c r="BL70" i="7" s="1"/>
  <c r="BJ70" i="7"/>
  <c r="BO69" i="7"/>
  <c r="BK69" i="7"/>
  <c r="BL69" i="7" s="1"/>
  <c r="BJ69" i="7"/>
  <c r="BO68" i="7"/>
  <c r="BK68" i="7"/>
  <c r="BL68" i="7" s="1"/>
  <c r="BJ68" i="7"/>
  <c r="BO67" i="7"/>
  <c r="BK67" i="7"/>
  <c r="BL67" i="7" s="1"/>
  <c r="BJ67" i="7"/>
  <c r="BO66" i="7"/>
  <c r="BK66" i="7"/>
  <c r="BL66" i="7" s="1"/>
  <c r="BJ66" i="7"/>
  <c r="BO65" i="7"/>
  <c r="BK65" i="7"/>
  <c r="BL65" i="7" s="1"/>
  <c r="BJ65" i="7"/>
  <c r="BO64" i="7"/>
  <c r="BK64" i="7"/>
  <c r="BK81" i="7" s="1"/>
  <c r="BJ64" i="7"/>
  <c r="BO63" i="7"/>
  <c r="BK63" i="7"/>
  <c r="BL63" i="7" s="1"/>
  <c r="BJ63" i="7"/>
  <c r="BN62" i="7"/>
  <c r="BM62" i="7"/>
  <c r="BK61" i="7"/>
  <c r="BJ61" i="7"/>
  <c r="BK60" i="7"/>
  <c r="BJ60" i="7"/>
  <c r="BO59" i="7"/>
  <c r="BK59" i="7"/>
  <c r="BJ59" i="7"/>
  <c r="BO58" i="7"/>
  <c r="BK58" i="7"/>
  <c r="BL58" i="7" s="1"/>
  <c r="BJ58" i="7"/>
  <c r="BO57" i="7"/>
  <c r="BK57" i="7"/>
  <c r="BJ57" i="7"/>
  <c r="BO56" i="7"/>
  <c r="BK56" i="7"/>
  <c r="BJ56" i="7"/>
  <c r="BO55" i="7"/>
  <c r="BK55" i="7"/>
  <c r="BJ55" i="7"/>
  <c r="BO54" i="7"/>
  <c r="BK54" i="7"/>
  <c r="BL54" i="7" s="1"/>
  <c r="BJ54" i="7"/>
  <c r="BO53" i="7"/>
  <c r="BK53" i="7"/>
  <c r="BJ53" i="7"/>
  <c r="BO52" i="7"/>
  <c r="BK52" i="7"/>
  <c r="BJ52" i="7"/>
  <c r="BO51" i="7"/>
  <c r="BK51" i="7"/>
  <c r="BJ51" i="7"/>
  <c r="BO50" i="7"/>
  <c r="BK50" i="7"/>
  <c r="BL50" i="7" s="1"/>
  <c r="BJ50" i="7"/>
  <c r="BO49" i="7"/>
  <c r="BK49" i="7"/>
  <c r="BJ49" i="7"/>
  <c r="BO48" i="7"/>
  <c r="BK48" i="7"/>
  <c r="BJ48" i="7"/>
  <c r="BO47" i="7"/>
  <c r="BK47" i="7"/>
  <c r="BJ47" i="7"/>
  <c r="BO46" i="7"/>
  <c r="BK46" i="7"/>
  <c r="BL46" i="7" s="1"/>
  <c r="BJ46" i="7"/>
  <c r="BO45" i="7"/>
  <c r="BK45" i="7"/>
  <c r="BJ45" i="7"/>
  <c r="BO44" i="7"/>
  <c r="BK44" i="7"/>
  <c r="BJ44" i="7"/>
  <c r="BO43" i="7"/>
  <c r="BK43" i="7"/>
  <c r="BJ43" i="7"/>
  <c r="BO42" i="7"/>
  <c r="BK42" i="7"/>
  <c r="BL42" i="7" s="1"/>
  <c r="BJ42" i="7"/>
  <c r="BO35" i="7"/>
  <c r="BK35" i="7"/>
  <c r="BJ35" i="7"/>
  <c r="BN34" i="7"/>
  <c r="BM34" i="7"/>
  <c r="BK33" i="7"/>
  <c r="BJ33" i="7"/>
  <c r="BK32" i="7"/>
  <c r="BJ32" i="7"/>
  <c r="BK31" i="7"/>
  <c r="BJ31" i="7"/>
  <c r="BK30" i="7"/>
  <c r="BJ30" i="7"/>
  <c r="BK29" i="7"/>
  <c r="BJ29" i="7"/>
  <c r="BO28" i="7"/>
  <c r="BK28" i="7"/>
  <c r="BJ28" i="7"/>
  <c r="BO27" i="7"/>
  <c r="BK27" i="7"/>
  <c r="BJ27" i="7"/>
  <c r="BO26" i="7"/>
  <c r="BL26" i="7"/>
  <c r="BK26" i="7"/>
  <c r="BJ26" i="7"/>
  <c r="BO25" i="7"/>
  <c r="BL25" i="7"/>
  <c r="BK25" i="7"/>
  <c r="BJ25" i="7"/>
  <c r="BO24" i="7"/>
  <c r="BK24" i="7"/>
  <c r="BJ24" i="7"/>
  <c r="BO23" i="7"/>
  <c r="BK23" i="7"/>
  <c r="BJ23" i="7"/>
  <c r="BO22" i="7"/>
  <c r="BK22" i="7"/>
  <c r="BJ22" i="7"/>
  <c r="BO21" i="7"/>
  <c r="BK21" i="7"/>
  <c r="BJ21" i="7"/>
  <c r="BO20" i="7"/>
  <c r="BK20" i="7"/>
  <c r="BL20" i="7" s="1"/>
  <c r="BJ20" i="7"/>
  <c r="BO19" i="7"/>
  <c r="BK19" i="7"/>
  <c r="BJ19" i="7"/>
  <c r="BO18" i="7"/>
  <c r="BK18" i="7"/>
  <c r="BJ18" i="7"/>
  <c r="BN17" i="7"/>
  <c r="BM17" i="7"/>
  <c r="BK16" i="7"/>
  <c r="BJ16" i="7"/>
  <c r="BK15" i="7"/>
  <c r="BJ15" i="7"/>
  <c r="BK14" i="7"/>
  <c r="BJ14" i="7"/>
  <c r="BK13" i="7"/>
  <c r="BJ13" i="7"/>
  <c r="BK12" i="7"/>
  <c r="BJ12" i="7"/>
  <c r="BO11" i="7"/>
  <c r="BK11" i="7"/>
  <c r="BJ11" i="7"/>
  <c r="BO10" i="7"/>
  <c r="BK10" i="7"/>
  <c r="BJ10" i="7"/>
  <c r="BO9" i="7"/>
  <c r="BK9" i="7"/>
  <c r="BL9" i="7" s="1"/>
  <c r="BJ9" i="7"/>
  <c r="BO8" i="7"/>
  <c r="BK8" i="7"/>
  <c r="BL8" i="7" s="1"/>
  <c r="BJ8" i="7"/>
  <c r="BO7" i="7"/>
  <c r="BK7" i="7"/>
  <c r="BL7" i="7" s="1"/>
  <c r="BJ7" i="7"/>
  <c r="BO6" i="7"/>
  <c r="BK6" i="7"/>
  <c r="BL6" i="7" s="1"/>
  <c r="BJ6" i="7"/>
  <c r="BO5" i="7"/>
  <c r="BK5" i="7"/>
  <c r="BL5" i="7" s="1"/>
  <c r="BJ5" i="7"/>
  <c r="BO24" i="16"/>
  <c r="BK24" i="16"/>
  <c r="BJ24" i="16"/>
  <c r="BN23" i="16"/>
  <c r="BM23" i="16"/>
  <c r="BK22" i="16"/>
  <c r="BJ22" i="16"/>
  <c r="BK21" i="16"/>
  <c r="BJ21" i="16"/>
  <c r="BK20" i="16"/>
  <c r="BJ20" i="16"/>
  <c r="BK19" i="16"/>
  <c r="BJ19" i="16"/>
  <c r="BO18" i="16"/>
  <c r="BK18" i="16"/>
  <c r="BJ18" i="16"/>
  <c r="BO17" i="16"/>
  <c r="BK17" i="16"/>
  <c r="BJ17" i="16"/>
  <c r="BJ23" i="16" s="1"/>
  <c r="BO16" i="16"/>
  <c r="BK16" i="16"/>
  <c r="BJ16" i="16"/>
  <c r="BN15" i="16"/>
  <c r="BM15" i="16"/>
  <c r="BK14" i="16"/>
  <c r="BJ14" i="16"/>
  <c r="BK13" i="16"/>
  <c r="BJ13" i="16"/>
  <c r="BK12" i="16"/>
  <c r="BJ12" i="16"/>
  <c r="BK11" i="16"/>
  <c r="BJ11" i="16"/>
  <c r="BK10" i="16"/>
  <c r="BJ10" i="16"/>
  <c r="BO9" i="16"/>
  <c r="BK9" i="16"/>
  <c r="BJ9" i="16"/>
  <c r="BO8" i="16"/>
  <c r="BK8" i="16"/>
  <c r="BJ8" i="16"/>
  <c r="BO7" i="16"/>
  <c r="BK7" i="16"/>
  <c r="BL7" i="16" s="1"/>
  <c r="BJ7" i="16"/>
  <c r="BO6" i="16"/>
  <c r="BK6" i="16"/>
  <c r="BL6" i="16" s="1"/>
  <c r="BJ6" i="16"/>
  <c r="BO5" i="16"/>
  <c r="BK5" i="16"/>
  <c r="BK15" i="16" s="1"/>
  <c r="BJ5" i="16"/>
  <c r="BO35" i="14"/>
  <c r="BK35" i="14"/>
  <c r="BJ35" i="14"/>
  <c r="BL35" i="14" s="1"/>
  <c r="BN34" i="14"/>
  <c r="BM34" i="14"/>
  <c r="BK33" i="14"/>
  <c r="BJ33" i="14"/>
  <c r="BK32" i="14"/>
  <c r="BJ32" i="14"/>
  <c r="BK31" i="14"/>
  <c r="BJ31" i="14"/>
  <c r="BO30" i="14"/>
  <c r="BK30" i="14"/>
  <c r="BJ30" i="14"/>
  <c r="BO29" i="14"/>
  <c r="BK29" i="14"/>
  <c r="BJ29" i="14"/>
  <c r="BO28" i="14"/>
  <c r="BK28" i="14"/>
  <c r="BL28" i="14" s="1"/>
  <c r="BJ28" i="14"/>
  <c r="BO27" i="14"/>
  <c r="BK27" i="14"/>
  <c r="BJ27" i="14"/>
  <c r="BO26" i="14"/>
  <c r="BK26" i="14"/>
  <c r="BJ26" i="14"/>
  <c r="BO25" i="14"/>
  <c r="BK25" i="14"/>
  <c r="BJ25" i="14"/>
  <c r="BO24" i="14"/>
  <c r="BL24" i="14"/>
  <c r="BK24" i="14"/>
  <c r="BJ24" i="14"/>
  <c r="BO23" i="14"/>
  <c r="BL23" i="14"/>
  <c r="BK23" i="14"/>
  <c r="BJ23" i="14"/>
  <c r="BO22" i="14"/>
  <c r="BL22" i="14"/>
  <c r="BK22" i="14"/>
  <c r="BJ22" i="14"/>
  <c r="BO21" i="14"/>
  <c r="BL21" i="14"/>
  <c r="BK21" i="14"/>
  <c r="BJ21" i="14"/>
  <c r="BO20" i="14"/>
  <c r="BL20" i="14"/>
  <c r="BK20" i="14"/>
  <c r="BJ20" i="14"/>
  <c r="BO19" i="14"/>
  <c r="BL19" i="14"/>
  <c r="BK19" i="14"/>
  <c r="BJ19" i="14"/>
  <c r="BO18" i="14"/>
  <c r="BL18" i="14"/>
  <c r="BK18" i="14"/>
  <c r="BJ18" i="14"/>
  <c r="BN17" i="14"/>
  <c r="BM17" i="14"/>
  <c r="BK16" i="14"/>
  <c r="BJ16" i="14"/>
  <c r="BK15" i="14"/>
  <c r="BJ15" i="14"/>
  <c r="BK14" i="14"/>
  <c r="BJ14" i="14"/>
  <c r="BK13" i="14"/>
  <c r="BJ13" i="14"/>
  <c r="BK12" i="14"/>
  <c r="BJ12" i="14"/>
  <c r="BO11" i="14"/>
  <c r="BK11" i="14"/>
  <c r="BJ11" i="14"/>
  <c r="BO10" i="14"/>
  <c r="BK10" i="14"/>
  <c r="BJ10" i="14"/>
  <c r="BO9" i="14"/>
  <c r="BK9" i="14"/>
  <c r="BJ9" i="14"/>
  <c r="BO8" i="14"/>
  <c r="BK8" i="14"/>
  <c r="BJ8" i="14"/>
  <c r="BO7" i="14"/>
  <c r="BK7" i="14"/>
  <c r="BL7" i="14" s="1"/>
  <c r="BJ7" i="14"/>
  <c r="BO6" i="14"/>
  <c r="BK6" i="14"/>
  <c r="BJ6" i="14"/>
  <c r="BO5" i="14"/>
  <c r="BK5" i="14"/>
  <c r="BJ5" i="14"/>
  <c r="AC398" i="24"/>
  <c r="AB398" i="24"/>
  <c r="AA398" i="24"/>
  <c r="Z398" i="24"/>
  <c r="Y398" i="24"/>
  <c r="X398" i="24"/>
  <c r="W398" i="24"/>
  <c r="V398" i="24"/>
  <c r="U398" i="24"/>
  <c r="T398" i="24"/>
  <c r="S398" i="24"/>
  <c r="R398" i="24"/>
  <c r="Q398" i="24"/>
  <c r="P398" i="24"/>
  <c r="O398" i="24"/>
  <c r="N398" i="24"/>
  <c r="M398" i="24"/>
  <c r="L398" i="24"/>
  <c r="K398" i="24"/>
  <c r="J398" i="24"/>
  <c r="I398" i="24"/>
  <c r="H398" i="24"/>
  <c r="G398" i="24"/>
  <c r="F398" i="24"/>
  <c r="E398" i="24"/>
  <c r="D398" i="24"/>
  <c r="C398" i="24"/>
  <c r="B398" i="24"/>
  <c r="AH399" i="24"/>
  <c r="F399" i="23" s="1"/>
  <c r="AF399" i="24"/>
  <c r="D399" i="23" s="1"/>
  <c r="AE399" i="24"/>
  <c r="C399" i="23" s="1"/>
  <c r="AD399" i="24"/>
  <c r="B399" i="23" s="1"/>
  <c r="AH397" i="24"/>
  <c r="F397" i="23" s="1"/>
  <c r="AF397" i="24"/>
  <c r="D397" i="23" s="1"/>
  <c r="E397" i="23" s="1"/>
  <c r="AE397" i="24"/>
  <c r="C397" i="23" s="1"/>
  <c r="AD397" i="24"/>
  <c r="B397" i="23" s="1"/>
  <c r="AH396" i="24"/>
  <c r="F396" i="23" s="1"/>
  <c r="AF396" i="24"/>
  <c r="D396" i="23" s="1"/>
  <c r="E396" i="23" s="1"/>
  <c r="AE396" i="24"/>
  <c r="C396" i="23" s="1"/>
  <c r="AD396" i="24"/>
  <c r="B396" i="23" s="1"/>
  <c r="AH395" i="24"/>
  <c r="F395" i="23" s="1"/>
  <c r="G395" i="23" s="1"/>
  <c r="AF395" i="24"/>
  <c r="D395" i="23" s="1"/>
  <c r="E395" i="23" s="1"/>
  <c r="AE395" i="24"/>
  <c r="C395" i="23" s="1"/>
  <c r="AD395" i="24"/>
  <c r="B395" i="23" s="1"/>
  <c r="AH394" i="24"/>
  <c r="AF394" i="24"/>
  <c r="D394" i="23" s="1"/>
  <c r="E394" i="23" s="1"/>
  <c r="AE394" i="24"/>
  <c r="C394" i="23" s="1"/>
  <c r="AD394" i="24"/>
  <c r="B394" i="23" s="1"/>
  <c r="AH393" i="24"/>
  <c r="AF393" i="24"/>
  <c r="D393" i="23" s="1"/>
  <c r="E393" i="23" s="1"/>
  <c r="AE393" i="24"/>
  <c r="C393" i="23" s="1"/>
  <c r="AD393" i="24"/>
  <c r="B393" i="23" s="1"/>
  <c r="AH392" i="24"/>
  <c r="AF392" i="24"/>
  <c r="D392" i="23" s="1"/>
  <c r="E392" i="23" s="1"/>
  <c r="AE392" i="24"/>
  <c r="C392" i="23" s="1"/>
  <c r="AD392" i="24"/>
  <c r="B392" i="23" s="1"/>
  <c r="AH391" i="24"/>
  <c r="AF391" i="24"/>
  <c r="D391" i="23" s="1"/>
  <c r="E391" i="23" s="1"/>
  <c r="AE391" i="24"/>
  <c r="C391" i="23" s="1"/>
  <c r="AD391" i="24"/>
  <c r="B391" i="23" s="1"/>
  <c r="AH390" i="24"/>
  <c r="AF390" i="24"/>
  <c r="D390" i="23" s="1"/>
  <c r="E390" i="23" s="1"/>
  <c r="AE390" i="24"/>
  <c r="C390" i="23" s="1"/>
  <c r="AD390" i="24"/>
  <c r="B390" i="23" s="1"/>
  <c r="AH389" i="24"/>
  <c r="AF389" i="24"/>
  <c r="D389" i="23" s="1"/>
  <c r="E389" i="23" s="1"/>
  <c r="AE389" i="24"/>
  <c r="C389" i="23" s="1"/>
  <c r="AD389" i="24"/>
  <c r="B389" i="23" s="1"/>
  <c r="AH388" i="24"/>
  <c r="AF388" i="24"/>
  <c r="D388" i="23" s="1"/>
  <c r="E388" i="23" s="1"/>
  <c r="AE388" i="24"/>
  <c r="C388" i="23" s="1"/>
  <c r="AD388" i="24"/>
  <c r="B388" i="23" s="1"/>
  <c r="AH387" i="24"/>
  <c r="AF387" i="24"/>
  <c r="D387" i="23" s="1"/>
  <c r="E387" i="23" s="1"/>
  <c r="AE387" i="24"/>
  <c r="C387" i="23" s="1"/>
  <c r="AD387" i="24"/>
  <c r="B387" i="23" s="1"/>
  <c r="AH386" i="24"/>
  <c r="AF386" i="24"/>
  <c r="D386" i="23" s="1"/>
  <c r="E386" i="23" s="1"/>
  <c r="AE386" i="24"/>
  <c r="C386" i="23" s="1"/>
  <c r="AD386" i="24"/>
  <c r="B386" i="23" s="1"/>
  <c r="AH385" i="24"/>
  <c r="AF385" i="24"/>
  <c r="D385" i="23" s="1"/>
  <c r="E385" i="23" s="1"/>
  <c r="AE385" i="24"/>
  <c r="C385" i="23" s="1"/>
  <c r="AD385" i="24"/>
  <c r="B385" i="23" s="1"/>
  <c r="AH384" i="24"/>
  <c r="AF384" i="24"/>
  <c r="D384" i="23" s="1"/>
  <c r="E384" i="23" s="1"/>
  <c r="AE384" i="24"/>
  <c r="C384" i="23" s="1"/>
  <c r="AD384" i="24"/>
  <c r="B384" i="23" s="1"/>
  <c r="AH383" i="24"/>
  <c r="AF383" i="24"/>
  <c r="D383" i="23" s="1"/>
  <c r="E383" i="23" s="1"/>
  <c r="AE383" i="24"/>
  <c r="C383" i="23" s="1"/>
  <c r="AD383" i="24"/>
  <c r="B383" i="23" s="1"/>
  <c r="AH382" i="24"/>
  <c r="AF382" i="24"/>
  <c r="D382" i="23" s="1"/>
  <c r="E382" i="23" s="1"/>
  <c r="AE382" i="24"/>
  <c r="C382" i="23" s="1"/>
  <c r="AD382" i="24"/>
  <c r="B382" i="23" s="1"/>
  <c r="AH381" i="24"/>
  <c r="AF381" i="24"/>
  <c r="D381" i="23" s="1"/>
  <c r="E381" i="23" s="1"/>
  <c r="AE381" i="24"/>
  <c r="C381" i="23" s="1"/>
  <c r="AD381" i="24"/>
  <c r="B381" i="23" s="1"/>
  <c r="AH380" i="24"/>
  <c r="AF380" i="24"/>
  <c r="D380" i="23" s="1"/>
  <c r="E380" i="23" s="1"/>
  <c r="AE380" i="24"/>
  <c r="C380" i="23" s="1"/>
  <c r="AD380" i="24"/>
  <c r="B380" i="23" s="1"/>
  <c r="AH379" i="24"/>
  <c r="AF379" i="24"/>
  <c r="D379" i="23" s="1"/>
  <c r="E379" i="23" s="1"/>
  <c r="AE379" i="24"/>
  <c r="C379" i="23" s="1"/>
  <c r="AD379" i="24"/>
  <c r="B379" i="23" s="1"/>
  <c r="AH378" i="24"/>
  <c r="AF378" i="24"/>
  <c r="D378" i="23" s="1"/>
  <c r="E378" i="23" s="1"/>
  <c r="AE378" i="24"/>
  <c r="C378" i="23" s="1"/>
  <c r="AD378" i="24"/>
  <c r="B378" i="23" s="1"/>
  <c r="AH377" i="24"/>
  <c r="AF377" i="24"/>
  <c r="D377" i="23" s="1"/>
  <c r="E377" i="23" s="1"/>
  <c r="AE377" i="24"/>
  <c r="C377" i="23" s="1"/>
  <c r="AD377" i="24"/>
  <c r="B377" i="23" s="1"/>
  <c r="AH376" i="24"/>
  <c r="AF376" i="24"/>
  <c r="D376" i="23" s="1"/>
  <c r="E376" i="23" s="1"/>
  <c r="AE376" i="24"/>
  <c r="C376" i="23" s="1"/>
  <c r="AD376" i="24"/>
  <c r="B376" i="23" s="1"/>
  <c r="AH375" i="24"/>
  <c r="AF375" i="24"/>
  <c r="D375" i="23" s="1"/>
  <c r="E375" i="23" s="1"/>
  <c r="AE375" i="24"/>
  <c r="C375" i="23" s="1"/>
  <c r="AD375" i="24"/>
  <c r="B375" i="23" s="1"/>
  <c r="AH374" i="24"/>
  <c r="AF374" i="24"/>
  <c r="D374" i="23" s="1"/>
  <c r="E374" i="23" s="1"/>
  <c r="AE374" i="24"/>
  <c r="C374" i="23" s="1"/>
  <c r="AD374" i="24"/>
  <c r="B374" i="23" s="1"/>
  <c r="AH373" i="24"/>
  <c r="AF373" i="24"/>
  <c r="D373" i="23" s="1"/>
  <c r="E373" i="23" s="1"/>
  <c r="AE373" i="24"/>
  <c r="C373" i="23" s="1"/>
  <c r="AD373" i="24"/>
  <c r="B373" i="23" s="1"/>
  <c r="AH372" i="24"/>
  <c r="AF372" i="24"/>
  <c r="D372" i="23" s="1"/>
  <c r="E372" i="23" s="1"/>
  <c r="AE372" i="24"/>
  <c r="C372" i="23" s="1"/>
  <c r="AD372" i="24"/>
  <c r="B372" i="23" s="1"/>
  <c r="AH371" i="24"/>
  <c r="AF371" i="24"/>
  <c r="D371" i="23" s="1"/>
  <c r="E371" i="23" s="1"/>
  <c r="AE371" i="24"/>
  <c r="C371" i="23" s="1"/>
  <c r="AD371" i="24"/>
  <c r="B371" i="23" s="1"/>
  <c r="AH370" i="24"/>
  <c r="AF370" i="24"/>
  <c r="D370" i="23" s="1"/>
  <c r="E370" i="23" s="1"/>
  <c r="AE370" i="24"/>
  <c r="C370" i="23" s="1"/>
  <c r="AD370" i="24"/>
  <c r="B370" i="23" s="1"/>
  <c r="AH369" i="24"/>
  <c r="AF369" i="24"/>
  <c r="D369" i="23" s="1"/>
  <c r="E369" i="23" s="1"/>
  <c r="AE369" i="24"/>
  <c r="C369" i="23" s="1"/>
  <c r="AD369" i="24"/>
  <c r="B369" i="23" s="1"/>
  <c r="AH368" i="24"/>
  <c r="AF368" i="24"/>
  <c r="AE368" i="24"/>
  <c r="C368" i="23" s="1"/>
  <c r="AD368" i="24"/>
  <c r="AC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C398" i="22"/>
  <c r="B398" i="22"/>
  <c r="AH399" i="22"/>
  <c r="AF399" i="22"/>
  <c r="D399" i="20" s="1"/>
  <c r="AE399" i="22"/>
  <c r="C399" i="20" s="1"/>
  <c r="AD399" i="22"/>
  <c r="B399" i="20" s="1"/>
  <c r="AH397" i="22"/>
  <c r="AF397" i="22"/>
  <c r="D397" i="20" s="1"/>
  <c r="AE397" i="22"/>
  <c r="C397" i="20" s="1"/>
  <c r="AD397" i="22"/>
  <c r="B397" i="20" s="1"/>
  <c r="AH396" i="22"/>
  <c r="AF396" i="22"/>
  <c r="D396" i="20" s="1"/>
  <c r="AE396" i="22"/>
  <c r="C396" i="20" s="1"/>
  <c r="AD396" i="22"/>
  <c r="B396" i="20" s="1"/>
  <c r="AH395" i="22"/>
  <c r="AF395" i="22"/>
  <c r="D395" i="20" s="1"/>
  <c r="AE395" i="22"/>
  <c r="C395" i="20" s="1"/>
  <c r="AD395" i="22"/>
  <c r="B395" i="20" s="1"/>
  <c r="AH394" i="22"/>
  <c r="AF394" i="22"/>
  <c r="D394" i="20" s="1"/>
  <c r="E394" i="20" s="1"/>
  <c r="AE394" i="22"/>
  <c r="C394" i="20" s="1"/>
  <c r="AD394" i="22"/>
  <c r="B394" i="20" s="1"/>
  <c r="AH393" i="22"/>
  <c r="AF393" i="22"/>
  <c r="D393" i="20" s="1"/>
  <c r="E393" i="20" s="1"/>
  <c r="AE393" i="22"/>
  <c r="C393" i="20" s="1"/>
  <c r="AD393" i="22"/>
  <c r="B393" i="20" s="1"/>
  <c r="AH392" i="22"/>
  <c r="AF392" i="22"/>
  <c r="D392" i="20" s="1"/>
  <c r="E392" i="20" s="1"/>
  <c r="AE392" i="22"/>
  <c r="C392" i="20" s="1"/>
  <c r="AD392" i="22"/>
  <c r="B392" i="20" s="1"/>
  <c r="AH391" i="22"/>
  <c r="AF391" i="22"/>
  <c r="D391" i="20" s="1"/>
  <c r="E391" i="20" s="1"/>
  <c r="AE391" i="22"/>
  <c r="C391" i="20" s="1"/>
  <c r="AD391" i="22"/>
  <c r="B391" i="20" s="1"/>
  <c r="AH390" i="22"/>
  <c r="AF390" i="22"/>
  <c r="D390" i="20" s="1"/>
  <c r="E390" i="20" s="1"/>
  <c r="AE390" i="22"/>
  <c r="C390" i="20" s="1"/>
  <c r="AD390" i="22"/>
  <c r="B390" i="20" s="1"/>
  <c r="AH389" i="22"/>
  <c r="AF389" i="22"/>
  <c r="D389" i="20" s="1"/>
  <c r="E389" i="20" s="1"/>
  <c r="AE389" i="22"/>
  <c r="C389" i="20" s="1"/>
  <c r="AD389" i="22"/>
  <c r="B389" i="20" s="1"/>
  <c r="AH388" i="22"/>
  <c r="AF388" i="22"/>
  <c r="D388" i="20" s="1"/>
  <c r="E388" i="20" s="1"/>
  <c r="AE388" i="22"/>
  <c r="C388" i="20" s="1"/>
  <c r="AD388" i="22"/>
  <c r="B388" i="20" s="1"/>
  <c r="AH387" i="22"/>
  <c r="AF387" i="22"/>
  <c r="D387" i="20" s="1"/>
  <c r="E387" i="20" s="1"/>
  <c r="AE387" i="22"/>
  <c r="C387" i="20" s="1"/>
  <c r="AD387" i="22"/>
  <c r="B387" i="20" s="1"/>
  <c r="AH386" i="22"/>
  <c r="AF386" i="22"/>
  <c r="D386" i="20" s="1"/>
  <c r="E386" i="20" s="1"/>
  <c r="AE386" i="22"/>
  <c r="C386" i="20" s="1"/>
  <c r="AD386" i="22"/>
  <c r="B386" i="20" s="1"/>
  <c r="AH385" i="22"/>
  <c r="AF385" i="22"/>
  <c r="D385" i="20" s="1"/>
  <c r="E385" i="20" s="1"/>
  <c r="AE385" i="22"/>
  <c r="C385" i="20" s="1"/>
  <c r="AD385" i="22"/>
  <c r="B385" i="20" s="1"/>
  <c r="AH384" i="22"/>
  <c r="AF384" i="22"/>
  <c r="D384" i="20" s="1"/>
  <c r="E384" i="20" s="1"/>
  <c r="AE384" i="22"/>
  <c r="C384" i="20" s="1"/>
  <c r="AD384" i="22"/>
  <c r="B384" i="20" s="1"/>
  <c r="AH383" i="22"/>
  <c r="AF383" i="22"/>
  <c r="D383" i="20" s="1"/>
  <c r="E383" i="20" s="1"/>
  <c r="AE383" i="22"/>
  <c r="C383" i="20" s="1"/>
  <c r="AD383" i="22"/>
  <c r="B383" i="20" s="1"/>
  <c r="AH382" i="22"/>
  <c r="AF382" i="22"/>
  <c r="D382" i="20" s="1"/>
  <c r="E382" i="20" s="1"/>
  <c r="AE382" i="22"/>
  <c r="C382" i="20" s="1"/>
  <c r="AD382" i="22"/>
  <c r="B382" i="20" s="1"/>
  <c r="AH381" i="22"/>
  <c r="AF381" i="22"/>
  <c r="D381" i="20" s="1"/>
  <c r="E381" i="20" s="1"/>
  <c r="AE381" i="22"/>
  <c r="C381" i="20" s="1"/>
  <c r="AD381" i="22"/>
  <c r="B381" i="20" s="1"/>
  <c r="AH380" i="22"/>
  <c r="AF380" i="22"/>
  <c r="D380" i="20" s="1"/>
  <c r="E380" i="20" s="1"/>
  <c r="AE380" i="22"/>
  <c r="C380" i="20" s="1"/>
  <c r="AD380" i="22"/>
  <c r="B380" i="20" s="1"/>
  <c r="AH379" i="22"/>
  <c r="AF379" i="22"/>
  <c r="D379" i="20" s="1"/>
  <c r="E379" i="20" s="1"/>
  <c r="AE379" i="22"/>
  <c r="C379" i="20" s="1"/>
  <c r="AD379" i="22"/>
  <c r="B379" i="20" s="1"/>
  <c r="AH378" i="22"/>
  <c r="AF378" i="22"/>
  <c r="D378" i="20" s="1"/>
  <c r="E378" i="20" s="1"/>
  <c r="AE378" i="22"/>
  <c r="C378" i="20" s="1"/>
  <c r="AD378" i="22"/>
  <c r="B378" i="20" s="1"/>
  <c r="AH377" i="22"/>
  <c r="AF377" i="22"/>
  <c r="D377" i="20" s="1"/>
  <c r="E377" i="20" s="1"/>
  <c r="AE377" i="22"/>
  <c r="C377" i="20" s="1"/>
  <c r="AD377" i="22"/>
  <c r="B377" i="20" s="1"/>
  <c r="AH376" i="22"/>
  <c r="AF376" i="22"/>
  <c r="D376" i="20" s="1"/>
  <c r="E376" i="20" s="1"/>
  <c r="AE376" i="22"/>
  <c r="C376" i="20" s="1"/>
  <c r="AD376" i="22"/>
  <c r="B376" i="20" s="1"/>
  <c r="AH375" i="22"/>
  <c r="AF375" i="22"/>
  <c r="D375" i="20" s="1"/>
  <c r="E375" i="20" s="1"/>
  <c r="AE375" i="22"/>
  <c r="C375" i="20" s="1"/>
  <c r="AD375" i="22"/>
  <c r="B375" i="20" s="1"/>
  <c r="AH374" i="22"/>
  <c r="AF374" i="22"/>
  <c r="D374" i="20" s="1"/>
  <c r="E374" i="20" s="1"/>
  <c r="AE374" i="22"/>
  <c r="C374" i="20" s="1"/>
  <c r="AD374" i="22"/>
  <c r="B374" i="20" s="1"/>
  <c r="AH373" i="22"/>
  <c r="AF373" i="22"/>
  <c r="D373" i="20" s="1"/>
  <c r="E373" i="20" s="1"/>
  <c r="AE373" i="22"/>
  <c r="C373" i="20" s="1"/>
  <c r="AD373" i="22"/>
  <c r="B373" i="20" s="1"/>
  <c r="AH372" i="22"/>
  <c r="AF372" i="22"/>
  <c r="D372" i="20" s="1"/>
  <c r="E372" i="20" s="1"/>
  <c r="AE372" i="22"/>
  <c r="C372" i="20" s="1"/>
  <c r="AD372" i="22"/>
  <c r="B372" i="20" s="1"/>
  <c r="AH371" i="22"/>
  <c r="AF371" i="22"/>
  <c r="D371" i="20" s="1"/>
  <c r="E371" i="20" s="1"/>
  <c r="AE371" i="22"/>
  <c r="C371" i="20" s="1"/>
  <c r="AD371" i="22"/>
  <c r="B371" i="20" s="1"/>
  <c r="AH370" i="22"/>
  <c r="AF370" i="22"/>
  <c r="D370" i="20" s="1"/>
  <c r="E370" i="20" s="1"/>
  <c r="AE370" i="22"/>
  <c r="C370" i="20" s="1"/>
  <c r="AD370" i="22"/>
  <c r="B370" i="20" s="1"/>
  <c r="AH369" i="22"/>
  <c r="AF369" i="22"/>
  <c r="D369" i="20" s="1"/>
  <c r="E369" i="20" s="1"/>
  <c r="AE369" i="22"/>
  <c r="C369" i="20" s="1"/>
  <c r="AD369" i="22"/>
  <c r="B369" i="20" s="1"/>
  <c r="AH368" i="22"/>
  <c r="AF368" i="22"/>
  <c r="AE368" i="22"/>
  <c r="C368" i="20" s="1"/>
  <c r="C398" i="20" s="1"/>
  <c r="AD368" i="22"/>
  <c r="EE65" i="12"/>
  <c r="EC65" i="12"/>
  <c r="DX65" i="12"/>
  <c r="DV65" i="12"/>
  <c r="DW65" i="12" s="1"/>
  <c r="DU65" i="12"/>
  <c r="DT65" i="12"/>
  <c r="EE64" i="12"/>
  <c r="EC64" i="12"/>
  <c r="DX64" i="12"/>
  <c r="DY64" i="12" s="1"/>
  <c r="DV64" i="12"/>
  <c r="DU64" i="12"/>
  <c r="DT64" i="12"/>
  <c r="ED59" i="12"/>
  <c r="EE59" i="12" s="1"/>
  <c r="EB59" i="12"/>
  <c r="EA59" i="12"/>
  <c r="DZ59" i="12"/>
  <c r="ED58" i="12"/>
  <c r="EE58" i="12" s="1"/>
  <c r="EB58" i="12"/>
  <c r="EA58" i="12"/>
  <c r="DZ58" i="12"/>
  <c r="ED57" i="12"/>
  <c r="EB57" i="12"/>
  <c r="EA57" i="12"/>
  <c r="DZ57" i="12"/>
  <c r="ED56" i="12"/>
  <c r="EB56" i="12"/>
  <c r="EA56" i="12"/>
  <c r="DZ56" i="12"/>
  <c r="EE55" i="12"/>
  <c r="EC55" i="12"/>
  <c r="DX55" i="12"/>
  <c r="DV55" i="12"/>
  <c r="DW55" i="12" s="1"/>
  <c r="DU55" i="12"/>
  <c r="DT55" i="12"/>
  <c r="EE54" i="12"/>
  <c r="EC54" i="12"/>
  <c r="DX54" i="12"/>
  <c r="DY54" i="12" s="1"/>
  <c r="DV54" i="12"/>
  <c r="DU54" i="12"/>
  <c r="DT54" i="12"/>
  <c r="ED53" i="12"/>
  <c r="EE53" i="12" s="1"/>
  <c r="EB53" i="12"/>
  <c r="EA53" i="12"/>
  <c r="DZ53" i="12"/>
  <c r="ED52" i="12"/>
  <c r="EE52" i="12" s="1"/>
  <c r="EB52" i="12"/>
  <c r="EA52" i="12"/>
  <c r="DZ52" i="12"/>
  <c r="EE51" i="12"/>
  <c r="EC51" i="12"/>
  <c r="DX51" i="12"/>
  <c r="DV51" i="12"/>
  <c r="DW51" i="12" s="1"/>
  <c r="DU51" i="12"/>
  <c r="DT51" i="12"/>
  <c r="EE50" i="12"/>
  <c r="EC50" i="12"/>
  <c r="DX50" i="12"/>
  <c r="DY50" i="12" s="1"/>
  <c r="DV50" i="12"/>
  <c r="DU50" i="12"/>
  <c r="DT50" i="12"/>
  <c r="EE49" i="12"/>
  <c r="EC49" i="12"/>
  <c r="DX49" i="12"/>
  <c r="DX53" i="12" s="1"/>
  <c r="DV49" i="12"/>
  <c r="DV53" i="12" s="1"/>
  <c r="DW53" i="12" s="1"/>
  <c r="DU49" i="12"/>
  <c r="DU53" i="12" s="1"/>
  <c r="DT49" i="12"/>
  <c r="DT53" i="12" s="1"/>
  <c r="EE48" i="12"/>
  <c r="EC48" i="12"/>
  <c r="DX48" i="12"/>
  <c r="DX52" i="12" s="1"/>
  <c r="DV48" i="12"/>
  <c r="DV52" i="12" s="1"/>
  <c r="DU48" i="12"/>
  <c r="DU52" i="12" s="1"/>
  <c r="DT48" i="12"/>
  <c r="DT52" i="12" s="1"/>
  <c r="EE47" i="12"/>
  <c r="EC47" i="12"/>
  <c r="DX47" i="12"/>
  <c r="DV47" i="12"/>
  <c r="DW47" i="12" s="1"/>
  <c r="DU47" i="12"/>
  <c r="DT47" i="12"/>
  <c r="EE46" i="12"/>
  <c r="EC46" i="12"/>
  <c r="DX46" i="12"/>
  <c r="DY46" i="12" s="1"/>
  <c r="DV46" i="12"/>
  <c r="DU46" i="12"/>
  <c r="DT46" i="12"/>
  <c r="ED45" i="12"/>
  <c r="EE45" i="12" s="1"/>
  <c r="EB45" i="12"/>
  <c r="EA45" i="12"/>
  <c r="DZ45" i="12"/>
  <c r="ED44" i="12"/>
  <c r="EE44" i="12" s="1"/>
  <c r="EB44" i="12"/>
  <c r="EA44" i="12"/>
  <c r="DZ44" i="12"/>
  <c r="EE43" i="12"/>
  <c r="EC43" i="12"/>
  <c r="DX43" i="12"/>
  <c r="DV43" i="12"/>
  <c r="DW43" i="12" s="1"/>
  <c r="DU43" i="12"/>
  <c r="DT43" i="12"/>
  <c r="EE42" i="12"/>
  <c r="EC42" i="12"/>
  <c r="DX42" i="12"/>
  <c r="DY42" i="12" s="1"/>
  <c r="DV42" i="12"/>
  <c r="DU42" i="12"/>
  <c r="DT42" i="12"/>
  <c r="EE41" i="12"/>
  <c r="EC41" i="12"/>
  <c r="DX41" i="12"/>
  <c r="DX45" i="12" s="1"/>
  <c r="DV41" i="12"/>
  <c r="DV45" i="12" s="1"/>
  <c r="DW45" i="12" s="1"/>
  <c r="DU41" i="12"/>
  <c r="DU45" i="12" s="1"/>
  <c r="DT41" i="12"/>
  <c r="DT45" i="12" s="1"/>
  <c r="EE40" i="12"/>
  <c r="EC40" i="12"/>
  <c r="DX40" i="12"/>
  <c r="DX44" i="12" s="1"/>
  <c r="DV40" i="12"/>
  <c r="DV44" i="12" s="1"/>
  <c r="DU40" i="12"/>
  <c r="DU44" i="12" s="1"/>
  <c r="DT40" i="12"/>
  <c r="DT44" i="12" s="1"/>
  <c r="EE39" i="12"/>
  <c r="EC39" i="12"/>
  <c r="DX39" i="12"/>
  <c r="DV39" i="12"/>
  <c r="DW39" i="12" s="1"/>
  <c r="DU39" i="12"/>
  <c r="DT39" i="12"/>
  <c r="EE38" i="12"/>
  <c r="EC38" i="12"/>
  <c r="DX38" i="12"/>
  <c r="DY38" i="12" s="1"/>
  <c r="DV38" i="12"/>
  <c r="DU38" i="12"/>
  <c r="DT38" i="12"/>
  <c r="ED37" i="12"/>
  <c r="EE37" i="12" s="1"/>
  <c r="EB37" i="12"/>
  <c r="EA37" i="12"/>
  <c r="DZ37" i="12"/>
  <c r="ED36" i="12"/>
  <c r="EE36" i="12" s="1"/>
  <c r="EB36" i="12"/>
  <c r="EA36" i="12"/>
  <c r="DZ36" i="12"/>
  <c r="EE35" i="12"/>
  <c r="EC35" i="12"/>
  <c r="DX35" i="12"/>
  <c r="DV35" i="12"/>
  <c r="DW35" i="12" s="1"/>
  <c r="DU35" i="12"/>
  <c r="DT35" i="12"/>
  <c r="EE34" i="12"/>
  <c r="EC34" i="12"/>
  <c r="DX34" i="12"/>
  <c r="DY34" i="12" s="1"/>
  <c r="DV34" i="12"/>
  <c r="DU34" i="12"/>
  <c r="DT34" i="12"/>
  <c r="EE33" i="12"/>
  <c r="EC33" i="12"/>
  <c r="DX33" i="12"/>
  <c r="DX37" i="12" s="1"/>
  <c r="DV33" i="12"/>
  <c r="DV37" i="12" s="1"/>
  <c r="DW37" i="12" s="1"/>
  <c r="DU33" i="12"/>
  <c r="DU37" i="12" s="1"/>
  <c r="DT33" i="12"/>
  <c r="DT37" i="12" s="1"/>
  <c r="EE32" i="12"/>
  <c r="EC32" i="12"/>
  <c r="DX32" i="12"/>
  <c r="DX36" i="12" s="1"/>
  <c r="DV32" i="12"/>
  <c r="DV36" i="12" s="1"/>
  <c r="DU32" i="12"/>
  <c r="DU36" i="12" s="1"/>
  <c r="DT32" i="12"/>
  <c r="DT36" i="12" s="1"/>
  <c r="EE31" i="12"/>
  <c r="EC31" i="12"/>
  <c r="DX31" i="12"/>
  <c r="DV31" i="12"/>
  <c r="DW31" i="12" s="1"/>
  <c r="DU31" i="12"/>
  <c r="DT31" i="12"/>
  <c r="EE30" i="12"/>
  <c r="EC30" i="12"/>
  <c r="DX30" i="12"/>
  <c r="DY30" i="12" s="1"/>
  <c r="DV30" i="12"/>
  <c r="DU30" i="12"/>
  <c r="DT30" i="12"/>
  <c r="ED29" i="12"/>
  <c r="EE29" i="12" s="1"/>
  <c r="EB29" i="12"/>
  <c r="EA29" i="12"/>
  <c r="DZ29" i="12"/>
  <c r="ED28" i="12"/>
  <c r="EE28" i="12" s="1"/>
  <c r="EB28" i="12"/>
  <c r="EA28" i="12"/>
  <c r="DZ28" i="12"/>
  <c r="EE27" i="12"/>
  <c r="EC27" i="12"/>
  <c r="DX27" i="12"/>
  <c r="DV27" i="12"/>
  <c r="DW27" i="12" s="1"/>
  <c r="DU27" i="12"/>
  <c r="DT27" i="12"/>
  <c r="EE26" i="12"/>
  <c r="EC26" i="12"/>
  <c r="DX26" i="12"/>
  <c r="DY26" i="12" s="1"/>
  <c r="DV26" i="12"/>
  <c r="DU26" i="12"/>
  <c r="DT26" i="12"/>
  <c r="EE25" i="12"/>
  <c r="EC25" i="12"/>
  <c r="DX25" i="12"/>
  <c r="DX29" i="12" s="1"/>
  <c r="DV25" i="12"/>
  <c r="DV29" i="12" s="1"/>
  <c r="DW29" i="12" s="1"/>
  <c r="DU25" i="12"/>
  <c r="DU29" i="12" s="1"/>
  <c r="DT25" i="12"/>
  <c r="DT29" i="12" s="1"/>
  <c r="EE24" i="12"/>
  <c r="EC24" i="12"/>
  <c r="DX24" i="12"/>
  <c r="DX28" i="12" s="1"/>
  <c r="DV24" i="12"/>
  <c r="DV28" i="12" s="1"/>
  <c r="DU24" i="12"/>
  <c r="DU28" i="12" s="1"/>
  <c r="DT24" i="12"/>
  <c r="DT28" i="12" s="1"/>
  <c r="EE23" i="12"/>
  <c r="EC23" i="12"/>
  <c r="DX23" i="12"/>
  <c r="DV23" i="12"/>
  <c r="DW23" i="12" s="1"/>
  <c r="DU23" i="12"/>
  <c r="DT23" i="12"/>
  <c r="EE22" i="12"/>
  <c r="EC22" i="12"/>
  <c r="DX22" i="12"/>
  <c r="DY22" i="12" s="1"/>
  <c r="DV22" i="12"/>
  <c r="DU22" i="12"/>
  <c r="DT22" i="12"/>
  <c r="ED21" i="12"/>
  <c r="EE21" i="12" s="1"/>
  <c r="EB21" i="12"/>
  <c r="EA21" i="12"/>
  <c r="DZ21" i="12"/>
  <c r="ED20" i="12"/>
  <c r="EE20" i="12" s="1"/>
  <c r="EB20" i="12"/>
  <c r="EA20" i="12"/>
  <c r="DZ20" i="12"/>
  <c r="EE19" i="12"/>
  <c r="EC19" i="12"/>
  <c r="DX19" i="12"/>
  <c r="DV19" i="12"/>
  <c r="DW19" i="12" s="1"/>
  <c r="DU19" i="12"/>
  <c r="DT19" i="12"/>
  <c r="EE18" i="12"/>
  <c r="EC18" i="12"/>
  <c r="DX18" i="12"/>
  <c r="DY18" i="12" s="1"/>
  <c r="DV18" i="12"/>
  <c r="DU18" i="12"/>
  <c r="DT18" i="12"/>
  <c r="EE17" i="12"/>
  <c r="EC17" i="12"/>
  <c r="DX17" i="12"/>
  <c r="DX21" i="12" s="1"/>
  <c r="DV17" i="12"/>
  <c r="DV21" i="12" s="1"/>
  <c r="DW21" i="12" s="1"/>
  <c r="DU17" i="12"/>
  <c r="DU21" i="12" s="1"/>
  <c r="DT17" i="12"/>
  <c r="DT21" i="12" s="1"/>
  <c r="EE16" i="12"/>
  <c r="EC16" i="12"/>
  <c r="DX16" i="12"/>
  <c r="DX20" i="12" s="1"/>
  <c r="DV16" i="12"/>
  <c r="DV20" i="12" s="1"/>
  <c r="DU16" i="12"/>
  <c r="DU20" i="12" s="1"/>
  <c r="DT16" i="12"/>
  <c r="DT20" i="12" s="1"/>
  <c r="EE15" i="12"/>
  <c r="EC15" i="12"/>
  <c r="DX15" i="12"/>
  <c r="DV15" i="12"/>
  <c r="DW15" i="12" s="1"/>
  <c r="DU15" i="12"/>
  <c r="DT15" i="12"/>
  <c r="EE14" i="12"/>
  <c r="EC14" i="12"/>
  <c r="DX14" i="12"/>
  <c r="DY14" i="12" s="1"/>
  <c r="DV14" i="12"/>
  <c r="DU14" i="12"/>
  <c r="DT14" i="12"/>
  <c r="ED13" i="12"/>
  <c r="ED61" i="12" s="1"/>
  <c r="EB13" i="12"/>
  <c r="EB61" i="12" s="1"/>
  <c r="EA13" i="12"/>
  <c r="EA61" i="12" s="1"/>
  <c r="DZ13" i="12"/>
  <c r="DZ61" i="12" s="1"/>
  <c r="ED12" i="12"/>
  <c r="ED60" i="12" s="1"/>
  <c r="EB12" i="12"/>
  <c r="EB60" i="12" s="1"/>
  <c r="EA12" i="12"/>
  <c r="EA60" i="12" s="1"/>
  <c r="DZ12" i="12"/>
  <c r="DZ60" i="12" s="1"/>
  <c r="EE11" i="12"/>
  <c r="EC11" i="12"/>
  <c r="DX11" i="12"/>
  <c r="DX59" i="12" s="1"/>
  <c r="DV11" i="12"/>
  <c r="DV59" i="12" s="1"/>
  <c r="DW59" i="12" s="1"/>
  <c r="DU11" i="12"/>
  <c r="DU59" i="12" s="1"/>
  <c r="DT11" i="12"/>
  <c r="DT59" i="12" s="1"/>
  <c r="EE10" i="12"/>
  <c r="EC10" i="12"/>
  <c r="DX10" i="12"/>
  <c r="DX58" i="12" s="1"/>
  <c r="DV10" i="12"/>
  <c r="DV58" i="12" s="1"/>
  <c r="DU10" i="12"/>
  <c r="DU58" i="12" s="1"/>
  <c r="DT10" i="12"/>
  <c r="DT58" i="12" s="1"/>
  <c r="EE9" i="12"/>
  <c r="EC9" i="12"/>
  <c r="DX9" i="12"/>
  <c r="DX57" i="12" s="1"/>
  <c r="DV9" i="12"/>
  <c r="DV57" i="12" s="1"/>
  <c r="DU9" i="12"/>
  <c r="DU57" i="12" s="1"/>
  <c r="DT9" i="12"/>
  <c r="DT57" i="12" s="1"/>
  <c r="EE8" i="12"/>
  <c r="EC8" i="12"/>
  <c r="DX8" i="12"/>
  <c r="DX56" i="12" s="1"/>
  <c r="DV8" i="12"/>
  <c r="DV56" i="12" s="1"/>
  <c r="DU8" i="12"/>
  <c r="DU56" i="12" s="1"/>
  <c r="DT8" i="12"/>
  <c r="DT56" i="12" s="1"/>
  <c r="BQ106" i="2"/>
  <c r="BR106" i="2" s="1"/>
  <c r="BP106" i="2"/>
  <c r="BQ105" i="2"/>
  <c r="BP105" i="2"/>
  <c r="BQ104" i="2"/>
  <c r="BR104" i="2" s="1"/>
  <c r="BP104" i="2"/>
  <c r="BR103" i="2"/>
  <c r="BN103" i="2"/>
  <c r="BN104" i="2" s="1"/>
  <c r="BM103" i="2"/>
  <c r="BM104" i="2" s="1"/>
  <c r="BR102" i="2"/>
  <c r="BN102" i="2"/>
  <c r="BM102" i="2"/>
  <c r="BO102" i="2" s="1"/>
  <c r="BQ101" i="2"/>
  <c r="BR101" i="2" s="1"/>
  <c r="BP101" i="2"/>
  <c r="BR100" i="2"/>
  <c r="BN100" i="2"/>
  <c r="BN101" i="2" s="1"/>
  <c r="BM100" i="2"/>
  <c r="BR99" i="2"/>
  <c r="BN99" i="2"/>
  <c r="BO99" i="2" s="1"/>
  <c r="BM99" i="2"/>
  <c r="BQ97" i="2"/>
  <c r="BP97" i="2"/>
  <c r="BP98" i="2" s="1"/>
  <c r="BQ96" i="2"/>
  <c r="BQ98" i="2" s="1"/>
  <c r="BP96" i="2"/>
  <c r="BQ95" i="2"/>
  <c r="BP95" i="2"/>
  <c r="BR94" i="2"/>
  <c r="BN94" i="2"/>
  <c r="BM94" i="2"/>
  <c r="BM97" i="2" s="1"/>
  <c r="BM98" i="2" s="1"/>
  <c r="BR93" i="2"/>
  <c r="BN93" i="2"/>
  <c r="BM93" i="2"/>
  <c r="BM96" i="2" s="1"/>
  <c r="BQ92" i="2"/>
  <c r="BP92" i="2"/>
  <c r="BR91" i="2"/>
  <c r="BN91" i="2"/>
  <c r="BM91" i="2"/>
  <c r="BR90" i="2"/>
  <c r="BN90" i="2"/>
  <c r="BM90" i="2"/>
  <c r="BQ88" i="2"/>
  <c r="BP88" i="2"/>
  <c r="BQ87" i="2"/>
  <c r="BR87" i="2" s="1"/>
  <c r="BP87" i="2"/>
  <c r="BQ86" i="2"/>
  <c r="BP86" i="2"/>
  <c r="BR85" i="2"/>
  <c r="BN85" i="2"/>
  <c r="BN88" i="2" s="1"/>
  <c r="BM85" i="2"/>
  <c r="BM88" i="2" s="1"/>
  <c r="BR84" i="2"/>
  <c r="BN84" i="2"/>
  <c r="BN87" i="2" s="1"/>
  <c r="BM84" i="2"/>
  <c r="BQ83" i="2"/>
  <c r="BP83" i="2"/>
  <c r="BR82" i="2"/>
  <c r="BO82" i="2"/>
  <c r="BN82" i="2"/>
  <c r="BM82" i="2"/>
  <c r="BR81" i="2"/>
  <c r="BO81" i="2"/>
  <c r="BN81" i="2"/>
  <c r="BM81" i="2"/>
  <c r="BQ79" i="2"/>
  <c r="BR79" i="2" s="1"/>
  <c r="BP79" i="2"/>
  <c r="BP80" i="2" s="1"/>
  <c r="BQ78" i="2"/>
  <c r="BP78" i="2"/>
  <c r="BM78" i="2"/>
  <c r="BQ77" i="2"/>
  <c r="BR77" i="2" s="1"/>
  <c r="BP77" i="2"/>
  <c r="BR76" i="2"/>
  <c r="BO76" i="2"/>
  <c r="BN76" i="2"/>
  <c r="BN79" i="2" s="1"/>
  <c r="BM76" i="2"/>
  <c r="BR75" i="2"/>
  <c r="BO75" i="2"/>
  <c r="BN75" i="2"/>
  <c r="BN78" i="2" s="1"/>
  <c r="BM75" i="2"/>
  <c r="BQ74" i="2"/>
  <c r="BP74" i="2"/>
  <c r="BR73" i="2"/>
  <c r="BN73" i="2"/>
  <c r="BM73" i="2"/>
  <c r="BM74" i="2" s="1"/>
  <c r="BR72" i="2"/>
  <c r="BN72" i="2"/>
  <c r="BM72" i="2"/>
  <c r="BQ70" i="2"/>
  <c r="BP70" i="2"/>
  <c r="BP71" i="2" s="1"/>
  <c r="BQ69" i="2"/>
  <c r="BR69" i="2" s="1"/>
  <c r="BP69" i="2"/>
  <c r="BQ68" i="2"/>
  <c r="BP68" i="2"/>
  <c r="BR67" i="2"/>
  <c r="BN67" i="2"/>
  <c r="BN70" i="2" s="1"/>
  <c r="BM67" i="2"/>
  <c r="BM70" i="2" s="1"/>
  <c r="BR66" i="2"/>
  <c r="BN66" i="2"/>
  <c r="BN69" i="2" s="1"/>
  <c r="BM66" i="2"/>
  <c r="BQ65" i="2"/>
  <c r="BP65" i="2"/>
  <c r="BR64" i="2"/>
  <c r="BN64" i="2"/>
  <c r="BM64" i="2"/>
  <c r="BM65" i="2" s="1"/>
  <c r="BR63" i="2"/>
  <c r="BN63" i="2"/>
  <c r="BO63" i="2" s="1"/>
  <c r="BM63" i="2"/>
  <c r="BQ59" i="2"/>
  <c r="BR59" i="2" s="1"/>
  <c r="BP59" i="2"/>
  <c r="BR58" i="2"/>
  <c r="BN58" i="2"/>
  <c r="BM58" i="2"/>
  <c r="BR57" i="2"/>
  <c r="BN57" i="2"/>
  <c r="BO57" i="2" s="1"/>
  <c r="BM57" i="2"/>
  <c r="BQ56" i="2"/>
  <c r="BR56" i="2" s="1"/>
  <c r="BP56" i="2"/>
  <c r="BR55" i="2"/>
  <c r="BN55" i="2"/>
  <c r="BM55" i="2"/>
  <c r="BM56" i="2" s="1"/>
  <c r="BR54" i="2"/>
  <c r="BN54" i="2"/>
  <c r="BM54" i="2"/>
  <c r="BQ53" i="2"/>
  <c r="BR53" i="2" s="1"/>
  <c r="BP53" i="2"/>
  <c r="BR52" i="2"/>
  <c r="BN52" i="2"/>
  <c r="BM52" i="2"/>
  <c r="BR51" i="2"/>
  <c r="BN51" i="2"/>
  <c r="BM51" i="2"/>
  <c r="BQ50" i="2"/>
  <c r="BR50" i="2" s="1"/>
  <c r="BP50" i="2"/>
  <c r="BR49" i="2"/>
  <c r="BN49" i="2"/>
  <c r="BN50" i="2" s="1"/>
  <c r="BM49" i="2"/>
  <c r="BR48" i="2"/>
  <c r="BN48" i="2"/>
  <c r="BM48" i="2"/>
  <c r="BO48" i="2" s="1"/>
  <c r="BQ47" i="2"/>
  <c r="BR47" i="2" s="1"/>
  <c r="BP47" i="2"/>
  <c r="BR46" i="2"/>
  <c r="BO46" i="2"/>
  <c r="BN46" i="2"/>
  <c r="BM46" i="2"/>
  <c r="BR45" i="2"/>
  <c r="BO45" i="2"/>
  <c r="BN45" i="2"/>
  <c r="BM45" i="2"/>
  <c r="BQ44" i="2"/>
  <c r="BP44" i="2"/>
  <c r="BR43" i="2"/>
  <c r="BN43" i="2"/>
  <c r="BM43" i="2"/>
  <c r="BM44" i="2" s="1"/>
  <c r="BR42" i="2"/>
  <c r="BN42" i="2"/>
  <c r="BM42" i="2"/>
  <c r="BT40" i="2"/>
  <c r="BP40" i="2"/>
  <c r="BP61" i="2" s="1"/>
  <c r="BP62" i="2" s="1"/>
  <c r="BQ39" i="2"/>
  <c r="BP39" i="2"/>
  <c r="BP60" i="2" s="1"/>
  <c r="BQ38" i="2"/>
  <c r="BR38" i="2" s="1"/>
  <c r="BP38" i="2"/>
  <c r="BR37" i="2"/>
  <c r="BN37" i="2"/>
  <c r="BN38" i="2" s="1"/>
  <c r="BM37" i="2"/>
  <c r="BR36" i="2"/>
  <c r="BN36" i="2"/>
  <c r="BM36" i="2"/>
  <c r="BQ35" i="2"/>
  <c r="BR35" i="2" s="1"/>
  <c r="BP35" i="2"/>
  <c r="BR34" i="2"/>
  <c r="BO34" i="2"/>
  <c r="BN34" i="2"/>
  <c r="BM34" i="2"/>
  <c r="BR33" i="2"/>
  <c r="BO33" i="2"/>
  <c r="BN33" i="2"/>
  <c r="BM33" i="2"/>
  <c r="BQ29" i="2"/>
  <c r="BP29" i="2"/>
  <c r="BR28" i="2"/>
  <c r="BN28" i="2"/>
  <c r="BM28" i="2"/>
  <c r="BM29" i="2" s="1"/>
  <c r="BR27" i="2"/>
  <c r="BN27" i="2"/>
  <c r="BO27" i="2" s="1"/>
  <c r="BM27" i="2"/>
  <c r="BQ26" i="2"/>
  <c r="BR26" i="2" s="1"/>
  <c r="BP26" i="2"/>
  <c r="BR25" i="2"/>
  <c r="BN25" i="2"/>
  <c r="BM25" i="2"/>
  <c r="BM26" i="2" s="1"/>
  <c r="BR24" i="2"/>
  <c r="BN24" i="2"/>
  <c r="BM24" i="2"/>
  <c r="BQ23" i="2"/>
  <c r="BR23" i="2" s="1"/>
  <c r="BP23" i="2"/>
  <c r="BR22" i="2"/>
  <c r="BN22" i="2"/>
  <c r="BM22" i="2"/>
  <c r="BR21" i="2"/>
  <c r="BN21" i="2"/>
  <c r="BO21" i="2" s="1"/>
  <c r="BM21" i="2"/>
  <c r="BQ20" i="2"/>
  <c r="BR20" i="2" s="1"/>
  <c r="BP20" i="2"/>
  <c r="BR19" i="2"/>
  <c r="BN19" i="2"/>
  <c r="BM19" i="2"/>
  <c r="BM20" i="2" s="1"/>
  <c r="BR18" i="2"/>
  <c r="BN18" i="2"/>
  <c r="BM18" i="2"/>
  <c r="BQ17" i="2"/>
  <c r="BR17" i="2" s="1"/>
  <c r="BP17" i="2"/>
  <c r="BR16" i="2"/>
  <c r="BN16" i="2"/>
  <c r="BM16" i="2"/>
  <c r="BR15" i="2"/>
  <c r="BN15" i="2"/>
  <c r="BM15" i="2"/>
  <c r="BQ14" i="2"/>
  <c r="BR14" i="2" s="1"/>
  <c r="BP14" i="2"/>
  <c r="BR13" i="2"/>
  <c r="BN13" i="2"/>
  <c r="BN14" i="2" s="1"/>
  <c r="BM13" i="2"/>
  <c r="BR12" i="2"/>
  <c r="BN12" i="2"/>
  <c r="BM12" i="2"/>
  <c r="BO12" i="2" s="1"/>
  <c r="BQ10" i="2"/>
  <c r="BR10" i="2" s="1"/>
  <c r="BP10" i="2"/>
  <c r="BP31" i="2" s="1"/>
  <c r="BQ9" i="2"/>
  <c r="BQ30" i="2" s="1"/>
  <c r="BP9" i="2"/>
  <c r="BQ8" i="2"/>
  <c r="BP8" i="2"/>
  <c r="BR7" i="2"/>
  <c r="BN7" i="2"/>
  <c r="BM7" i="2"/>
  <c r="BM8" i="2" s="1"/>
  <c r="BR6" i="2"/>
  <c r="BN6" i="2"/>
  <c r="BM6" i="2"/>
  <c r="BQ106" i="1"/>
  <c r="BP106" i="1"/>
  <c r="BP107" i="1" s="1"/>
  <c r="BQ105" i="1"/>
  <c r="BR105" i="1" s="1"/>
  <c r="BP105" i="1"/>
  <c r="BQ104" i="1"/>
  <c r="BP104" i="1"/>
  <c r="BR103" i="1"/>
  <c r="BN103" i="1"/>
  <c r="BM103" i="1"/>
  <c r="BR102" i="1"/>
  <c r="BN102" i="1"/>
  <c r="BO102" i="1" s="1"/>
  <c r="BM102" i="1"/>
  <c r="BQ101" i="1"/>
  <c r="BR101" i="1" s="1"/>
  <c r="BP101" i="1"/>
  <c r="BR100" i="1"/>
  <c r="BN100" i="1"/>
  <c r="BM100" i="1"/>
  <c r="BR99" i="1"/>
  <c r="BN99" i="1"/>
  <c r="BM99" i="1"/>
  <c r="BQ97" i="1"/>
  <c r="BP97" i="1"/>
  <c r="BQ96" i="1"/>
  <c r="BR96" i="1" s="1"/>
  <c r="BP96" i="1"/>
  <c r="BQ95" i="1"/>
  <c r="BR95" i="1" s="1"/>
  <c r="BP95" i="1"/>
  <c r="BR94" i="1"/>
  <c r="BN94" i="1"/>
  <c r="BN97" i="1" s="1"/>
  <c r="BM94" i="1"/>
  <c r="BR93" i="1"/>
  <c r="BN93" i="1"/>
  <c r="BN96" i="1" s="1"/>
  <c r="BM93" i="1"/>
  <c r="BQ92" i="1"/>
  <c r="BR92" i="1" s="1"/>
  <c r="BP92" i="1"/>
  <c r="BR91" i="1"/>
  <c r="BO91" i="1"/>
  <c r="BN91" i="1"/>
  <c r="BM91" i="1"/>
  <c r="BR90" i="1"/>
  <c r="BO90" i="1"/>
  <c r="BN90" i="1"/>
  <c r="BM90" i="1"/>
  <c r="BQ88" i="1"/>
  <c r="BR88" i="1" s="1"/>
  <c r="BP88" i="1"/>
  <c r="BP89" i="1" s="1"/>
  <c r="BQ87" i="1"/>
  <c r="BP87" i="1"/>
  <c r="BM87" i="1"/>
  <c r="BQ86" i="1"/>
  <c r="BR86" i="1" s="1"/>
  <c r="BP86" i="1"/>
  <c r="BR85" i="1"/>
  <c r="BO85" i="1"/>
  <c r="BN85" i="1"/>
  <c r="BN88" i="1" s="1"/>
  <c r="BM85" i="1"/>
  <c r="BM88" i="1" s="1"/>
  <c r="BR84" i="1"/>
  <c r="BO84" i="1"/>
  <c r="BN84" i="1"/>
  <c r="BN87" i="1" s="1"/>
  <c r="BM84" i="1"/>
  <c r="BQ83" i="1"/>
  <c r="BP83" i="1"/>
  <c r="BR82" i="1"/>
  <c r="BN82" i="1"/>
  <c r="BM82" i="1"/>
  <c r="BR81" i="1"/>
  <c r="BN81" i="1"/>
  <c r="BM81" i="1"/>
  <c r="BQ79" i="1"/>
  <c r="BP79" i="1"/>
  <c r="BP80" i="1" s="1"/>
  <c r="BQ78" i="1"/>
  <c r="BR78" i="1" s="1"/>
  <c r="BP78" i="1"/>
  <c r="BQ77" i="1"/>
  <c r="BP77" i="1"/>
  <c r="BR76" i="1"/>
  <c r="BN76" i="1"/>
  <c r="BN79" i="1" s="1"/>
  <c r="BM76" i="1"/>
  <c r="BR75" i="1"/>
  <c r="BN75" i="1"/>
  <c r="BN78" i="1" s="1"/>
  <c r="BM75" i="1"/>
  <c r="BQ74" i="1"/>
  <c r="BP74" i="1"/>
  <c r="BR73" i="1"/>
  <c r="BN73" i="1"/>
  <c r="BM73" i="1"/>
  <c r="BO73" i="1" s="1"/>
  <c r="BR72" i="1"/>
  <c r="BN72" i="1"/>
  <c r="BM72" i="1"/>
  <c r="BM69" i="1" s="1"/>
  <c r="BQ70" i="1"/>
  <c r="BR70" i="1" s="1"/>
  <c r="BP70" i="1"/>
  <c r="BQ69" i="1"/>
  <c r="BP69" i="1"/>
  <c r="BQ68" i="1"/>
  <c r="BR68" i="1" s="1"/>
  <c r="BP68" i="1"/>
  <c r="BR67" i="1"/>
  <c r="BO67" i="1"/>
  <c r="BN67" i="1"/>
  <c r="BN70" i="1" s="1"/>
  <c r="BM67" i="1"/>
  <c r="BR66" i="1"/>
  <c r="BO66" i="1"/>
  <c r="BN66" i="1"/>
  <c r="BN69" i="1" s="1"/>
  <c r="BM66" i="1"/>
  <c r="BQ65" i="1"/>
  <c r="BR65" i="1" s="1"/>
  <c r="BP65" i="1"/>
  <c r="BR64" i="1"/>
  <c r="BN64" i="1"/>
  <c r="BM64" i="1"/>
  <c r="BO64" i="1" s="1"/>
  <c r="BR63" i="1"/>
  <c r="BN63" i="1"/>
  <c r="BM63" i="1"/>
  <c r="BQ59" i="1"/>
  <c r="BR59" i="1" s="1"/>
  <c r="BP59" i="1"/>
  <c r="BR58" i="1"/>
  <c r="BN58" i="1"/>
  <c r="BM58" i="1"/>
  <c r="BO58" i="1" s="1"/>
  <c r="BR57" i="1"/>
  <c r="BN57" i="1"/>
  <c r="BM57" i="1"/>
  <c r="BQ56" i="1"/>
  <c r="BR56" i="1" s="1"/>
  <c r="BP56" i="1"/>
  <c r="BR55" i="1"/>
  <c r="BN55" i="1"/>
  <c r="BM55" i="1"/>
  <c r="BM56" i="1" s="1"/>
  <c r="BR54" i="1"/>
  <c r="BN54" i="1"/>
  <c r="BM54" i="1"/>
  <c r="BQ53" i="1"/>
  <c r="BR53" i="1" s="1"/>
  <c r="BP53" i="1"/>
  <c r="BR52" i="1"/>
  <c r="BN52" i="1"/>
  <c r="BN53" i="1" s="1"/>
  <c r="BM52" i="1"/>
  <c r="BO52" i="1" s="1"/>
  <c r="BR51" i="1"/>
  <c r="BN51" i="1"/>
  <c r="BM51" i="1"/>
  <c r="BO51" i="1" s="1"/>
  <c r="BQ50" i="1"/>
  <c r="BR50" i="1" s="1"/>
  <c r="BP50" i="1"/>
  <c r="BR49" i="1"/>
  <c r="BN49" i="1"/>
  <c r="BN50" i="1" s="1"/>
  <c r="BM49" i="1"/>
  <c r="BR48" i="1"/>
  <c r="BN48" i="1"/>
  <c r="BO48" i="1" s="1"/>
  <c r="BM48" i="1"/>
  <c r="BQ47" i="1"/>
  <c r="BP47" i="1"/>
  <c r="BR46" i="1"/>
  <c r="BN46" i="1"/>
  <c r="BM46" i="1"/>
  <c r="BO46" i="1" s="1"/>
  <c r="BR45" i="1"/>
  <c r="BN45" i="1"/>
  <c r="BM45" i="1"/>
  <c r="BQ44" i="1"/>
  <c r="BP44" i="1"/>
  <c r="BR43" i="1"/>
  <c r="BN43" i="1"/>
  <c r="BM43" i="1"/>
  <c r="BR42" i="1"/>
  <c r="BN42" i="1"/>
  <c r="BO42" i="1" s="1"/>
  <c r="BM42" i="1"/>
  <c r="BR40" i="1"/>
  <c r="BP40" i="1"/>
  <c r="BP61" i="1" s="1"/>
  <c r="BQ60" i="1"/>
  <c r="BP39" i="1"/>
  <c r="BQ38" i="1"/>
  <c r="BP38" i="1"/>
  <c r="BR37" i="1"/>
  <c r="BN37" i="1"/>
  <c r="BM37" i="1"/>
  <c r="BM38" i="1" s="1"/>
  <c r="BR36" i="1"/>
  <c r="BN36" i="1"/>
  <c r="BO36" i="1" s="1"/>
  <c r="BM36" i="1"/>
  <c r="BQ35" i="1"/>
  <c r="BR35" i="1" s="1"/>
  <c r="BP35" i="1"/>
  <c r="BR34" i="1"/>
  <c r="BN34" i="1"/>
  <c r="BN106" i="1" s="1"/>
  <c r="BM34" i="1"/>
  <c r="BR33" i="1"/>
  <c r="BN33" i="1"/>
  <c r="BM33" i="1"/>
  <c r="BQ29" i="1"/>
  <c r="BR29" i="1" s="1"/>
  <c r="BP29" i="1"/>
  <c r="BR28" i="1"/>
  <c r="BN28" i="1"/>
  <c r="BM28" i="1"/>
  <c r="BO28" i="1" s="1"/>
  <c r="BR27" i="1"/>
  <c r="BN27" i="1"/>
  <c r="BM27" i="1"/>
  <c r="BQ26" i="1"/>
  <c r="BR26" i="1" s="1"/>
  <c r="BP26" i="1"/>
  <c r="BR25" i="1"/>
  <c r="BN25" i="1"/>
  <c r="BM25" i="1"/>
  <c r="BR24" i="1"/>
  <c r="BN24" i="1"/>
  <c r="BO24" i="1" s="1"/>
  <c r="BM24" i="1"/>
  <c r="BQ23" i="1"/>
  <c r="BR23" i="1" s="1"/>
  <c r="BP23" i="1"/>
  <c r="BR22" i="1"/>
  <c r="BN22" i="1"/>
  <c r="BM22" i="1"/>
  <c r="BO22" i="1" s="1"/>
  <c r="BR21" i="1"/>
  <c r="BN21" i="1"/>
  <c r="BM21" i="1"/>
  <c r="BO21" i="1" s="1"/>
  <c r="BQ20" i="1"/>
  <c r="BR20" i="1" s="1"/>
  <c r="BP20" i="1"/>
  <c r="BR19" i="1"/>
  <c r="BO19" i="1"/>
  <c r="BN19" i="1"/>
  <c r="BM19" i="1"/>
  <c r="BR18" i="1"/>
  <c r="BO18" i="1"/>
  <c r="BN18" i="1"/>
  <c r="BM18" i="1"/>
  <c r="BQ17" i="1"/>
  <c r="BP17" i="1"/>
  <c r="BR16" i="1"/>
  <c r="BN16" i="1"/>
  <c r="BM16" i="1"/>
  <c r="BO16" i="1" s="1"/>
  <c r="BR15" i="1"/>
  <c r="BN15" i="1"/>
  <c r="BM15" i="1"/>
  <c r="BQ14" i="1"/>
  <c r="BP14" i="1"/>
  <c r="BR13" i="1"/>
  <c r="BN13" i="1"/>
  <c r="BN14" i="1" s="1"/>
  <c r="BM13" i="1"/>
  <c r="BM14" i="1" s="1"/>
  <c r="BR12" i="1"/>
  <c r="BN12" i="1"/>
  <c r="BO12" i="1" s="1"/>
  <c r="BM12" i="1"/>
  <c r="BQ10" i="1"/>
  <c r="BR10" i="1" s="1"/>
  <c r="BP10" i="1"/>
  <c r="BP31" i="1" s="1"/>
  <c r="BQ9" i="1"/>
  <c r="BQ30" i="1" s="1"/>
  <c r="BR30" i="1" s="1"/>
  <c r="BP9" i="1"/>
  <c r="BP30" i="1" s="1"/>
  <c r="BQ8" i="1"/>
  <c r="BP8" i="1"/>
  <c r="BR7" i="1"/>
  <c r="BN7" i="1"/>
  <c r="BN8" i="1" s="1"/>
  <c r="BM7" i="1"/>
  <c r="BM8" i="1" s="1"/>
  <c r="BR6" i="1"/>
  <c r="BN6" i="1"/>
  <c r="BO6" i="1" s="1"/>
  <c r="BM6" i="1"/>
  <c r="BO55" i="13"/>
  <c r="BN55" i="13"/>
  <c r="BO54" i="13"/>
  <c r="BN54" i="13"/>
  <c r="BO52" i="13"/>
  <c r="BN52" i="13"/>
  <c r="BO51" i="13"/>
  <c r="BO53" i="13" s="1"/>
  <c r="BN51" i="13"/>
  <c r="BO49" i="13"/>
  <c r="BN49" i="13"/>
  <c r="BO48" i="13"/>
  <c r="BN48" i="13"/>
  <c r="BO46" i="13"/>
  <c r="BN46" i="13"/>
  <c r="BO45" i="13"/>
  <c r="BN45" i="13"/>
  <c r="BO43" i="13"/>
  <c r="BN43" i="13"/>
  <c r="BO42" i="13"/>
  <c r="BN42" i="13"/>
  <c r="BO40" i="13"/>
  <c r="BN40" i="13"/>
  <c r="BO39" i="13"/>
  <c r="BN39" i="13"/>
  <c r="BO37" i="13"/>
  <c r="BN37" i="13"/>
  <c r="BO36" i="13"/>
  <c r="BN36" i="13"/>
  <c r="BO25" i="13"/>
  <c r="BP25" i="13" s="1"/>
  <c r="BN25" i="13"/>
  <c r="BO24" i="13"/>
  <c r="BN24" i="13"/>
  <c r="BO22" i="13"/>
  <c r="BN22" i="13"/>
  <c r="BO21" i="13"/>
  <c r="BN21" i="13"/>
  <c r="BO19" i="13"/>
  <c r="BN19" i="13"/>
  <c r="BO18" i="13"/>
  <c r="BN18" i="13"/>
  <c r="BO16" i="13"/>
  <c r="BN16" i="13"/>
  <c r="BO15" i="13"/>
  <c r="BN15" i="13"/>
  <c r="BO13" i="13"/>
  <c r="BP13" i="13" s="1"/>
  <c r="BN13" i="13"/>
  <c r="BO12" i="13"/>
  <c r="BN12" i="13"/>
  <c r="BO10" i="13"/>
  <c r="BN10" i="13"/>
  <c r="BO9" i="13"/>
  <c r="BN9" i="13"/>
  <c r="BO7" i="13"/>
  <c r="BN7" i="13"/>
  <c r="BO6" i="13"/>
  <c r="BN6" i="13"/>
  <c r="BT61" i="2" l="1"/>
  <c r="BU61" i="2" s="1"/>
  <c r="BU40" i="2"/>
  <c r="BQ60" i="2"/>
  <c r="BT39" i="2"/>
  <c r="BP90" i="10"/>
  <c r="BM59" i="10"/>
  <c r="BP47" i="10"/>
  <c r="AH398" i="24"/>
  <c r="F368" i="23"/>
  <c r="G368" i="23" s="1"/>
  <c r="AI369" i="24"/>
  <c r="F369" i="23"/>
  <c r="G369" i="23" s="1"/>
  <c r="AI370" i="24"/>
  <c r="F370" i="23"/>
  <c r="G370" i="23" s="1"/>
  <c r="AI371" i="24"/>
  <c r="F371" i="23"/>
  <c r="G371" i="23" s="1"/>
  <c r="AI372" i="24"/>
  <c r="F372" i="23"/>
  <c r="G372" i="23" s="1"/>
  <c r="AI373" i="24"/>
  <c r="F373" i="23"/>
  <c r="G373" i="23" s="1"/>
  <c r="AI374" i="24"/>
  <c r="F374" i="23"/>
  <c r="G374" i="23" s="1"/>
  <c r="AI375" i="24"/>
  <c r="F375" i="23"/>
  <c r="G375" i="23" s="1"/>
  <c r="AI376" i="24"/>
  <c r="F376" i="23"/>
  <c r="G376" i="23" s="1"/>
  <c r="AI377" i="24"/>
  <c r="F377" i="23"/>
  <c r="G377" i="23" s="1"/>
  <c r="AI378" i="24"/>
  <c r="F378" i="23"/>
  <c r="G378" i="23" s="1"/>
  <c r="AI379" i="24"/>
  <c r="F379" i="23"/>
  <c r="G379" i="23" s="1"/>
  <c r="AI380" i="24"/>
  <c r="F380" i="23"/>
  <c r="G380" i="23" s="1"/>
  <c r="AI381" i="24"/>
  <c r="F381" i="23"/>
  <c r="G381" i="23" s="1"/>
  <c r="AI382" i="24"/>
  <c r="F382" i="23"/>
  <c r="G382" i="23" s="1"/>
  <c r="AI383" i="24"/>
  <c r="F383" i="23"/>
  <c r="G383" i="23" s="1"/>
  <c r="AI384" i="24"/>
  <c r="F384" i="23"/>
  <c r="G384" i="23" s="1"/>
  <c r="AI385" i="24"/>
  <c r="F385" i="23"/>
  <c r="G385" i="23" s="1"/>
  <c r="AI386" i="24"/>
  <c r="F386" i="23"/>
  <c r="G386" i="23" s="1"/>
  <c r="AI387" i="24"/>
  <c r="F387" i="23"/>
  <c r="G387" i="23" s="1"/>
  <c r="AI388" i="24"/>
  <c r="F388" i="23"/>
  <c r="G388" i="23" s="1"/>
  <c r="AI389" i="24"/>
  <c r="F389" i="23"/>
  <c r="G389" i="23" s="1"/>
  <c r="AI390" i="24"/>
  <c r="F390" i="23"/>
  <c r="G390" i="23" s="1"/>
  <c r="AI391" i="24"/>
  <c r="F391" i="23"/>
  <c r="G391" i="23" s="1"/>
  <c r="AI392" i="24"/>
  <c r="F392" i="23"/>
  <c r="G392" i="23" s="1"/>
  <c r="AI393" i="24"/>
  <c r="F393" i="23"/>
  <c r="G393" i="23" s="1"/>
  <c r="AI394" i="24"/>
  <c r="F394" i="23"/>
  <c r="G394" i="23" s="1"/>
  <c r="G396" i="23"/>
  <c r="G397" i="23"/>
  <c r="G399" i="23"/>
  <c r="AD398" i="24"/>
  <c r="B368" i="23"/>
  <c r="B398" i="23" s="1"/>
  <c r="C398" i="23"/>
  <c r="AF398" i="24"/>
  <c r="D368" i="23"/>
  <c r="E399" i="23"/>
  <c r="D398" i="23"/>
  <c r="AH398" i="22"/>
  <c r="F368" i="20"/>
  <c r="G368" i="20" s="1"/>
  <c r="AI369" i="22"/>
  <c r="F369" i="20"/>
  <c r="G369" i="20" s="1"/>
  <c r="AI370" i="22"/>
  <c r="F370" i="20"/>
  <c r="G370" i="20" s="1"/>
  <c r="AI371" i="22"/>
  <c r="F371" i="20"/>
  <c r="G371" i="20" s="1"/>
  <c r="AI372" i="22"/>
  <c r="F372" i="20"/>
  <c r="G372" i="20" s="1"/>
  <c r="AI373" i="22"/>
  <c r="F373" i="20"/>
  <c r="G373" i="20" s="1"/>
  <c r="AI374" i="22"/>
  <c r="F374" i="20"/>
  <c r="G374" i="20" s="1"/>
  <c r="AI375" i="22"/>
  <c r="F375" i="20"/>
  <c r="G375" i="20" s="1"/>
  <c r="AI376" i="22"/>
  <c r="F376" i="20"/>
  <c r="G376" i="20" s="1"/>
  <c r="AI377" i="22"/>
  <c r="F377" i="20"/>
  <c r="G377" i="20" s="1"/>
  <c r="AI378" i="22"/>
  <c r="F378" i="20"/>
  <c r="G378" i="20" s="1"/>
  <c r="AI379" i="22"/>
  <c r="F379" i="20"/>
  <c r="G379" i="20" s="1"/>
  <c r="AI380" i="22"/>
  <c r="F380" i="20"/>
  <c r="G380" i="20" s="1"/>
  <c r="AI381" i="22"/>
  <c r="F381" i="20"/>
  <c r="G381" i="20" s="1"/>
  <c r="AI382" i="22"/>
  <c r="F382" i="20"/>
  <c r="G382" i="20" s="1"/>
  <c r="AI383" i="22"/>
  <c r="F383" i="20"/>
  <c r="G383" i="20" s="1"/>
  <c r="AI384" i="22"/>
  <c r="F384" i="20"/>
  <c r="G384" i="20" s="1"/>
  <c r="AI385" i="22"/>
  <c r="F385" i="20"/>
  <c r="G385" i="20" s="1"/>
  <c r="AI386" i="22"/>
  <c r="F386" i="20"/>
  <c r="G386" i="20" s="1"/>
  <c r="AI387" i="22"/>
  <c r="F387" i="20"/>
  <c r="G387" i="20" s="1"/>
  <c r="AI388" i="22"/>
  <c r="F388" i="20"/>
  <c r="G388" i="20" s="1"/>
  <c r="AI389" i="22"/>
  <c r="F389" i="20"/>
  <c r="G389" i="20" s="1"/>
  <c r="AI390" i="22"/>
  <c r="F390" i="20"/>
  <c r="G390" i="20" s="1"/>
  <c r="AI391" i="22"/>
  <c r="F391" i="20"/>
  <c r="G391" i="20" s="1"/>
  <c r="AI392" i="22"/>
  <c r="F392" i="20"/>
  <c r="G392" i="20" s="1"/>
  <c r="AI393" i="22"/>
  <c r="F393" i="20"/>
  <c r="G393" i="20" s="1"/>
  <c r="AI394" i="22"/>
  <c r="F394" i="20"/>
  <c r="G394" i="20" s="1"/>
  <c r="AI395" i="22"/>
  <c r="F395" i="20"/>
  <c r="G395" i="20" s="1"/>
  <c r="AI396" i="22"/>
  <c r="F396" i="20"/>
  <c r="G396" i="20" s="1"/>
  <c r="AI397" i="22"/>
  <c r="F397" i="20"/>
  <c r="G397" i="20" s="1"/>
  <c r="AI399" i="22"/>
  <c r="F399" i="20"/>
  <c r="AD398" i="22"/>
  <c r="B368" i="20"/>
  <c r="B398" i="20" s="1"/>
  <c r="E398" i="20" s="1"/>
  <c r="AF398" i="22"/>
  <c r="D368" i="20"/>
  <c r="E395" i="20"/>
  <c r="E396" i="20"/>
  <c r="E397" i="20"/>
  <c r="E399" i="20"/>
  <c r="D398" i="20"/>
  <c r="BQ36" i="13"/>
  <c r="BV37" i="13"/>
  <c r="BV42" i="13"/>
  <c r="BV45" i="13"/>
  <c r="BV49" i="13"/>
  <c r="BV54" i="13"/>
  <c r="BV39" i="13"/>
  <c r="BV43" i="13"/>
  <c r="BV48" i="13"/>
  <c r="BV51" i="13"/>
  <c r="BV55" i="13"/>
  <c r="BT58" i="13"/>
  <c r="BQ41" i="13"/>
  <c r="BT50" i="13"/>
  <c r="BQ53" i="13"/>
  <c r="BV13" i="13"/>
  <c r="BV24" i="13"/>
  <c r="BV9" i="13"/>
  <c r="BT26" i="13"/>
  <c r="BT28" i="13"/>
  <c r="BU14" i="13"/>
  <c r="BV14" i="13" s="1"/>
  <c r="BU23" i="13"/>
  <c r="BT27" i="13"/>
  <c r="BQ27" i="13" s="1"/>
  <c r="BU28" i="13"/>
  <c r="BT14" i="13"/>
  <c r="BU27" i="13"/>
  <c r="BV7" i="13"/>
  <c r="BV15" i="13"/>
  <c r="BV19" i="13"/>
  <c r="BV21" i="13"/>
  <c r="BV25" i="13"/>
  <c r="BQ28" i="13"/>
  <c r="BV47" i="13"/>
  <c r="BQ47" i="13"/>
  <c r="BV53" i="13"/>
  <c r="BR27" i="13"/>
  <c r="BQ58" i="13"/>
  <c r="BQ59" i="13" s="1"/>
  <c r="BT59" i="13"/>
  <c r="BU29" i="13"/>
  <c r="BV28" i="13"/>
  <c r="BR28" i="13"/>
  <c r="BQ17" i="13"/>
  <c r="BV23" i="13"/>
  <c r="BV57" i="13"/>
  <c r="BR57" i="13"/>
  <c r="BS57" i="13" s="1"/>
  <c r="BU8" i="13"/>
  <c r="BU20" i="13"/>
  <c r="BV20" i="13" s="1"/>
  <c r="BU26" i="13"/>
  <c r="BV26" i="13" s="1"/>
  <c r="BU38" i="13"/>
  <c r="BU44" i="13"/>
  <c r="BV44" i="13" s="1"/>
  <c r="BU50" i="13"/>
  <c r="BV50" i="13" s="1"/>
  <c r="BU56" i="13"/>
  <c r="BV56" i="13" s="1"/>
  <c r="BR6" i="13"/>
  <c r="BS6" i="13" s="1"/>
  <c r="BV6" i="13"/>
  <c r="BR10" i="13"/>
  <c r="BV10" i="13"/>
  <c r="BT11" i="13"/>
  <c r="BR12" i="13"/>
  <c r="BS12" i="13" s="1"/>
  <c r="BV12" i="13"/>
  <c r="BR16" i="13"/>
  <c r="BV16" i="13"/>
  <c r="BT17" i="13"/>
  <c r="BV17" i="13" s="1"/>
  <c r="BR18" i="13"/>
  <c r="BS18" i="13" s="1"/>
  <c r="BR22" i="13"/>
  <c r="BV22" i="13"/>
  <c r="BT23" i="13"/>
  <c r="BR24" i="13"/>
  <c r="BS24" i="13" s="1"/>
  <c r="BR36" i="13"/>
  <c r="BV36" i="13"/>
  <c r="BR40" i="13"/>
  <c r="BV40" i="13"/>
  <c r="BT41" i="13"/>
  <c r="BV41" i="13" s="1"/>
  <c r="BR42" i="13"/>
  <c r="BS42" i="13" s="1"/>
  <c r="BR46" i="13"/>
  <c r="BV46" i="13"/>
  <c r="BT47" i="13"/>
  <c r="BR48" i="13"/>
  <c r="BS48" i="13" s="1"/>
  <c r="BR52" i="13"/>
  <c r="BV52" i="13"/>
  <c r="BT53" i="13"/>
  <c r="BR54" i="13"/>
  <c r="BS54" i="13" s="1"/>
  <c r="BU58" i="13"/>
  <c r="BQ7" i="13"/>
  <c r="BQ8" i="13" s="1"/>
  <c r="BU11" i="13"/>
  <c r="BQ13" i="13"/>
  <c r="BQ14" i="13" s="1"/>
  <c r="BQ19" i="13"/>
  <c r="BQ20" i="13" s="1"/>
  <c r="BQ25" i="13"/>
  <c r="BQ26" i="13" s="1"/>
  <c r="BQ37" i="13"/>
  <c r="BQ38" i="13" s="1"/>
  <c r="BQ43" i="13"/>
  <c r="BQ44" i="13" s="1"/>
  <c r="BQ49" i="13"/>
  <c r="BQ50" i="13" s="1"/>
  <c r="BQ55" i="13"/>
  <c r="BQ56" i="13" s="1"/>
  <c r="BR7" i="13"/>
  <c r="BT8" i="13"/>
  <c r="BR9" i="13"/>
  <c r="BS9" i="13" s="1"/>
  <c r="BR13" i="13"/>
  <c r="BR15" i="13"/>
  <c r="BS15" i="13" s="1"/>
  <c r="BR19" i="13"/>
  <c r="BR21" i="13"/>
  <c r="BS21" i="13" s="1"/>
  <c r="BR25" i="13"/>
  <c r="BR37" i="13"/>
  <c r="BT38" i="13"/>
  <c r="BR39" i="13"/>
  <c r="BS39" i="13" s="1"/>
  <c r="BR43" i="13"/>
  <c r="BR45" i="13"/>
  <c r="BS45" i="13" s="1"/>
  <c r="BR49" i="13"/>
  <c r="BR51" i="13"/>
  <c r="BS51" i="13" s="1"/>
  <c r="BR55" i="13"/>
  <c r="BO14" i="2"/>
  <c r="BN96" i="2"/>
  <c r="BO96" i="2" s="1"/>
  <c r="BO93" i="2"/>
  <c r="BK152" i="10"/>
  <c r="BN23" i="2"/>
  <c r="BR29" i="2"/>
  <c r="BO51" i="2"/>
  <c r="BO104" i="2"/>
  <c r="BL27" i="14"/>
  <c r="BL24" i="16"/>
  <c r="BL23" i="7"/>
  <c r="BP96" i="8"/>
  <c r="BL8" i="9"/>
  <c r="BL12" i="9"/>
  <c r="BL16" i="9"/>
  <c r="BL19" i="9"/>
  <c r="BJ32" i="9"/>
  <c r="BL22" i="9"/>
  <c r="BM19" i="10"/>
  <c r="BM29" i="10"/>
  <c r="BM33" i="10"/>
  <c r="BM37" i="10"/>
  <c r="BM41" i="10"/>
  <c r="BM51" i="10"/>
  <c r="BM91" i="10"/>
  <c r="BM111" i="10"/>
  <c r="BM139" i="10"/>
  <c r="BM143" i="10"/>
  <c r="BL206" i="10"/>
  <c r="BL204" i="10"/>
  <c r="BL78" i="11"/>
  <c r="BL131" i="11"/>
  <c r="BL151" i="11"/>
  <c r="BL155" i="11"/>
  <c r="BL159" i="11"/>
  <c r="BK183" i="11"/>
  <c r="BL183" i="11" s="1"/>
  <c r="BL170" i="11"/>
  <c r="BN17" i="2"/>
  <c r="BO17" i="2" s="1"/>
  <c r="BO16" i="2"/>
  <c r="BK17" i="7"/>
  <c r="BJ34" i="7"/>
  <c r="BR14" i="1"/>
  <c r="BR17" i="1"/>
  <c r="BN26" i="1"/>
  <c r="BR38" i="1"/>
  <c r="BO49" i="1"/>
  <c r="BR40" i="2"/>
  <c r="BN59" i="2"/>
  <c r="BR65" i="2"/>
  <c r="BL10" i="14"/>
  <c r="BL19" i="7"/>
  <c r="BL45" i="7"/>
  <c r="BL49" i="7"/>
  <c r="BL53" i="7"/>
  <c r="BL57" i="7"/>
  <c r="BL64" i="7"/>
  <c r="BP39" i="13"/>
  <c r="BO7" i="1"/>
  <c r="BP32" i="1"/>
  <c r="BO13" i="1"/>
  <c r="BO15" i="1"/>
  <c r="BN17" i="1"/>
  <c r="BM20" i="1"/>
  <c r="BO25" i="1"/>
  <c r="BO27" i="1"/>
  <c r="BN29" i="1"/>
  <c r="BO33" i="1"/>
  <c r="BN38" i="1"/>
  <c r="BO38" i="1" s="1"/>
  <c r="BO37" i="1"/>
  <c r="BP60" i="1"/>
  <c r="BM44" i="1"/>
  <c r="BR44" i="1"/>
  <c r="BR47" i="1"/>
  <c r="BO54" i="1"/>
  <c r="BO69" i="1"/>
  <c r="BP71" i="1"/>
  <c r="BO72" i="1"/>
  <c r="BO75" i="1"/>
  <c r="BO81" i="1"/>
  <c r="BN83" i="1"/>
  <c r="BM89" i="1"/>
  <c r="BQ89" i="1"/>
  <c r="BN92" i="1"/>
  <c r="BO92" i="1" s="1"/>
  <c r="BO94" i="1"/>
  <c r="BQ98" i="1"/>
  <c r="BO100" i="1"/>
  <c r="BM104" i="1"/>
  <c r="BO104" i="1" s="1"/>
  <c r="BR104" i="1"/>
  <c r="BR106" i="1"/>
  <c r="BR8" i="2"/>
  <c r="BO22" i="2"/>
  <c r="BO24" i="2"/>
  <c r="BN26" i="2"/>
  <c r="BO26" i="2" s="1"/>
  <c r="BN29" i="2"/>
  <c r="BO28" i="2"/>
  <c r="BO58" i="2"/>
  <c r="BN65" i="2"/>
  <c r="BO64" i="2"/>
  <c r="BR95" i="2"/>
  <c r="BM74" i="1"/>
  <c r="BR30" i="2"/>
  <c r="BO50" i="2"/>
  <c r="BN53" i="2"/>
  <c r="BO52" i="2"/>
  <c r="BL81" i="7"/>
  <c r="BJ114" i="7"/>
  <c r="BL47" i="10"/>
  <c r="BM47" i="10" s="1"/>
  <c r="BR8" i="1"/>
  <c r="BM106" i="1"/>
  <c r="BO106" i="1" s="1"/>
  <c r="BN56" i="1"/>
  <c r="BO55" i="1"/>
  <c r="BO15" i="2"/>
  <c r="BR44" i="2"/>
  <c r="BO100" i="2"/>
  <c r="BL5" i="16"/>
  <c r="BK23" i="16"/>
  <c r="BL35" i="7"/>
  <c r="BN20" i="1"/>
  <c r="BN105" i="1"/>
  <c r="BR60" i="1"/>
  <c r="BN44" i="1"/>
  <c r="BO43" i="1"/>
  <c r="BO87" i="1"/>
  <c r="BO93" i="1"/>
  <c r="BO99" i="1"/>
  <c r="BN101" i="1"/>
  <c r="BN104" i="1"/>
  <c r="BO103" i="1"/>
  <c r="BP30" i="2"/>
  <c r="BM14" i="2"/>
  <c r="BM17" i="2"/>
  <c r="BN105" i="2"/>
  <c r="BN106" i="2"/>
  <c r="BM38" i="2"/>
  <c r="BO38" i="2" s="1"/>
  <c r="BN47" i="2"/>
  <c r="BM50" i="2"/>
  <c r="BM53" i="2"/>
  <c r="BO78" i="2"/>
  <c r="BO84" i="2"/>
  <c r="BO90" i="2"/>
  <c r="BN92" i="2"/>
  <c r="BN97" i="2"/>
  <c r="BO97" i="2" s="1"/>
  <c r="BO94" i="2"/>
  <c r="BO173" i="7"/>
  <c r="BL182" i="7"/>
  <c r="BL186" i="7"/>
  <c r="BK201" i="7"/>
  <c r="BL194" i="7"/>
  <c r="BO201" i="7"/>
  <c r="BR68" i="2"/>
  <c r="BR70" i="2"/>
  <c r="BR74" i="2"/>
  <c r="BM83" i="2"/>
  <c r="BP89" i="2"/>
  <c r="BR97" i="2"/>
  <c r="BR105" i="2"/>
  <c r="DY59" i="12"/>
  <c r="DY15" i="12"/>
  <c r="DY21" i="12"/>
  <c r="DY19" i="12"/>
  <c r="DY23" i="12"/>
  <c r="DY29" i="12"/>
  <c r="DY27" i="12"/>
  <c r="DY31" i="12"/>
  <c r="DY37" i="12"/>
  <c r="DY35" i="12"/>
  <c r="DY39" i="12"/>
  <c r="DY45" i="12"/>
  <c r="DY43" i="12"/>
  <c r="DY47" i="12"/>
  <c r="DY53" i="12"/>
  <c r="DY51" i="12"/>
  <c r="DY55" i="12"/>
  <c r="DY65" i="12"/>
  <c r="BK17" i="14"/>
  <c r="BL9" i="14"/>
  <c r="BJ34" i="14"/>
  <c r="BL16" i="16"/>
  <c r="BL18" i="7"/>
  <c r="BL22" i="7"/>
  <c r="BL44" i="7"/>
  <c r="BL48" i="7"/>
  <c r="BL52" i="7"/>
  <c r="BL56" i="7"/>
  <c r="BO62" i="7"/>
  <c r="BL77" i="7"/>
  <c r="BJ81" i="7"/>
  <c r="BL89" i="7"/>
  <c r="BL93" i="7"/>
  <c r="BL97" i="7"/>
  <c r="BL101" i="7"/>
  <c r="BL105" i="7"/>
  <c r="BL109" i="7"/>
  <c r="BL115" i="7"/>
  <c r="BL119" i="7"/>
  <c r="BL123" i="7"/>
  <c r="BK155" i="7"/>
  <c r="BL155" i="7" s="1"/>
  <c r="BL142" i="7"/>
  <c r="BL146" i="7"/>
  <c r="BL150" i="7"/>
  <c r="BL154" i="7"/>
  <c r="BL158" i="7"/>
  <c r="BL162" i="7"/>
  <c r="BL166" i="7"/>
  <c r="BL170" i="7"/>
  <c r="BM90" i="8"/>
  <c r="BL26" i="9"/>
  <c r="BM8" i="10"/>
  <c r="BP60" i="10"/>
  <c r="BM72" i="10"/>
  <c r="BM76" i="10"/>
  <c r="BN23" i="1"/>
  <c r="BM26" i="1"/>
  <c r="BP62" i="1"/>
  <c r="BO45" i="1"/>
  <c r="BN47" i="1"/>
  <c r="BM50" i="1"/>
  <c r="BO50" i="1" s="1"/>
  <c r="BO57" i="1"/>
  <c r="BN59" i="1"/>
  <c r="BO63" i="1"/>
  <c r="BN65" i="1"/>
  <c r="BM70" i="1"/>
  <c r="BM71" i="1" s="1"/>
  <c r="BQ71" i="1"/>
  <c r="BR71" i="1" s="1"/>
  <c r="BN74" i="1"/>
  <c r="BR74" i="1"/>
  <c r="BO76" i="1"/>
  <c r="BR77" i="1"/>
  <c r="BQ80" i="1"/>
  <c r="BR80" i="1" s="1"/>
  <c r="BO82" i="1"/>
  <c r="BR83" i="1"/>
  <c r="BM92" i="1"/>
  <c r="BP98" i="1"/>
  <c r="BN8" i="2"/>
  <c r="BO8" i="2" s="1"/>
  <c r="BP32" i="2"/>
  <c r="BO18" i="2"/>
  <c r="BN20" i="2"/>
  <c r="BO20" i="2" s="1"/>
  <c r="BM23" i="2"/>
  <c r="BM105" i="2"/>
  <c r="BM106" i="2"/>
  <c r="BR60" i="2"/>
  <c r="BO42" i="2"/>
  <c r="BN44" i="2"/>
  <c r="BO44" i="2" s="1"/>
  <c r="BM47" i="2"/>
  <c r="BO54" i="2"/>
  <c r="BN56" i="2"/>
  <c r="BO56" i="2" s="1"/>
  <c r="BM59" i="2"/>
  <c r="BO66" i="2"/>
  <c r="BO72" i="2"/>
  <c r="BN74" i="2"/>
  <c r="BO74" i="2" s="1"/>
  <c r="BM79" i="2"/>
  <c r="BM80" i="2" s="1"/>
  <c r="BQ80" i="2"/>
  <c r="BR80" i="2" s="1"/>
  <c r="BN83" i="2"/>
  <c r="BO83" i="2" s="1"/>
  <c r="BR83" i="2"/>
  <c r="BR86" i="2"/>
  <c r="BR88" i="2"/>
  <c r="BM92" i="2"/>
  <c r="BR92" i="2"/>
  <c r="BM101" i="2"/>
  <c r="BP107" i="2"/>
  <c r="DW14" i="12"/>
  <c r="DW18" i="12"/>
  <c r="EC20" i="12"/>
  <c r="EC21" i="12"/>
  <c r="DW22" i="12"/>
  <c r="DW26" i="12"/>
  <c r="EC28" i="12"/>
  <c r="EC29" i="12"/>
  <c r="DW30" i="12"/>
  <c r="DW34" i="12"/>
  <c r="EC36" i="12"/>
  <c r="EC37" i="12"/>
  <c r="DW38" i="12"/>
  <c r="DW42" i="12"/>
  <c r="EC44" i="12"/>
  <c r="EC45" i="12"/>
  <c r="DW46" i="12"/>
  <c r="DW50" i="12"/>
  <c r="EC52" i="12"/>
  <c r="EC53" i="12"/>
  <c r="DW54" i="12"/>
  <c r="EC58" i="12"/>
  <c r="EC59" i="12"/>
  <c r="DW64" i="12"/>
  <c r="AG398" i="22"/>
  <c r="AG369" i="22"/>
  <c r="AG370" i="22"/>
  <c r="AG371" i="22"/>
  <c r="AG372" i="22"/>
  <c r="AG373" i="22"/>
  <c r="AG374" i="22"/>
  <c r="AG375" i="22"/>
  <c r="AG376" i="22"/>
  <c r="AG377" i="22"/>
  <c r="AG378" i="22"/>
  <c r="AG379" i="22"/>
  <c r="AG380" i="22"/>
  <c r="AG381" i="22"/>
  <c r="AG382" i="22"/>
  <c r="AG383" i="22"/>
  <c r="AG384" i="22"/>
  <c r="AG385" i="22"/>
  <c r="AG386" i="22"/>
  <c r="AG387" i="22"/>
  <c r="AG388" i="22"/>
  <c r="AG389" i="22"/>
  <c r="AG390" i="22"/>
  <c r="AG391" i="22"/>
  <c r="AG392" i="22"/>
  <c r="AG393" i="22"/>
  <c r="AG394" i="22"/>
  <c r="AG395" i="22"/>
  <c r="AG396" i="22"/>
  <c r="AG397" i="22"/>
  <c r="AG399" i="22"/>
  <c r="AG369" i="24"/>
  <c r="AG370" i="24"/>
  <c r="AG371" i="24"/>
  <c r="AG372" i="24"/>
  <c r="AG373" i="24"/>
  <c r="AG374" i="24"/>
  <c r="AG375" i="24"/>
  <c r="AG376" i="24"/>
  <c r="AG377" i="24"/>
  <c r="AG378" i="24"/>
  <c r="AG379" i="24"/>
  <c r="AG380" i="24"/>
  <c r="AG381" i="24"/>
  <c r="AG382" i="24"/>
  <c r="AG383" i="24"/>
  <c r="AG384" i="24"/>
  <c r="AG385" i="24"/>
  <c r="AG386" i="24"/>
  <c r="AG387" i="24"/>
  <c r="AG388" i="24"/>
  <c r="AG389" i="24"/>
  <c r="AG390" i="24"/>
  <c r="AG391" i="24"/>
  <c r="AG392" i="24"/>
  <c r="AG393" i="24"/>
  <c r="AG394" i="24"/>
  <c r="AG395" i="24"/>
  <c r="AG396" i="24"/>
  <c r="AG397" i="24"/>
  <c r="AG399" i="24"/>
  <c r="BL8" i="14"/>
  <c r="BK34" i="14"/>
  <c r="BL25" i="14"/>
  <c r="BL205" i="7"/>
  <c r="BL209" i="7"/>
  <c r="BJ216" i="7"/>
  <c r="BK265" i="7"/>
  <c r="BL255" i="7"/>
  <c r="BJ265" i="7"/>
  <c r="BL266" i="7"/>
  <c r="BM9" i="8"/>
  <c r="BM13" i="8"/>
  <c r="BL47" i="8"/>
  <c r="BP70" i="8"/>
  <c r="BK96" i="8"/>
  <c r="BM89" i="8"/>
  <c r="BO34" i="14"/>
  <c r="BJ15" i="16"/>
  <c r="BJ17" i="7"/>
  <c r="BL11" i="7"/>
  <c r="BL21" i="7"/>
  <c r="BO34" i="7"/>
  <c r="BJ62" i="7"/>
  <c r="BL43" i="7"/>
  <c r="BL47" i="7"/>
  <c r="BL51" i="7"/>
  <c r="BL55" i="7"/>
  <c r="BL59" i="7"/>
  <c r="BL76" i="7"/>
  <c r="BL82" i="7"/>
  <c r="BL92" i="7"/>
  <c r="BL96" i="7"/>
  <c r="BL100" i="7"/>
  <c r="BL104" i="7"/>
  <c r="BL118" i="7"/>
  <c r="BL122" i="7"/>
  <c r="BK130" i="7"/>
  <c r="BL130" i="7" s="1"/>
  <c r="BL141" i="7"/>
  <c r="BL145" i="7"/>
  <c r="BL149" i="7"/>
  <c r="BL153" i="7"/>
  <c r="BJ155" i="7"/>
  <c r="BL157" i="7"/>
  <c r="BL161" i="7"/>
  <c r="BL165" i="7"/>
  <c r="BJ173" i="7"/>
  <c r="BL181" i="7"/>
  <c r="BL185" i="7"/>
  <c r="BL193" i="7"/>
  <c r="BL197" i="7"/>
  <c r="BL203" i="7"/>
  <c r="BL207" i="7"/>
  <c r="BL211" i="7"/>
  <c r="BO216" i="7"/>
  <c r="BK249" i="7"/>
  <c r="BL249" i="7" s="1"/>
  <c r="BL254" i="7"/>
  <c r="BL258" i="7"/>
  <c r="BM8" i="8"/>
  <c r="BM12" i="8"/>
  <c r="BL49" i="8"/>
  <c r="BM49" i="8" s="1"/>
  <c r="BM32" i="8"/>
  <c r="BM36" i="8"/>
  <c r="BM48" i="8"/>
  <c r="BP49" i="8"/>
  <c r="BM51" i="8"/>
  <c r="BM71" i="8"/>
  <c r="BL96" i="8"/>
  <c r="BM96" i="8" s="1"/>
  <c r="BM75" i="8"/>
  <c r="BM79" i="8"/>
  <c r="BM83" i="8"/>
  <c r="BM97" i="8"/>
  <c r="BP98" i="8"/>
  <c r="BL7" i="9"/>
  <c r="BL11" i="9"/>
  <c r="BL15" i="9"/>
  <c r="BL35" i="9"/>
  <c r="BL11" i="10"/>
  <c r="BP11" i="10"/>
  <c r="BM13" i="10"/>
  <c r="BM17" i="10"/>
  <c r="BL27" i="10"/>
  <c r="BM32" i="10"/>
  <c r="BM36" i="10"/>
  <c r="BM40" i="10"/>
  <c r="BM50" i="10"/>
  <c r="BM71" i="10"/>
  <c r="BM75" i="10"/>
  <c r="BL178" i="10"/>
  <c r="BL77" i="11"/>
  <c r="BL130" i="11"/>
  <c r="BL140" i="11"/>
  <c r="BL150" i="11"/>
  <c r="BL154" i="11"/>
  <c r="BL158" i="11"/>
  <c r="BJ130" i="7"/>
  <c r="BL202" i="7"/>
  <c r="BL206" i="7"/>
  <c r="BL210" i="7"/>
  <c r="BM31" i="8"/>
  <c r="BM35" i="8"/>
  <c r="BM50" i="8"/>
  <c r="BL70" i="8"/>
  <c r="BM74" i="8"/>
  <c r="BM78" i="8"/>
  <c r="BM82" i="8"/>
  <c r="BM86" i="8"/>
  <c r="BJ48" i="9"/>
  <c r="BL48" i="9" s="1"/>
  <c r="BM5" i="10"/>
  <c r="BM12" i="10"/>
  <c r="BM16" i="10"/>
  <c r="BP27" i="10"/>
  <c r="BL58" i="10"/>
  <c r="BM96" i="10"/>
  <c r="BM131" i="10"/>
  <c r="BK298" i="10"/>
  <c r="BJ90" i="11"/>
  <c r="BK90" i="11"/>
  <c r="BL129" i="11"/>
  <c r="BL133" i="11"/>
  <c r="BL149" i="11"/>
  <c r="BL153" i="11"/>
  <c r="BL157" i="11"/>
  <c r="BM173" i="10"/>
  <c r="BM180" i="10"/>
  <c r="BM184" i="10"/>
  <c r="BM188" i="10"/>
  <c r="BM192" i="10"/>
  <c r="BM196" i="10"/>
  <c r="BM200" i="10"/>
  <c r="BK204" i="10"/>
  <c r="BL276" i="10"/>
  <c r="BK296" i="10"/>
  <c r="BM296" i="10" s="1"/>
  <c r="BM286" i="10"/>
  <c r="BM290" i="10"/>
  <c r="BP298" i="10"/>
  <c r="BK342" i="10"/>
  <c r="BK26" i="11"/>
  <c r="BL8" i="11"/>
  <c r="BL12" i="11"/>
  <c r="BL16" i="11"/>
  <c r="BL27" i="11"/>
  <c r="BL31" i="11"/>
  <c r="BL41" i="11"/>
  <c r="BJ70" i="11"/>
  <c r="BO122" i="11"/>
  <c r="BL166" i="11"/>
  <c r="BJ183" i="11"/>
  <c r="BO183" i="11"/>
  <c r="BL152" i="10"/>
  <c r="BM152" i="10" s="1"/>
  <c r="BM164" i="10"/>
  <c r="BM168" i="10"/>
  <c r="BM176" i="10"/>
  <c r="BL224" i="10"/>
  <c r="BM216" i="10"/>
  <c r="BK247" i="10"/>
  <c r="BK245" i="10"/>
  <c r="BM241" i="10"/>
  <c r="BL245" i="10"/>
  <c r="BM245" i="10" s="1"/>
  <c r="BM257" i="10"/>
  <c r="BM261" i="10"/>
  <c r="BM265" i="10"/>
  <c r="BM269" i="10"/>
  <c r="BM273" i="10"/>
  <c r="BM298" i="10"/>
  <c r="BM281" i="10"/>
  <c r="BM297" i="10"/>
  <c r="BK322" i="10"/>
  <c r="BM305" i="10"/>
  <c r="BM309" i="10"/>
  <c r="BM325" i="10"/>
  <c r="BM329" i="10"/>
  <c r="BM333" i="10"/>
  <c r="BP344" i="10"/>
  <c r="BL34" i="11"/>
  <c r="BK46" i="11"/>
  <c r="BL57" i="11"/>
  <c r="BL61" i="11"/>
  <c r="BK70" i="11"/>
  <c r="BL100" i="11"/>
  <c r="BL104" i="11"/>
  <c r="BL108" i="11"/>
  <c r="BL112" i="11"/>
  <c r="BL117" i="11"/>
  <c r="BK139" i="11"/>
  <c r="BK168" i="11"/>
  <c r="BL181" i="11"/>
  <c r="BM78" i="10"/>
  <c r="BM98" i="10"/>
  <c r="BP104" i="10"/>
  <c r="BM132" i="10"/>
  <c r="BM138" i="10"/>
  <c r="BM142" i="10"/>
  <c r="BM145" i="10"/>
  <c r="BP152" i="10"/>
  <c r="BM163" i="10"/>
  <c r="BM167" i="10"/>
  <c r="BM174" i="10"/>
  <c r="BM181" i="10"/>
  <c r="BM185" i="10"/>
  <c r="BM189" i="10"/>
  <c r="BM193" i="10"/>
  <c r="BM197" i="10"/>
  <c r="BM201" i="10"/>
  <c r="BP206" i="10"/>
  <c r="BM215" i="10"/>
  <c r="BP245" i="10"/>
  <c r="BK276" i="10"/>
  <c r="BM256" i="10"/>
  <c r="BM260" i="10"/>
  <c r="BM264" i="10"/>
  <c r="BM268" i="10"/>
  <c r="BM272" i="10"/>
  <c r="BM280" i="10"/>
  <c r="BM287" i="10"/>
  <c r="BL296" i="10"/>
  <c r="BL322" i="10"/>
  <c r="BM322" i="10" s="1"/>
  <c r="BM308" i="10"/>
  <c r="BL342" i="10"/>
  <c r="BM328" i="10"/>
  <c r="BM332" i="10"/>
  <c r="BM336" i="10"/>
  <c r="BL5" i="11"/>
  <c r="BL9" i="11"/>
  <c r="BL13" i="11"/>
  <c r="BL17" i="11"/>
  <c r="BO26" i="11"/>
  <c r="BL28" i="11"/>
  <c r="BL32" i="11"/>
  <c r="BL43" i="11"/>
  <c r="BO46" i="11"/>
  <c r="BL56" i="11"/>
  <c r="BL60" i="11"/>
  <c r="BL64" i="11"/>
  <c r="BO70" i="11"/>
  <c r="BJ122" i="11"/>
  <c r="BL99" i="11"/>
  <c r="BL103" i="11"/>
  <c r="BL107" i="11"/>
  <c r="BL111" i="11"/>
  <c r="BK122" i="11"/>
  <c r="BL122" i="11" s="1"/>
  <c r="BJ139" i="11"/>
  <c r="BL147" i="11"/>
  <c r="BL167" i="11"/>
  <c r="BO168" i="11"/>
  <c r="BL180" i="11"/>
  <c r="BJ46" i="11"/>
  <c r="BL46" i="11" s="1"/>
  <c r="BL47" i="11"/>
  <c r="BL71" i="11"/>
  <c r="BL91" i="11"/>
  <c r="BL123" i="11"/>
  <c r="BL124" i="11"/>
  <c r="BJ168" i="11"/>
  <c r="BL168" i="11" s="1"/>
  <c r="BJ26" i="11"/>
  <c r="BM276" i="10"/>
  <c r="BK27" i="10"/>
  <c r="BM28" i="10"/>
  <c r="BM48" i="10"/>
  <c r="BM49" i="10"/>
  <c r="BL90" i="10"/>
  <c r="BL104" i="10"/>
  <c r="BM153" i="10"/>
  <c r="BK206" i="10"/>
  <c r="BM206" i="10" s="1"/>
  <c r="BM212" i="10"/>
  <c r="BK224" i="10"/>
  <c r="BM246" i="10"/>
  <c r="BM277" i="10"/>
  <c r="BM323" i="10"/>
  <c r="BM324" i="10"/>
  <c r="BK90" i="10"/>
  <c r="BK104" i="10"/>
  <c r="BL154" i="10"/>
  <c r="BM154" i="10" s="1"/>
  <c r="BL247" i="10"/>
  <c r="BM247" i="10" s="1"/>
  <c r="BK344" i="10"/>
  <c r="BM344" i="10" s="1"/>
  <c r="BK11" i="10"/>
  <c r="BK58" i="10"/>
  <c r="BM162" i="10"/>
  <c r="BM205" i="10"/>
  <c r="BM255" i="10"/>
  <c r="BM304" i="10"/>
  <c r="BK129" i="10"/>
  <c r="BM129" i="10" s="1"/>
  <c r="BK178" i="10"/>
  <c r="BK32" i="9"/>
  <c r="BL32" i="9" s="1"/>
  <c r="BL34" i="9"/>
  <c r="BM6" i="8"/>
  <c r="BK28" i="8"/>
  <c r="BM55" i="8"/>
  <c r="BM29" i="8"/>
  <c r="BM30" i="8"/>
  <c r="BK98" i="8"/>
  <c r="BM98" i="8" s="1"/>
  <c r="BK70" i="8"/>
  <c r="BM72" i="8"/>
  <c r="BK62" i="7"/>
  <c r="BL62" i="7" s="1"/>
  <c r="BL131" i="7"/>
  <c r="BL138" i="7"/>
  <c r="BL190" i="7"/>
  <c r="BK216" i="7"/>
  <c r="BL216" i="7" s="1"/>
  <c r="BL250" i="7"/>
  <c r="BL251" i="7"/>
  <c r="BK34" i="7"/>
  <c r="BK114" i="7"/>
  <c r="BL114" i="7" s="1"/>
  <c r="BK173" i="7"/>
  <c r="BL173" i="7" s="1"/>
  <c r="BJ201" i="7"/>
  <c r="BL201" i="7" s="1"/>
  <c r="BL6" i="14"/>
  <c r="BJ17" i="14"/>
  <c r="BL17" i="16"/>
  <c r="BL5" i="14"/>
  <c r="AI395" i="24"/>
  <c r="AI396" i="24"/>
  <c r="AI397" i="24"/>
  <c r="AI399" i="24"/>
  <c r="AE398" i="24"/>
  <c r="AI398" i="24" s="1"/>
  <c r="AG398" i="24"/>
  <c r="AG368" i="24"/>
  <c r="AI368" i="24"/>
  <c r="AE398" i="22"/>
  <c r="AI398" i="22" s="1"/>
  <c r="AG368" i="22"/>
  <c r="AI368" i="22"/>
  <c r="DY56" i="12"/>
  <c r="DY58" i="12"/>
  <c r="EE60" i="12"/>
  <c r="EE61" i="12"/>
  <c r="DY20" i="12"/>
  <c r="DY28" i="12"/>
  <c r="DY36" i="12"/>
  <c r="DY44" i="12"/>
  <c r="DY52" i="12"/>
  <c r="ED62" i="12"/>
  <c r="ED63" i="12"/>
  <c r="DW56" i="12"/>
  <c r="DW58" i="12"/>
  <c r="EC60" i="12"/>
  <c r="EC61" i="12"/>
  <c r="DW20" i="12"/>
  <c r="DW28" i="12"/>
  <c r="DW36" i="12"/>
  <c r="DW44" i="12"/>
  <c r="DW52" i="12"/>
  <c r="EB62" i="12"/>
  <c r="EB63" i="12"/>
  <c r="DY57" i="12"/>
  <c r="EA62" i="12"/>
  <c r="EA63" i="12"/>
  <c r="DW57" i="12"/>
  <c r="DT62" i="12"/>
  <c r="DZ62" i="12"/>
  <c r="DZ63" i="12"/>
  <c r="DW8" i="12"/>
  <c r="DW9" i="12"/>
  <c r="DW10" i="12"/>
  <c r="DW11" i="12"/>
  <c r="EE12" i="12"/>
  <c r="EE13" i="12"/>
  <c r="DW16" i="12"/>
  <c r="DW17" i="12"/>
  <c r="DW24" i="12"/>
  <c r="DW25" i="12"/>
  <c r="DW32" i="12"/>
  <c r="DW33" i="12"/>
  <c r="DW40" i="12"/>
  <c r="DW41" i="12"/>
  <c r="DW48" i="12"/>
  <c r="DW49" i="12"/>
  <c r="EE56" i="12"/>
  <c r="EE57" i="12"/>
  <c r="DV12" i="12"/>
  <c r="DV13" i="12"/>
  <c r="DY8" i="12"/>
  <c r="DY9" i="12"/>
  <c r="DY10" i="12"/>
  <c r="DY11" i="12"/>
  <c r="DU12" i="12"/>
  <c r="DU60" i="12" s="1"/>
  <c r="DU62" i="12" s="1"/>
  <c r="EC12" i="12"/>
  <c r="DU13" i="12"/>
  <c r="DU61" i="12" s="1"/>
  <c r="DU63" i="12" s="1"/>
  <c r="EC13" i="12"/>
  <c r="DY16" i="12"/>
  <c r="DY17" i="12"/>
  <c r="DY24" i="12"/>
  <c r="DY25" i="12"/>
  <c r="DY32" i="12"/>
  <c r="DY33" i="12"/>
  <c r="DY40" i="12"/>
  <c r="DY41" i="12"/>
  <c r="DY48" i="12"/>
  <c r="DY49" i="12"/>
  <c r="EC56" i="12"/>
  <c r="EC57" i="12"/>
  <c r="DT12" i="12"/>
  <c r="DT60" i="12" s="1"/>
  <c r="DX12" i="12"/>
  <c r="DT13" i="12"/>
  <c r="DT61" i="12" s="1"/>
  <c r="DT63" i="12" s="1"/>
  <c r="DX13" i="12"/>
  <c r="BO106" i="2"/>
  <c r="BN107" i="2"/>
  <c r="BO79" i="2"/>
  <c r="BN80" i="2"/>
  <c r="BO80" i="2" s="1"/>
  <c r="BO88" i="2"/>
  <c r="BN89" i="2"/>
  <c r="BO23" i="2"/>
  <c r="BO105" i="2"/>
  <c r="BO47" i="2"/>
  <c r="BO59" i="2"/>
  <c r="BO92" i="2"/>
  <c r="BR98" i="2"/>
  <c r="BO101" i="2"/>
  <c r="BO70" i="2"/>
  <c r="BN71" i="2"/>
  <c r="BM107" i="2"/>
  <c r="BO29" i="2"/>
  <c r="BO53" i="2"/>
  <c r="BO65" i="2"/>
  <c r="BN98" i="2"/>
  <c r="BO98" i="2" s="1"/>
  <c r="BR9" i="2"/>
  <c r="BN35" i="2"/>
  <c r="BR39" i="2"/>
  <c r="BN77" i="2"/>
  <c r="BN95" i="2"/>
  <c r="BO6" i="2"/>
  <c r="BO7" i="2"/>
  <c r="BQ11" i="2"/>
  <c r="BO13" i="2"/>
  <c r="BO19" i="2"/>
  <c r="BO25" i="2"/>
  <c r="BQ31" i="2"/>
  <c r="BM35" i="2"/>
  <c r="BO36" i="2"/>
  <c r="BO37" i="2"/>
  <c r="BO43" i="2"/>
  <c r="BO49" i="2"/>
  <c r="BO55" i="2"/>
  <c r="BQ61" i="2"/>
  <c r="BO67" i="2"/>
  <c r="BM69" i="2"/>
  <c r="BO69" i="2" s="1"/>
  <c r="BQ71" i="2"/>
  <c r="BR71" i="2" s="1"/>
  <c r="BO73" i="2"/>
  <c r="BM77" i="2"/>
  <c r="BO85" i="2"/>
  <c r="BM87" i="2"/>
  <c r="BO87" i="2" s="1"/>
  <c r="BQ89" i="2"/>
  <c r="BO91" i="2"/>
  <c r="BM95" i="2"/>
  <c r="BO103" i="2"/>
  <c r="BQ107" i="2"/>
  <c r="BR107" i="2" s="1"/>
  <c r="BP37" i="13"/>
  <c r="BP49" i="13"/>
  <c r="BP11" i="2"/>
  <c r="BP41" i="2"/>
  <c r="BN68" i="2"/>
  <c r="BR78" i="2"/>
  <c r="BN86" i="2"/>
  <c r="BO86" i="2" s="1"/>
  <c r="BR96" i="2"/>
  <c r="BM68" i="2"/>
  <c r="BM86" i="2"/>
  <c r="BO57" i="13"/>
  <c r="BO44" i="13"/>
  <c r="BP46" i="13"/>
  <c r="BP55" i="13"/>
  <c r="BP45" i="13"/>
  <c r="BO50" i="13"/>
  <c r="BO56" i="13"/>
  <c r="BO58" i="13"/>
  <c r="BO41" i="13"/>
  <c r="BP43" i="13"/>
  <c r="BP51" i="13"/>
  <c r="BO20" i="1"/>
  <c r="BO44" i="1"/>
  <c r="BO56" i="1"/>
  <c r="BN107" i="1"/>
  <c r="BO88" i="1"/>
  <c r="BN89" i="1"/>
  <c r="BO89" i="1" s="1"/>
  <c r="BN98" i="1"/>
  <c r="BO29" i="1"/>
  <c r="BN71" i="1"/>
  <c r="BO79" i="1"/>
  <c r="BN80" i="1"/>
  <c r="BO8" i="1"/>
  <c r="BO14" i="1"/>
  <c r="BO26" i="1"/>
  <c r="BR89" i="1"/>
  <c r="BR98" i="1"/>
  <c r="BO28" i="13"/>
  <c r="BO11" i="13"/>
  <c r="BP15" i="13"/>
  <c r="BO20" i="13"/>
  <c r="BO23" i="13"/>
  <c r="BR9" i="1"/>
  <c r="BN35" i="1"/>
  <c r="BR39" i="1"/>
  <c r="BR69" i="1"/>
  <c r="BN77" i="1"/>
  <c r="BR79" i="1"/>
  <c r="BR87" i="1"/>
  <c r="BN95" i="1"/>
  <c r="BR97" i="1"/>
  <c r="BO14" i="13"/>
  <c r="BO26" i="13"/>
  <c r="BQ11" i="1"/>
  <c r="BM17" i="1"/>
  <c r="BO17" i="1" s="1"/>
  <c r="BM23" i="1"/>
  <c r="BO23" i="1" s="1"/>
  <c r="BM29" i="1"/>
  <c r="BQ31" i="1"/>
  <c r="BM35" i="1"/>
  <c r="BQ41" i="1"/>
  <c r="BM47" i="1"/>
  <c r="BO47" i="1" s="1"/>
  <c r="BM53" i="1"/>
  <c r="BO53" i="1" s="1"/>
  <c r="BM59" i="1"/>
  <c r="BO59" i="1" s="1"/>
  <c r="BQ61" i="1"/>
  <c r="BM65" i="1"/>
  <c r="BO65" i="1" s="1"/>
  <c r="BM77" i="1"/>
  <c r="BM79" i="1"/>
  <c r="BM83" i="1"/>
  <c r="BO83" i="1" s="1"/>
  <c r="BM95" i="1"/>
  <c r="BM97" i="1"/>
  <c r="BO97" i="1" s="1"/>
  <c r="BM101" i="1"/>
  <c r="BO101" i="1" s="1"/>
  <c r="BM105" i="1"/>
  <c r="BQ107" i="1"/>
  <c r="BR107" i="1" s="1"/>
  <c r="BP16" i="13"/>
  <c r="BP11" i="1"/>
  <c r="BP41" i="1"/>
  <c r="BN68" i="1"/>
  <c r="BN86" i="1"/>
  <c r="BO27" i="13"/>
  <c r="BP7" i="13"/>
  <c r="BP9" i="13"/>
  <c r="BP19" i="13"/>
  <c r="BP21" i="13"/>
  <c r="BO34" i="1"/>
  <c r="BM68" i="1"/>
  <c r="BM78" i="1"/>
  <c r="BO78" i="1" s="1"/>
  <c r="BM86" i="1"/>
  <c r="BM96" i="1"/>
  <c r="BO96" i="1" s="1"/>
  <c r="BN8" i="13"/>
  <c r="BN14" i="13"/>
  <c r="BN20" i="13"/>
  <c r="BN26" i="13"/>
  <c r="BP26" i="13" s="1"/>
  <c r="BN28" i="13"/>
  <c r="BN38" i="13"/>
  <c r="BN44" i="13"/>
  <c r="BP44" i="13" s="1"/>
  <c r="BN50" i="13"/>
  <c r="BN56" i="13"/>
  <c r="BP56" i="13" s="1"/>
  <c r="BN58" i="13"/>
  <c r="BO17" i="13"/>
  <c r="BO47" i="13"/>
  <c r="BP6" i="13"/>
  <c r="BP10" i="13"/>
  <c r="BN11" i="13"/>
  <c r="BP11" i="13" s="1"/>
  <c r="BP12" i="13"/>
  <c r="BN17" i="13"/>
  <c r="BP18" i="13"/>
  <c r="BP22" i="13"/>
  <c r="BN23" i="13"/>
  <c r="BP24" i="13"/>
  <c r="BN27" i="13"/>
  <c r="BP36" i="13"/>
  <c r="BP40" i="13"/>
  <c r="BN41" i="13"/>
  <c r="BP42" i="13"/>
  <c r="BN47" i="13"/>
  <c r="BP48" i="13"/>
  <c r="BP52" i="13"/>
  <c r="BN53" i="13"/>
  <c r="BP53" i="13" s="1"/>
  <c r="BP54" i="13"/>
  <c r="BN57" i="13"/>
  <c r="BO8" i="13"/>
  <c r="BP8" i="13" s="1"/>
  <c r="BO38" i="13"/>
  <c r="BP38" i="13" s="1"/>
  <c r="BT60" i="2" l="1"/>
  <c r="BT41" i="2"/>
  <c r="BU41" i="2" s="1"/>
  <c r="BU39" i="2"/>
  <c r="E368" i="23"/>
  <c r="E398" i="23"/>
  <c r="F398" i="23"/>
  <c r="G398" i="23" s="1"/>
  <c r="E368" i="20"/>
  <c r="G399" i="20"/>
  <c r="F398" i="20"/>
  <c r="G398" i="20" s="1"/>
  <c r="BS36" i="13"/>
  <c r="BS27" i="13"/>
  <c r="BV27" i="13"/>
  <c r="BT29" i="13"/>
  <c r="BV29" i="13" s="1"/>
  <c r="BQ29" i="13"/>
  <c r="BV8" i="13"/>
  <c r="BR47" i="13"/>
  <c r="BS47" i="13" s="1"/>
  <c r="BS46" i="13"/>
  <c r="BS43" i="13"/>
  <c r="BR44" i="13"/>
  <c r="BS44" i="13" s="1"/>
  <c r="BR14" i="13"/>
  <c r="BS14" i="13" s="1"/>
  <c r="BS13" i="13"/>
  <c r="BS49" i="13"/>
  <c r="BR50" i="13"/>
  <c r="BS50" i="13" s="1"/>
  <c r="BS19" i="13"/>
  <c r="BR20" i="13"/>
  <c r="BS20" i="13" s="1"/>
  <c r="BV38" i="13"/>
  <c r="BR29" i="13"/>
  <c r="BS29" i="13" s="1"/>
  <c r="BS28" i="13"/>
  <c r="BR56" i="13"/>
  <c r="BS56" i="13" s="1"/>
  <c r="BS55" i="13"/>
  <c r="BS25" i="13"/>
  <c r="BR26" i="13"/>
  <c r="BS26" i="13" s="1"/>
  <c r="BR11" i="13"/>
  <c r="BS11" i="13" s="1"/>
  <c r="BS10" i="13"/>
  <c r="BU59" i="13"/>
  <c r="BV59" i="13" s="1"/>
  <c r="BV58" i="13"/>
  <c r="BR58" i="13"/>
  <c r="BR53" i="13"/>
  <c r="BS53" i="13" s="1"/>
  <c r="BS52" i="13"/>
  <c r="BR41" i="13"/>
  <c r="BS41" i="13" s="1"/>
  <c r="BS40" i="13"/>
  <c r="BS37" i="13"/>
  <c r="BR38" i="13"/>
  <c r="BS38" i="13" s="1"/>
  <c r="BS7" i="13"/>
  <c r="BR8" i="13"/>
  <c r="BS8" i="13" s="1"/>
  <c r="BV11" i="13"/>
  <c r="BR23" i="13"/>
  <c r="BS23" i="13" s="1"/>
  <c r="BS22" i="13"/>
  <c r="BR17" i="13"/>
  <c r="BS17" i="13" s="1"/>
  <c r="BS16" i="13"/>
  <c r="BO86" i="1"/>
  <c r="BL139" i="11"/>
  <c r="BO95" i="1"/>
  <c r="BP17" i="13"/>
  <c r="BP20" i="13"/>
  <c r="BO29" i="13"/>
  <c r="BO71" i="1"/>
  <c r="BR89" i="2"/>
  <c r="BM71" i="2"/>
  <c r="BM178" i="10"/>
  <c r="BO74" i="1"/>
  <c r="BM204" i="10"/>
  <c r="BM107" i="1"/>
  <c r="BO95" i="2"/>
  <c r="BM27" i="10"/>
  <c r="BP50" i="13"/>
  <c r="BP41" i="13"/>
  <c r="BO70" i="1"/>
  <c r="EC62" i="12"/>
  <c r="BL34" i="7"/>
  <c r="BM104" i="10"/>
  <c r="BL26" i="11"/>
  <c r="BM342" i="10"/>
  <c r="BL70" i="11"/>
  <c r="BL34" i="14"/>
  <c r="EE63" i="12"/>
  <c r="DX60" i="12"/>
  <c r="DY12" i="12"/>
  <c r="EC63" i="12"/>
  <c r="DV60" i="12"/>
  <c r="DW12" i="12"/>
  <c r="DX61" i="12"/>
  <c r="DY13" i="12"/>
  <c r="DV61" i="12"/>
  <c r="DW13" i="12"/>
  <c r="EE62" i="12"/>
  <c r="BO71" i="2"/>
  <c r="BR11" i="2"/>
  <c r="BO107" i="2"/>
  <c r="BQ32" i="2"/>
  <c r="BR32" i="2" s="1"/>
  <c r="BR31" i="2"/>
  <c r="BO59" i="13"/>
  <c r="BO68" i="2"/>
  <c r="BR41" i="2"/>
  <c r="BM89" i="2"/>
  <c r="BO89" i="2" s="1"/>
  <c r="BQ62" i="2"/>
  <c r="BR62" i="2" s="1"/>
  <c r="BR61" i="2"/>
  <c r="BO77" i="2"/>
  <c r="BO35" i="2"/>
  <c r="BP14" i="13"/>
  <c r="BO68" i="1"/>
  <c r="BM80" i="1"/>
  <c r="BO80" i="1" s="1"/>
  <c r="BR41" i="1"/>
  <c r="BQ62" i="1"/>
  <c r="BR62" i="1" s="1"/>
  <c r="BR61" i="1"/>
  <c r="BR11" i="1"/>
  <c r="BO35" i="1"/>
  <c r="BO107" i="1"/>
  <c r="BO105" i="1"/>
  <c r="BQ32" i="1"/>
  <c r="BR32" i="1" s="1"/>
  <c r="BR31" i="1"/>
  <c r="BP23" i="13"/>
  <c r="BO77" i="1"/>
  <c r="BM98" i="1"/>
  <c r="BO98" i="1" s="1"/>
  <c r="BN59" i="13"/>
  <c r="BP59" i="13" s="1"/>
  <c r="BN29" i="13"/>
  <c r="BP29" i="13" s="1"/>
  <c r="BP28" i="13"/>
  <c r="BP47" i="13"/>
  <c r="BP58" i="13"/>
  <c r="BP27" i="13"/>
  <c r="BP57" i="13"/>
  <c r="BT62" i="2" l="1"/>
  <c r="BU62" i="2" s="1"/>
  <c r="BU60" i="2"/>
  <c r="BR59" i="13"/>
  <c r="BS59" i="13" s="1"/>
  <c r="BS58" i="13"/>
  <c r="DY60" i="12"/>
  <c r="DX62" i="12"/>
  <c r="DY62" i="12" s="1"/>
  <c r="DW60" i="12"/>
  <c r="DV62" i="12"/>
  <c r="DW62" i="12" s="1"/>
  <c r="DY61" i="12"/>
  <c r="DX63" i="12"/>
  <c r="DY63" i="12" s="1"/>
  <c r="DW61" i="12"/>
  <c r="DV63" i="12"/>
  <c r="DW63" i="12" s="1"/>
  <c r="BI24" i="16" l="1"/>
  <c r="BE24" i="16"/>
  <c r="BF24" i="16" s="1"/>
  <c r="BD24" i="16"/>
  <c r="BH23" i="16"/>
  <c r="BG23" i="16"/>
  <c r="BE22" i="16"/>
  <c r="BD22" i="16"/>
  <c r="BE21" i="16"/>
  <c r="BD21" i="16"/>
  <c r="BE20" i="16"/>
  <c r="BD20" i="16"/>
  <c r="BE19" i="16"/>
  <c r="BD19" i="16"/>
  <c r="BI18" i="16"/>
  <c r="BF18" i="16"/>
  <c r="BE18" i="16"/>
  <c r="BD18" i="16"/>
  <c r="BI17" i="16"/>
  <c r="BF17" i="16"/>
  <c r="BE17" i="16"/>
  <c r="BD17" i="16"/>
  <c r="BI16" i="16"/>
  <c r="BF16" i="16"/>
  <c r="BE16" i="16"/>
  <c r="BD16" i="16"/>
  <c r="BH15" i="16"/>
  <c r="BG15" i="16"/>
  <c r="BE14" i="16"/>
  <c r="BD14" i="16"/>
  <c r="BE13" i="16"/>
  <c r="BD13" i="16"/>
  <c r="BE12" i="16"/>
  <c r="BD12" i="16"/>
  <c r="BE11" i="16"/>
  <c r="BD11" i="16"/>
  <c r="BE10" i="16"/>
  <c r="BD10" i="16"/>
  <c r="BI9" i="16"/>
  <c r="BE9" i="16"/>
  <c r="BD9" i="16"/>
  <c r="BI8" i="16"/>
  <c r="BE8" i="16"/>
  <c r="BD8" i="16"/>
  <c r="BI7" i="16"/>
  <c r="BE7" i="16"/>
  <c r="BF7" i="16" s="1"/>
  <c r="BD7" i="16"/>
  <c r="BI6" i="16"/>
  <c r="BE6" i="16"/>
  <c r="BF6" i="16" s="1"/>
  <c r="BD6" i="16"/>
  <c r="BI5" i="16"/>
  <c r="BE5" i="16"/>
  <c r="BE15" i="16" s="1"/>
  <c r="BD5" i="16"/>
  <c r="BD15" i="16" s="1"/>
  <c r="BI35" i="14"/>
  <c r="BE35" i="14"/>
  <c r="BD35" i="14"/>
  <c r="BF35" i="14" s="1"/>
  <c r="BH34" i="14"/>
  <c r="BI34" i="14" s="1"/>
  <c r="BG34" i="14"/>
  <c r="BE33" i="14"/>
  <c r="BD33" i="14"/>
  <c r="BE32" i="14"/>
  <c r="BD32" i="14"/>
  <c r="BE31" i="14"/>
  <c r="BD31" i="14"/>
  <c r="BI30" i="14"/>
  <c r="BE30" i="14"/>
  <c r="BD30" i="14"/>
  <c r="BF30" i="14" s="1"/>
  <c r="BI29" i="14"/>
  <c r="BE29" i="14"/>
  <c r="BD29" i="14"/>
  <c r="BI28" i="14"/>
  <c r="BE28" i="14"/>
  <c r="BF28" i="14" s="1"/>
  <c r="BD28" i="14"/>
  <c r="BI27" i="14"/>
  <c r="BE27" i="14"/>
  <c r="BD27" i="14"/>
  <c r="BI26" i="14"/>
  <c r="BE26" i="14"/>
  <c r="BD26" i="14"/>
  <c r="BI25" i="14"/>
  <c r="BE25" i="14"/>
  <c r="BD25" i="14"/>
  <c r="BF25" i="14" s="1"/>
  <c r="BI24" i="14"/>
  <c r="BE24" i="14"/>
  <c r="BD24" i="14"/>
  <c r="BF24" i="14" s="1"/>
  <c r="BI23" i="14"/>
  <c r="BE23" i="14"/>
  <c r="BD23" i="14"/>
  <c r="BF23" i="14" s="1"/>
  <c r="BI22" i="14"/>
  <c r="BE22" i="14"/>
  <c r="BD22" i="14"/>
  <c r="BF22" i="14" s="1"/>
  <c r="BI21" i="14"/>
  <c r="BE21" i="14"/>
  <c r="BD21" i="14"/>
  <c r="BF21" i="14" s="1"/>
  <c r="BI20" i="14"/>
  <c r="BE20" i="14"/>
  <c r="BD20" i="14"/>
  <c r="BF20" i="14" s="1"/>
  <c r="BI19" i="14"/>
  <c r="BE19" i="14"/>
  <c r="BD19" i="14"/>
  <c r="BD34" i="14" s="1"/>
  <c r="BI18" i="14"/>
  <c r="BE18" i="14"/>
  <c r="BF18" i="14" s="1"/>
  <c r="BD18" i="14"/>
  <c r="BH17" i="14"/>
  <c r="BG17" i="14"/>
  <c r="BE16" i="14"/>
  <c r="BD16" i="14"/>
  <c r="BE15" i="14"/>
  <c r="BD15" i="14"/>
  <c r="BE14" i="14"/>
  <c r="BD14" i="14"/>
  <c r="BE13" i="14"/>
  <c r="BD13" i="14"/>
  <c r="BE12" i="14"/>
  <c r="BD12" i="14"/>
  <c r="BI11" i="14"/>
  <c r="BE11" i="14"/>
  <c r="BD11" i="14"/>
  <c r="BE10" i="14"/>
  <c r="BD10" i="14"/>
  <c r="BI9" i="14"/>
  <c r="BE9" i="14"/>
  <c r="BD9" i="14"/>
  <c r="BI8" i="14"/>
  <c r="BE8" i="14"/>
  <c r="BF8" i="14" s="1"/>
  <c r="BD8" i="14"/>
  <c r="BI7" i="14"/>
  <c r="BE7" i="14"/>
  <c r="BD7" i="14"/>
  <c r="BI6" i="14"/>
  <c r="BE6" i="14"/>
  <c r="BD6" i="14"/>
  <c r="BI5" i="14"/>
  <c r="BE5" i="14"/>
  <c r="BD5" i="14"/>
  <c r="BI184" i="11"/>
  <c r="BE184" i="11"/>
  <c r="BD184" i="11"/>
  <c r="BF184" i="11" s="1"/>
  <c r="BH183" i="11"/>
  <c r="BI183" i="11" s="1"/>
  <c r="BG183" i="11"/>
  <c r="BI182" i="11"/>
  <c r="BE182" i="11"/>
  <c r="BD182" i="11"/>
  <c r="BI181" i="11"/>
  <c r="BE181" i="11"/>
  <c r="BD181" i="11"/>
  <c r="BF181" i="11" s="1"/>
  <c r="BI180" i="11"/>
  <c r="BE180" i="11"/>
  <c r="BD180" i="11"/>
  <c r="BI179" i="11"/>
  <c r="BE179" i="11"/>
  <c r="BF179" i="11" s="1"/>
  <c r="BD179" i="11"/>
  <c r="BI178" i="11"/>
  <c r="BE178" i="11"/>
  <c r="BD178" i="11"/>
  <c r="BI177" i="11"/>
  <c r="BE177" i="11"/>
  <c r="BD177" i="11"/>
  <c r="BI176" i="11"/>
  <c r="BE176" i="11"/>
  <c r="BF176" i="11" s="1"/>
  <c r="BD176" i="11"/>
  <c r="BI175" i="11"/>
  <c r="BE175" i="11"/>
  <c r="BF175" i="11" s="1"/>
  <c r="BD175" i="11"/>
  <c r="BI174" i="11"/>
  <c r="BE174" i="11"/>
  <c r="BD174" i="11"/>
  <c r="BI173" i="11"/>
  <c r="BE173" i="11"/>
  <c r="BD173" i="11"/>
  <c r="BI172" i="11"/>
  <c r="BE172" i="11"/>
  <c r="BF172" i="11" s="1"/>
  <c r="BD172" i="11"/>
  <c r="BI171" i="11"/>
  <c r="BE171" i="11"/>
  <c r="BF171" i="11" s="1"/>
  <c r="BD171" i="11"/>
  <c r="BI170" i="11"/>
  <c r="BE170" i="11"/>
  <c r="BD170" i="11"/>
  <c r="BI169" i="11"/>
  <c r="BE169" i="11"/>
  <c r="BD169" i="11"/>
  <c r="BI168" i="11"/>
  <c r="BH168" i="11"/>
  <c r="BG168" i="11"/>
  <c r="BE167" i="11"/>
  <c r="BD167" i="11"/>
  <c r="BI166" i="11"/>
  <c r="BE166" i="11"/>
  <c r="BD166" i="11"/>
  <c r="BI165" i="11"/>
  <c r="BE165" i="11"/>
  <c r="BF165" i="11" s="1"/>
  <c r="BD165" i="11"/>
  <c r="BI164" i="11"/>
  <c r="BE164" i="11"/>
  <c r="BD164" i="11"/>
  <c r="BI163" i="11"/>
  <c r="BE163" i="11"/>
  <c r="BF163" i="11" s="1"/>
  <c r="BD163" i="11"/>
  <c r="BI162" i="11"/>
  <c r="BE162" i="11"/>
  <c r="BD162" i="11"/>
  <c r="BI161" i="11"/>
  <c r="BE161" i="11"/>
  <c r="BD161" i="11"/>
  <c r="BI160" i="11"/>
  <c r="BE160" i="11"/>
  <c r="BD160" i="11"/>
  <c r="BI159" i="11"/>
  <c r="BE159" i="11"/>
  <c r="BF159" i="11" s="1"/>
  <c r="BD159" i="11"/>
  <c r="BI158" i="11"/>
  <c r="BE158" i="11"/>
  <c r="BD158" i="11"/>
  <c r="BI157" i="11"/>
  <c r="BE157" i="11"/>
  <c r="BF157" i="11" s="1"/>
  <c r="BD157" i="11"/>
  <c r="BI156" i="11"/>
  <c r="BE156" i="11"/>
  <c r="BD156" i="11"/>
  <c r="BI155" i="11"/>
  <c r="BE155" i="11"/>
  <c r="BF155" i="11" s="1"/>
  <c r="BD155" i="11"/>
  <c r="BI154" i="11"/>
  <c r="BE154" i="11"/>
  <c r="BD154" i="11"/>
  <c r="BI153" i="11"/>
  <c r="BE153" i="11"/>
  <c r="BF153" i="11" s="1"/>
  <c r="BD153" i="11"/>
  <c r="BI152" i="11"/>
  <c r="BE152" i="11"/>
  <c r="BD152" i="11"/>
  <c r="BI151" i="11"/>
  <c r="BE151" i="11"/>
  <c r="BF151" i="11" s="1"/>
  <c r="BD151" i="11"/>
  <c r="BI150" i="11"/>
  <c r="BE150" i="11"/>
  <c r="BD150" i="11"/>
  <c r="BI149" i="11"/>
  <c r="BE149" i="11"/>
  <c r="BF149" i="11" s="1"/>
  <c r="BD149" i="11"/>
  <c r="BI148" i="11"/>
  <c r="BE148" i="11"/>
  <c r="BD148" i="11"/>
  <c r="BI147" i="11"/>
  <c r="BE147" i="11"/>
  <c r="BF147" i="11" s="1"/>
  <c r="BD147" i="11"/>
  <c r="BI140" i="11"/>
  <c r="BE140" i="11"/>
  <c r="BD140" i="11"/>
  <c r="BH139" i="11"/>
  <c r="BI139" i="11" s="1"/>
  <c r="BG139" i="11"/>
  <c r="BE138" i="11"/>
  <c r="BD138" i="11"/>
  <c r="BI137" i="11"/>
  <c r="BE137" i="11"/>
  <c r="BD137" i="11"/>
  <c r="BI136" i="11"/>
  <c r="BE136" i="11"/>
  <c r="BD136" i="11"/>
  <c r="BI135" i="11"/>
  <c r="BE135" i="11"/>
  <c r="BD135" i="11"/>
  <c r="BI134" i="11"/>
  <c r="BE134" i="11"/>
  <c r="BD134" i="11"/>
  <c r="BI133" i="11"/>
  <c r="BE133" i="11"/>
  <c r="BD133" i="11"/>
  <c r="BI132" i="11"/>
  <c r="BE132" i="11"/>
  <c r="BD132" i="11"/>
  <c r="BI131" i="11"/>
  <c r="BE131" i="11"/>
  <c r="BD131" i="11"/>
  <c r="BI130" i="11"/>
  <c r="BE130" i="11"/>
  <c r="BF130" i="11" s="1"/>
  <c r="BD130" i="11"/>
  <c r="BI129" i="11"/>
  <c r="BE129" i="11"/>
  <c r="BD129" i="11"/>
  <c r="BI128" i="11"/>
  <c r="BE128" i="11"/>
  <c r="BD128" i="11"/>
  <c r="BI127" i="11"/>
  <c r="BE127" i="11"/>
  <c r="BD127" i="11"/>
  <c r="BI126" i="11"/>
  <c r="BF126" i="11"/>
  <c r="BE126" i="11"/>
  <c r="BD126" i="11"/>
  <c r="BI125" i="11"/>
  <c r="BF125" i="11"/>
  <c r="BE125" i="11"/>
  <c r="BD125" i="11"/>
  <c r="BI124" i="11"/>
  <c r="BF124" i="11"/>
  <c r="BE124" i="11"/>
  <c r="BD124" i="11"/>
  <c r="BI123" i="11"/>
  <c r="BF123" i="11"/>
  <c r="BE123" i="11"/>
  <c r="BD123" i="11"/>
  <c r="BD122" i="11" s="1"/>
  <c r="BH122" i="11"/>
  <c r="BG122" i="11"/>
  <c r="BI121" i="11"/>
  <c r="BE121" i="11"/>
  <c r="BD121" i="11"/>
  <c r="BI120" i="11"/>
  <c r="BE120" i="11"/>
  <c r="BD120" i="11"/>
  <c r="BI119" i="11"/>
  <c r="BE119" i="11"/>
  <c r="BD119" i="11"/>
  <c r="BI118" i="11"/>
  <c r="BE118" i="11"/>
  <c r="BF118" i="11" s="1"/>
  <c r="BD118" i="11"/>
  <c r="BI117" i="11"/>
  <c r="BE117" i="11"/>
  <c r="BD117" i="11"/>
  <c r="BI116" i="11"/>
  <c r="BE116" i="11"/>
  <c r="BD116" i="11"/>
  <c r="BI115" i="11"/>
  <c r="BE115" i="11"/>
  <c r="BF115" i="11" s="1"/>
  <c r="BD115" i="11"/>
  <c r="BI114" i="11"/>
  <c r="BE114" i="11"/>
  <c r="BD114" i="11"/>
  <c r="BI113" i="11"/>
  <c r="BF113" i="11"/>
  <c r="BE113" i="11"/>
  <c r="BD113" i="11"/>
  <c r="BI112" i="11"/>
  <c r="BF112" i="11"/>
  <c r="BE112" i="11"/>
  <c r="BD112" i="11"/>
  <c r="BI111" i="11"/>
  <c r="BF111" i="11"/>
  <c r="BE111" i="11"/>
  <c r="BD111" i="11"/>
  <c r="BI110" i="11"/>
  <c r="BF110" i="11"/>
  <c r="BE110" i="11"/>
  <c r="BD110" i="11"/>
  <c r="BI109" i="11"/>
  <c r="BF109" i="11"/>
  <c r="BE109" i="11"/>
  <c r="BD109" i="11"/>
  <c r="BI108" i="11"/>
  <c r="BF108" i="11"/>
  <c r="BE108" i="11"/>
  <c r="BD108" i="11"/>
  <c r="BI107" i="11"/>
  <c r="BF107" i="11"/>
  <c r="BE107" i="11"/>
  <c r="BD107" i="11"/>
  <c r="BI106" i="11"/>
  <c r="BF106" i="11"/>
  <c r="BE106" i="11"/>
  <c r="BD106" i="11"/>
  <c r="BI105" i="11"/>
  <c r="BF105" i="11"/>
  <c r="BE105" i="11"/>
  <c r="BD105" i="11"/>
  <c r="BI104" i="11"/>
  <c r="BF104" i="11"/>
  <c r="BE104" i="11"/>
  <c r="BD104" i="11"/>
  <c r="BI103" i="11"/>
  <c r="BF103" i="11"/>
  <c r="BE103" i="11"/>
  <c r="BD103" i="11"/>
  <c r="BI102" i="11"/>
  <c r="BF102" i="11"/>
  <c r="BE102" i="11"/>
  <c r="BD102" i="11"/>
  <c r="BI101" i="11"/>
  <c r="BF101" i="11"/>
  <c r="BE101" i="11"/>
  <c r="BD101" i="11"/>
  <c r="BI100" i="11"/>
  <c r="BF100" i="11"/>
  <c r="BE100" i="11"/>
  <c r="BD100" i="11"/>
  <c r="BI99" i="11"/>
  <c r="BF99" i="11"/>
  <c r="BE99" i="11"/>
  <c r="BD99" i="11"/>
  <c r="BI98" i="11"/>
  <c r="BF98" i="11"/>
  <c r="BE98" i="11"/>
  <c r="BE122" i="11" s="1"/>
  <c r="BD98" i="11"/>
  <c r="BI91" i="11"/>
  <c r="BF91" i="11"/>
  <c r="BE91" i="11"/>
  <c r="BD91" i="11"/>
  <c r="BH90" i="11"/>
  <c r="BG90" i="11"/>
  <c r="BI89" i="11"/>
  <c r="BE89" i="11"/>
  <c r="BD89" i="11"/>
  <c r="BI88" i="11"/>
  <c r="BE88" i="11"/>
  <c r="BD88" i="11"/>
  <c r="BI87" i="11"/>
  <c r="BE87" i="11"/>
  <c r="BD87" i="11"/>
  <c r="BI86" i="11"/>
  <c r="BE86" i="11"/>
  <c r="BD86" i="11"/>
  <c r="BI85" i="11"/>
  <c r="BE85" i="11"/>
  <c r="BD85" i="11"/>
  <c r="BI84" i="11"/>
  <c r="BE84" i="11"/>
  <c r="BD84" i="11"/>
  <c r="BI83" i="11"/>
  <c r="BE83" i="11"/>
  <c r="BF83" i="11" s="1"/>
  <c r="BD83" i="11"/>
  <c r="BI82" i="11"/>
  <c r="BE82" i="11"/>
  <c r="BD82" i="11"/>
  <c r="BI81" i="11"/>
  <c r="BE81" i="11"/>
  <c r="BD81" i="11"/>
  <c r="BI80" i="11"/>
  <c r="BE80" i="11"/>
  <c r="BF80" i="11" s="1"/>
  <c r="BD80" i="11"/>
  <c r="BI79" i="11"/>
  <c r="BE79" i="11"/>
  <c r="BD79" i="11"/>
  <c r="BI78" i="11"/>
  <c r="BE78" i="11"/>
  <c r="BD78" i="11"/>
  <c r="BF78" i="11" s="1"/>
  <c r="BI77" i="11"/>
  <c r="BE77" i="11"/>
  <c r="BD77" i="11"/>
  <c r="BF77" i="11" s="1"/>
  <c r="BI76" i="11"/>
  <c r="BE76" i="11"/>
  <c r="BD76" i="11"/>
  <c r="BI75" i="11"/>
  <c r="BE75" i="11"/>
  <c r="BD75" i="11"/>
  <c r="BI74" i="11"/>
  <c r="BE74" i="11"/>
  <c r="BD74" i="11"/>
  <c r="BF74" i="11" s="1"/>
  <c r="BI73" i="11"/>
  <c r="BE73" i="11"/>
  <c r="BD73" i="11"/>
  <c r="BF73" i="11" s="1"/>
  <c r="BI72" i="11"/>
  <c r="BE72" i="11"/>
  <c r="BD72" i="11"/>
  <c r="BI71" i="11"/>
  <c r="BE71" i="11"/>
  <c r="BD71" i="11"/>
  <c r="BH70" i="11"/>
  <c r="BI70" i="11" s="1"/>
  <c r="BG70" i="11"/>
  <c r="BE69" i="11"/>
  <c r="BD69" i="11"/>
  <c r="BE68" i="11"/>
  <c r="BD68" i="11"/>
  <c r="BI67" i="11"/>
  <c r="BE67" i="11"/>
  <c r="BD67" i="11"/>
  <c r="BE66" i="11"/>
  <c r="BD66" i="11"/>
  <c r="BI65" i="11"/>
  <c r="BE65" i="11"/>
  <c r="BF65" i="11" s="1"/>
  <c r="BD65" i="11"/>
  <c r="BI64" i="11"/>
  <c r="BE64" i="11"/>
  <c r="BF64" i="11" s="1"/>
  <c r="BD64" i="11"/>
  <c r="BI63" i="11"/>
  <c r="BE63" i="11"/>
  <c r="BF63" i="11" s="1"/>
  <c r="BD63" i="11"/>
  <c r="BI62" i="11"/>
  <c r="BE62" i="11"/>
  <c r="BD62" i="11"/>
  <c r="BI61" i="11"/>
  <c r="BE61" i="11"/>
  <c r="BD61" i="11"/>
  <c r="BI60" i="11"/>
  <c r="BE60" i="11"/>
  <c r="BD60" i="11"/>
  <c r="BI59" i="11"/>
  <c r="BE59" i="11"/>
  <c r="BF59" i="11" s="1"/>
  <c r="BD59" i="11"/>
  <c r="BI58" i="11"/>
  <c r="BE58" i="11"/>
  <c r="BD58" i="11"/>
  <c r="BI57" i="11"/>
  <c r="BE57" i="11"/>
  <c r="BD57" i="11"/>
  <c r="BI56" i="11"/>
  <c r="BE56" i="11"/>
  <c r="BD56" i="11"/>
  <c r="BI55" i="11"/>
  <c r="BE55" i="11"/>
  <c r="BF55" i="11" s="1"/>
  <c r="BD55" i="11"/>
  <c r="BI54" i="11"/>
  <c r="BE54" i="11"/>
  <c r="BD54" i="11"/>
  <c r="BI47" i="11"/>
  <c r="BE47" i="11"/>
  <c r="BD47" i="11"/>
  <c r="BH46" i="11"/>
  <c r="BG46" i="11"/>
  <c r="BI45" i="11"/>
  <c r="BE45" i="11"/>
  <c r="BD45" i="11"/>
  <c r="BI44" i="11"/>
  <c r="BE44" i="11"/>
  <c r="BD44" i="11"/>
  <c r="BI43" i="11"/>
  <c r="BE43" i="11"/>
  <c r="BF43" i="11" s="1"/>
  <c r="BD43" i="11"/>
  <c r="BI42" i="11"/>
  <c r="BE42" i="11"/>
  <c r="BD42" i="11"/>
  <c r="BI41" i="11"/>
  <c r="BE41" i="11"/>
  <c r="BD41" i="11"/>
  <c r="BI40" i="11"/>
  <c r="BE40" i="11"/>
  <c r="BF40" i="11" s="1"/>
  <c r="BD40" i="11"/>
  <c r="BI39" i="11"/>
  <c r="BE39" i="11"/>
  <c r="BD39" i="11"/>
  <c r="BI38" i="11"/>
  <c r="BE38" i="11"/>
  <c r="BD38" i="11"/>
  <c r="BI37" i="11"/>
  <c r="BE37" i="11"/>
  <c r="BF37" i="11" s="1"/>
  <c r="BD37" i="11"/>
  <c r="BI36" i="11"/>
  <c r="BE36" i="11"/>
  <c r="BD36" i="11"/>
  <c r="BI35" i="11"/>
  <c r="BE35" i="11"/>
  <c r="BD35" i="11"/>
  <c r="BI34" i="11"/>
  <c r="BE34" i="11"/>
  <c r="BF34" i="11" s="1"/>
  <c r="BD34" i="11"/>
  <c r="BI33" i="11"/>
  <c r="BE33" i="11"/>
  <c r="BD33" i="11"/>
  <c r="BI32" i="11"/>
  <c r="BE32" i="11"/>
  <c r="BD32" i="11"/>
  <c r="BI31" i="11"/>
  <c r="BE31" i="11"/>
  <c r="BD31" i="11"/>
  <c r="BI30" i="11"/>
  <c r="BE30" i="11"/>
  <c r="BF30" i="11" s="1"/>
  <c r="BD30" i="11"/>
  <c r="BI29" i="11"/>
  <c r="BE29" i="11"/>
  <c r="BF29" i="11" s="1"/>
  <c r="BD29" i="11"/>
  <c r="BI28" i="11"/>
  <c r="BE28" i="11"/>
  <c r="BE46" i="11" s="1"/>
  <c r="BD28" i="11"/>
  <c r="BI27" i="11"/>
  <c r="BE27" i="11"/>
  <c r="BD27" i="11"/>
  <c r="BH26" i="11"/>
  <c r="BG26" i="11"/>
  <c r="BI25" i="11"/>
  <c r="BE25" i="11"/>
  <c r="BD25" i="11"/>
  <c r="BI24" i="11"/>
  <c r="BE24" i="11"/>
  <c r="BD24" i="11"/>
  <c r="BI23" i="11"/>
  <c r="BE23" i="11"/>
  <c r="BF23" i="11" s="1"/>
  <c r="BD23" i="11"/>
  <c r="BI22" i="11"/>
  <c r="BE22" i="11"/>
  <c r="BD22" i="11"/>
  <c r="BI21" i="11"/>
  <c r="BE21" i="11"/>
  <c r="BF21" i="11" s="1"/>
  <c r="BD21" i="11"/>
  <c r="BE20" i="11"/>
  <c r="BD20" i="11"/>
  <c r="BI19" i="11"/>
  <c r="BE19" i="11"/>
  <c r="BF19" i="11" s="1"/>
  <c r="BD19" i="11"/>
  <c r="BI18" i="11"/>
  <c r="BE18" i="11"/>
  <c r="BF18" i="11" s="1"/>
  <c r="BD18" i="11"/>
  <c r="BI17" i="11"/>
  <c r="BE17" i="11"/>
  <c r="BD17" i="11"/>
  <c r="BI16" i="11"/>
  <c r="BE16" i="11"/>
  <c r="BF16" i="11" s="1"/>
  <c r="BD16" i="11"/>
  <c r="BI15" i="11"/>
  <c r="BE15" i="11"/>
  <c r="BF15" i="11" s="1"/>
  <c r="BD15" i="11"/>
  <c r="BI14" i="11"/>
  <c r="BE14" i="11"/>
  <c r="BF14" i="11" s="1"/>
  <c r="BD14" i="11"/>
  <c r="BI13" i="11"/>
  <c r="BE13" i="11"/>
  <c r="BD13" i="11"/>
  <c r="BI12" i="11"/>
  <c r="BE12" i="11"/>
  <c r="BF12" i="11" s="1"/>
  <c r="BD12" i="11"/>
  <c r="BI11" i="11"/>
  <c r="BE11" i="11"/>
  <c r="BF11" i="11" s="1"/>
  <c r="BD11" i="11"/>
  <c r="BI10" i="11"/>
  <c r="BE10" i="11"/>
  <c r="BF10" i="11" s="1"/>
  <c r="BD10" i="11"/>
  <c r="BI9" i="11"/>
  <c r="BE9" i="11"/>
  <c r="BD9" i="11"/>
  <c r="BI8" i="11"/>
  <c r="BE8" i="11"/>
  <c r="BF8" i="11" s="1"/>
  <c r="BD8" i="11"/>
  <c r="BI7" i="11"/>
  <c r="BE7" i="11"/>
  <c r="BF7" i="11" s="1"/>
  <c r="BD7" i="11"/>
  <c r="BI6" i="11"/>
  <c r="BE6" i="11"/>
  <c r="BF6" i="11" s="1"/>
  <c r="BD6" i="11"/>
  <c r="BI5" i="11"/>
  <c r="BE5" i="11"/>
  <c r="BD5" i="11"/>
  <c r="BD26" i="11" s="1"/>
  <c r="BJ344" i="10"/>
  <c r="BI344" i="10"/>
  <c r="BH344" i="10"/>
  <c r="BJ343" i="10"/>
  <c r="BF343" i="10"/>
  <c r="BG343" i="10" s="1"/>
  <c r="BE343" i="10"/>
  <c r="BI342" i="10"/>
  <c r="BH342" i="10"/>
  <c r="BJ342" i="10" s="1"/>
  <c r="BF341" i="10"/>
  <c r="BE341" i="10"/>
  <c r="BF340" i="10"/>
  <c r="BE340" i="10"/>
  <c r="BF339" i="10"/>
  <c r="BE339" i="10"/>
  <c r="BF338" i="10"/>
  <c r="BE338" i="10"/>
  <c r="BJ337" i="10"/>
  <c r="BF337" i="10"/>
  <c r="BE337" i="10"/>
  <c r="BG337" i="10" s="1"/>
  <c r="BJ336" i="10"/>
  <c r="BF336" i="10"/>
  <c r="BE336" i="10"/>
  <c r="BJ335" i="10"/>
  <c r="BG335" i="10"/>
  <c r="BF335" i="10"/>
  <c r="BE335" i="10"/>
  <c r="BJ334" i="10"/>
  <c r="BG334" i="10"/>
  <c r="BF334" i="10"/>
  <c r="BE334" i="10"/>
  <c r="BJ333" i="10"/>
  <c r="BF333" i="10"/>
  <c r="BE333" i="10"/>
  <c r="BJ332" i="10"/>
  <c r="BG332" i="10"/>
  <c r="BF332" i="10"/>
  <c r="BE332" i="10"/>
  <c r="BJ331" i="10"/>
  <c r="BG331" i="10"/>
  <c r="BF331" i="10"/>
  <c r="BE331" i="10"/>
  <c r="BJ330" i="10"/>
  <c r="BG330" i="10"/>
  <c r="BF330" i="10"/>
  <c r="BE330" i="10"/>
  <c r="BJ329" i="10"/>
  <c r="BG329" i="10"/>
  <c r="BF329" i="10"/>
  <c r="BE329" i="10"/>
  <c r="BJ328" i="10"/>
  <c r="BG328" i="10"/>
  <c r="BF328" i="10"/>
  <c r="BE328" i="10"/>
  <c r="BJ327" i="10"/>
  <c r="BG327" i="10"/>
  <c r="BF327" i="10"/>
  <c r="BE327" i="10"/>
  <c r="BJ326" i="10"/>
  <c r="BG326" i="10"/>
  <c r="BF326" i="10"/>
  <c r="BE326" i="10"/>
  <c r="BJ325" i="10"/>
  <c r="BG325" i="10"/>
  <c r="BF325" i="10"/>
  <c r="BE325" i="10"/>
  <c r="BJ324" i="10"/>
  <c r="BG324" i="10"/>
  <c r="BF324" i="10"/>
  <c r="BE324" i="10"/>
  <c r="BJ323" i="10"/>
  <c r="BG323" i="10"/>
  <c r="BF323" i="10"/>
  <c r="BE323" i="10"/>
  <c r="BI322" i="10"/>
  <c r="BJ322" i="10" s="1"/>
  <c r="BH322" i="10"/>
  <c r="BF321" i="10"/>
  <c r="BE321" i="10"/>
  <c r="BF320" i="10"/>
  <c r="BE320" i="10"/>
  <c r="BF319" i="10"/>
  <c r="BE319" i="10"/>
  <c r="BF318" i="10"/>
  <c r="BE318" i="10"/>
  <c r="BF317" i="10"/>
  <c r="BE317" i="10"/>
  <c r="BJ316" i="10"/>
  <c r="BF316" i="10"/>
  <c r="BE316" i="10"/>
  <c r="BF315" i="10"/>
  <c r="BE315" i="10"/>
  <c r="BJ314" i="10"/>
  <c r="BF314" i="10"/>
  <c r="BE314" i="10"/>
  <c r="BG314" i="10" s="1"/>
  <c r="BF313" i="10"/>
  <c r="BE313" i="10"/>
  <c r="BJ312" i="10"/>
  <c r="BF312" i="10"/>
  <c r="BG312" i="10" s="1"/>
  <c r="BE312" i="10"/>
  <c r="BJ311" i="10"/>
  <c r="BF311" i="10"/>
  <c r="BE311" i="10"/>
  <c r="BJ310" i="10"/>
  <c r="BF310" i="10"/>
  <c r="BE310" i="10"/>
  <c r="BJ309" i="10"/>
  <c r="BF309" i="10"/>
  <c r="BE309" i="10"/>
  <c r="BJ308" i="10"/>
  <c r="BF308" i="10"/>
  <c r="BE308" i="10"/>
  <c r="BJ307" i="10"/>
  <c r="BF307" i="10"/>
  <c r="BE307" i="10"/>
  <c r="BG307" i="10" s="1"/>
  <c r="BJ306" i="10"/>
  <c r="BF306" i="10"/>
  <c r="BE306" i="10"/>
  <c r="BG306" i="10" s="1"/>
  <c r="BJ305" i="10"/>
  <c r="BF305" i="10"/>
  <c r="BE305" i="10"/>
  <c r="BJ304" i="10"/>
  <c r="BF304" i="10"/>
  <c r="BE304" i="10"/>
  <c r="BI298" i="10"/>
  <c r="BJ298" i="10" s="1"/>
  <c r="BH298" i="10"/>
  <c r="BJ297" i="10"/>
  <c r="BF297" i="10"/>
  <c r="BE297" i="10"/>
  <c r="BE296" i="10" s="1"/>
  <c r="BI296" i="10"/>
  <c r="BJ296" i="10" s="1"/>
  <c r="BH296" i="10"/>
  <c r="BF295" i="10"/>
  <c r="BE295" i="10"/>
  <c r="BJ294" i="10"/>
  <c r="BF294" i="10"/>
  <c r="BE294" i="10"/>
  <c r="BJ293" i="10"/>
  <c r="BF293" i="10"/>
  <c r="BE293" i="10"/>
  <c r="BJ292" i="10"/>
  <c r="BF292" i="10"/>
  <c r="BG292" i="10" s="1"/>
  <c r="BE292" i="10"/>
  <c r="BJ291" i="10"/>
  <c r="BF291" i="10"/>
  <c r="BG291" i="10" s="1"/>
  <c r="BE291" i="10"/>
  <c r="BJ290" i="10"/>
  <c r="BF290" i="10"/>
  <c r="BE290" i="10"/>
  <c r="BJ289" i="10"/>
  <c r="BF289" i="10"/>
  <c r="BE289" i="10"/>
  <c r="BJ288" i="10"/>
  <c r="BF288" i="10"/>
  <c r="BG288" i="10" s="1"/>
  <c r="BE288" i="10"/>
  <c r="BJ287" i="10"/>
  <c r="BF287" i="10"/>
  <c r="BG287" i="10" s="1"/>
  <c r="BE287" i="10"/>
  <c r="BJ286" i="10"/>
  <c r="BF286" i="10"/>
  <c r="BE286" i="10"/>
  <c r="BJ285" i="10"/>
  <c r="BF285" i="10"/>
  <c r="BE285" i="10"/>
  <c r="BJ284" i="10"/>
  <c r="BF284" i="10"/>
  <c r="BG284" i="10" s="1"/>
  <c r="BE284" i="10"/>
  <c r="BJ283" i="10"/>
  <c r="BF283" i="10"/>
  <c r="BE283" i="10"/>
  <c r="BJ282" i="10"/>
  <c r="BF282" i="10"/>
  <c r="BE282" i="10"/>
  <c r="BJ281" i="10"/>
  <c r="BF281" i="10"/>
  <c r="BE281" i="10"/>
  <c r="BJ280" i="10"/>
  <c r="BF280" i="10"/>
  <c r="BG280" i="10" s="1"/>
  <c r="BE280" i="10"/>
  <c r="BJ279" i="10"/>
  <c r="BF279" i="10"/>
  <c r="BG279" i="10" s="1"/>
  <c r="BE279" i="10"/>
  <c r="BJ278" i="10"/>
  <c r="BF278" i="10"/>
  <c r="BE278" i="10"/>
  <c r="BJ277" i="10"/>
  <c r="BF277" i="10"/>
  <c r="BE277" i="10"/>
  <c r="BI276" i="10"/>
  <c r="BH276" i="10"/>
  <c r="BJ275" i="10"/>
  <c r="BF275" i="10"/>
  <c r="BG275" i="10" s="1"/>
  <c r="BE275" i="10"/>
  <c r="BJ274" i="10"/>
  <c r="BF274" i="10"/>
  <c r="BG274" i="10" s="1"/>
  <c r="BE274" i="10"/>
  <c r="BJ273" i="10"/>
  <c r="BF273" i="10"/>
  <c r="BG273" i="10" s="1"/>
  <c r="BE273" i="10"/>
  <c r="BJ272" i="10"/>
  <c r="BF272" i="10"/>
  <c r="BE272" i="10"/>
  <c r="BJ271" i="10"/>
  <c r="BF271" i="10"/>
  <c r="BE271" i="10"/>
  <c r="BJ270" i="10"/>
  <c r="BG270" i="10"/>
  <c r="BF270" i="10"/>
  <c r="BE270" i="10"/>
  <c r="BJ269" i="10"/>
  <c r="BG269" i="10"/>
  <c r="BF269" i="10"/>
  <c r="BE269" i="10"/>
  <c r="BJ268" i="10"/>
  <c r="BG268" i="10"/>
  <c r="BF268" i="10"/>
  <c r="BE268" i="10"/>
  <c r="BJ267" i="10"/>
  <c r="BG267" i="10"/>
  <c r="BF267" i="10"/>
  <c r="BE267" i="10"/>
  <c r="BJ266" i="10"/>
  <c r="BG266" i="10"/>
  <c r="BF266" i="10"/>
  <c r="BE266" i="10"/>
  <c r="BJ265" i="10"/>
  <c r="BG265" i="10"/>
  <c r="BF265" i="10"/>
  <c r="BE265" i="10"/>
  <c r="BJ264" i="10"/>
  <c r="BG264" i="10"/>
  <c r="BF264" i="10"/>
  <c r="BE264" i="10"/>
  <c r="BJ263" i="10"/>
  <c r="BG263" i="10"/>
  <c r="BF263" i="10"/>
  <c r="BE263" i="10"/>
  <c r="BJ262" i="10"/>
  <c r="BG262" i="10"/>
  <c r="BF262" i="10"/>
  <c r="BE262" i="10"/>
  <c r="BJ261" i="10"/>
  <c r="BG261" i="10"/>
  <c r="BF261" i="10"/>
  <c r="BE261" i="10"/>
  <c r="BJ260" i="10"/>
  <c r="BG260" i="10"/>
  <c r="BF260" i="10"/>
  <c r="BE260" i="10"/>
  <c r="BJ259" i="10"/>
  <c r="BG259" i="10"/>
  <c r="BF259" i="10"/>
  <c r="BE259" i="10"/>
  <c r="BJ258" i="10"/>
  <c r="BG258" i="10"/>
  <c r="BF258" i="10"/>
  <c r="BE258" i="10"/>
  <c r="BJ257" i="10"/>
  <c r="BG257" i="10"/>
  <c r="BF257" i="10"/>
  <c r="BE257" i="10"/>
  <c r="BJ256" i="10"/>
  <c r="BG256" i="10"/>
  <c r="BF256" i="10"/>
  <c r="BE256" i="10"/>
  <c r="BJ255" i="10"/>
  <c r="BG255" i="10"/>
  <c r="BF255" i="10"/>
  <c r="BE255" i="10"/>
  <c r="BJ247" i="10"/>
  <c r="BI247" i="10"/>
  <c r="BH247" i="10"/>
  <c r="BJ246" i="10"/>
  <c r="BF246" i="10"/>
  <c r="BG246" i="10" s="1"/>
  <c r="BE246" i="10"/>
  <c r="BI245" i="10"/>
  <c r="BH245" i="10"/>
  <c r="BJ244" i="10"/>
  <c r="BJ243" i="10"/>
  <c r="BF243" i="10"/>
  <c r="BG243" i="10" s="1"/>
  <c r="BE243" i="10"/>
  <c r="BJ242" i="10"/>
  <c r="BF242" i="10"/>
  <c r="BG242" i="10" s="1"/>
  <c r="BE242" i="10"/>
  <c r="BJ241" i="10"/>
  <c r="BF241" i="10"/>
  <c r="BG241" i="10" s="1"/>
  <c r="BE241" i="10"/>
  <c r="BJ240" i="10"/>
  <c r="BF240" i="10"/>
  <c r="BE240" i="10"/>
  <c r="BJ239" i="10"/>
  <c r="BF239" i="10"/>
  <c r="BG239" i="10" s="1"/>
  <c r="BE239" i="10"/>
  <c r="BJ238" i="10"/>
  <c r="BF238" i="10"/>
  <c r="BG238" i="10" s="1"/>
  <c r="BE238" i="10"/>
  <c r="BJ237" i="10"/>
  <c r="BF237" i="10"/>
  <c r="BG237" i="10" s="1"/>
  <c r="BE237" i="10"/>
  <c r="BJ236" i="10"/>
  <c r="BF236" i="10"/>
  <c r="BE236" i="10"/>
  <c r="BJ235" i="10"/>
  <c r="BF235" i="10"/>
  <c r="BG235" i="10" s="1"/>
  <c r="BE235" i="10"/>
  <c r="BJ234" i="10"/>
  <c r="BF234" i="10"/>
  <c r="BG234" i="10" s="1"/>
  <c r="BE234" i="10"/>
  <c r="BJ233" i="10"/>
  <c r="BF233" i="10"/>
  <c r="BG233" i="10" s="1"/>
  <c r="BE233" i="10"/>
  <c r="BJ232" i="10"/>
  <c r="BF232" i="10"/>
  <c r="BE232" i="10"/>
  <c r="BJ231" i="10"/>
  <c r="BF231" i="10"/>
  <c r="BG231" i="10" s="1"/>
  <c r="BE231" i="10"/>
  <c r="BJ230" i="10"/>
  <c r="BF230" i="10"/>
  <c r="BG230" i="10" s="1"/>
  <c r="BE230" i="10"/>
  <c r="BJ229" i="10"/>
  <c r="BF229" i="10"/>
  <c r="BG229" i="10" s="1"/>
  <c r="BE229" i="10"/>
  <c r="BJ228" i="10"/>
  <c r="BF228" i="10"/>
  <c r="BE228" i="10"/>
  <c r="BJ227" i="10"/>
  <c r="BF227" i="10"/>
  <c r="BG227" i="10" s="1"/>
  <c r="BE227" i="10"/>
  <c r="BJ226" i="10"/>
  <c r="BF226" i="10"/>
  <c r="BG226" i="10" s="1"/>
  <c r="BE226" i="10"/>
  <c r="BJ225" i="10"/>
  <c r="BF225" i="10"/>
  <c r="BG225" i="10" s="1"/>
  <c r="BE225" i="10"/>
  <c r="BE247" i="10" s="1"/>
  <c r="BI224" i="10"/>
  <c r="BH224" i="10"/>
  <c r="BJ224" i="10" s="1"/>
  <c r="BF223" i="10"/>
  <c r="BE223" i="10"/>
  <c r="BJ222" i="10"/>
  <c r="BF222" i="10"/>
  <c r="BE222" i="10"/>
  <c r="BJ221" i="10"/>
  <c r="BF221" i="10"/>
  <c r="BE221" i="10"/>
  <c r="BJ220" i="10"/>
  <c r="BF220" i="10"/>
  <c r="BE220" i="10"/>
  <c r="BG220" i="10" s="1"/>
  <c r="BJ219" i="10"/>
  <c r="BF219" i="10"/>
  <c r="BE219" i="10"/>
  <c r="BJ218" i="10"/>
  <c r="BF218" i="10"/>
  <c r="BG218" i="10" s="1"/>
  <c r="BE218" i="10"/>
  <c r="BJ217" i="10"/>
  <c r="BF217" i="10"/>
  <c r="BG217" i="10" s="1"/>
  <c r="BE217" i="10"/>
  <c r="BJ216" i="10"/>
  <c r="BF216" i="10"/>
  <c r="BE216" i="10"/>
  <c r="BJ215" i="10"/>
  <c r="BF215" i="10"/>
  <c r="BE215" i="10"/>
  <c r="BJ214" i="10"/>
  <c r="BF214" i="10"/>
  <c r="BG214" i="10" s="1"/>
  <c r="BE214" i="10"/>
  <c r="BJ213" i="10"/>
  <c r="BF213" i="10"/>
  <c r="BG213" i="10" s="1"/>
  <c r="BE213" i="10"/>
  <c r="BJ212" i="10"/>
  <c r="BF212" i="10"/>
  <c r="BE212" i="10"/>
  <c r="BI206" i="10"/>
  <c r="BH206" i="10"/>
  <c r="BJ205" i="10"/>
  <c r="BG205" i="10"/>
  <c r="BF205" i="10"/>
  <c r="BE205" i="10"/>
  <c r="BI204" i="10"/>
  <c r="BJ204" i="10" s="1"/>
  <c r="BH204" i="10"/>
  <c r="BJ203" i="10"/>
  <c r="BF203" i="10"/>
  <c r="BE203" i="10"/>
  <c r="BJ202" i="10"/>
  <c r="BF202" i="10"/>
  <c r="BG202" i="10" s="1"/>
  <c r="BE202" i="10"/>
  <c r="BJ201" i="10"/>
  <c r="BF201" i="10"/>
  <c r="BG201" i="10" s="1"/>
  <c r="BE201" i="10"/>
  <c r="BJ200" i="10"/>
  <c r="BF200" i="10"/>
  <c r="BG200" i="10" s="1"/>
  <c r="BE200" i="10"/>
  <c r="BJ199" i="10"/>
  <c r="BF199" i="10"/>
  <c r="BE199" i="10"/>
  <c r="BJ198" i="10"/>
  <c r="BF198" i="10"/>
  <c r="BG198" i="10" s="1"/>
  <c r="BE198" i="10"/>
  <c r="BJ197" i="10"/>
  <c r="BF197" i="10"/>
  <c r="BG197" i="10" s="1"/>
  <c r="BE197" i="10"/>
  <c r="BJ196" i="10"/>
  <c r="BF196" i="10"/>
  <c r="BG196" i="10" s="1"/>
  <c r="BE196" i="10"/>
  <c r="BJ195" i="10"/>
  <c r="BF195" i="10"/>
  <c r="BE195" i="10"/>
  <c r="BJ194" i="10"/>
  <c r="BF194" i="10"/>
  <c r="BG194" i="10" s="1"/>
  <c r="BE194" i="10"/>
  <c r="BJ193" i="10"/>
  <c r="BF193" i="10"/>
  <c r="BG193" i="10" s="1"/>
  <c r="BE193" i="10"/>
  <c r="BJ192" i="10"/>
  <c r="BF192" i="10"/>
  <c r="BG192" i="10" s="1"/>
  <c r="BE192" i="10"/>
  <c r="BJ191" i="10"/>
  <c r="BF191" i="10"/>
  <c r="BE191" i="10"/>
  <c r="BJ190" i="10"/>
  <c r="BF190" i="10"/>
  <c r="BG190" i="10" s="1"/>
  <c r="BE190" i="10"/>
  <c r="BJ189" i="10"/>
  <c r="BF189" i="10"/>
  <c r="BG189" i="10" s="1"/>
  <c r="BE189" i="10"/>
  <c r="BJ188" i="10"/>
  <c r="BF188" i="10"/>
  <c r="BG188" i="10" s="1"/>
  <c r="BE188" i="10"/>
  <c r="BJ187" i="10"/>
  <c r="BF187" i="10"/>
  <c r="BE187" i="10"/>
  <c r="BJ186" i="10"/>
  <c r="BF186" i="10"/>
  <c r="BG186" i="10" s="1"/>
  <c r="BE186" i="10"/>
  <c r="BJ185" i="10"/>
  <c r="BF185" i="10"/>
  <c r="BG185" i="10" s="1"/>
  <c r="BE185" i="10"/>
  <c r="BJ184" i="10"/>
  <c r="BF184" i="10"/>
  <c r="BG184" i="10" s="1"/>
  <c r="BE184" i="10"/>
  <c r="BJ183" i="10"/>
  <c r="BF183" i="10"/>
  <c r="BE183" i="10"/>
  <c r="BJ182" i="10"/>
  <c r="BF182" i="10"/>
  <c r="BG182" i="10" s="1"/>
  <c r="BE182" i="10"/>
  <c r="BJ181" i="10"/>
  <c r="BF181" i="10"/>
  <c r="BG181" i="10" s="1"/>
  <c r="BE181" i="10"/>
  <c r="BJ180" i="10"/>
  <c r="BF180" i="10"/>
  <c r="BG180" i="10" s="1"/>
  <c r="BE180" i="10"/>
  <c r="BJ179" i="10"/>
  <c r="BF179" i="10"/>
  <c r="BE179" i="10"/>
  <c r="BE206" i="10" s="1"/>
  <c r="BI178" i="10"/>
  <c r="BH178" i="10"/>
  <c r="BJ177" i="10"/>
  <c r="BG177" i="10"/>
  <c r="BF177" i="10"/>
  <c r="BE177" i="10"/>
  <c r="BJ176" i="10"/>
  <c r="BF176" i="10"/>
  <c r="BE176" i="10"/>
  <c r="BJ175" i="10"/>
  <c r="BF175" i="10"/>
  <c r="BE175" i="10"/>
  <c r="BJ174" i="10"/>
  <c r="BF174" i="10"/>
  <c r="BG174" i="10" s="1"/>
  <c r="BE174" i="10"/>
  <c r="BJ173" i="10"/>
  <c r="BF173" i="10"/>
  <c r="BG173" i="10" s="1"/>
  <c r="BE173" i="10"/>
  <c r="BJ172" i="10"/>
  <c r="BF172" i="10"/>
  <c r="BG172" i="10" s="1"/>
  <c r="BE172" i="10"/>
  <c r="BJ171" i="10"/>
  <c r="BF171" i="10"/>
  <c r="BE171" i="10"/>
  <c r="BJ170" i="10"/>
  <c r="BF170" i="10"/>
  <c r="BE170" i="10"/>
  <c r="BJ169" i="10"/>
  <c r="BF169" i="10"/>
  <c r="BG169" i="10" s="1"/>
  <c r="BE169" i="10"/>
  <c r="BJ168" i="10"/>
  <c r="BF168" i="10"/>
  <c r="BG168" i="10" s="1"/>
  <c r="BE168" i="10"/>
  <c r="BJ167" i="10"/>
  <c r="BF167" i="10"/>
  <c r="BE167" i="10"/>
  <c r="BJ166" i="10"/>
  <c r="BF166" i="10"/>
  <c r="BE166" i="10"/>
  <c r="BJ165" i="10"/>
  <c r="BF165" i="10"/>
  <c r="BG165" i="10" s="1"/>
  <c r="BE165" i="10"/>
  <c r="BJ164" i="10"/>
  <c r="BF164" i="10"/>
  <c r="BG164" i="10" s="1"/>
  <c r="BE164" i="10"/>
  <c r="BJ163" i="10"/>
  <c r="BF163" i="10"/>
  <c r="BE163" i="10"/>
  <c r="BJ162" i="10"/>
  <c r="BF162" i="10"/>
  <c r="BG162" i="10" s="1"/>
  <c r="BE162" i="10"/>
  <c r="BI154" i="10"/>
  <c r="BH154" i="10"/>
  <c r="BJ153" i="10"/>
  <c r="BF153" i="10"/>
  <c r="BG153" i="10" s="1"/>
  <c r="BE153" i="10"/>
  <c r="BI152" i="10"/>
  <c r="BH152" i="10"/>
  <c r="BJ152" i="10" s="1"/>
  <c r="BF151" i="10"/>
  <c r="BE151" i="10"/>
  <c r="BJ150" i="10"/>
  <c r="BF150" i="10"/>
  <c r="BE150" i="10"/>
  <c r="BJ149" i="10"/>
  <c r="BF149" i="10"/>
  <c r="BG149" i="10" s="1"/>
  <c r="BE149" i="10"/>
  <c r="BJ148" i="10"/>
  <c r="BF148" i="10"/>
  <c r="BG148" i="10" s="1"/>
  <c r="BE148" i="10"/>
  <c r="BJ147" i="10"/>
  <c r="BF147" i="10"/>
  <c r="BE147" i="10"/>
  <c r="BJ146" i="10"/>
  <c r="BF146" i="10"/>
  <c r="BE146" i="10"/>
  <c r="BJ145" i="10"/>
  <c r="BF145" i="10"/>
  <c r="BE145" i="10"/>
  <c r="BJ144" i="10"/>
  <c r="BF144" i="10"/>
  <c r="BE144" i="10"/>
  <c r="BJ143" i="10"/>
  <c r="BF143" i="10"/>
  <c r="BE143" i="10"/>
  <c r="BJ142" i="10"/>
  <c r="BF142" i="10"/>
  <c r="BE142" i="10"/>
  <c r="BG142" i="10" s="1"/>
  <c r="BJ141" i="10"/>
  <c r="BF141" i="10"/>
  <c r="BE141" i="10"/>
  <c r="BG141" i="10" s="1"/>
  <c r="BJ140" i="10"/>
  <c r="BF140" i="10"/>
  <c r="BE140" i="10"/>
  <c r="BG140" i="10" s="1"/>
  <c r="BJ139" i="10"/>
  <c r="BF139" i="10"/>
  <c r="BE139" i="10"/>
  <c r="BG139" i="10" s="1"/>
  <c r="BJ138" i="10"/>
  <c r="BF138" i="10"/>
  <c r="BE138" i="10"/>
  <c r="BJ137" i="10"/>
  <c r="BF137" i="10"/>
  <c r="BE137" i="10"/>
  <c r="BJ136" i="10"/>
  <c r="BF136" i="10"/>
  <c r="BE136" i="10"/>
  <c r="BJ135" i="10"/>
  <c r="BF135" i="10"/>
  <c r="BE135" i="10"/>
  <c r="BG135" i="10" s="1"/>
  <c r="BJ134" i="10"/>
  <c r="BF134" i="10"/>
  <c r="BE134" i="10"/>
  <c r="BJ133" i="10"/>
  <c r="BF133" i="10"/>
  <c r="BE133" i="10"/>
  <c r="BJ132" i="10"/>
  <c r="BF132" i="10"/>
  <c r="BE132" i="10"/>
  <c r="BJ131" i="10"/>
  <c r="BF131" i="10"/>
  <c r="BE131" i="10"/>
  <c r="BG131" i="10" s="1"/>
  <c r="BJ130" i="10"/>
  <c r="BF130" i="10"/>
  <c r="BE130" i="10"/>
  <c r="BJ129" i="10"/>
  <c r="BI129" i="10"/>
  <c r="BH129" i="10"/>
  <c r="BF128" i="10"/>
  <c r="BE128" i="10"/>
  <c r="BJ127" i="10"/>
  <c r="BF127" i="10"/>
  <c r="BE127" i="10"/>
  <c r="BJ126" i="10"/>
  <c r="BF126" i="10"/>
  <c r="BE126" i="10"/>
  <c r="BJ125" i="10"/>
  <c r="BF125" i="10"/>
  <c r="BE125" i="10"/>
  <c r="BJ124" i="10"/>
  <c r="BF124" i="10"/>
  <c r="BG124" i="10" s="1"/>
  <c r="BE124" i="10"/>
  <c r="BJ123" i="10"/>
  <c r="BF123" i="10"/>
  <c r="BE123" i="10"/>
  <c r="BF122" i="10"/>
  <c r="BE122" i="10"/>
  <c r="BJ121" i="10"/>
  <c r="BF121" i="10"/>
  <c r="BE121" i="10"/>
  <c r="BJ120" i="10"/>
  <c r="BF120" i="10"/>
  <c r="BE120" i="10"/>
  <c r="BG120" i="10" s="1"/>
  <c r="BJ119" i="10"/>
  <c r="BF119" i="10"/>
  <c r="BE119" i="10"/>
  <c r="BG119" i="10" s="1"/>
  <c r="BJ118" i="10"/>
  <c r="BF118" i="10"/>
  <c r="BE118" i="10"/>
  <c r="BJ117" i="10"/>
  <c r="BF117" i="10"/>
  <c r="BE117" i="10"/>
  <c r="BJ116" i="10"/>
  <c r="BF116" i="10"/>
  <c r="BE116" i="10"/>
  <c r="BG116" i="10" s="1"/>
  <c r="BJ115" i="10"/>
  <c r="BF115" i="10"/>
  <c r="BE115" i="10"/>
  <c r="BG115" i="10" s="1"/>
  <c r="BJ114" i="10"/>
  <c r="BF114" i="10"/>
  <c r="BE114" i="10"/>
  <c r="BJ113" i="10"/>
  <c r="BF113" i="10"/>
  <c r="BE113" i="10"/>
  <c r="BJ112" i="10"/>
  <c r="BF112" i="10"/>
  <c r="BE112" i="10"/>
  <c r="BG112" i="10" s="1"/>
  <c r="BJ111" i="10"/>
  <c r="BF111" i="10"/>
  <c r="BE111" i="10"/>
  <c r="BG111" i="10" s="1"/>
  <c r="BJ105" i="10"/>
  <c r="BF105" i="10"/>
  <c r="BE105" i="10"/>
  <c r="BI104" i="10"/>
  <c r="BJ104" i="10" s="1"/>
  <c r="BH104" i="10"/>
  <c r="BF103" i="10"/>
  <c r="BE103" i="10"/>
  <c r="BF102" i="10"/>
  <c r="BE102" i="10"/>
  <c r="BJ101" i="10"/>
  <c r="BF101" i="10"/>
  <c r="BE101" i="10"/>
  <c r="BJ100" i="10"/>
  <c r="BF100" i="10"/>
  <c r="BE100" i="10"/>
  <c r="BJ99" i="10"/>
  <c r="BF99" i="10"/>
  <c r="BG99" i="10" s="1"/>
  <c r="BE99" i="10"/>
  <c r="BJ98" i="10"/>
  <c r="BF98" i="10"/>
  <c r="BG98" i="10" s="1"/>
  <c r="BE98" i="10"/>
  <c r="BJ97" i="10"/>
  <c r="BF97" i="10"/>
  <c r="BE97" i="10"/>
  <c r="BJ96" i="10"/>
  <c r="BF96" i="10"/>
  <c r="BE96" i="10"/>
  <c r="BG96" i="10" s="1"/>
  <c r="BJ95" i="10"/>
  <c r="BF95" i="10"/>
  <c r="BE95" i="10"/>
  <c r="BJ94" i="10"/>
  <c r="BG94" i="10"/>
  <c r="BF94" i="10"/>
  <c r="BE94" i="10"/>
  <c r="BJ93" i="10"/>
  <c r="BG93" i="10"/>
  <c r="BF93" i="10"/>
  <c r="BE93" i="10"/>
  <c r="BJ92" i="10"/>
  <c r="BG92" i="10"/>
  <c r="BF92" i="10"/>
  <c r="BE92" i="10"/>
  <c r="BJ91" i="10"/>
  <c r="BG91" i="10"/>
  <c r="BF91" i="10"/>
  <c r="BF154" i="10" s="1"/>
  <c r="BG154" i="10" s="1"/>
  <c r="BE91" i="10"/>
  <c r="BE154" i="10" s="1"/>
  <c r="BI90" i="10"/>
  <c r="BJ90" i="10" s="1"/>
  <c r="BH90" i="10"/>
  <c r="BF89" i="10"/>
  <c r="BE89" i="10"/>
  <c r="BF88" i="10"/>
  <c r="BE88" i="10"/>
  <c r="BF87" i="10"/>
  <c r="BE87" i="10"/>
  <c r="BF86" i="10"/>
  <c r="BE86" i="10"/>
  <c r="BF85" i="10"/>
  <c r="BE85" i="10"/>
  <c r="BJ84" i="10"/>
  <c r="BF84" i="10"/>
  <c r="BE84" i="10"/>
  <c r="BJ83" i="10"/>
  <c r="BF83" i="10"/>
  <c r="BE83" i="10"/>
  <c r="BJ82" i="10"/>
  <c r="BF82" i="10"/>
  <c r="BG82" i="10" s="1"/>
  <c r="BE82" i="10"/>
  <c r="BJ81" i="10"/>
  <c r="BF81" i="10"/>
  <c r="BE81" i="10"/>
  <c r="BJ80" i="10"/>
  <c r="BF80" i="10"/>
  <c r="BE80" i="10"/>
  <c r="BJ79" i="10"/>
  <c r="BF79" i="10"/>
  <c r="BE79" i="10"/>
  <c r="BJ78" i="10"/>
  <c r="BF78" i="10"/>
  <c r="BG78" i="10" s="1"/>
  <c r="BE78" i="10"/>
  <c r="BJ77" i="10"/>
  <c r="BF77" i="10"/>
  <c r="BE77" i="10"/>
  <c r="BJ76" i="10"/>
  <c r="BF76" i="10"/>
  <c r="BG76" i="10" s="1"/>
  <c r="BE76" i="10"/>
  <c r="BJ75" i="10"/>
  <c r="BF75" i="10"/>
  <c r="BE75" i="10"/>
  <c r="BJ74" i="10"/>
  <c r="BF74" i="10"/>
  <c r="BG74" i="10" s="1"/>
  <c r="BE74" i="10"/>
  <c r="BJ73" i="10"/>
  <c r="BF73" i="10"/>
  <c r="BE73" i="10"/>
  <c r="BJ72" i="10"/>
  <c r="BF72" i="10"/>
  <c r="BG72" i="10" s="1"/>
  <c r="BE72" i="10"/>
  <c r="BJ71" i="10"/>
  <c r="BF71" i="10"/>
  <c r="BE71" i="10"/>
  <c r="BJ70" i="10"/>
  <c r="BF70" i="10"/>
  <c r="BG70" i="10" s="1"/>
  <c r="BE70" i="10"/>
  <c r="BJ69" i="10"/>
  <c r="BF69" i="10"/>
  <c r="BE69" i="10"/>
  <c r="BJ68" i="10"/>
  <c r="BF68" i="10"/>
  <c r="BG68" i="10" s="1"/>
  <c r="BE68" i="10"/>
  <c r="BJ67" i="10"/>
  <c r="BF67" i="10"/>
  <c r="BE67" i="10"/>
  <c r="BJ66" i="10"/>
  <c r="BF66" i="10"/>
  <c r="BG66" i="10" s="1"/>
  <c r="BE66" i="10"/>
  <c r="BI60" i="10"/>
  <c r="BL60" i="10" s="1"/>
  <c r="BH60" i="10"/>
  <c r="BK60" i="10" s="1"/>
  <c r="BJ59" i="10"/>
  <c r="BF59" i="10"/>
  <c r="BG59" i="10" s="1"/>
  <c r="BE59" i="10"/>
  <c r="BI58" i="10"/>
  <c r="BJ58" i="10" s="1"/>
  <c r="BH58" i="10"/>
  <c r="BF57" i="10"/>
  <c r="BE57" i="10"/>
  <c r="BJ56" i="10"/>
  <c r="BF56" i="10"/>
  <c r="BE56" i="10"/>
  <c r="BG56" i="10" s="1"/>
  <c r="BJ55" i="10"/>
  <c r="BF55" i="10"/>
  <c r="BE55" i="10"/>
  <c r="BG55" i="10" s="1"/>
  <c r="BJ54" i="10"/>
  <c r="BF54" i="10"/>
  <c r="BE54" i="10"/>
  <c r="BG54" i="10" s="1"/>
  <c r="BJ53" i="10"/>
  <c r="BF53" i="10"/>
  <c r="BE53" i="10"/>
  <c r="BG53" i="10" s="1"/>
  <c r="BJ52" i="10"/>
  <c r="BF52" i="10"/>
  <c r="BE52" i="10"/>
  <c r="BJ51" i="10"/>
  <c r="BG51" i="10"/>
  <c r="BF51" i="10"/>
  <c r="BE51" i="10"/>
  <c r="BJ50" i="10"/>
  <c r="BG50" i="10"/>
  <c r="BF50" i="10"/>
  <c r="BE50" i="10"/>
  <c r="BJ49" i="10"/>
  <c r="BG49" i="10"/>
  <c r="BF49" i="10"/>
  <c r="BE49" i="10"/>
  <c r="BE58" i="10" s="1"/>
  <c r="BJ48" i="10"/>
  <c r="BF48" i="10"/>
  <c r="BG48" i="10" s="1"/>
  <c r="BE48" i="10"/>
  <c r="BI47" i="10"/>
  <c r="BJ47" i="10" s="1"/>
  <c r="BH47" i="10"/>
  <c r="BF46" i="10"/>
  <c r="BE46" i="10"/>
  <c r="BF45" i="10"/>
  <c r="BE45" i="10"/>
  <c r="BJ44" i="10"/>
  <c r="BF44" i="10"/>
  <c r="BE44" i="10"/>
  <c r="BJ43" i="10"/>
  <c r="BF43" i="10"/>
  <c r="BE43" i="10"/>
  <c r="BG43" i="10" s="1"/>
  <c r="BJ42" i="10"/>
  <c r="BF42" i="10"/>
  <c r="BE42" i="10"/>
  <c r="BJ41" i="10"/>
  <c r="BF41" i="10"/>
  <c r="BE41" i="10"/>
  <c r="BJ40" i="10"/>
  <c r="BF40" i="10"/>
  <c r="BG40" i="10" s="1"/>
  <c r="BE40" i="10"/>
  <c r="BJ39" i="10"/>
  <c r="BF39" i="10"/>
  <c r="BE39" i="10"/>
  <c r="BJ38" i="10"/>
  <c r="BF38" i="10"/>
  <c r="BG38" i="10" s="1"/>
  <c r="BE38" i="10"/>
  <c r="BJ37" i="10"/>
  <c r="BF37" i="10"/>
  <c r="BG37" i="10" s="1"/>
  <c r="BE37" i="10"/>
  <c r="BJ36" i="10"/>
  <c r="BF36" i="10"/>
  <c r="BG36" i="10" s="1"/>
  <c r="BE36" i="10"/>
  <c r="BJ35" i="10"/>
  <c r="BF35" i="10"/>
  <c r="BE35" i="10"/>
  <c r="BJ34" i="10"/>
  <c r="BF34" i="10"/>
  <c r="BG34" i="10" s="1"/>
  <c r="BE34" i="10"/>
  <c r="BJ33" i="10"/>
  <c r="BF33" i="10"/>
  <c r="BG33" i="10" s="1"/>
  <c r="BE33" i="10"/>
  <c r="BJ32" i="10"/>
  <c r="BF32" i="10"/>
  <c r="BG32" i="10" s="1"/>
  <c r="BE32" i="10"/>
  <c r="BJ31" i="10"/>
  <c r="BF31" i="10"/>
  <c r="BE31" i="10"/>
  <c r="BJ30" i="10"/>
  <c r="BF30" i="10"/>
  <c r="BG30" i="10" s="1"/>
  <c r="BE30" i="10"/>
  <c r="BJ29" i="10"/>
  <c r="BF29" i="10"/>
  <c r="BG29" i="10" s="1"/>
  <c r="BE29" i="10"/>
  <c r="BJ28" i="10"/>
  <c r="BF28" i="10"/>
  <c r="BG28" i="10" s="1"/>
  <c r="BE28" i="10"/>
  <c r="BI27" i="10"/>
  <c r="BH27" i="10"/>
  <c r="BF26" i="10"/>
  <c r="BE26" i="10"/>
  <c r="BJ25" i="10"/>
  <c r="BF25" i="10"/>
  <c r="BE25" i="10"/>
  <c r="BJ24" i="10"/>
  <c r="BF24" i="10"/>
  <c r="BE24" i="10"/>
  <c r="BJ23" i="10"/>
  <c r="BF23" i="10"/>
  <c r="BE23" i="10"/>
  <c r="BJ22" i="10"/>
  <c r="BF22" i="10"/>
  <c r="BE22" i="10"/>
  <c r="BJ21" i="10"/>
  <c r="BF21" i="10"/>
  <c r="BE21" i="10"/>
  <c r="BG21" i="10" s="1"/>
  <c r="BJ20" i="10"/>
  <c r="BF20" i="10"/>
  <c r="BE20" i="10"/>
  <c r="BJ19" i="10"/>
  <c r="BF19" i="10"/>
  <c r="BE19" i="10"/>
  <c r="BJ18" i="10"/>
  <c r="BF18" i="10"/>
  <c r="BE18" i="10"/>
  <c r="BJ17" i="10"/>
  <c r="BF17" i="10"/>
  <c r="BG17" i="10" s="1"/>
  <c r="BE17" i="10"/>
  <c r="BJ16" i="10"/>
  <c r="BF16" i="10"/>
  <c r="BG16" i="10" s="1"/>
  <c r="BE16" i="10"/>
  <c r="BJ15" i="10"/>
  <c r="BF15" i="10"/>
  <c r="BG15" i="10" s="1"/>
  <c r="BE15" i="10"/>
  <c r="BJ14" i="10"/>
  <c r="BF14" i="10"/>
  <c r="BG14" i="10" s="1"/>
  <c r="BE14" i="10"/>
  <c r="BJ13" i="10"/>
  <c r="BF13" i="10"/>
  <c r="BG13" i="10" s="1"/>
  <c r="BE13" i="10"/>
  <c r="BJ12" i="10"/>
  <c r="BF12" i="10"/>
  <c r="BE12" i="10"/>
  <c r="BI11" i="10"/>
  <c r="BH11" i="10"/>
  <c r="BJ11" i="10" s="1"/>
  <c r="BF10" i="10"/>
  <c r="BE10" i="10"/>
  <c r="BJ9" i="10"/>
  <c r="BF9" i="10"/>
  <c r="BE9" i="10"/>
  <c r="BF8" i="10"/>
  <c r="BE8" i="10"/>
  <c r="BJ7" i="10"/>
  <c r="BF7" i="10"/>
  <c r="BE7" i="10"/>
  <c r="BJ6" i="10"/>
  <c r="BF6" i="10"/>
  <c r="BE6" i="10"/>
  <c r="BJ5" i="10"/>
  <c r="BF5" i="10"/>
  <c r="BG5" i="10" s="1"/>
  <c r="BE5" i="10"/>
  <c r="BE11" i="10" s="1"/>
  <c r="BI49" i="9"/>
  <c r="BE49" i="9"/>
  <c r="BD49" i="9"/>
  <c r="BF49" i="9" s="1"/>
  <c r="BH48" i="9"/>
  <c r="BG48" i="9"/>
  <c r="BE47" i="9"/>
  <c r="BD47" i="9"/>
  <c r="BE46" i="9"/>
  <c r="BD46" i="9"/>
  <c r="BE45" i="9"/>
  <c r="BD45" i="9"/>
  <c r="BE44" i="9"/>
  <c r="BD44" i="9"/>
  <c r="BE43" i="9"/>
  <c r="BD43" i="9"/>
  <c r="BE42" i="9"/>
  <c r="BD42" i="9"/>
  <c r="BE41" i="9"/>
  <c r="BD41" i="9"/>
  <c r="BI40" i="9"/>
  <c r="BE40" i="9"/>
  <c r="BD40" i="9"/>
  <c r="BI39" i="9"/>
  <c r="BE39" i="9"/>
  <c r="BD39" i="9"/>
  <c r="BI38" i="9"/>
  <c r="BE38" i="9"/>
  <c r="BD38" i="9"/>
  <c r="BI37" i="9"/>
  <c r="BE37" i="9"/>
  <c r="BD37" i="9"/>
  <c r="BI36" i="9"/>
  <c r="BE36" i="9"/>
  <c r="BD36" i="9"/>
  <c r="BI35" i="9"/>
  <c r="BE35" i="9"/>
  <c r="BD35" i="9"/>
  <c r="BI34" i="9"/>
  <c r="BE34" i="9"/>
  <c r="BE48" i="9" s="1"/>
  <c r="BD34" i="9"/>
  <c r="BI33" i="9"/>
  <c r="BE33" i="9"/>
  <c r="BD33" i="9"/>
  <c r="BF33" i="9" s="1"/>
  <c r="BH32" i="9"/>
  <c r="BI32" i="9" s="1"/>
  <c r="BG32" i="9"/>
  <c r="BI31" i="9"/>
  <c r="BE31" i="9"/>
  <c r="BD31" i="9"/>
  <c r="BI30" i="9"/>
  <c r="BE30" i="9"/>
  <c r="BD30" i="9"/>
  <c r="BI29" i="9"/>
  <c r="BE29" i="9"/>
  <c r="BD29" i="9"/>
  <c r="BI28" i="9"/>
  <c r="BE28" i="9"/>
  <c r="BF28" i="9" s="1"/>
  <c r="BD28" i="9"/>
  <c r="BI27" i="9"/>
  <c r="BE27" i="9"/>
  <c r="BF27" i="9" s="1"/>
  <c r="BD27" i="9"/>
  <c r="BI26" i="9"/>
  <c r="BE26" i="9"/>
  <c r="BD26" i="9"/>
  <c r="BI25" i="9"/>
  <c r="BE25" i="9"/>
  <c r="BD25" i="9"/>
  <c r="BI24" i="9"/>
  <c r="BF24" i="9"/>
  <c r="BE24" i="9"/>
  <c r="BD24" i="9"/>
  <c r="BI23" i="9"/>
  <c r="BF23" i="9"/>
  <c r="BE23" i="9"/>
  <c r="BD23" i="9"/>
  <c r="BI22" i="9"/>
  <c r="BF22" i="9"/>
  <c r="BE22" i="9"/>
  <c r="BD22" i="9"/>
  <c r="BI21" i="9"/>
  <c r="BE21" i="9"/>
  <c r="BD21" i="9"/>
  <c r="BI20" i="9"/>
  <c r="BF20" i="9"/>
  <c r="BE20" i="9"/>
  <c r="BD20" i="9"/>
  <c r="BI19" i="9"/>
  <c r="BF19" i="9"/>
  <c r="BE19" i="9"/>
  <c r="BD19" i="9"/>
  <c r="BE18" i="9"/>
  <c r="BD18" i="9"/>
  <c r="BI17" i="9"/>
  <c r="BE17" i="9"/>
  <c r="BD17" i="9"/>
  <c r="BF17" i="9" s="1"/>
  <c r="BI16" i="9"/>
  <c r="BE16" i="9"/>
  <c r="BD16" i="9"/>
  <c r="BI15" i="9"/>
  <c r="BE15" i="9"/>
  <c r="BD15" i="9"/>
  <c r="BI14" i="9"/>
  <c r="BE14" i="9"/>
  <c r="BD14" i="9"/>
  <c r="BF14" i="9" s="1"/>
  <c r="BI13" i="9"/>
  <c r="BE13" i="9"/>
  <c r="BD13" i="9"/>
  <c r="BF13" i="9" s="1"/>
  <c r="BI12" i="9"/>
  <c r="BE12" i="9"/>
  <c r="BD12" i="9"/>
  <c r="BI11" i="9"/>
  <c r="BE11" i="9"/>
  <c r="BD11" i="9"/>
  <c r="BI10" i="9"/>
  <c r="BE10" i="9"/>
  <c r="BD10" i="9"/>
  <c r="BF10" i="9" s="1"/>
  <c r="BI9" i="9"/>
  <c r="BE9" i="9"/>
  <c r="BD9" i="9"/>
  <c r="BF9" i="9" s="1"/>
  <c r="BI8" i="9"/>
  <c r="BE8" i="9"/>
  <c r="BD8" i="9"/>
  <c r="BI7" i="9"/>
  <c r="BE7" i="9"/>
  <c r="BD7" i="9"/>
  <c r="BI6" i="9"/>
  <c r="BE6" i="9"/>
  <c r="BD6" i="9"/>
  <c r="BF6" i="9" s="1"/>
  <c r="BI5" i="9"/>
  <c r="BE5" i="9"/>
  <c r="BD5" i="9"/>
  <c r="BI98" i="8"/>
  <c r="BJ98" i="8" s="1"/>
  <c r="BH98" i="8"/>
  <c r="BJ97" i="8"/>
  <c r="BF97" i="8"/>
  <c r="BE97" i="8"/>
  <c r="BG97" i="8" s="1"/>
  <c r="BI96" i="8"/>
  <c r="BJ96" i="8" s="1"/>
  <c r="BH96" i="8"/>
  <c r="BF95" i="8"/>
  <c r="BE95" i="8"/>
  <c r="BF94" i="8"/>
  <c r="BE94" i="8"/>
  <c r="BF93" i="8"/>
  <c r="BE93" i="8"/>
  <c r="BJ92" i="8"/>
  <c r="BF92" i="8"/>
  <c r="BE92" i="8"/>
  <c r="BJ91" i="8"/>
  <c r="BF91" i="8"/>
  <c r="BE91" i="8"/>
  <c r="BF90" i="8"/>
  <c r="BE90" i="8"/>
  <c r="BF89" i="8"/>
  <c r="BE89" i="8"/>
  <c r="BJ88" i="8"/>
  <c r="BF88" i="8"/>
  <c r="BE88" i="8"/>
  <c r="BJ87" i="8"/>
  <c r="BF87" i="8"/>
  <c r="BE87" i="8"/>
  <c r="BJ86" i="8"/>
  <c r="BF86" i="8"/>
  <c r="BG86" i="8" s="1"/>
  <c r="BE86" i="8"/>
  <c r="BJ85" i="8"/>
  <c r="BF85" i="8"/>
  <c r="BE85" i="8"/>
  <c r="BJ84" i="8"/>
  <c r="BG84" i="8"/>
  <c r="BF84" i="8"/>
  <c r="BE84" i="8"/>
  <c r="BJ83" i="8"/>
  <c r="BG83" i="8"/>
  <c r="BF83" i="8"/>
  <c r="BE83" i="8"/>
  <c r="BJ82" i="8"/>
  <c r="BG82" i="8"/>
  <c r="BF82" i="8"/>
  <c r="BE82" i="8"/>
  <c r="BJ81" i="8"/>
  <c r="BG81" i="8"/>
  <c r="BF81" i="8"/>
  <c r="BE81" i="8"/>
  <c r="BJ80" i="8"/>
  <c r="BF80" i="8"/>
  <c r="BE80" i="8"/>
  <c r="BJ79" i="8"/>
  <c r="BF79" i="8"/>
  <c r="BG79" i="8" s="1"/>
  <c r="BE79" i="8"/>
  <c r="BJ78" i="8"/>
  <c r="BF78" i="8"/>
  <c r="BG78" i="8" s="1"/>
  <c r="BE78" i="8"/>
  <c r="BJ77" i="8"/>
  <c r="BF77" i="8"/>
  <c r="BG77" i="8" s="1"/>
  <c r="BE77" i="8"/>
  <c r="BJ76" i="8"/>
  <c r="BF76" i="8"/>
  <c r="BG76" i="8" s="1"/>
  <c r="BE76" i="8"/>
  <c r="BJ75" i="8"/>
  <c r="BF75" i="8"/>
  <c r="BG75" i="8" s="1"/>
  <c r="BE75" i="8"/>
  <c r="BJ74" i="8"/>
  <c r="BF74" i="8"/>
  <c r="BG74" i="8" s="1"/>
  <c r="BE74" i="8"/>
  <c r="BJ73" i="8"/>
  <c r="BF73" i="8"/>
  <c r="BG73" i="8" s="1"/>
  <c r="BE73" i="8"/>
  <c r="BJ72" i="8"/>
  <c r="BF72" i="8"/>
  <c r="BF96" i="8" s="1"/>
  <c r="BE72" i="8"/>
  <c r="BJ71" i="8"/>
  <c r="BF71" i="8"/>
  <c r="BF98" i="8" s="1"/>
  <c r="BE71" i="8"/>
  <c r="BI70" i="8"/>
  <c r="BJ70" i="8" s="1"/>
  <c r="BH70" i="8"/>
  <c r="BF69" i="8"/>
  <c r="BE69" i="8"/>
  <c r="BF68" i="8"/>
  <c r="BE68" i="8"/>
  <c r="BF67" i="8"/>
  <c r="BE67" i="8"/>
  <c r="BJ66" i="8"/>
  <c r="BF66" i="8"/>
  <c r="BE66" i="8"/>
  <c r="BJ65" i="8"/>
  <c r="BF65" i="8"/>
  <c r="BE65" i="8"/>
  <c r="BJ64" i="8"/>
  <c r="BF64" i="8"/>
  <c r="BE64" i="8"/>
  <c r="BJ63" i="8"/>
  <c r="BF63" i="8"/>
  <c r="BE63" i="8"/>
  <c r="BJ62" i="8"/>
  <c r="BF62" i="8"/>
  <c r="BE62" i="8"/>
  <c r="BJ61" i="8"/>
  <c r="BF61" i="8"/>
  <c r="BG61" i="8" s="1"/>
  <c r="BE61" i="8"/>
  <c r="BJ60" i="8"/>
  <c r="BF60" i="8"/>
  <c r="BE60" i="8"/>
  <c r="BJ59" i="8"/>
  <c r="BF59" i="8"/>
  <c r="BE59" i="8"/>
  <c r="BJ58" i="8"/>
  <c r="BF58" i="8"/>
  <c r="BE58" i="8"/>
  <c r="BJ57" i="8"/>
  <c r="BF57" i="8"/>
  <c r="BE57" i="8"/>
  <c r="BJ56" i="8"/>
  <c r="BF56" i="8"/>
  <c r="BE56" i="8"/>
  <c r="BJ55" i="8"/>
  <c r="BF55" i="8"/>
  <c r="BG55" i="8" s="1"/>
  <c r="BE55" i="8"/>
  <c r="BJ54" i="8"/>
  <c r="BF54" i="8"/>
  <c r="BE54" i="8"/>
  <c r="BJ53" i="8"/>
  <c r="BF53" i="8"/>
  <c r="BG53" i="8" s="1"/>
  <c r="BE53" i="8"/>
  <c r="BJ52" i="8"/>
  <c r="BF52" i="8"/>
  <c r="BE52" i="8"/>
  <c r="BJ51" i="8"/>
  <c r="BF51" i="8"/>
  <c r="BG51" i="8" s="1"/>
  <c r="BE51" i="8"/>
  <c r="BJ50" i="8"/>
  <c r="BF50" i="8"/>
  <c r="BE50" i="8"/>
  <c r="BI49" i="8"/>
  <c r="BH49" i="8"/>
  <c r="BJ49" i="8" s="1"/>
  <c r="BJ48" i="8"/>
  <c r="BF48" i="8"/>
  <c r="BF49" i="8" s="1"/>
  <c r="BE48" i="8"/>
  <c r="BI47" i="8"/>
  <c r="BH47" i="8"/>
  <c r="BF46" i="8"/>
  <c r="BE46" i="8"/>
  <c r="BF45" i="8"/>
  <c r="BE45" i="8"/>
  <c r="BF44" i="8"/>
  <c r="BE44" i="8"/>
  <c r="BF43" i="8"/>
  <c r="BE43" i="8"/>
  <c r="BF42" i="8"/>
  <c r="BE42" i="8"/>
  <c r="BF41" i="8"/>
  <c r="BE41" i="8"/>
  <c r="BJ40" i="8"/>
  <c r="BF40" i="8"/>
  <c r="BE40" i="8"/>
  <c r="BJ39" i="8"/>
  <c r="BF39" i="8"/>
  <c r="BE39" i="8"/>
  <c r="BF38" i="8"/>
  <c r="BE38" i="8"/>
  <c r="BJ37" i="8"/>
  <c r="BF37" i="8"/>
  <c r="BE37" i="8"/>
  <c r="BG37" i="8" s="1"/>
  <c r="BJ36" i="8"/>
  <c r="BF36" i="8"/>
  <c r="BE36" i="8"/>
  <c r="BJ35" i="8"/>
  <c r="BF35" i="8"/>
  <c r="BE35" i="8"/>
  <c r="BG35" i="8" s="1"/>
  <c r="BJ34" i="8"/>
  <c r="BF34" i="8"/>
  <c r="BE34" i="8"/>
  <c r="BJ33" i="8"/>
  <c r="BF33" i="8"/>
  <c r="BE33" i="8"/>
  <c r="BG33" i="8" s="1"/>
  <c r="BJ32" i="8"/>
  <c r="BF32" i="8"/>
  <c r="BE32" i="8"/>
  <c r="BJ31" i="8"/>
  <c r="BF31" i="8"/>
  <c r="BE31" i="8"/>
  <c r="BG31" i="8" s="1"/>
  <c r="BJ30" i="8"/>
  <c r="BF30" i="8"/>
  <c r="BE30" i="8"/>
  <c r="BJ29" i="8"/>
  <c r="BF29" i="8"/>
  <c r="BE29" i="8"/>
  <c r="BE49" i="8" s="1"/>
  <c r="BI28" i="8"/>
  <c r="BH28" i="8"/>
  <c r="BF27" i="8"/>
  <c r="BE27" i="8"/>
  <c r="BF26" i="8"/>
  <c r="BE26" i="8"/>
  <c r="BF25" i="8"/>
  <c r="BE25" i="8"/>
  <c r="BF24" i="8"/>
  <c r="BE24" i="8"/>
  <c r="BF23" i="8"/>
  <c r="BE23" i="8"/>
  <c r="BF22" i="8"/>
  <c r="BE22" i="8"/>
  <c r="BF21" i="8"/>
  <c r="BE21" i="8"/>
  <c r="BJ20" i="8"/>
  <c r="BF20" i="8"/>
  <c r="BE20" i="8"/>
  <c r="BJ19" i="8"/>
  <c r="BF19" i="8"/>
  <c r="BE19" i="8"/>
  <c r="BG19" i="8" s="1"/>
  <c r="BJ18" i="8"/>
  <c r="BF18" i="8"/>
  <c r="BE18" i="8"/>
  <c r="BJ17" i="8"/>
  <c r="BF17" i="8"/>
  <c r="BE17" i="8"/>
  <c r="BJ16" i="8"/>
  <c r="BF16" i="8"/>
  <c r="BE16" i="8"/>
  <c r="BJ15" i="8"/>
  <c r="BF15" i="8"/>
  <c r="BE15" i="8"/>
  <c r="BJ14" i="8"/>
  <c r="BF14" i="8"/>
  <c r="BE14" i="8"/>
  <c r="BJ13" i="8"/>
  <c r="BF13" i="8"/>
  <c r="BE13" i="8"/>
  <c r="BJ12" i="8"/>
  <c r="BF12" i="8"/>
  <c r="BE12" i="8"/>
  <c r="BJ11" i="8"/>
  <c r="BF11" i="8"/>
  <c r="BE11" i="8"/>
  <c r="BJ10" i="8"/>
  <c r="BF10" i="8"/>
  <c r="BE10" i="8"/>
  <c r="BJ9" i="8"/>
  <c r="BF9" i="8"/>
  <c r="BE9" i="8"/>
  <c r="BJ8" i="8"/>
  <c r="BF8" i="8"/>
  <c r="BE8" i="8"/>
  <c r="BJ7" i="8"/>
  <c r="BF7" i="8"/>
  <c r="BE7" i="8"/>
  <c r="BJ6" i="8"/>
  <c r="BF6" i="8"/>
  <c r="BE6" i="8"/>
  <c r="BI266" i="7"/>
  <c r="BE266" i="7"/>
  <c r="BD266" i="7"/>
  <c r="BF266" i="7" s="1"/>
  <c r="BH265" i="7"/>
  <c r="BG265" i="7"/>
  <c r="BE264" i="7"/>
  <c r="BD264" i="7"/>
  <c r="BI263" i="7"/>
  <c r="BE263" i="7"/>
  <c r="BD263" i="7"/>
  <c r="BE262" i="7"/>
  <c r="BD262" i="7"/>
  <c r="BI261" i="7"/>
  <c r="BE261" i="7"/>
  <c r="BD261" i="7"/>
  <c r="BI260" i="7"/>
  <c r="BE260" i="7"/>
  <c r="BF260" i="7" s="1"/>
  <c r="BD260" i="7"/>
  <c r="BI259" i="7"/>
  <c r="BE259" i="7"/>
  <c r="BD259" i="7"/>
  <c r="BI258" i="7"/>
  <c r="BE258" i="7"/>
  <c r="BD258" i="7"/>
  <c r="BI257" i="7"/>
  <c r="BE257" i="7"/>
  <c r="BD257" i="7"/>
  <c r="BF257" i="7" s="1"/>
  <c r="BI256" i="7"/>
  <c r="BE256" i="7"/>
  <c r="BD256" i="7"/>
  <c r="BI255" i="7"/>
  <c r="BF255" i="7"/>
  <c r="BE255" i="7"/>
  <c r="BD255" i="7"/>
  <c r="BI254" i="7"/>
  <c r="BF254" i="7"/>
  <c r="BE254" i="7"/>
  <c r="BD254" i="7"/>
  <c r="BI253" i="7"/>
  <c r="BF253" i="7"/>
  <c r="BE253" i="7"/>
  <c r="BD253" i="7"/>
  <c r="BI252" i="7"/>
  <c r="BF252" i="7"/>
  <c r="BE252" i="7"/>
  <c r="BD252" i="7"/>
  <c r="BI251" i="7"/>
  <c r="BF251" i="7"/>
  <c r="BE251" i="7"/>
  <c r="BD251" i="7"/>
  <c r="BI250" i="7"/>
  <c r="BF250" i="7"/>
  <c r="BE250" i="7"/>
  <c r="BD250" i="7"/>
  <c r="BH249" i="7"/>
  <c r="BG249" i="7"/>
  <c r="BI248" i="7"/>
  <c r="BE248" i="7"/>
  <c r="BD248" i="7"/>
  <c r="BF248" i="7" s="1"/>
  <c r="BI247" i="7"/>
  <c r="BE247" i="7"/>
  <c r="BD247" i="7"/>
  <c r="BI246" i="7"/>
  <c r="BE246" i="7"/>
  <c r="BF246" i="7" s="1"/>
  <c r="BD246" i="7"/>
  <c r="BI245" i="7"/>
  <c r="BE245" i="7"/>
  <c r="BD245" i="7"/>
  <c r="BI244" i="7"/>
  <c r="BE244" i="7"/>
  <c r="BD244" i="7"/>
  <c r="BI243" i="7"/>
  <c r="BE243" i="7"/>
  <c r="BF243" i="7" s="1"/>
  <c r="BD243" i="7"/>
  <c r="BI242" i="7"/>
  <c r="BE242" i="7"/>
  <c r="BF242" i="7" s="1"/>
  <c r="BD242" i="7"/>
  <c r="BI241" i="7"/>
  <c r="BE241" i="7"/>
  <c r="BD241" i="7"/>
  <c r="BI240" i="7"/>
  <c r="BE240" i="7"/>
  <c r="BD240" i="7"/>
  <c r="BI239" i="7"/>
  <c r="BE239" i="7"/>
  <c r="BF239" i="7" s="1"/>
  <c r="BD239" i="7"/>
  <c r="BI238" i="7"/>
  <c r="BE238" i="7"/>
  <c r="BF238" i="7" s="1"/>
  <c r="BD238" i="7"/>
  <c r="BI237" i="7"/>
  <c r="BE237" i="7"/>
  <c r="BD237" i="7"/>
  <c r="BI236" i="7"/>
  <c r="BE236" i="7"/>
  <c r="BD236" i="7"/>
  <c r="BI235" i="7"/>
  <c r="BE235" i="7"/>
  <c r="BF235" i="7" s="1"/>
  <c r="BD235" i="7"/>
  <c r="BI234" i="7"/>
  <c r="BE234" i="7"/>
  <c r="BF234" i="7" s="1"/>
  <c r="BD234" i="7"/>
  <c r="BI233" i="7"/>
  <c r="BE233" i="7"/>
  <c r="BD233" i="7"/>
  <c r="BI232" i="7"/>
  <c r="BE232" i="7"/>
  <c r="BD232" i="7"/>
  <c r="BI231" i="7"/>
  <c r="BE231" i="7"/>
  <c r="BF231" i="7" s="1"/>
  <c r="BD231" i="7"/>
  <c r="BI230" i="7"/>
  <c r="BE230" i="7"/>
  <c r="BF230" i="7" s="1"/>
  <c r="BD230" i="7"/>
  <c r="BI229" i="7"/>
  <c r="BE229" i="7"/>
  <c r="BD229" i="7"/>
  <c r="BI228" i="7"/>
  <c r="BE228" i="7"/>
  <c r="BD228" i="7"/>
  <c r="BI227" i="7"/>
  <c r="BE227" i="7"/>
  <c r="BF227" i="7" s="1"/>
  <c r="BD227" i="7"/>
  <c r="BI226" i="7"/>
  <c r="BE226" i="7"/>
  <c r="BF226" i="7" s="1"/>
  <c r="BD226" i="7"/>
  <c r="BI225" i="7"/>
  <c r="BE225" i="7"/>
  <c r="BD225" i="7"/>
  <c r="BI224" i="7"/>
  <c r="BE224" i="7"/>
  <c r="BD224" i="7"/>
  <c r="BI217" i="7"/>
  <c r="BE217" i="7"/>
  <c r="BF217" i="7" s="1"/>
  <c r="BD217" i="7"/>
  <c r="BH216" i="7"/>
  <c r="BI216" i="7" s="1"/>
  <c r="BG216" i="7"/>
  <c r="BI215" i="7"/>
  <c r="BE215" i="7"/>
  <c r="BD215" i="7"/>
  <c r="BI214" i="7"/>
  <c r="BE214" i="7"/>
  <c r="BF214" i="7" s="1"/>
  <c r="BD214" i="7"/>
  <c r="BI213" i="7"/>
  <c r="BE213" i="7"/>
  <c r="BF213" i="7" s="1"/>
  <c r="BD213" i="7"/>
  <c r="BI212" i="7"/>
  <c r="BE212" i="7"/>
  <c r="BD212" i="7"/>
  <c r="BI211" i="7"/>
  <c r="BE211" i="7"/>
  <c r="BD211" i="7"/>
  <c r="BI210" i="7"/>
  <c r="BE210" i="7"/>
  <c r="BF210" i="7" s="1"/>
  <c r="BD210" i="7"/>
  <c r="BI209" i="7"/>
  <c r="BE209" i="7"/>
  <c r="BF209" i="7" s="1"/>
  <c r="BD209" i="7"/>
  <c r="BI208" i="7"/>
  <c r="BE208" i="7"/>
  <c r="BF208" i="7" s="1"/>
  <c r="BD208" i="7"/>
  <c r="BI207" i="7"/>
  <c r="BE207" i="7"/>
  <c r="BD207" i="7"/>
  <c r="BI206" i="7"/>
  <c r="BE206" i="7"/>
  <c r="BF206" i="7" s="1"/>
  <c r="BD206" i="7"/>
  <c r="BI205" i="7"/>
  <c r="BE205" i="7"/>
  <c r="BF205" i="7" s="1"/>
  <c r="BD205" i="7"/>
  <c r="BI204" i="7"/>
  <c r="BE204" i="7"/>
  <c r="BF204" i="7" s="1"/>
  <c r="BD204" i="7"/>
  <c r="BI203" i="7"/>
  <c r="BE203" i="7"/>
  <c r="BD203" i="7"/>
  <c r="BD216" i="7" s="1"/>
  <c r="BI202" i="7"/>
  <c r="BE202" i="7"/>
  <c r="BD202" i="7"/>
  <c r="BH201" i="7"/>
  <c r="BG201" i="7"/>
  <c r="BE200" i="7"/>
  <c r="BD200" i="7"/>
  <c r="BI199" i="7"/>
  <c r="BE199" i="7"/>
  <c r="BD199" i="7"/>
  <c r="BI198" i="7"/>
  <c r="BE198" i="7"/>
  <c r="BD198" i="7"/>
  <c r="BI197" i="7"/>
  <c r="BE197" i="7"/>
  <c r="BD197" i="7"/>
  <c r="BI196" i="7"/>
  <c r="BE196" i="7"/>
  <c r="BD196" i="7"/>
  <c r="BI195" i="7"/>
  <c r="BE195" i="7"/>
  <c r="BF195" i="7" s="1"/>
  <c r="BD195" i="7"/>
  <c r="BI194" i="7"/>
  <c r="BE194" i="7"/>
  <c r="BF194" i="7" s="1"/>
  <c r="BD194" i="7"/>
  <c r="BI193" i="7"/>
  <c r="BE193" i="7"/>
  <c r="BD193" i="7"/>
  <c r="BI192" i="7"/>
  <c r="BE192" i="7"/>
  <c r="BF192" i="7" s="1"/>
  <c r="BD192" i="7"/>
  <c r="BI191" i="7"/>
  <c r="BE191" i="7"/>
  <c r="BF191" i="7" s="1"/>
  <c r="BD191" i="7"/>
  <c r="BI190" i="7"/>
  <c r="BE190" i="7"/>
  <c r="BF190" i="7" s="1"/>
  <c r="BD190" i="7"/>
  <c r="BI189" i="7"/>
  <c r="BE189" i="7"/>
  <c r="BD189" i="7"/>
  <c r="BI188" i="7"/>
  <c r="BE188" i="7"/>
  <c r="BD188" i="7"/>
  <c r="BF188" i="7" s="1"/>
  <c r="BI187" i="7"/>
  <c r="BE187" i="7"/>
  <c r="BD187" i="7"/>
  <c r="BF187" i="7" s="1"/>
  <c r="BI186" i="7"/>
  <c r="BE186" i="7"/>
  <c r="BD186" i="7"/>
  <c r="BF186" i="7" s="1"/>
  <c r="BI185" i="7"/>
  <c r="BE185" i="7"/>
  <c r="BD185" i="7"/>
  <c r="BF185" i="7" s="1"/>
  <c r="BI184" i="7"/>
  <c r="BE184" i="7"/>
  <c r="BD184" i="7"/>
  <c r="BF184" i="7" s="1"/>
  <c r="BI183" i="7"/>
  <c r="BE183" i="7"/>
  <c r="BD183" i="7"/>
  <c r="BF183" i="7" s="1"/>
  <c r="BI182" i="7"/>
  <c r="BE182" i="7"/>
  <c r="BD182" i="7"/>
  <c r="BF182" i="7" s="1"/>
  <c r="BI181" i="7"/>
  <c r="BE181" i="7"/>
  <c r="BD181" i="7"/>
  <c r="BD201" i="7" s="1"/>
  <c r="BI174" i="7"/>
  <c r="BE174" i="7"/>
  <c r="BF174" i="7" s="1"/>
  <c r="BD174" i="7"/>
  <c r="BH173" i="7"/>
  <c r="BI173" i="7" s="1"/>
  <c r="BG173" i="7"/>
  <c r="BE172" i="7"/>
  <c r="BD172" i="7"/>
  <c r="BE171" i="7"/>
  <c r="BD171" i="7"/>
  <c r="BI170" i="7"/>
  <c r="BE170" i="7"/>
  <c r="BD170" i="7"/>
  <c r="BI169" i="7"/>
  <c r="BE169" i="7"/>
  <c r="BD169" i="7"/>
  <c r="BI168" i="7"/>
  <c r="BE168" i="7"/>
  <c r="BD168" i="7"/>
  <c r="BI167" i="7"/>
  <c r="BE167" i="7"/>
  <c r="BF167" i="7" s="1"/>
  <c r="BD167" i="7"/>
  <c r="BI166" i="7"/>
  <c r="BE166" i="7"/>
  <c r="BF166" i="7" s="1"/>
  <c r="BD166" i="7"/>
  <c r="BI165" i="7"/>
  <c r="BE165" i="7"/>
  <c r="BD165" i="7"/>
  <c r="BI164" i="7"/>
  <c r="BE164" i="7"/>
  <c r="BD164" i="7"/>
  <c r="BF164" i="7" s="1"/>
  <c r="BI163" i="7"/>
  <c r="BE163" i="7"/>
  <c r="BD163" i="7"/>
  <c r="BI162" i="7"/>
  <c r="BE162" i="7"/>
  <c r="BF162" i="7" s="1"/>
  <c r="BD162" i="7"/>
  <c r="BI161" i="7"/>
  <c r="BE161" i="7"/>
  <c r="BF161" i="7" s="1"/>
  <c r="BD161" i="7"/>
  <c r="BI160" i="7"/>
  <c r="BE160" i="7"/>
  <c r="BD160" i="7"/>
  <c r="BI159" i="7"/>
  <c r="BE159" i="7"/>
  <c r="BF159" i="7" s="1"/>
  <c r="BD159" i="7"/>
  <c r="BI158" i="7"/>
  <c r="BE158" i="7"/>
  <c r="BF158" i="7" s="1"/>
  <c r="BD158" i="7"/>
  <c r="BI157" i="7"/>
  <c r="BE157" i="7"/>
  <c r="BE173" i="7" s="1"/>
  <c r="BD157" i="7"/>
  <c r="BI156" i="7"/>
  <c r="BE156" i="7"/>
  <c r="BD156" i="7"/>
  <c r="BH155" i="7"/>
  <c r="BG155" i="7"/>
  <c r="BI154" i="7"/>
  <c r="BE154" i="7"/>
  <c r="BF154" i="7" s="1"/>
  <c r="BD154" i="7"/>
  <c r="BI153" i="7"/>
  <c r="BE153" i="7"/>
  <c r="BD153" i="7"/>
  <c r="BI152" i="7"/>
  <c r="BE152" i="7"/>
  <c r="BF152" i="7" s="1"/>
  <c r="BD152" i="7"/>
  <c r="BI151" i="7"/>
  <c r="BE151" i="7"/>
  <c r="BF151" i="7" s="1"/>
  <c r="BD151" i="7"/>
  <c r="BI150" i="7"/>
  <c r="BE150" i="7"/>
  <c r="BF150" i="7" s="1"/>
  <c r="BD150" i="7"/>
  <c r="BI149" i="7"/>
  <c r="BE149" i="7"/>
  <c r="BD149" i="7"/>
  <c r="BI148" i="7"/>
  <c r="BE148" i="7"/>
  <c r="BF148" i="7" s="1"/>
  <c r="BD148" i="7"/>
  <c r="BI147" i="7"/>
  <c r="BE147" i="7"/>
  <c r="BF147" i="7" s="1"/>
  <c r="BD147" i="7"/>
  <c r="BI146" i="7"/>
  <c r="BE146" i="7"/>
  <c r="BF146" i="7" s="1"/>
  <c r="BD146" i="7"/>
  <c r="BI145" i="7"/>
  <c r="BE145" i="7"/>
  <c r="BD145" i="7"/>
  <c r="BI144" i="7"/>
  <c r="BE144" i="7"/>
  <c r="BF144" i="7" s="1"/>
  <c r="BD144" i="7"/>
  <c r="BI143" i="7"/>
  <c r="BE143" i="7"/>
  <c r="BF143" i="7" s="1"/>
  <c r="BD143" i="7"/>
  <c r="BI142" i="7"/>
  <c r="BE142" i="7"/>
  <c r="BF142" i="7" s="1"/>
  <c r="BD142" i="7"/>
  <c r="BI141" i="7"/>
  <c r="BE141" i="7"/>
  <c r="BD141" i="7"/>
  <c r="BI140" i="7"/>
  <c r="BE140" i="7"/>
  <c r="BF140" i="7" s="1"/>
  <c r="BD140" i="7"/>
  <c r="BI139" i="7"/>
  <c r="BE139" i="7"/>
  <c r="BF139" i="7" s="1"/>
  <c r="BD139" i="7"/>
  <c r="BI138" i="7"/>
  <c r="BE138" i="7"/>
  <c r="BF138" i="7" s="1"/>
  <c r="BD138" i="7"/>
  <c r="BI131" i="7"/>
  <c r="BE131" i="7"/>
  <c r="BD131" i="7"/>
  <c r="BI130" i="7"/>
  <c r="BH130" i="7"/>
  <c r="BG130" i="7"/>
  <c r="BE129" i="7"/>
  <c r="BD129" i="7"/>
  <c r="BE128" i="7"/>
  <c r="BD128" i="7"/>
  <c r="BI127" i="7"/>
  <c r="BE127" i="7"/>
  <c r="BD127" i="7"/>
  <c r="BI126" i="7"/>
  <c r="BE126" i="7"/>
  <c r="BD126" i="7"/>
  <c r="BI125" i="7"/>
  <c r="BE125" i="7"/>
  <c r="BD125" i="7"/>
  <c r="BI124" i="7"/>
  <c r="BE124" i="7"/>
  <c r="BD124" i="7"/>
  <c r="BI123" i="7"/>
  <c r="BF123" i="7"/>
  <c r="BE123" i="7"/>
  <c r="BD123" i="7"/>
  <c r="BI122" i="7"/>
  <c r="BF122" i="7"/>
  <c r="BE122" i="7"/>
  <c r="BD122" i="7"/>
  <c r="BI121" i="7"/>
  <c r="BF121" i="7"/>
  <c r="BE121" i="7"/>
  <c r="BD121" i="7"/>
  <c r="BI120" i="7"/>
  <c r="BF120" i="7"/>
  <c r="BE120" i="7"/>
  <c r="BD120" i="7"/>
  <c r="BI119" i="7"/>
  <c r="BE119" i="7"/>
  <c r="BD119" i="7"/>
  <c r="BI118" i="7"/>
  <c r="BF118" i="7"/>
  <c r="BE118" i="7"/>
  <c r="BD118" i="7"/>
  <c r="BI117" i="7"/>
  <c r="BF117" i="7"/>
  <c r="BE117" i="7"/>
  <c r="BD117" i="7"/>
  <c r="BI116" i="7"/>
  <c r="BF116" i="7"/>
  <c r="BE116" i="7"/>
  <c r="BD116" i="7"/>
  <c r="BI115" i="7"/>
  <c r="BF115" i="7"/>
  <c r="BE115" i="7"/>
  <c r="BD115" i="7"/>
  <c r="BH114" i="7"/>
  <c r="BG114" i="7"/>
  <c r="BE113" i="7"/>
  <c r="BD113" i="7"/>
  <c r="BE112" i="7"/>
  <c r="BD112" i="7"/>
  <c r="BI111" i="7"/>
  <c r="BE111" i="7"/>
  <c r="BD111" i="7"/>
  <c r="BF111" i="7" s="1"/>
  <c r="BI110" i="7"/>
  <c r="BE110" i="7"/>
  <c r="BD110" i="7"/>
  <c r="BI109" i="7"/>
  <c r="BE109" i="7"/>
  <c r="BD109" i="7"/>
  <c r="BI108" i="7"/>
  <c r="BE108" i="7"/>
  <c r="BD108" i="7"/>
  <c r="BI107" i="7"/>
  <c r="BE107" i="7"/>
  <c r="BD107" i="7"/>
  <c r="BI106" i="7"/>
  <c r="BE106" i="7"/>
  <c r="BF106" i="7" s="1"/>
  <c r="BD106" i="7"/>
  <c r="BI105" i="7"/>
  <c r="BE105" i="7"/>
  <c r="BF105" i="7" s="1"/>
  <c r="BD105" i="7"/>
  <c r="BI104" i="7"/>
  <c r="BE104" i="7"/>
  <c r="BD104" i="7"/>
  <c r="BI103" i="7"/>
  <c r="BE103" i="7"/>
  <c r="BD103" i="7"/>
  <c r="BI102" i="7"/>
  <c r="BF102" i="7"/>
  <c r="BE102" i="7"/>
  <c r="BD102" i="7"/>
  <c r="BI101" i="7"/>
  <c r="BF101" i="7"/>
  <c r="BE101" i="7"/>
  <c r="BD101" i="7"/>
  <c r="BI100" i="7"/>
  <c r="BF100" i="7"/>
  <c r="BE100" i="7"/>
  <c r="BD100" i="7"/>
  <c r="BI99" i="7"/>
  <c r="BF99" i="7"/>
  <c r="BE99" i="7"/>
  <c r="BD99" i="7"/>
  <c r="BI98" i="7"/>
  <c r="BF98" i="7"/>
  <c r="BE98" i="7"/>
  <c r="BD98" i="7"/>
  <c r="BI97" i="7"/>
  <c r="BF97" i="7"/>
  <c r="BE97" i="7"/>
  <c r="BD97" i="7"/>
  <c r="BI96" i="7"/>
  <c r="BF96" i="7"/>
  <c r="BE96" i="7"/>
  <c r="BD96" i="7"/>
  <c r="BI95" i="7"/>
  <c r="BF95" i="7"/>
  <c r="BE95" i="7"/>
  <c r="BD95" i="7"/>
  <c r="BI94" i="7"/>
  <c r="BF94" i="7"/>
  <c r="BE94" i="7"/>
  <c r="BD94" i="7"/>
  <c r="BI93" i="7"/>
  <c r="BF93" i="7"/>
  <c r="BE93" i="7"/>
  <c r="BD93" i="7"/>
  <c r="BI92" i="7"/>
  <c r="BF92" i="7"/>
  <c r="BE92" i="7"/>
  <c r="BD92" i="7"/>
  <c r="BI91" i="7"/>
  <c r="BF91" i="7"/>
  <c r="BE91" i="7"/>
  <c r="BD91" i="7"/>
  <c r="BI90" i="7"/>
  <c r="BF90" i="7"/>
  <c r="BE90" i="7"/>
  <c r="BD90" i="7"/>
  <c r="BI89" i="7"/>
  <c r="BF89" i="7"/>
  <c r="BE89" i="7"/>
  <c r="BD89" i="7"/>
  <c r="BI82" i="7"/>
  <c r="BF82" i="7"/>
  <c r="BE82" i="7"/>
  <c r="BD82" i="7"/>
  <c r="BH81" i="7"/>
  <c r="BI81" i="7" s="1"/>
  <c r="BG81" i="7"/>
  <c r="BE80" i="7"/>
  <c r="BD80" i="7"/>
  <c r="BE79" i="7"/>
  <c r="BD79" i="7"/>
  <c r="BE78" i="7"/>
  <c r="BD78" i="7"/>
  <c r="BI77" i="7"/>
  <c r="BF77" i="7"/>
  <c r="BE77" i="7"/>
  <c r="BD77" i="7"/>
  <c r="BI76" i="7"/>
  <c r="BF76" i="7"/>
  <c r="BE76" i="7"/>
  <c r="BD76" i="7"/>
  <c r="BI75" i="7"/>
  <c r="BE75" i="7"/>
  <c r="BD75" i="7"/>
  <c r="BI74" i="7"/>
  <c r="BF74" i="7"/>
  <c r="BE74" i="7"/>
  <c r="BD74" i="7"/>
  <c r="BI73" i="7"/>
  <c r="BF73" i="7"/>
  <c r="BE73" i="7"/>
  <c r="BD73" i="7"/>
  <c r="BI72" i="7"/>
  <c r="BF72" i="7"/>
  <c r="BE72" i="7"/>
  <c r="BD72" i="7"/>
  <c r="BI71" i="7"/>
  <c r="BF71" i="7"/>
  <c r="BE71" i="7"/>
  <c r="BD71" i="7"/>
  <c r="BI70" i="7"/>
  <c r="BF70" i="7"/>
  <c r="BE70" i="7"/>
  <c r="BD70" i="7"/>
  <c r="BI69" i="7"/>
  <c r="BE69" i="7"/>
  <c r="BD69" i="7"/>
  <c r="BI68" i="7"/>
  <c r="BF68" i="7"/>
  <c r="BE68" i="7"/>
  <c r="BD68" i="7"/>
  <c r="BI67" i="7"/>
  <c r="BF67" i="7"/>
  <c r="BE67" i="7"/>
  <c r="BD67" i="7"/>
  <c r="BI66" i="7"/>
  <c r="BE66" i="7"/>
  <c r="BD66" i="7"/>
  <c r="BI65" i="7"/>
  <c r="BE65" i="7"/>
  <c r="BF65" i="7" s="1"/>
  <c r="BD65" i="7"/>
  <c r="BI64" i="7"/>
  <c r="BE64" i="7"/>
  <c r="BF64" i="7" s="1"/>
  <c r="BD64" i="7"/>
  <c r="BI63" i="7"/>
  <c r="BE63" i="7"/>
  <c r="BF63" i="7" s="1"/>
  <c r="BD63" i="7"/>
  <c r="BH62" i="7"/>
  <c r="BI62" i="7" s="1"/>
  <c r="BG62" i="7"/>
  <c r="BE61" i="7"/>
  <c r="BD61" i="7"/>
  <c r="BE60" i="7"/>
  <c r="BD60" i="7"/>
  <c r="BI59" i="7"/>
  <c r="BE59" i="7"/>
  <c r="BD59" i="7"/>
  <c r="BI58" i="7"/>
  <c r="BE58" i="7"/>
  <c r="BD58" i="7"/>
  <c r="BI57" i="7"/>
  <c r="BE57" i="7"/>
  <c r="BD57" i="7"/>
  <c r="BF57" i="7" s="1"/>
  <c r="BI56" i="7"/>
  <c r="BE56" i="7"/>
  <c r="BD56" i="7"/>
  <c r="BI55" i="7"/>
  <c r="BE55" i="7"/>
  <c r="BD55" i="7"/>
  <c r="BI54" i="7"/>
  <c r="BE54" i="7"/>
  <c r="BD54" i="7"/>
  <c r="BI53" i="7"/>
  <c r="BE53" i="7"/>
  <c r="BD53" i="7"/>
  <c r="BF53" i="7" s="1"/>
  <c r="BI52" i="7"/>
  <c r="BE52" i="7"/>
  <c r="BD52" i="7"/>
  <c r="BI51" i="7"/>
  <c r="BE51" i="7"/>
  <c r="BD51" i="7"/>
  <c r="BI50" i="7"/>
  <c r="BE50" i="7"/>
  <c r="BD50" i="7"/>
  <c r="BI49" i="7"/>
  <c r="BE49" i="7"/>
  <c r="BD49" i="7"/>
  <c r="BF49" i="7" s="1"/>
  <c r="BI48" i="7"/>
  <c r="BE48" i="7"/>
  <c r="BD48" i="7"/>
  <c r="BI47" i="7"/>
  <c r="BE47" i="7"/>
  <c r="BD47" i="7"/>
  <c r="BI46" i="7"/>
  <c r="BE46" i="7"/>
  <c r="BD46" i="7"/>
  <c r="BI45" i="7"/>
  <c r="BE45" i="7"/>
  <c r="BD45" i="7"/>
  <c r="BF45" i="7" s="1"/>
  <c r="BI44" i="7"/>
  <c r="BE44" i="7"/>
  <c r="BD44" i="7"/>
  <c r="BI43" i="7"/>
  <c r="BE43" i="7"/>
  <c r="BD43" i="7"/>
  <c r="BI42" i="7"/>
  <c r="BE42" i="7"/>
  <c r="BE62" i="7" s="1"/>
  <c r="BD42" i="7"/>
  <c r="BI35" i="7"/>
  <c r="BE35" i="7"/>
  <c r="BD35" i="7"/>
  <c r="BF35" i="7" s="1"/>
  <c r="BH34" i="7"/>
  <c r="BI34" i="7" s="1"/>
  <c r="BG34" i="7"/>
  <c r="BE33" i="7"/>
  <c r="BD33" i="7"/>
  <c r="BE32" i="7"/>
  <c r="BD32" i="7"/>
  <c r="BE31" i="7"/>
  <c r="BD31" i="7"/>
  <c r="BE30" i="7"/>
  <c r="BD30" i="7"/>
  <c r="BE29" i="7"/>
  <c r="BD29" i="7"/>
  <c r="BI28" i="7"/>
  <c r="BE28" i="7"/>
  <c r="BD28" i="7"/>
  <c r="BI27" i="7"/>
  <c r="BE27" i="7"/>
  <c r="BD27" i="7"/>
  <c r="BI26" i="7"/>
  <c r="BE26" i="7"/>
  <c r="BD26" i="7"/>
  <c r="BI25" i="7"/>
  <c r="BE25" i="7"/>
  <c r="BD25" i="7"/>
  <c r="BF25" i="7" s="1"/>
  <c r="BI24" i="7"/>
  <c r="BE24" i="7"/>
  <c r="BD24" i="7"/>
  <c r="BI23" i="7"/>
  <c r="BE23" i="7"/>
  <c r="BD23" i="7"/>
  <c r="BI22" i="7"/>
  <c r="BE22" i="7"/>
  <c r="BD22" i="7"/>
  <c r="BI21" i="7"/>
  <c r="BE21" i="7"/>
  <c r="BD21" i="7"/>
  <c r="BF21" i="7" s="1"/>
  <c r="BI20" i="7"/>
  <c r="BE20" i="7"/>
  <c r="BD20" i="7"/>
  <c r="BI19" i="7"/>
  <c r="BE19" i="7"/>
  <c r="BD19" i="7"/>
  <c r="BI18" i="7"/>
  <c r="BE18" i="7"/>
  <c r="BD18" i="7"/>
  <c r="BH17" i="7"/>
  <c r="BG17" i="7"/>
  <c r="BE16" i="7"/>
  <c r="BD16" i="7"/>
  <c r="BE15" i="7"/>
  <c r="BD15" i="7"/>
  <c r="BE14" i="7"/>
  <c r="BD14" i="7"/>
  <c r="BE13" i="7"/>
  <c r="BD13" i="7"/>
  <c r="BE12" i="7"/>
  <c r="BD12" i="7"/>
  <c r="BI11" i="7"/>
  <c r="BE11" i="7"/>
  <c r="BD11" i="7"/>
  <c r="BI10" i="7"/>
  <c r="BE10" i="7"/>
  <c r="BD10" i="7"/>
  <c r="BI9" i="7"/>
  <c r="BE9" i="7"/>
  <c r="BD9" i="7"/>
  <c r="BI8" i="7"/>
  <c r="BE8" i="7"/>
  <c r="BD8" i="7"/>
  <c r="BI7" i="7"/>
  <c r="BE7" i="7"/>
  <c r="BD7" i="7"/>
  <c r="BF7" i="7" s="1"/>
  <c r="BI6" i="7"/>
  <c r="BE6" i="7"/>
  <c r="BD6" i="7"/>
  <c r="BI5" i="7"/>
  <c r="BE5" i="7"/>
  <c r="BD5" i="7"/>
  <c r="AH359" i="24"/>
  <c r="AF359" i="24"/>
  <c r="AE359" i="24"/>
  <c r="C359" i="23" s="1"/>
  <c r="AD359" i="24"/>
  <c r="B359" i="23" s="1"/>
  <c r="AC358" i="24"/>
  <c r="AB358" i="24"/>
  <c r="AA358" i="24"/>
  <c r="Z358" i="24"/>
  <c r="Y358" i="24"/>
  <c r="X358" i="24"/>
  <c r="W358" i="24"/>
  <c r="V358" i="24"/>
  <c r="U358" i="24"/>
  <c r="T358" i="24"/>
  <c r="S358" i="24"/>
  <c r="R358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E358" i="24"/>
  <c r="D358" i="24"/>
  <c r="C358" i="24"/>
  <c r="B358" i="24"/>
  <c r="AH357" i="24"/>
  <c r="AF357" i="24"/>
  <c r="AE357" i="24"/>
  <c r="C357" i="23" s="1"/>
  <c r="AD357" i="24"/>
  <c r="B357" i="23" s="1"/>
  <c r="AH356" i="24"/>
  <c r="AF356" i="24"/>
  <c r="AE356" i="24"/>
  <c r="C356" i="23" s="1"/>
  <c r="AD356" i="24"/>
  <c r="B356" i="23" s="1"/>
  <c r="AH355" i="24"/>
  <c r="AF355" i="24"/>
  <c r="AE355" i="24"/>
  <c r="C355" i="23" s="1"/>
  <c r="AD355" i="24"/>
  <c r="B355" i="23" s="1"/>
  <c r="AH354" i="24"/>
  <c r="AF354" i="24"/>
  <c r="AE354" i="24"/>
  <c r="C354" i="23" s="1"/>
  <c r="AD354" i="24"/>
  <c r="B354" i="23" s="1"/>
  <c r="AH353" i="24"/>
  <c r="AF353" i="24"/>
  <c r="AE353" i="24"/>
  <c r="C353" i="23" s="1"/>
  <c r="AD353" i="24"/>
  <c r="B353" i="23" s="1"/>
  <c r="AH352" i="24"/>
  <c r="AF352" i="24"/>
  <c r="AE352" i="24"/>
  <c r="C352" i="23" s="1"/>
  <c r="AD352" i="24"/>
  <c r="B352" i="23" s="1"/>
  <c r="AH351" i="24"/>
  <c r="AF351" i="24"/>
  <c r="AE351" i="24"/>
  <c r="C351" i="23" s="1"/>
  <c r="AD351" i="24"/>
  <c r="B351" i="23" s="1"/>
  <c r="AH350" i="24"/>
  <c r="AF350" i="24"/>
  <c r="AE350" i="24"/>
  <c r="C350" i="23" s="1"/>
  <c r="AD350" i="24"/>
  <c r="B350" i="23" s="1"/>
  <c r="AH349" i="24"/>
  <c r="AF349" i="24"/>
  <c r="AE349" i="24"/>
  <c r="C349" i="23" s="1"/>
  <c r="AD349" i="24"/>
  <c r="B349" i="23" s="1"/>
  <c r="AH348" i="24"/>
  <c r="AF348" i="24"/>
  <c r="AE348" i="24"/>
  <c r="C348" i="23" s="1"/>
  <c r="AD348" i="24"/>
  <c r="B348" i="23" s="1"/>
  <c r="AH347" i="24"/>
  <c r="AF347" i="24"/>
  <c r="AE347" i="24"/>
  <c r="C347" i="23" s="1"/>
  <c r="AD347" i="24"/>
  <c r="B347" i="23" s="1"/>
  <c r="AH346" i="24"/>
  <c r="AF346" i="24"/>
  <c r="AE346" i="24"/>
  <c r="C346" i="23" s="1"/>
  <c r="AD346" i="24"/>
  <c r="B346" i="23" s="1"/>
  <c r="AH345" i="24"/>
  <c r="AF345" i="24"/>
  <c r="AE345" i="24"/>
  <c r="C345" i="23" s="1"/>
  <c r="AD345" i="24"/>
  <c r="B345" i="23" s="1"/>
  <c r="AH344" i="24"/>
  <c r="AF344" i="24"/>
  <c r="AE344" i="24"/>
  <c r="C344" i="23" s="1"/>
  <c r="AD344" i="24"/>
  <c r="B344" i="23" s="1"/>
  <c r="AH343" i="24"/>
  <c r="AF343" i="24"/>
  <c r="AE343" i="24"/>
  <c r="C343" i="23" s="1"/>
  <c r="AD343" i="24"/>
  <c r="B343" i="23" s="1"/>
  <c r="AH342" i="24"/>
  <c r="AF342" i="24"/>
  <c r="AE342" i="24"/>
  <c r="C342" i="23" s="1"/>
  <c r="AD342" i="24"/>
  <c r="B342" i="23" s="1"/>
  <c r="AH341" i="24"/>
  <c r="AF341" i="24"/>
  <c r="AE341" i="24"/>
  <c r="C341" i="23" s="1"/>
  <c r="AD341" i="24"/>
  <c r="B341" i="23" s="1"/>
  <c r="AH340" i="24"/>
  <c r="AF340" i="24"/>
  <c r="AE340" i="24"/>
  <c r="C340" i="23" s="1"/>
  <c r="AD340" i="24"/>
  <c r="B340" i="23" s="1"/>
  <c r="AH339" i="24"/>
  <c r="AF339" i="24"/>
  <c r="AE339" i="24"/>
  <c r="C339" i="23" s="1"/>
  <c r="AD339" i="24"/>
  <c r="B339" i="23" s="1"/>
  <c r="AH338" i="24"/>
  <c r="AF338" i="24"/>
  <c r="AE338" i="24"/>
  <c r="C338" i="23" s="1"/>
  <c r="AD338" i="24"/>
  <c r="B338" i="23" s="1"/>
  <c r="AH337" i="24"/>
  <c r="AF337" i="24"/>
  <c r="AE337" i="24"/>
  <c r="C337" i="23" s="1"/>
  <c r="AD337" i="24"/>
  <c r="B337" i="23" s="1"/>
  <c r="AH336" i="24"/>
  <c r="AF336" i="24"/>
  <c r="AE336" i="24"/>
  <c r="C336" i="23" s="1"/>
  <c r="AD336" i="24"/>
  <c r="B336" i="23" s="1"/>
  <c r="AH335" i="24"/>
  <c r="AF335" i="24"/>
  <c r="AE335" i="24"/>
  <c r="C335" i="23" s="1"/>
  <c r="AD335" i="24"/>
  <c r="B335" i="23" s="1"/>
  <c r="AH334" i="24"/>
  <c r="AF334" i="24"/>
  <c r="AE334" i="24"/>
  <c r="C334" i="23" s="1"/>
  <c r="AD334" i="24"/>
  <c r="B334" i="23" s="1"/>
  <c r="AH333" i="24"/>
  <c r="AF333" i="24"/>
  <c r="AE333" i="24"/>
  <c r="C333" i="23" s="1"/>
  <c r="AD333" i="24"/>
  <c r="B333" i="23" s="1"/>
  <c r="AH332" i="24"/>
  <c r="AF332" i="24"/>
  <c r="AE332" i="24"/>
  <c r="C332" i="23" s="1"/>
  <c r="AD332" i="24"/>
  <c r="B332" i="23" s="1"/>
  <c r="AH331" i="24"/>
  <c r="AF331" i="24"/>
  <c r="AE331" i="24"/>
  <c r="C331" i="23" s="1"/>
  <c r="AD331" i="24"/>
  <c r="B331" i="23" s="1"/>
  <c r="AH330" i="24"/>
  <c r="AF330" i="24"/>
  <c r="AE330" i="24"/>
  <c r="C330" i="23" s="1"/>
  <c r="AD330" i="24"/>
  <c r="B330" i="23" s="1"/>
  <c r="AH329" i="24"/>
  <c r="AF329" i="24"/>
  <c r="AE329" i="24"/>
  <c r="C329" i="23" s="1"/>
  <c r="AD329" i="24"/>
  <c r="B329" i="23" s="1"/>
  <c r="AH328" i="24"/>
  <c r="AF328" i="24"/>
  <c r="AE328" i="24"/>
  <c r="C328" i="23" s="1"/>
  <c r="AD328" i="24"/>
  <c r="AH359" i="22"/>
  <c r="AF359" i="22"/>
  <c r="AE359" i="22"/>
  <c r="C359" i="20" s="1"/>
  <c r="AD359" i="22"/>
  <c r="B359" i="20" s="1"/>
  <c r="AC358" i="22"/>
  <c r="AB358" i="22"/>
  <c r="AA358" i="22"/>
  <c r="Z358" i="22"/>
  <c r="Y358" i="22"/>
  <c r="X358" i="22"/>
  <c r="W358" i="22"/>
  <c r="V358" i="22"/>
  <c r="U358" i="22"/>
  <c r="T358" i="22"/>
  <c r="S358" i="22"/>
  <c r="R358" i="22"/>
  <c r="Q358" i="22"/>
  <c r="P358" i="22"/>
  <c r="O358" i="22"/>
  <c r="N358" i="22"/>
  <c r="M358" i="22"/>
  <c r="L358" i="22"/>
  <c r="K358" i="22"/>
  <c r="J358" i="22"/>
  <c r="I358" i="22"/>
  <c r="H358" i="22"/>
  <c r="G358" i="22"/>
  <c r="F358" i="22"/>
  <c r="E358" i="22"/>
  <c r="D358" i="22"/>
  <c r="C358" i="22"/>
  <c r="B358" i="22"/>
  <c r="AH357" i="22"/>
  <c r="AF357" i="22"/>
  <c r="AE357" i="22"/>
  <c r="C357" i="20" s="1"/>
  <c r="AD357" i="22"/>
  <c r="B357" i="20" s="1"/>
  <c r="AH356" i="22"/>
  <c r="AF356" i="22"/>
  <c r="AE356" i="22"/>
  <c r="C356" i="20" s="1"/>
  <c r="AD356" i="22"/>
  <c r="B356" i="20" s="1"/>
  <c r="AH355" i="22"/>
  <c r="AF355" i="22"/>
  <c r="AE355" i="22"/>
  <c r="C355" i="20" s="1"/>
  <c r="AD355" i="22"/>
  <c r="B355" i="20" s="1"/>
  <c r="AH354" i="22"/>
  <c r="AF354" i="22"/>
  <c r="AE354" i="22"/>
  <c r="C354" i="20" s="1"/>
  <c r="AD354" i="22"/>
  <c r="B354" i="20" s="1"/>
  <c r="AH353" i="22"/>
  <c r="AF353" i="22"/>
  <c r="AE353" i="22"/>
  <c r="C353" i="20" s="1"/>
  <c r="AD353" i="22"/>
  <c r="B353" i="20" s="1"/>
  <c r="AH352" i="22"/>
  <c r="AF352" i="22"/>
  <c r="AE352" i="22"/>
  <c r="C352" i="20" s="1"/>
  <c r="AD352" i="22"/>
  <c r="B352" i="20" s="1"/>
  <c r="AH351" i="22"/>
  <c r="AF351" i="22"/>
  <c r="AE351" i="22"/>
  <c r="C351" i="20" s="1"/>
  <c r="AD351" i="22"/>
  <c r="B351" i="20" s="1"/>
  <c r="AH350" i="22"/>
  <c r="AF350" i="22"/>
  <c r="AE350" i="22"/>
  <c r="C350" i="20" s="1"/>
  <c r="AD350" i="22"/>
  <c r="B350" i="20" s="1"/>
  <c r="AH349" i="22"/>
  <c r="AF349" i="22"/>
  <c r="AE349" i="22"/>
  <c r="C349" i="20" s="1"/>
  <c r="AD349" i="22"/>
  <c r="B349" i="20" s="1"/>
  <c r="AH348" i="22"/>
  <c r="AF348" i="22"/>
  <c r="AE348" i="22"/>
  <c r="C348" i="20" s="1"/>
  <c r="AD348" i="22"/>
  <c r="B348" i="20" s="1"/>
  <c r="AH347" i="22"/>
  <c r="AF347" i="22"/>
  <c r="AE347" i="22"/>
  <c r="C347" i="20" s="1"/>
  <c r="AD347" i="22"/>
  <c r="B347" i="20" s="1"/>
  <c r="AH346" i="22"/>
  <c r="AF346" i="22"/>
  <c r="AE346" i="22"/>
  <c r="C346" i="20" s="1"/>
  <c r="AD346" i="22"/>
  <c r="B346" i="20" s="1"/>
  <c r="AH345" i="22"/>
  <c r="AF345" i="22"/>
  <c r="AE345" i="22"/>
  <c r="C345" i="20" s="1"/>
  <c r="AD345" i="22"/>
  <c r="B345" i="20" s="1"/>
  <c r="AH344" i="22"/>
  <c r="AF344" i="22"/>
  <c r="AE344" i="22"/>
  <c r="C344" i="20" s="1"/>
  <c r="AD344" i="22"/>
  <c r="B344" i="20" s="1"/>
  <c r="AH343" i="22"/>
  <c r="AF343" i="22"/>
  <c r="AE343" i="22"/>
  <c r="C343" i="20" s="1"/>
  <c r="AD343" i="22"/>
  <c r="B343" i="20" s="1"/>
  <c r="AH342" i="22"/>
  <c r="AF342" i="22"/>
  <c r="AE342" i="22"/>
  <c r="C342" i="20" s="1"/>
  <c r="AD342" i="22"/>
  <c r="B342" i="20" s="1"/>
  <c r="AH341" i="22"/>
  <c r="AF341" i="22"/>
  <c r="AE341" i="22"/>
  <c r="C341" i="20" s="1"/>
  <c r="AD341" i="22"/>
  <c r="B341" i="20" s="1"/>
  <c r="AH340" i="22"/>
  <c r="AF340" i="22"/>
  <c r="AE340" i="22"/>
  <c r="C340" i="20" s="1"/>
  <c r="AD340" i="22"/>
  <c r="B340" i="20" s="1"/>
  <c r="AH339" i="22"/>
  <c r="AF339" i="22"/>
  <c r="AE339" i="22"/>
  <c r="C339" i="20" s="1"/>
  <c r="AD339" i="22"/>
  <c r="B339" i="20" s="1"/>
  <c r="AH338" i="22"/>
  <c r="AF338" i="22"/>
  <c r="AE338" i="22"/>
  <c r="C338" i="20" s="1"/>
  <c r="AD338" i="22"/>
  <c r="B338" i="20" s="1"/>
  <c r="AH337" i="22"/>
  <c r="AF337" i="22"/>
  <c r="AE337" i="22"/>
  <c r="C337" i="20" s="1"/>
  <c r="AD337" i="22"/>
  <c r="B337" i="20" s="1"/>
  <c r="AH336" i="22"/>
  <c r="AF336" i="22"/>
  <c r="AE336" i="22"/>
  <c r="C336" i="20" s="1"/>
  <c r="AD336" i="22"/>
  <c r="B336" i="20" s="1"/>
  <c r="AH335" i="22"/>
  <c r="AF335" i="22"/>
  <c r="AE335" i="22"/>
  <c r="C335" i="20" s="1"/>
  <c r="AD335" i="22"/>
  <c r="B335" i="20" s="1"/>
  <c r="AH334" i="22"/>
  <c r="AF334" i="22"/>
  <c r="AE334" i="22"/>
  <c r="C334" i="20" s="1"/>
  <c r="AD334" i="22"/>
  <c r="B334" i="20" s="1"/>
  <c r="AH333" i="22"/>
  <c r="AF333" i="22"/>
  <c r="AE333" i="22"/>
  <c r="C333" i="20" s="1"/>
  <c r="AD333" i="22"/>
  <c r="B333" i="20" s="1"/>
  <c r="AH332" i="22"/>
  <c r="AF332" i="22"/>
  <c r="AE332" i="22"/>
  <c r="C332" i="20" s="1"/>
  <c r="AD332" i="22"/>
  <c r="B332" i="20" s="1"/>
  <c r="AH331" i="22"/>
  <c r="AF331" i="22"/>
  <c r="AE331" i="22"/>
  <c r="C331" i="20" s="1"/>
  <c r="AD331" i="22"/>
  <c r="B331" i="20" s="1"/>
  <c r="AH330" i="22"/>
  <c r="AF330" i="22"/>
  <c r="AE330" i="22"/>
  <c r="C330" i="20" s="1"/>
  <c r="AD330" i="22"/>
  <c r="B330" i="20" s="1"/>
  <c r="AH329" i="22"/>
  <c r="AF329" i="22"/>
  <c r="AE329" i="22"/>
  <c r="C329" i="20" s="1"/>
  <c r="AD329" i="22"/>
  <c r="B329" i="20" s="1"/>
  <c r="AH328" i="22"/>
  <c r="AF328" i="22"/>
  <c r="AE328" i="22"/>
  <c r="C328" i="20" s="1"/>
  <c r="AD328" i="22"/>
  <c r="DS65" i="12"/>
  <c r="DQ65" i="12"/>
  <c r="DL65" i="12"/>
  <c r="DM65" i="12" s="1"/>
  <c r="DJ65" i="12"/>
  <c r="DI65" i="12"/>
  <c r="DH65" i="12"/>
  <c r="DS64" i="12"/>
  <c r="DQ64" i="12"/>
  <c r="DL64" i="12"/>
  <c r="DJ64" i="12"/>
  <c r="DK64" i="12" s="1"/>
  <c r="DI64" i="12"/>
  <c r="DH64" i="12"/>
  <c r="DR59" i="12"/>
  <c r="DP59" i="12"/>
  <c r="DQ59" i="12" s="1"/>
  <c r="DO59" i="12"/>
  <c r="DN59" i="12"/>
  <c r="DR58" i="12"/>
  <c r="DP58" i="12"/>
  <c r="DQ58" i="12" s="1"/>
  <c r="DO58" i="12"/>
  <c r="DN58" i="12"/>
  <c r="DR57" i="12"/>
  <c r="DP57" i="12"/>
  <c r="DO57" i="12"/>
  <c r="DN57" i="12"/>
  <c r="DR56" i="12"/>
  <c r="DP56" i="12"/>
  <c r="DO56" i="12"/>
  <c r="DN56" i="12"/>
  <c r="DS55" i="12"/>
  <c r="DQ55" i="12"/>
  <c r="DL55" i="12"/>
  <c r="DM55" i="12" s="1"/>
  <c r="DJ55" i="12"/>
  <c r="DI55" i="12"/>
  <c r="DH55" i="12"/>
  <c r="DS54" i="12"/>
  <c r="DQ54" i="12"/>
  <c r="DL54" i="12"/>
  <c r="DJ54" i="12"/>
  <c r="DK54" i="12" s="1"/>
  <c r="DI54" i="12"/>
  <c r="DH54" i="12"/>
  <c r="DR53" i="12"/>
  <c r="DP53" i="12"/>
  <c r="DQ53" i="12" s="1"/>
  <c r="DO53" i="12"/>
  <c r="DN53" i="12"/>
  <c r="DR52" i="12"/>
  <c r="DP52" i="12"/>
  <c r="DQ52" i="12" s="1"/>
  <c r="DO52" i="12"/>
  <c r="DN52" i="12"/>
  <c r="DS51" i="12"/>
  <c r="DQ51" i="12"/>
  <c r="DL51" i="12"/>
  <c r="DM51" i="12" s="1"/>
  <c r="DJ51" i="12"/>
  <c r="DI51" i="12"/>
  <c r="DH51" i="12"/>
  <c r="DS50" i="12"/>
  <c r="DQ50" i="12"/>
  <c r="DL50" i="12"/>
  <c r="DJ50" i="12"/>
  <c r="DK50" i="12" s="1"/>
  <c r="DI50" i="12"/>
  <c r="DH50" i="12"/>
  <c r="DS49" i="12"/>
  <c r="DQ49" i="12"/>
  <c r="DL49" i="12"/>
  <c r="DL53" i="12" s="1"/>
  <c r="DJ49" i="12"/>
  <c r="DJ53" i="12" s="1"/>
  <c r="DI49" i="12"/>
  <c r="DI53" i="12" s="1"/>
  <c r="DH49" i="12"/>
  <c r="DH53" i="12" s="1"/>
  <c r="DS48" i="12"/>
  <c r="DQ48" i="12"/>
  <c r="DL48" i="12"/>
  <c r="DL52" i="12" s="1"/>
  <c r="DJ48" i="12"/>
  <c r="DJ52" i="12" s="1"/>
  <c r="DK52" i="12" s="1"/>
  <c r="DI48" i="12"/>
  <c r="DI52" i="12" s="1"/>
  <c r="DH48" i="12"/>
  <c r="DH52" i="12" s="1"/>
  <c r="DS47" i="12"/>
  <c r="DQ47" i="12"/>
  <c r="DL47" i="12"/>
  <c r="DM47" i="12" s="1"/>
  <c r="DJ47" i="12"/>
  <c r="DI47" i="12"/>
  <c r="DH47" i="12"/>
  <c r="DS46" i="12"/>
  <c r="DQ46" i="12"/>
  <c r="DL46" i="12"/>
  <c r="DJ46" i="12"/>
  <c r="DK46" i="12" s="1"/>
  <c r="DI46" i="12"/>
  <c r="DH46" i="12"/>
  <c r="DR45" i="12"/>
  <c r="DP45" i="12"/>
  <c r="DQ45" i="12" s="1"/>
  <c r="DO45" i="12"/>
  <c r="DN45" i="12"/>
  <c r="DR44" i="12"/>
  <c r="DP44" i="12"/>
  <c r="DQ44" i="12" s="1"/>
  <c r="DO44" i="12"/>
  <c r="DN44" i="12"/>
  <c r="DS43" i="12"/>
  <c r="DQ43" i="12"/>
  <c r="DL43" i="12"/>
  <c r="DM43" i="12" s="1"/>
  <c r="DJ43" i="12"/>
  <c r="DI43" i="12"/>
  <c r="DH43" i="12"/>
  <c r="DS42" i="12"/>
  <c r="DQ42" i="12"/>
  <c r="DL42" i="12"/>
  <c r="DJ42" i="12"/>
  <c r="DK42" i="12" s="1"/>
  <c r="DI42" i="12"/>
  <c r="DH42" i="12"/>
  <c r="DS41" i="12"/>
  <c r="DQ41" i="12"/>
  <c r="DL41" i="12"/>
  <c r="DL45" i="12" s="1"/>
  <c r="DJ41" i="12"/>
  <c r="DJ45" i="12" s="1"/>
  <c r="DI41" i="12"/>
  <c r="DI45" i="12" s="1"/>
  <c r="DH41" i="12"/>
  <c r="DH45" i="12" s="1"/>
  <c r="DS40" i="12"/>
  <c r="DQ40" i="12"/>
  <c r="DL40" i="12"/>
  <c r="DL44" i="12" s="1"/>
  <c r="DJ40" i="12"/>
  <c r="DJ44" i="12" s="1"/>
  <c r="DK44" i="12" s="1"/>
  <c r="DI40" i="12"/>
  <c r="DI44" i="12" s="1"/>
  <c r="DH40" i="12"/>
  <c r="DH44" i="12" s="1"/>
  <c r="DS39" i="12"/>
  <c r="DQ39" i="12"/>
  <c r="DL39" i="12"/>
  <c r="DM39" i="12" s="1"/>
  <c r="DJ39" i="12"/>
  <c r="DI39" i="12"/>
  <c r="DH39" i="12"/>
  <c r="DS38" i="12"/>
  <c r="DQ38" i="12"/>
  <c r="DL38" i="12"/>
  <c r="DJ38" i="12"/>
  <c r="DK38" i="12" s="1"/>
  <c r="DI38" i="12"/>
  <c r="DH38" i="12"/>
  <c r="DR37" i="12"/>
  <c r="DP37" i="12"/>
  <c r="DQ37" i="12" s="1"/>
  <c r="DO37" i="12"/>
  <c r="DN37" i="12"/>
  <c r="DR36" i="12"/>
  <c r="DP36" i="12"/>
  <c r="DQ36" i="12" s="1"/>
  <c r="DO36" i="12"/>
  <c r="DN36" i="12"/>
  <c r="DS35" i="12"/>
  <c r="DQ35" i="12"/>
  <c r="DL35" i="12"/>
  <c r="DM35" i="12" s="1"/>
  <c r="DJ35" i="12"/>
  <c r="DI35" i="12"/>
  <c r="DH35" i="12"/>
  <c r="DS34" i="12"/>
  <c r="DQ34" i="12"/>
  <c r="DL34" i="12"/>
  <c r="DJ34" i="12"/>
  <c r="DK34" i="12" s="1"/>
  <c r="DI34" i="12"/>
  <c r="DH34" i="12"/>
  <c r="DS33" i="12"/>
  <c r="DQ33" i="12"/>
  <c r="DL33" i="12"/>
  <c r="DL37" i="12" s="1"/>
  <c r="DJ33" i="12"/>
  <c r="DJ37" i="12" s="1"/>
  <c r="DI33" i="12"/>
  <c r="DI37" i="12" s="1"/>
  <c r="DH33" i="12"/>
  <c r="DS32" i="12"/>
  <c r="DQ32" i="12"/>
  <c r="DL32" i="12"/>
  <c r="DL36" i="12" s="1"/>
  <c r="DJ32" i="12"/>
  <c r="DJ36" i="12" s="1"/>
  <c r="DK36" i="12" s="1"/>
  <c r="DI32" i="12"/>
  <c r="DI36" i="12" s="1"/>
  <c r="DH32" i="12"/>
  <c r="DH36" i="12" s="1"/>
  <c r="DS31" i="12"/>
  <c r="DQ31" i="12"/>
  <c r="DL31" i="12"/>
  <c r="DM31" i="12" s="1"/>
  <c r="DJ31" i="12"/>
  <c r="DI31" i="12"/>
  <c r="DH31" i="12"/>
  <c r="DS30" i="12"/>
  <c r="DQ30" i="12"/>
  <c r="DL30" i="12"/>
  <c r="DJ30" i="12"/>
  <c r="DK30" i="12" s="1"/>
  <c r="DI30" i="12"/>
  <c r="DH30" i="12"/>
  <c r="DR29" i="12"/>
  <c r="DP29" i="12"/>
  <c r="DQ29" i="12" s="1"/>
  <c r="DO29" i="12"/>
  <c r="DN29" i="12"/>
  <c r="DR28" i="12"/>
  <c r="DP28" i="12"/>
  <c r="DQ28" i="12" s="1"/>
  <c r="DO28" i="12"/>
  <c r="DN28" i="12"/>
  <c r="DS27" i="12"/>
  <c r="DQ27" i="12"/>
  <c r="DL27" i="12"/>
  <c r="DM27" i="12" s="1"/>
  <c r="DJ27" i="12"/>
  <c r="DI27" i="12"/>
  <c r="DH27" i="12"/>
  <c r="DS26" i="12"/>
  <c r="DQ26" i="12"/>
  <c r="DL26" i="12"/>
  <c r="DJ26" i="12"/>
  <c r="DK26" i="12" s="1"/>
  <c r="DI26" i="12"/>
  <c r="DH26" i="12"/>
  <c r="DS25" i="12"/>
  <c r="DQ25" i="12"/>
  <c r="DL25" i="12"/>
  <c r="DL29" i="12" s="1"/>
  <c r="DJ25" i="12"/>
  <c r="DJ29" i="12" s="1"/>
  <c r="DI25" i="12"/>
  <c r="DI29" i="12" s="1"/>
  <c r="DH25" i="12"/>
  <c r="DH29" i="12" s="1"/>
  <c r="DS24" i="12"/>
  <c r="DQ24" i="12"/>
  <c r="DL24" i="12"/>
  <c r="DL28" i="12" s="1"/>
  <c r="DJ24" i="12"/>
  <c r="DJ28" i="12" s="1"/>
  <c r="DK28" i="12" s="1"/>
  <c r="DI24" i="12"/>
  <c r="DI28" i="12" s="1"/>
  <c r="DH24" i="12"/>
  <c r="DH28" i="12" s="1"/>
  <c r="DS23" i="12"/>
  <c r="DQ23" i="12"/>
  <c r="DL23" i="12"/>
  <c r="DM23" i="12" s="1"/>
  <c r="DJ23" i="12"/>
  <c r="DI23" i="12"/>
  <c r="DH23" i="12"/>
  <c r="DS22" i="12"/>
  <c r="DQ22" i="12"/>
  <c r="DL22" i="12"/>
  <c r="DJ22" i="12"/>
  <c r="DK22" i="12" s="1"/>
  <c r="DI22" i="12"/>
  <c r="DH22" i="12"/>
  <c r="DR21" i="12"/>
  <c r="DP21" i="12"/>
  <c r="DQ21" i="12" s="1"/>
  <c r="DO21" i="12"/>
  <c r="DN21" i="12"/>
  <c r="DR20" i="12"/>
  <c r="DP20" i="12"/>
  <c r="DQ20" i="12" s="1"/>
  <c r="DO20" i="12"/>
  <c r="DN20" i="12"/>
  <c r="DS19" i="12"/>
  <c r="DQ19" i="12"/>
  <c r="DL19" i="12"/>
  <c r="DM19" i="12" s="1"/>
  <c r="DJ19" i="12"/>
  <c r="DI19" i="12"/>
  <c r="DH19" i="12"/>
  <c r="DS18" i="12"/>
  <c r="DQ18" i="12"/>
  <c r="DL18" i="12"/>
  <c r="DJ18" i="12"/>
  <c r="DK18" i="12" s="1"/>
  <c r="DI18" i="12"/>
  <c r="DH18" i="12"/>
  <c r="DS17" i="12"/>
  <c r="DQ17" i="12"/>
  <c r="DL17" i="12"/>
  <c r="DL21" i="12" s="1"/>
  <c r="DJ17" i="12"/>
  <c r="DJ21" i="12" s="1"/>
  <c r="DI17" i="12"/>
  <c r="DI21" i="12" s="1"/>
  <c r="DH17" i="12"/>
  <c r="DH21" i="12" s="1"/>
  <c r="DS16" i="12"/>
  <c r="DQ16" i="12"/>
  <c r="DL16" i="12"/>
  <c r="DL20" i="12" s="1"/>
  <c r="DJ16" i="12"/>
  <c r="DJ20" i="12" s="1"/>
  <c r="DK20" i="12" s="1"/>
  <c r="DI16" i="12"/>
  <c r="DI20" i="12" s="1"/>
  <c r="DH16" i="12"/>
  <c r="DH20" i="12" s="1"/>
  <c r="DS15" i="12"/>
  <c r="DQ15" i="12"/>
  <c r="DL15" i="12"/>
  <c r="DM15" i="12" s="1"/>
  <c r="DJ15" i="12"/>
  <c r="DI15" i="12"/>
  <c r="DH15" i="12"/>
  <c r="DS14" i="12"/>
  <c r="DQ14" i="12"/>
  <c r="DL14" i="12"/>
  <c r="DJ14" i="12"/>
  <c r="DK14" i="12" s="1"/>
  <c r="DI14" i="12"/>
  <c r="DH14" i="12"/>
  <c r="DR13" i="12"/>
  <c r="DR61" i="12" s="1"/>
  <c r="DP13" i="12"/>
  <c r="DP61" i="12" s="1"/>
  <c r="DQ61" i="12" s="1"/>
  <c r="DO13" i="12"/>
  <c r="DO61" i="12" s="1"/>
  <c r="DN13" i="12"/>
  <c r="DN61" i="12" s="1"/>
  <c r="DR12" i="12"/>
  <c r="DR60" i="12" s="1"/>
  <c r="DP12" i="12"/>
  <c r="DP60" i="12" s="1"/>
  <c r="DQ60" i="12" s="1"/>
  <c r="DO12" i="12"/>
  <c r="DO60" i="12" s="1"/>
  <c r="DN12" i="12"/>
  <c r="DN60" i="12" s="1"/>
  <c r="DS11" i="12"/>
  <c r="DQ11" i="12"/>
  <c r="DL11" i="12"/>
  <c r="DL59" i="12" s="1"/>
  <c r="DJ11" i="12"/>
  <c r="DJ59" i="12" s="1"/>
  <c r="DI11" i="12"/>
  <c r="DI59" i="12" s="1"/>
  <c r="DH11" i="12"/>
  <c r="DH59" i="12" s="1"/>
  <c r="DS10" i="12"/>
  <c r="DQ10" i="12"/>
  <c r="DL10" i="12"/>
  <c r="DL58" i="12" s="1"/>
  <c r="DJ10" i="12"/>
  <c r="DJ58" i="12" s="1"/>
  <c r="DK58" i="12" s="1"/>
  <c r="DI10" i="12"/>
  <c r="DI58" i="12" s="1"/>
  <c r="DH10" i="12"/>
  <c r="DH58" i="12" s="1"/>
  <c r="DS9" i="12"/>
  <c r="DQ9" i="12"/>
  <c r="DL9" i="12"/>
  <c r="DL57" i="12" s="1"/>
  <c r="DJ9" i="12"/>
  <c r="DJ57" i="12" s="1"/>
  <c r="DI9" i="12"/>
  <c r="DI57" i="12" s="1"/>
  <c r="DH9" i="12"/>
  <c r="DH57" i="12" s="1"/>
  <c r="DS8" i="12"/>
  <c r="DQ8" i="12"/>
  <c r="DL8" i="12"/>
  <c r="DL56" i="12" s="1"/>
  <c r="DJ8" i="12"/>
  <c r="DJ56" i="12" s="1"/>
  <c r="DI8" i="12"/>
  <c r="DI56" i="12" s="1"/>
  <c r="DH8" i="12"/>
  <c r="DH56" i="12" s="1"/>
  <c r="BK106" i="2"/>
  <c r="BJ106" i="2"/>
  <c r="BJ107" i="2" s="1"/>
  <c r="BK105" i="2"/>
  <c r="BL105" i="2" s="1"/>
  <c r="BJ105" i="2"/>
  <c r="BK104" i="2"/>
  <c r="BJ104" i="2"/>
  <c r="BL103" i="2"/>
  <c r="BH103" i="2"/>
  <c r="BG103" i="2"/>
  <c r="BL102" i="2"/>
  <c r="BH102" i="2"/>
  <c r="BG102" i="2"/>
  <c r="BK101" i="2"/>
  <c r="BJ101" i="2"/>
  <c r="BL100" i="2"/>
  <c r="BH100" i="2"/>
  <c r="BG100" i="2"/>
  <c r="BL99" i="2"/>
  <c r="BH99" i="2"/>
  <c r="BG99" i="2"/>
  <c r="BK97" i="2"/>
  <c r="BL97" i="2" s="1"/>
  <c r="BJ97" i="2"/>
  <c r="BK96" i="2"/>
  <c r="BJ96" i="2"/>
  <c r="BJ98" i="2" s="1"/>
  <c r="BK95" i="2"/>
  <c r="BL95" i="2" s="1"/>
  <c r="BJ95" i="2"/>
  <c r="BL94" i="2"/>
  <c r="BI94" i="2"/>
  <c r="BH94" i="2"/>
  <c r="BH97" i="2" s="1"/>
  <c r="BG94" i="2"/>
  <c r="BL93" i="2"/>
  <c r="BI93" i="2"/>
  <c r="BH93" i="2"/>
  <c r="BH96" i="2" s="1"/>
  <c r="BG93" i="2"/>
  <c r="BK92" i="2"/>
  <c r="BL92" i="2" s="1"/>
  <c r="BJ92" i="2"/>
  <c r="BL91" i="2"/>
  <c r="BH91" i="2"/>
  <c r="BG91" i="2"/>
  <c r="BG92" i="2" s="1"/>
  <c r="BL90" i="2"/>
  <c r="BH90" i="2"/>
  <c r="BG90" i="2"/>
  <c r="BK88" i="2"/>
  <c r="BL88" i="2" s="1"/>
  <c r="BJ88" i="2"/>
  <c r="BJ89" i="2" s="1"/>
  <c r="BK87" i="2"/>
  <c r="BL87" i="2" s="1"/>
  <c r="BJ87" i="2"/>
  <c r="BK86" i="2"/>
  <c r="BL86" i="2" s="1"/>
  <c r="BJ86" i="2"/>
  <c r="BL85" i="2"/>
  <c r="BH85" i="2"/>
  <c r="BH88" i="2" s="1"/>
  <c r="BG85" i="2"/>
  <c r="BG88" i="2" s="1"/>
  <c r="BL84" i="2"/>
  <c r="BH84" i="2"/>
  <c r="BH87" i="2" s="1"/>
  <c r="BG84" i="2"/>
  <c r="BK83" i="2"/>
  <c r="BL83" i="2" s="1"/>
  <c r="BJ83" i="2"/>
  <c r="BL82" i="2"/>
  <c r="BH82" i="2"/>
  <c r="BG82" i="2"/>
  <c r="BL81" i="2"/>
  <c r="BH81" i="2"/>
  <c r="BI81" i="2" s="1"/>
  <c r="BG81" i="2"/>
  <c r="BK79" i="2"/>
  <c r="BL79" i="2" s="1"/>
  <c r="BJ79" i="2"/>
  <c r="BK78" i="2"/>
  <c r="BK80" i="2" s="1"/>
  <c r="BJ78" i="2"/>
  <c r="BK77" i="2"/>
  <c r="BJ77" i="2"/>
  <c r="BL76" i="2"/>
  <c r="BH76" i="2"/>
  <c r="BG76" i="2"/>
  <c r="BL75" i="2"/>
  <c r="BH75" i="2"/>
  <c r="BG75" i="2"/>
  <c r="BI75" i="2" s="1"/>
  <c r="BK74" i="2"/>
  <c r="BL74" i="2" s="1"/>
  <c r="BJ74" i="2"/>
  <c r="BL73" i="2"/>
  <c r="BH73" i="2"/>
  <c r="BH74" i="2" s="1"/>
  <c r="BG73" i="2"/>
  <c r="BL72" i="2"/>
  <c r="BH72" i="2"/>
  <c r="BG72" i="2"/>
  <c r="BI72" i="2" s="1"/>
  <c r="BK70" i="2"/>
  <c r="BL70" i="2" s="1"/>
  <c r="BJ70" i="2"/>
  <c r="BK69" i="2"/>
  <c r="BJ69" i="2"/>
  <c r="BK68" i="2"/>
  <c r="BL68" i="2" s="1"/>
  <c r="BJ68" i="2"/>
  <c r="BL67" i="2"/>
  <c r="BH67" i="2"/>
  <c r="BH70" i="2" s="1"/>
  <c r="BG67" i="2"/>
  <c r="BG70" i="2" s="1"/>
  <c r="BL66" i="2"/>
  <c r="BH66" i="2"/>
  <c r="BH69" i="2" s="1"/>
  <c r="BG66" i="2"/>
  <c r="BI66" i="2" s="1"/>
  <c r="BK65" i="2"/>
  <c r="BL65" i="2" s="1"/>
  <c r="BJ65" i="2"/>
  <c r="BL64" i="2"/>
  <c r="BI64" i="2"/>
  <c r="BH64" i="2"/>
  <c r="BG64" i="2"/>
  <c r="BL63" i="2"/>
  <c r="BI63" i="2"/>
  <c r="BH63" i="2"/>
  <c r="BG63" i="2"/>
  <c r="BK59" i="2"/>
  <c r="BL59" i="2" s="1"/>
  <c r="BJ59" i="2"/>
  <c r="BL58" i="2"/>
  <c r="BH58" i="2"/>
  <c r="BG58" i="2"/>
  <c r="BL57" i="2"/>
  <c r="BH57" i="2"/>
  <c r="BI57" i="2" s="1"/>
  <c r="BG57" i="2"/>
  <c r="BK56" i="2"/>
  <c r="BL56" i="2" s="1"/>
  <c r="BJ56" i="2"/>
  <c r="BL55" i="2"/>
  <c r="BH55" i="2"/>
  <c r="BG55" i="2"/>
  <c r="BL54" i="2"/>
  <c r="BH54" i="2"/>
  <c r="BG54" i="2"/>
  <c r="BK53" i="2"/>
  <c r="BL53" i="2" s="1"/>
  <c r="BJ53" i="2"/>
  <c r="BL52" i="2"/>
  <c r="BI52" i="2"/>
  <c r="BH52" i="2"/>
  <c r="BG52" i="2"/>
  <c r="BL51" i="2"/>
  <c r="BI51" i="2"/>
  <c r="BH51" i="2"/>
  <c r="BG51" i="2"/>
  <c r="BK50" i="2"/>
  <c r="BL50" i="2" s="1"/>
  <c r="BJ50" i="2"/>
  <c r="BL49" i="2"/>
  <c r="BH49" i="2"/>
  <c r="BG49" i="2"/>
  <c r="BG50" i="2" s="1"/>
  <c r="BL48" i="2"/>
  <c r="BH48" i="2"/>
  <c r="BG48" i="2"/>
  <c r="BK47" i="2"/>
  <c r="BL47" i="2" s="1"/>
  <c r="BJ47" i="2"/>
  <c r="BL46" i="2"/>
  <c r="BH46" i="2"/>
  <c r="BG46" i="2"/>
  <c r="BL45" i="2"/>
  <c r="BH45" i="2"/>
  <c r="BG45" i="2"/>
  <c r="BK44" i="2"/>
  <c r="BL44" i="2" s="1"/>
  <c r="BJ44" i="2"/>
  <c r="BL43" i="2"/>
  <c r="BH43" i="2"/>
  <c r="BH44" i="2" s="1"/>
  <c r="BG43" i="2"/>
  <c r="BL42" i="2"/>
  <c r="BH42" i="2"/>
  <c r="BG42" i="2"/>
  <c r="BI42" i="2" s="1"/>
  <c r="BK40" i="2"/>
  <c r="BJ40" i="2"/>
  <c r="BK39" i="2"/>
  <c r="BJ39" i="2"/>
  <c r="BK38" i="2"/>
  <c r="BL38" i="2" s="1"/>
  <c r="BJ38" i="2"/>
  <c r="BL37" i="2"/>
  <c r="BH37" i="2"/>
  <c r="BG37" i="2"/>
  <c r="BG38" i="2" s="1"/>
  <c r="BL36" i="2"/>
  <c r="BH36" i="2"/>
  <c r="BG36" i="2"/>
  <c r="BK35" i="2"/>
  <c r="BL35" i="2" s="1"/>
  <c r="BJ35" i="2"/>
  <c r="BL34" i="2"/>
  <c r="BH34" i="2"/>
  <c r="BG34" i="2"/>
  <c r="BG106" i="2" s="1"/>
  <c r="BL33" i="2"/>
  <c r="BH33" i="2"/>
  <c r="BG33" i="2"/>
  <c r="BK29" i="2"/>
  <c r="BJ29" i="2"/>
  <c r="BL28" i="2"/>
  <c r="BH28" i="2"/>
  <c r="BG28" i="2"/>
  <c r="BL27" i="2"/>
  <c r="BH27" i="2"/>
  <c r="BG27" i="2"/>
  <c r="BI27" i="2" s="1"/>
  <c r="BK26" i="2"/>
  <c r="BL26" i="2" s="1"/>
  <c r="BJ26" i="2"/>
  <c r="BL25" i="2"/>
  <c r="BH25" i="2"/>
  <c r="BH26" i="2" s="1"/>
  <c r="BG25" i="2"/>
  <c r="BL24" i="2"/>
  <c r="BH24" i="2"/>
  <c r="BG24" i="2"/>
  <c r="BI24" i="2" s="1"/>
  <c r="BK23" i="2"/>
  <c r="BL23" i="2" s="1"/>
  <c r="BJ23" i="2"/>
  <c r="BL22" i="2"/>
  <c r="BI22" i="2"/>
  <c r="BH22" i="2"/>
  <c r="BG22" i="2"/>
  <c r="BL21" i="2"/>
  <c r="BI21" i="2"/>
  <c r="BH21" i="2"/>
  <c r="BG21" i="2"/>
  <c r="BK20" i="2"/>
  <c r="BJ20" i="2"/>
  <c r="BL19" i="2"/>
  <c r="BH19" i="2"/>
  <c r="BG19" i="2"/>
  <c r="BL18" i="2"/>
  <c r="BH18" i="2"/>
  <c r="BG18" i="2"/>
  <c r="BK17" i="2"/>
  <c r="BJ17" i="2"/>
  <c r="BL16" i="2"/>
  <c r="BH16" i="2"/>
  <c r="BG16" i="2"/>
  <c r="BL15" i="2"/>
  <c r="BH15" i="2"/>
  <c r="BG15" i="2"/>
  <c r="BI15" i="2" s="1"/>
  <c r="BK14" i="2"/>
  <c r="BL14" i="2" s="1"/>
  <c r="BJ14" i="2"/>
  <c r="BL13" i="2"/>
  <c r="BH13" i="2"/>
  <c r="BH14" i="2" s="1"/>
  <c r="BG13" i="2"/>
  <c r="BG14" i="2" s="1"/>
  <c r="BL12" i="2"/>
  <c r="BH12" i="2"/>
  <c r="BG12" i="2"/>
  <c r="BI12" i="2" s="1"/>
  <c r="BK10" i="2"/>
  <c r="BJ10" i="2"/>
  <c r="BK9" i="2"/>
  <c r="BJ9" i="2"/>
  <c r="BK8" i="2"/>
  <c r="BJ8" i="2"/>
  <c r="BL7" i="2"/>
  <c r="BH7" i="2"/>
  <c r="BG7" i="2"/>
  <c r="BL6" i="2"/>
  <c r="BH6" i="2"/>
  <c r="BG6" i="2"/>
  <c r="BK106" i="1"/>
  <c r="BJ106" i="1"/>
  <c r="BJ107" i="1" s="1"/>
  <c r="BL105" i="1"/>
  <c r="BK105" i="1"/>
  <c r="BJ105" i="1"/>
  <c r="BK104" i="1"/>
  <c r="BL104" i="1" s="1"/>
  <c r="BJ104" i="1"/>
  <c r="BL103" i="1"/>
  <c r="BH103" i="1"/>
  <c r="BG103" i="1"/>
  <c r="BG104" i="1" s="1"/>
  <c r="BL102" i="1"/>
  <c r="BH102" i="1"/>
  <c r="BI102" i="1" s="1"/>
  <c r="BG102" i="1"/>
  <c r="BL101" i="1"/>
  <c r="BK101" i="1"/>
  <c r="BJ101" i="1"/>
  <c r="BL100" i="1"/>
  <c r="BH100" i="1"/>
  <c r="BI100" i="1" s="1"/>
  <c r="BG100" i="1"/>
  <c r="BL99" i="1"/>
  <c r="BH99" i="1"/>
  <c r="BG99" i="1"/>
  <c r="BL97" i="1"/>
  <c r="BK97" i="1"/>
  <c r="BJ97" i="1"/>
  <c r="BK96" i="1"/>
  <c r="BJ96" i="1"/>
  <c r="BK95" i="1"/>
  <c r="BJ95" i="1"/>
  <c r="BL95" i="1" s="1"/>
  <c r="BL94" i="1"/>
  <c r="BH94" i="1"/>
  <c r="BI94" i="1" s="1"/>
  <c r="BG94" i="1"/>
  <c r="BL93" i="1"/>
  <c r="BH93" i="1"/>
  <c r="BI93" i="1" s="1"/>
  <c r="BG93" i="1"/>
  <c r="BK92" i="1"/>
  <c r="BJ92" i="1"/>
  <c r="BL92" i="1" s="1"/>
  <c r="BL91" i="1"/>
  <c r="BH91" i="1"/>
  <c r="BG91" i="1"/>
  <c r="BL90" i="1"/>
  <c r="BH90" i="1"/>
  <c r="BI90" i="1" s="1"/>
  <c r="BG90" i="1"/>
  <c r="BK88" i="1"/>
  <c r="BJ88" i="1"/>
  <c r="BJ89" i="1" s="1"/>
  <c r="BL87" i="1"/>
  <c r="BK87" i="1"/>
  <c r="BK89" i="1" s="1"/>
  <c r="BJ87" i="1"/>
  <c r="BH87" i="1"/>
  <c r="BK86" i="1"/>
  <c r="BJ86" i="1"/>
  <c r="BL85" i="1"/>
  <c r="BH85" i="1"/>
  <c r="BH88" i="1" s="1"/>
  <c r="BG85" i="1"/>
  <c r="BG88" i="1" s="1"/>
  <c r="BL84" i="1"/>
  <c r="BH84" i="1"/>
  <c r="BG84" i="1"/>
  <c r="BG87" i="1" s="1"/>
  <c r="BL83" i="1"/>
  <c r="BK83" i="1"/>
  <c r="BJ83" i="1"/>
  <c r="BL82" i="1"/>
  <c r="BH82" i="1"/>
  <c r="BI82" i="1" s="1"/>
  <c r="BG82" i="1"/>
  <c r="BL81" i="1"/>
  <c r="BH81" i="1"/>
  <c r="BI81" i="1" s="1"/>
  <c r="BG81" i="1"/>
  <c r="BK79" i="1"/>
  <c r="BJ79" i="1"/>
  <c r="BL79" i="1" s="1"/>
  <c r="BK78" i="1"/>
  <c r="BJ78" i="1"/>
  <c r="BK77" i="1"/>
  <c r="BJ77" i="1"/>
  <c r="BL76" i="1"/>
  <c r="BH76" i="1"/>
  <c r="BG76" i="1"/>
  <c r="BL75" i="1"/>
  <c r="BH75" i="1"/>
  <c r="BI75" i="1" s="1"/>
  <c r="BG75" i="1"/>
  <c r="BK74" i="1"/>
  <c r="BJ74" i="1"/>
  <c r="BL74" i="1" s="1"/>
  <c r="BL73" i="1"/>
  <c r="BH73" i="1"/>
  <c r="BG73" i="1"/>
  <c r="BG74" i="1" s="1"/>
  <c r="BL72" i="1"/>
  <c r="BH72" i="1"/>
  <c r="BI72" i="1" s="1"/>
  <c r="BG72" i="1"/>
  <c r="BK70" i="1"/>
  <c r="BJ70" i="1"/>
  <c r="BJ71" i="1" s="1"/>
  <c r="BL69" i="1"/>
  <c r="BK69" i="1"/>
  <c r="BJ69" i="1"/>
  <c r="BK68" i="1"/>
  <c r="BJ68" i="1"/>
  <c r="BL68" i="1" s="1"/>
  <c r="BL67" i="1"/>
  <c r="BH67" i="1"/>
  <c r="BH70" i="1" s="1"/>
  <c r="BG67" i="1"/>
  <c r="BL66" i="1"/>
  <c r="BH66" i="1"/>
  <c r="BI66" i="1" s="1"/>
  <c r="BG66" i="1"/>
  <c r="BG69" i="1" s="1"/>
  <c r="BK65" i="1"/>
  <c r="BL65" i="1" s="1"/>
  <c r="BJ65" i="1"/>
  <c r="BL64" i="1"/>
  <c r="BH64" i="1"/>
  <c r="BG64" i="1"/>
  <c r="BG65" i="1" s="1"/>
  <c r="BL63" i="1"/>
  <c r="BH63" i="1"/>
  <c r="BI63" i="1" s="1"/>
  <c r="BG63" i="1"/>
  <c r="BK59" i="1"/>
  <c r="BJ59" i="1"/>
  <c r="BL59" i="1" s="1"/>
  <c r="BL58" i="1"/>
  <c r="BH58" i="1"/>
  <c r="BI58" i="1" s="1"/>
  <c r="BG58" i="1"/>
  <c r="BL57" i="1"/>
  <c r="BH57" i="1"/>
  <c r="BG57" i="1"/>
  <c r="BK56" i="1"/>
  <c r="BJ56" i="1"/>
  <c r="BL56" i="1" s="1"/>
  <c r="BL55" i="1"/>
  <c r="BH55" i="1"/>
  <c r="BH56" i="1" s="1"/>
  <c r="BG55" i="1"/>
  <c r="BL54" i="1"/>
  <c r="BH54" i="1"/>
  <c r="BG54" i="1"/>
  <c r="BK53" i="1"/>
  <c r="BL53" i="1" s="1"/>
  <c r="BJ53" i="1"/>
  <c r="BL52" i="1"/>
  <c r="BH52" i="1"/>
  <c r="BG52" i="1"/>
  <c r="BG53" i="1" s="1"/>
  <c r="BL51" i="1"/>
  <c r="BH51" i="1"/>
  <c r="BI51" i="1" s="1"/>
  <c r="BG51" i="1"/>
  <c r="BK50" i="1"/>
  <c r="BJ50" i="1"/>
  <c r="BL49" i="1"/>
  <c r="BH49" i="1"/>
  <c r="BG49" i="1"/>
  <c r="BG50" i="1" s="1"/>
  <c r="BL48" i="1"/>
  <c r="BH48" i="1"/>
  <c r="BI48" i="1" s="1"/>
  <c r="BG48" i="1"/>
  <c r="BL47" i="1"/>
  <c r="BK47" i="1"/>
  <c r="BJ47" i="1"/>
  <c r="BL46" i="1"/>
  <c r="BH46" i="1"/>
  <c r="BI46" i="1" s="1"/>
  <c r="BG46" i="1"/>
  <c r="BL45" i="1"/>
  <c r="BH45" i="1"/>
  <c r="BG45" i="1"/>
  <c r="BK44" i="1"/>
  <c r="BJ44" i="1"/>
  <c r="BL44" i="1" s="1"/>
  <c r="BL43" i="1"/>
  <c r="BH43" i="1"/>
  <c r="BH44" i="1" s="1"/>
  <c r="BG43" i="1"/>
  <c r="BL42" i="1"/>
  <c r="BH42" i="1"/>
  <c r="BG42" i="1"/>
  <c r="BJ40" i="1"/>
  <c r="BL39" i="1"/>
  <c r="BJ39" i="1"/>
  <c r="BK38" i="1"/>
  <c r="BJ38" i="1"/>
  <c r="BL37" i="1"/>
  <c r="BH37" i="1"/>
  <c r="BG37" i="1"/>
  <c r="BG38" i="1" s="1"/>
  <c r="BL36" i="1"/>
  <c r="BH36" i="1"/>
  <c r="BI36" i="1" s="1"/>
  <c r="BG36" i="1"/>
  <c r="BL35" i="1"/>
  <c r="BK35" i="1"/>
  <c r="BJ35" i="1"/>
  <c r="BL34" i="1"/>
  <c r="BH34" i="1"/>
  <c r="BI34" i="1" s="1"/>
  <c r="BG34" i="1"/>
  <c r="BL33" i="1"/>
  <c r="BH33" i="1"/>
  <c r="BG33" i="1"/>
  <c r="BG105" i="1" s="1"/>
  <c r="BK29" i="1"/>
  <c r="BJ29" i="1"/>
  <c r="BL28" i="1"/>
  <c r="BH28" i="1"/>
  <c r="BG28" i="1"/>
  <c r="BG29" i="1" s="1"/>
  <c r="BL27" i="1"/>
  <c r="BH27" i="1"/>
  <c r="BI27" i="1" s="1"/>
  <c r="BG27" i="1"/>
  <c r="BK26" i="1"/>
  <c r="BJ26" i="1"/>
  <c r="BL26" i="1" s="1"/>
  <c r="BL25" i="1"/>
  <c r="BH25" i="1"/>
  <c r="BG25" i="1"/>
  <c r="BG26" i="1" s="1"/>
  <c r="BL24" i="1"/>
  <c r="BH24" i="1"/>
  <c r="BI24" i="1" s="1"/>
  <c r="BG24" i="1"/>
  <c r="BK23" i="1"/>
  <c r="BL23" i="1" s="1"/>
  <c r="BJ23" i="1"/>
  <c r="BL22" i="1"/>
  <c r="BH22" i="1"/>
  <c r="BG22" i="1"/>
  <c r="BG23" i="1" s="1"/>
  <c r="BL21" i="1"/>
  <c r="BH21" i="1"/>
  <c r="BG21" i="1"/>
  <c r="BK20" i="1"/>
  <c r="BJ20" i="1"/>
  <c r="BL19" i="1"/>
  <c r="BH19" i="1"/>
  <c r="BH20" i="1" s="1"/>
  <c r="BG19" i="1"/>
  <c r="BG20" i="1" s="1"/>
  <c r="BL18" i="1"/>
  <c r="BH18" i="1"/>
  <c r="BG18" i="1"/>
  <c r="BL17" i="1"/>
  <c r="BK17" i="1"/>
  <c r="BJ17" i="1"/>
  <c r="BL16" i="1"/>
  <c r="BH16" i="1"/>
  <c r="BI16" i="1" s="1"/>
  <c r="BG16" i="1"/>
  <c r="BL15" i="1"/>
  <c r="BH15" i="1"/>
  <c r="BG15" i="1"/>
  <c r="BK14" i="1"/>
  <c r="BJ14" i="1"/>
  <c r="BL14" i="1" s="1"/>
  <c r="BL13" i="1"/>
  <c r="BH13" i="1"/>
  <c r="BH14" i="1" s="1"/>
  <c r="BG13" i="1"/>
  <c r="BL12" i="1"/>
  <c r="BH12" i="1"/>
  <c r="BG12" i="1"/>
  <c r="BK10" i="1"/>
  <c r="BJ10" i="1"/>
  <c r="BK9" i="1"/>
  <c r="BJ9" i="1"/>
  <c r="BK8" i="1"/>
  <c r="BJ8" i="1"/>
  <c r="BL7" i="1"/>
  <c r="BH7" i="1"/>
  <c r="BG7" i="1"/>
  <c r="BG8" i="1" s="1"/>
  <c r="BL6" i="1"/>
  <c r="BH6" i="1"/>
  <c r="BI6" i="1" s="1"/>
  <c r="BG6" i="1"/>
  <c r="BI55" i="13"/>
  <c r="BL55" i="13" s="1"/>
  <c r="BH55" i="13"/>
  <c r="BI54" i="13"/>
  <c r="BH54" i="13"/>
  <c r="BK54" i="13" s="1"/>
  <c r="BI52" i="13"/>
  <c r="BL52" i="13" s="1"/>
  <c r="BH52" i="13"/>
  <c r="BK52" i="13" s="1"/>
  <c r="BI51" i="13"/>
  <c r="BL51" i="13" s="1"/>
  <c r="BM51" i="13" s="1"/>
  <c r="BH51" i="13"/>
  <c r="BK51" i="13" s="1"/>
  <c r="BI49" i="13"/>
  <c r="BL49" i="13" s="1"/>
  <c r="BH49" i="13"/>
  <c r="BK49" i="13" s="1"/>
  <c r="BI48" i="13"/>
  <c r="BH48" i="13"/>
  <c r="BK48" i="13" s="1"/>
  <c r="BI46" i="13"/>
  <c r="BL46" i="13" s="1"/>
  <c r="BH46" i="13"/>
  <c r="BI45" i="13"/>
  <c r="BH45" i="13"/>
  <c r="BK45" i="13" s="1"/>
  <c r="BI43" i="13"/>
  <c r="BL43" i="13" s="1"/>
  <c r="BH43" i="13"/>
  <c r="BI42" i="13"/>
  <c r="BH42" i="13"/>
  <c r="BK42" i="13" s="1"/>
  <c r="BI40" i="13"/>
  <c r="BL40" i="13" s="1"/>
  <c r="BH40" i="13"/>
  <c r="BK40" i="13" s="1"/>
  <c r="BI39" i="13"/>
  <c r="BL39" i="13" s="1"/>
  <c r="BM39" i="13" s="1"/>
  <c r="BH39" i="13"/>
  <c r="BK39" i="13" s="1"/>
  <c r="BI37" i="13"/>
  <c r="BL37" i="13" s="1"/>
  <c r="BH37" i="13"/>
  <c r="BK37" i="13" s="1"/>
  <c r="BI36" i="13"/>
  <c r="BH36" i="13"/>
  <c r="BK36" i="13" s="1"/>
  <c r="BI25" i="13"/>
  <c r="BL25" i="13" s="1"/>
  <c r="BH25" i="13"/>
  <c r="BK25" i="13" s="1"/>
  <c r="BI24" i="13"/>
  <c r="BL24" i="13" s="1"/>
  <c r="BM24" i="13" s="1"/>
  <c r="BH24" i="13"/>
  <c r="BK24" i="13" s="1"/>
  <c r="BI22" i="13"/>
  <c r="BL22" i="13" s="1"/>
  <c r="BH22" i="13"/>
  <c r="BK22" i="13" s="1"/>
  <c r="BI21" i="13"/>
  <c r="BL21" i="13" s="1"/>
  <c r="BM21" i="13" s="1"/>
  <c r="BH21" i="13"/>
  <c r="BK21" i="13" s="1"/>
  <c r="BI19" i="13"/>
  <c r="BL19" i="13" s="1"/>
  <c r="BH19" i="13"/>
  <c r="BK19" i="13" s="1"/>
  <c r="BI18" i="13"/>
  <c r="BL18" i="13" s="1"/>
  <c r="BM18" i="13" s="1"/>
  <c r="BH18" i="13"/>
  <c r="BK18" i="13" s="1"/>
  <c r="BI16" i="13"/>
  <c r="BL16" i="13" s="1"/>
  <c r="BH16" i="13"/>
  <c r="BK16" i="13" s="1"/>
  <c r="BI15" i="13"/>
  <c r="BL15" i="13" s="1"/>
  <c r="BM15" i="13" s="1"/>
  <c r="BH15" i="13"/>
  <c r="BK15" i="13" s="1"/>
  <c r="BI13" i="13"/>
  <c r="BL13" i="13" s="1"/>
  <c r="BH13" i="13"/>
  <c r="BK13" i="13" s="1"/>
  <c r="BI12" i="13"/>
  <c r="BL12" i="13" s="1"/>
  <c r="BM12" i="13" s="1"/>
  <c r="BH12" i="13"/>
  <c r="BK12" i="13" s="1"/>
  <c r="BI10" i="13"/>
  <c r="BL10" i="13" s="1"/>
  <c r="BH10" i="13"/>
  <c r="BK10" i="13" s="1"/>
  <c r="BI9" i="13"/>
  <c r="BL9" i="13" s="1"/>
  <c r="BM9" i="13" s="1"/>
  <c r="BH9" i="13"/>
  <c r="BK9" i="13" s="1"/>
  <c r="BI7" i="13"/>
  <c r="BL7" i="13" s="1"/>
  <c r="BH7" i="13"/>
  <c r="BK7" i="13" s="1"/>
  <c r="BI6" i="13"/>
  <c r="BL6" i="13" s="1"/>
  <c r="BM6" i="13" s="1"/>
  <c r="BH6" i="13"/>
  <c r="BK6" i="13" s="1"/>
  <c r="BJ54" i="13" l="1"/>
  <c r="BL54" i="13"/>
  <c r="BM54" i="13" s="1"/>
  <c r="BL39" i="2"/>
  <c r="BN39" i="2"/>
  <c r="BK60" i="2"/>
  <c r="DH37" i="12"/>
  <c r="BM9" i="1"/>
  <c r="BM10" i="1"/>
  <c r="BM31" i="1" s="1"/>
  <c r="BH69" i="1"/>
  <c r="BI69" i="1" s="1"/>
  <c r="BL10" i="2"/>
  <c r="BN10" i="2"/>
  <c r="BG17" i="2"/>
  <c r="BI16" i="2"/>
  <c r="BH105" i="2"/>
  <c r="BI33" i="2"/>
  <c r="BH47" i="2"/>
  <c r="BI46" i="2"/>
  <c r="BG78" i="2"/>
  <c r="BH83" i="2"/>
  <c r="BI82" i="2"/>
  <c r="BK8" i="13"/>
  <c r="BK11" i="13"/>
  <c r="BK14" i="13"/>
  <c r="BK17" i="13"/>
  <c r="BK20" i="13"/>
  <c r="BK23" i="13"/>
  <c r="BK26" i="13"/>
  <c r="BK38" i="13"/>
  <c r="BK41" i="13"/>
  <c r="BH44" i="13"/>
  <c r="BK43" i="13"/>
  <c r="BK44" i="13" s="1"/>
  <c r="BH47" i="13"/>
  <c r="BK46" i="13"/>
  <c r="BK47" i="13" s="1"/>
  <c r="BK50" i="13"/>
  <c r="BK53" i="13"/>
  <c r="BH56" i="13"/>
  <c r="BK55" i="13"/>
  <c r="BK56" i="13" s="1"/>
  <c r="BL8" i="1"/>
  <c r="BK30" i="1"/>
  <c r="BN9" i="1"/>
  <c r="BK31" i="1"/>
  <c r="BN10" i="1"/>
  <c r="BG14" i="1"/>
  <c r="BG17" i="1"/>
  <c r="BL20" i="1"/>
  <c r="BI33" i="1"/>
  <c r="BH38" i="1"/>
  <c r="BI38" i="1" s="1"/>
  <c r="BI42" i="1"/>
  <c r="BI45" i="1"/>
  <c r="BH50" i="1"/>
  <c r="BI52" i="1"/>
  <c r="BG56" i="1"/>
  <c r="BG59" i="1"/>
  <c r="BG79" i="1"/>
  <c r="BL77" i="1"/>
  <c r="BJ30" i="2"/>
  <c r="BM9" i="2"/>
  <c r="BM30" i="2" s="1"/>
  <c r="BI14" i="2"/>
  <c r="BI45" i="2"/>
  <c r="BG101" i="2"/>
  <c r="BI100" i="2"/>
  <c r="BL11" i="13"/>
  <c r="BM11" i="13" s="1"/>
  <c r="BM10" i="13"/>
  <c r="BM16" i="13"/>
  <c r="BL17" i="13"/>
  <c r="BM17" i="13" s="1"/>
  <c r="BM22" i="13"/>
  <c r="BL23" i="13"/>
  <c r="BM23" i="13" s="1"/>
  <c r="BM25" i="13"/>
  <c r="BL26" i="13"/>
  <c r="BM26" i="13" s="1"/>
  <c r="BM37" i="13"/>
  <c r="BL41" i="13"/>
  <c r="BM41" i="13" s="1"/>
  <c r="BM40" i="13"/>
  <c r="BM43" i="13"/>
  <c r="BM46" i="13"/>
  <c r="BM49" i="13"/>
  <c r="BM52" i="13"/>
  <c r="BL53" i="13"/>
  <c r="BM53" i="13" s="1"/>
  <c r="BM55" i="13"/>
  <c r="BL56" i="13"/>
  <c r="BM56" i="13" s="1"/>
  <c r="BL9" i="1"/>
  <c r="BI14" i="1"/>
  <c r="BM39" i="1"/>
  <c r="BM40" i="1"/>
  <c r="BM61" i="1" s="1"/>
  <c r="BI56" i="1"/>
  <c r="BL78" i="1"/>
  <c r="BG83" i="1"/>
  <c r="BL86" i="1"/>
  <c r="BL89" i="1"/>
  <c r="BH92" i="1"/>
  <c r="BG96" i="1"/>
  <c r="BL96" i="1"/>
  <c r="BG101" i="1"/>
  <c r="BL9" i="2"/>
  <c r="BN9" i="2"/>
  <c r="BK30" i="2"/>
  <c r="BL30" i="2" s="1"/>
  <c r="BH23" i="2"/>
  <c r="BG26" i="2"/>
  <c r="BG29" i="2"/>
  <c r="BI28" i="2"/>
  <c r="BI54" i="2"/>
  <c r="BH56" i="2"/>
  <c r="BH59" i="2"/>
  <c r="BI58" i="2"/>
  <c r="BG96" i="2"/>
  <c r="BI99" i="2"/>
  <c r="BJ36" i="13"/>
  <c r="BL36" i="13"/>
  <c r="BM36" i="13" s="1"/>
  <c r="BJ42" i="13"/>
  <c r="BL42" i="13"/>
  <c r="BM42" i="13" s="1"/>
  <c r="BJ45" i="13"/>
  <c r="BL45" i="13"/>
  <c r="BM45" i="13" s="1"/>
  <c r="BJ48" i="13"/>
  <c r="BL48" i="13"/>
  <c r="BM48" i="13" s="1"/>
  <c r="BL8" i="13"/>
  <c r="BM8" i="13" s="1"/>
  <c r="BM7" i="13"/>
  <c r="BM13" i="13"/>
  <c r="BL14" i="13"/>
  <c r="BM14" i="13" s="1"/>
  <c r="BM19" i="13"/>
  <c r="BL20" i="13"/>
  <c r="BM20" i="13" s="1"/>
  <c r="BH8" i="1"/>
  <c r="BI8" i="1" s="1"/>
  <c r="BI12" i="1"/>
  <c r="BI15" i="1"/>
  <c r="BI22" i="1"/>
  <c r="BL29" i="1"/>
  <c r="BI26" i="2"/>
  <c r="BG105" i="2"/>
  <c r="BH106" i="2"/>
  <c r="BI34" i="2"/>
  <c r="BG47" i="2"/>
  <c r="BG79" i="2"/>
  <c r="BG80" i="2" s="1"/>
  <c r="BI76" i="2"/>
  <c r="BK98" i="1"/>
  <c r="BH8" i="2"/>
  <c r="BJ31" i="2"/>
  <c r="BJ32" i="2" s="1"/>
  <c r="BM10" i="2"/>
  <c r="BI18" i="2"/>
  <c r="BH20" i="2"/>
  <c r="BG23" i="2"/>
  <c r="BJ60" i="2"/>
  <c r="BM39" i="2"/>
  <c r="BM60" i="2" s="1"/>
  <c r="BL40" i="2"/>
  <c r="BN40" i="2"/>
  <c r="BG44" i="2"/>
  <c r="BH53" i="2"/>
  <c r="BG56" i="2"/>
  <c r="BG65" i="2"/>
  <c r="BJ71" i="2"/>
  <c r="BI96" i="2"/>
  <c r="BI102" i="2"/>
  <c r="BH104" i="2"/>
  <c r="DK15" i="12"/>
  <c r="DK19" i="12"/>
  <c r="DK23" i="12"/>
  <c r="DK27" i="12"/>
  <c r="DK31" i="12"/>
  <c r="DK35" i="12"/>
  <c r="DK39" i="12"/>
  <c r="DK43" i="12"/>
  <c r="DK47" i="12"/>
  <c r="DK51" i="12"/>
  <c r="DK55" i="12"/>
  <c r="DK65" i="12"/>
  <c r="BF5" i="7"/>
  <c r="BF9" i="7"/>
  <c r="BF19" i="7"/>
  <c r="BF23" i="7"/>
  <c r="BF43" i="7"/>
  <c r="BF51" i="7"/>
  <c r="BF55" i="7"/>
  <c r="BF59" i="7"/>
  <c r="BD81" i="7"/>
  <c r="BF109" i="7"/>
  <c r="BD155" i="7"/>
  <c r="BF170" i="7"/>
  <c r="BI201" i="7"/>
  <c r="BF261" i="7"/>
  <c r="BG20" i="8"/>
  <c r="BG32" i="8"/>
  <c r="BG36" i="8"/>
  <c r="BF47" i="8"/>
  <c r="BG52" i="8"/>
  <c r="BE70" i="8"/>
  <c r="BE96" i="8"/>
  <c r="BF7" i="9"/>
  <c r="BF11" i="9"/>
  <c r="BF15" i="9"/>
  <c r="BD48" i="9"/>
  <c r="BI48" i="9"/>
  <c r="BE27" i="10"/>
  <c r="BE90" i="10"/>
  <c r="BG67" i="10"/>
  <c r="BG71" i="10"/>
  <c r="BG75" i="10"/>
  <c r="BG113" i="10"/>
  <c r="BG117" i="10"/>
  <c r="BF129" i="10"/>
  <c r="BG132" i="10"/>
  <c r="BG136" i="10"/>
  <c r="BJ154" i="10"/>
  <c r="BE204" i="10"/>
  <c r="BE245" i="10"/>
  <c r="BJ276" i="10"/>
  <c r="BG304" i="10"/>
  <c r="BG308" i="10"/>
  <c r="BG59" i="2"/>
  <c r="BH65" i="2"/>
  <c r="BG74" i="2"/>
  <c r="BI74" i="2" s="1"/>
  <c r="BG83" i="2"/>
  <c r="BE17" i="7"/>
  <c r="BF8" i="7"/>
  <c r="BF18" i="7"/>
  <c r="BF22" i="7"/>
  <c r="BE34" i="7"/>
  <c r="BF42" i="7"/>
  <c r="BF46" i="7"/>
  <c r="BF50" i="7"/>
  <c r="BF54" i="7"/>
  <c r="BF58" i="7"/>
  <c r="BE81" i="7"/>
  <c r="BG96" i="8"/>
  <c r="BF11" i="10"/>
  <c r="BF46" i="11"/>
  <c r="BF32" i="11"/>
  <c r="BF36" i="11"/>
  <c r="BD46" i="11"/>
  <c r="BF54" i="11"/>
  <c r="BF58" i="11"/>
  <c r="BE70" i="11"/>
  <c r="BF82" i="11"/>
  <c r="BI90" i="11"/>
  <c r="BF117" i="11"/>
  <c r="BI122" i="11"/>
  <c r="BF129" i="11"/>
  <c r="BE139" i="11"/>
  <c r="BF139" i="11" s="1"/>
  <c r="BF140" i="11"/>
  <c r="BF150" i="11"/>
  <c r="BF154" i="11"/>
  <c r="BF158" i="11"/>
  <c r="BF162" i="11"/>
  <c r="BE168" i="11"/>
  <c r="BF170" i="11"/>
  <c r="BF174" i="11"/>
  <c r="BF178" i="11"/>
  <c r="BF27" i="14"/>
  <c r="BI114" i="7"/>
  <c r="BF131" i="7"/>
  <c r="BF141" i="7"/>
  <c r="BF145" i="7"/>
  <c r="BF149" i="7"/>
  <c r="BF153" i="7"/>
  <c r="BE155" i="7"/>
  <c r="BF160" i="7"/>
  <c r="BF193" i="7"/>
  <c r="BE216" i="7"/>
  <c r="BF207" i="7"/>
  <c r="BF211" i="7"/>
  <c r="BF215" i="7"/>
  <c r="BF225" i="7"/>
  <c r="BF229" i="7"/>
  <c r="BF233" i="7"/>
  <c r="BF237" i="7"/>
  <c r="BF241" i="7"/>
  <c r="BF245" i="7"/>
  <c r="BI249" i="7"/>
  <c r="BE265" i="7"/>
  <c r="BI265" i="7"/>
  <c r="BE47" i="8"/>
  <c r="BG34" i="8"/>
  <c r="BG50" i="8"/>
  <c r="BG54" i="8"/>
  <c r="BG62" i="8"/>
  <c r="BG71" i="8"/>
  <c r="BG72" i="8"/>
  <c r="BD32" i="9"/>
  <c r="BF26" i="9"/>
  <c r="BG12" i="10"/>
  <c r="BG20" i="10"/>
  <c r="BJ27" i="10"/>
  <c r="BG31" i="10"/>
  <c r="BG35" i="10"/>
  <c r="BG39" i="10"/>
  <c r="BM60" i="10"/>
  <c r="BG69" i="10"/>
  <c r="BG73" i="10"/>
  <c r="BG77" i="10"/>
  <c r="BG130" i="10"/>
  <c r="BG134" i="10"/>
  <c r="BG163" i="10"/>
  <c r="BG167" i="10"/>
  <c r="BG171" i="10"/>
  <c r="BG179" i="10"/>
  <c r="BG183" i="10"/>
  <c r="BG187" i="10"/>
  <c r="BG191" i="10"/>
  <c r="BG195" i="10"/>
  <c r="BG199" i="10"/>
  <c r="BG203" i="10"/>
  <c r="BG212" i="10"/>
  <c r="BG216" i="10"/>
  <c r="BG228" i="10"/>
  <c r="BG232" i="10"/>
  <c r="BG236" i="10"/>
  <c r="BG240" i="10"/>
  <c r="BE276" i="10"/>
  <c r="BG278" i="10"/>
  <c r="BG282" i="10"/>
  <c r="BG286" i="10"/>
  <c r="BG290" i="10"/>
  <c r="BF296" i="10"/>
  <c r="BG296" i="10" s="1"/>
  <c r="BF322" i="10"/>
  <c r="BF5" i="11"/>
  <c r="BF9" i="11"/>
  <c r="BF13" i="11"/>
  <c r="BF24" i="11"/>
  <c r="BE26" i="11"/>
  <c r="BF26" i="11" s="1"/>
  <c r="BF31" i="11"/>
  <c r="BF47" i="11"/>
  <c r="BF57" i="11"/>
  <c r="BF72" i="11"/>
  <c r="BF76" i="11"/>
  <c r="BD90" i="11"/>
  <c r="BF81" i="11"/>
  <c r="BF120" i="11"/>
  <c r="BD139" i="11"/>
  <c r="BF128" i="11"/>
  <c r="BF169" i="11"/>
  <c r="BF173" i="11"/>
  <c r="BF177" i="11"/>
  <c r="BF5" i="14"/>
  <c r="BF9" i="14"/>
  <c r="BE34" i="14"/>
  <c r="BF34" i="14" s="1"/>
  <c r="BF5" i="16"/>
  <c r="BD23" i="16"/>
  <c r="BI18" i="1"/>
  <c r="BI21" i="1"/>
  <c r="BH26" i="1"/>
  <c r="BI26" i="1" s="1"/>
  <c r="BI28" i="1"/>
  <c r="BG106" i="1"/>
  <c r="BG107" i="1" s="1"/>
  <c r="BL38" i="1"/>
  <c r="BK60" i="1"/>
  <c r="BN39" i="1"/>
  <c r="BK61" i="1"/>
  <c r="BN40" i="1"/>
  <c r="BG44" i="1"/>
  <c r="BG47" i="1"/>
  <c r="BL50" i="1"/>
  <c r="BI54" i="1"/>
  <c r="BI57" i="1"/>
  <c r="BI64" i="1"/>
  <c r="BG70" i="1"/>
  <c r="BG71" i="1" s="1"/>
  <c r="BK71" i="1"/>
  <c r="BL71" i="1" s="1"/>
  <c r="BH74" i="1"/>
  <c r="BI74" i="1" s="1"/>
  <c r="BG78" i="1"/>
  <c r="BI76" i="1"/>
  <c r="BK80" i="1"/>
  <c r="BI84" i="1"/>
  <c r="BG92" i="1"/>
  <c r="BG97" i="1"/>
  <c r="BG98" i="1" s="1"/>
  <c r="BI99" i="1"/>
  <c r="BH104" i="1"/>
  <c r="BI104" i="1" s="1"/>
  <c r="BL106" i="1"/>
  <c r="BG8" i="2"/>
  <c r="BL8" i="2"/>
  <c r="BH17" i="2"/>
  <c r="BI17" i="2" s="1"/>
  <c r="BL17" i="2"/>
  <c r="BG20" i="2"/>
  <c r="BL20" i="2"/>
  <c r="BH29" i="2"/>
  <c r="BL29" i="2"/>
  <c r="BH38" i="2"/>
  <c r="BJ61" i="2"/>
  <c r="BM40" i="2"/>
  <c r="BI48" i="2"/>
  <c r="BH50" i="2"/>
  <c r="BI50" i="2" s="1"/>
  <c r="BG53" i="2"/>
  <c r="BL69" i="2"/>
  <c r="BH78" i="2"/>
  <c r="BI78" i="2" s="1"/>
  <c r="BH79" i="2"/>
  <c r="BI79" i="2" s="1"/>
  <c r="BL77" i="2"/>
  <c r="BJ80" i="2"/>
  <c r="BL80" i="2" s="1"/>
  <c r="BI84" i="2"/>
  <c r="BI90" i="2"/>
  <c r="BH92" i="2"/>
  <c r="BG97" i="2"/>
  <c r="BG98" i="2" s="1"/>
  <c r="BK98" i="2"/>
  <c r="BH101" i="2"/>
  <c r="BI101" i="2" s="1"/>
  <c r="BL101" i="2"/>
  <c r="BG104" i="2"/>
  <c r="BL104" i="2"/>
  <c r="BL106" i="2"/>
  <c r="DM58" i="12"/>
  <c r="DS60" i="12"/>
  <c r="DS61" i="12"/>
  <c r="DM14" i="12"/>
  <c r="DM20" i="12"/>
  <c r="DM18" i="12"/>
  <c r="DS20" i="12"/>
  <c r="DS21" i="12"/>
  <c r="DM22" i="12"/>
  <c r="DM28" i="12"/>
  <c r="DM26" i="12"/>
  <c r="DS28" i="12"/>
  <c r="DS29" i="12"/>
  <c r="DM30" i="12"/>
  <c r="DM36" i="12"/>
  <c r="DM34" i="12"/>
  <c r="DS36" i="12"/>
  <c r="DS37" i="12"/>
  <c r="DM38" i="12"/>
  <c r="DM44" i="12"/>
  <c r="DM42" i="12"/>
  <c r="DS44" i="12"/>
  <c r="DS45" i="12"/>
  <c r="DM46" i="12"/>
  <c r="DM52" i="12"/>
  <c r="DM50" i="12"/>
  <c r="DS52" i="12"/>
  <c r="DS53" i="12"/>
  <c r="DM54" i="12"/>
  <c r="DS58" i="12"/>
  <c r="DS59" i="12"/>
  <c r="DM64" i="12"/>
  <c r="BF6" i="7"/>
  <c r="BF20" i="7"/>
  <c r="BF44" i="7"/>
  <c r="BF48" i="7"/>
  <c r="BF52" i="7"/>
  <c r="BF56" i="7"/>
  <c r="BE114" i="7"/>
  <c r="BF107" i="7"/>
  <c r="BD130" i="7"/>
  <c r="BE130" i="7"/>
  <c r="BI155" i="7"/>
  <c r="BF181" i="7"/>
  <c r="BF199" i="7"/>
  <c r="BE201" i="7"/>
  <c r="BF224" i="7"/>
  <c r="BF228" i="7"/>
  <c r="BF232" i="7"/>
  <c r="BF236" i="7"/>
  <c r="BF240" i="7"/>
  <c r="BF244" i="7"/>
  <c r="BF28" i="8"/>
  <c r="BF8" i="9"/>
  <c r="BF12" i="9"/>
  <c r="BF16" i="9"/>
  <c r="BF35" i="9"/>
  <c r="BE47" i="10"/>
  <c r="BF47" i="10"/>
  <c r="BF58" i="10"/>
  <c r="BG58" i="10" s="1"/>
  <c r="BJ60" i="10"/>
  <c r="BF104" i="10"/>
  <c r="BG105" i="10"/>
  <c r="BG114" i="10"/>
  <c r="BG118" i="10"/>
  <c r="BG133" i="10"/>
  <c r="BF152" i="10"/>
  <c r="BG145" i="10"/>
  <c r="BG166" i="10"/>
  <c r="BJ178" i="10"/>
  <c r="BJ206" i="10"/>
  <c r="BJ245" i="10"/>
  <c r="BG277" i="10"/>
  <c r="BG281" i="10"/>
  <c r="BG285" i="10"/>
  <c r="BG289" i="10"/>
  <c r="BG293" i="10"/>
  <c r="BG297" i="10"/>
  <c r="BG305" i="10"/>
  <c r="BG309" i="10"/>
  <c r="BE342" i="10"/>
  <c r="BI26" i="11"/>
  <c r="BI46" i="11"/>
  <c r="BF56" i="11"/>
  <c r="BF71" i="11"/>
  <c r="BF75" i="11"/>
  <c r="BF122" i="11"/>
  <c r="BD168" i="11"/>
  <c r="BF148" i="11"/>
  <c r="BF152" i="11"/>
  <c r="BF156" i="11"/>
  <c r="BF160" i="11"/>
  <c r="BF19" i="14"/>
  <c r="BE23" i="16"/>
  <c r="BF6" i="14"/>
  <c r="BD17" i="14"/>
  <c r="BF17" i="14" s="1"/>
  <c r="AH358" i="24"/>
  <c r="F328" i="23"/>
  <c r="G328" i="23" s="1"/>
  <c r="AI329" i="24"/>
  <c r="F329" i="23"/>
  <c r="G329" i="23" s="1"/>
  <c r="AI330" i="24"/>
  <c r="F330" i="23"/>
  <c r="G330" i="23" s="1"/>
  <c r="AI331" i="24"/>
  <c r="F331" i="23"/>
  <c r="G331" i="23" s="1"/>
  <c r="AI332" i="24"/>
  <c r="F332" i="23"/>
  <c r="G332" i="23" s="1"/>
  <c r="AI333" i="24"/>
  <c r="F333" i="23"/>
  <c r="G333" i="23" s="1"/>
  <c r="AI334" i="24"/>
  <c r="F334" i="23"/>
  <c r="G334" i="23" s="1"/>
  <c r="AI335" i="24"/>
  <c r="F335" i="23"/>
  <c r="G335" i="23" s="1"/>
  <c r="AI336" i="24"/>
  <c r="F336" i="23"/>
  <c r="G336" i="23" s="1"/>
  <c r="AI337" i="24"/>
  <c r="F337" i="23"/>
  <c r="G337" i="23" s="1"/>
  <c r="AI338" i="24"/>
  <c r="F338" i="23"/>
  <c r="G338" i="23" s="1"/>
  <c r="AI339" i="24"/>
  <c r="F339" i="23"/>
  <c r="G339" i="23" s="1"/>
  <c r="AI340" i="24"/>
  <c r="F340" i="23"/>
  <c r="G340" i="23" s="1"/>
  <c r="AI341" i="24"/>
  <c r="F341" i="23"/>
  <c r="G341" i="23" s="1"/>
  <c r="AI342" i="24"/>
  <c r="F342" i="23"/>
  <c r="G342" i="23" s="1"/>
  <c r="AI343" i="24"/>
  <c r="F343" i="23"/>
  <c r="G343" i="23" s="1"/>
  <c r="AI344" i="24"/>
  <c r="F344" i="23"/>
  <c r="G344" i="23" s="1"/>
  <c r="AI345" i="24"/>
  <c r="F345" i="23"/>
  <c r="G345" i="23" s="1"/>
  <c r="AI346" i="24"/>
  <c r="F346" i="23"/>
  <c r="G346" i="23" s="1"/>
  <c r="AI347" i="24"/>
  <c r="F347" i="23"/>
  <c r="G347" i="23" s="1"/>
  <c r="AI348" i="24"/>
  <c r="F348" i="23"/>
  <c r="G348" i="23" s="1"/>
  <c r="AI349" i="24"/>
  <c r="F349" i="23"/>
  <c r="G349" i="23" s="1"/>
  <c r="AI350" i="24"/>
  <c r="F350" i="23"/>
  <c r="G350" i="23" s="1"/>
  <c r="AI351" i="24"/>
  <c r="F351" i="23"/>
  <c r="G351" i="23" s="1"/>
  <c r="AI352" i="24"/>
  <c r="F352" i="23"/>
  <c r="G352" i="23" s="1"/>
  <c r="AI353" i="24"/>
  <c r="F353" i="23"/>
  <c r="G353" i="23" s="1"/>
  <c r="AI354" i="24"/>
  <c r="F354" i="23"/>
  <c r="G354" i="23" s="1"/>
  <c r="AI355" i="24"/>
  <c r="F355" i="23"/>
  <c r="G355" i="23" s="1"/>
  <c r="AI356" i="24"/>
  <c r="F356" i="23"/>
  <c r="G356" i="23" s="1"/>
  <c r="AI357" i="24"/>
  <c r="F357" i="23"/>
  <c r="G357" i="23" s="1"/>
  <c r="AI359" i="24"/>
  <c r="F359" i="23"/>
  <c r="AF358" i="24"/>
  <c r="D328" i="23"/>
  <c r="AG329" i="24"/>
  <c r="D329" i="23"/>
  <c r="E329" i="23" s="1"/>
  <c r="AG330" i="24"/>
  <c r="D330" i="23"/>
  <c r="E330" i="23" s="1"/>
  <c r="AG331" i="24"/>
  <c r="D331" i="23"/>
  <c r="E331" i="23" s="1"/>
  <c r="AG332" i="24"/>
  <c r="D332" i="23"/>
  <c r="E332" i="23" s="1"/>
  <c r="AG333" i="24"/>
  <c r="D333" i="23"/>
  <c r="E333" i="23" s="1"/>
  <c r="AG334" i="24"/>
  <c r="D334" i="23"/>
  <c r="E334" i="23" s="1"/>
  <c r="AG335" i="24"/>
  <c r="D335" i="23"/>
  <c r="E335" i="23" s="1"/>
  <c r="AG336" i="24"/>
  <c r="D336" i="23"/>
  <c r="E336" i="23" s="1"/>
  <c r="AG337" i="24"/>
  <c r="D337" i="23"/>
  <c r="E337" i="23" s="1"/>
  <c r="AG338" i="24"/>
  <c r="D338" i="23"/>
  <c r="E338" i="23" s="1"/>
  <c r="AG339" i="24"/>
  <c r="D339" i="23"/>
  <c r="E339" i="23" s="1"/>
  <c r="AG340" i="24"/>
  <c r="D340" i="23"/>
  <c r="E340" i="23" s="1"/>
  <c r="AG341" i="24"/>
  <c r="D341" i="23"/>
  <c r="E341" i="23" s="1"/>
  <c r="AG342" i="24"/>
  <c r="D342" i="23"/>
  <c r="E342" i="23" s="1"/>
  <c r="AG343" i="24"/>
  <c r="D343" i="23"/>
  <c r="E343" i="23" s="1"/>
  <c r="AG344" i="24"/>
  <c r="D344" i="23"/>
  <c r="E344" i="23" s="1"/>
  <c r="AG345" i="24"/>
  <c r="D345" i="23"/>
  <c r="E345" i="23" s="1"/>
  <c r="AG346" i="24"/>
  <c r="D346" i="23"/>
  <c r="E346" i="23" s="1"/>
  <c r="AG347" i="24"/>
  <c r="D347" i="23"/>
  <c r="E347" i="23" s="1"/>
  <c r="AG348" i="24"/>
  <c r="D348" i="23"/>
  <c r="E348" i="23" s="1"/>
  <c r="AG349" i="24"/>
  <c r="D349" i="23"/>
  <c r="E349" i="23" s="1"/>
  <c r="AG350" i="24"/>
  <c r="D350" i="23"/>
  <c r="E350" i="23" s="1"/>
  <c r="AG351" i="24"/>
  <c r="D351" i="23"/>
  <c r="E351" i="23" s="1"/>
  <c r="AG352" i="24"/>
  <c r="D352" i="23"/>
  <c r="E352" i="23" s="1"/>
  <c r="AG353" i="24"/>
  <c r="D353" i="23"/>
  <c r="E353" i="23" s="1"/>
  <c r="AG354" i="24"/>
  <c r="D354" i="23"/>
  <c r="E354" i="23" s="1"/>
  <c r="AG355" i="24"/>
  <c r="D355" i="23"/>
  <c r="E355" i="23" s="1"/>
  <c r="AG356" i="24"/>
  <c r="D356" i="23"/>
  <c r="E356" i="23" s="1"/>
  <c r="AG357" i="24"/>
  <c r="D357" i="23"/>
  <c r="E357" i="23" s="1"/>
  <c r="AG359" i="24"/>
  <c r="D359" i="23"/>
  <c r="E359" i="23" s="1"/>
  <c r="C358" i="23"/>
  <c r="AD358" i="24"/>
  <c r="B328" i="23"/>
  <c r="B358" i="23" s="1"/>
  <c r="AH358" i="22"/>
  <c r="F328" i="20"/>
  <c r="G328" i="20" s="1"/>
  <c r="AI329" i="22"/>
  <c r="F329" i="20"/>
  <c r="G329" i="20" s="1"/>
  <c r="AI330" i="22"/>
  <c r="F330" i="20"/>
  <c r="G330" i="20" s="1"/>
  <c r="AI331" i="22"/>
  <c r="F331" i="20"/>
  <c r="G331" i="20" s="1"/>
  <c r="AI332" i="22"/>
  <c r="F332" i="20"/>
  <c r="G332" i="20" s="1"/>
  <c r="AI333" i="22"/>
  <c r="F333" i="20"/>
  <c r="G333" i="20" s="1"/>
  <c r="AI334" i="22"/>
  <c r="F334" i="20"/>
  <c r="G334" i="20" s="1"/>
  <c r="AI335" i="22"/>
  <c r="F335" i="20"/>
  <c r="G335" i="20" s="1"/>
  <c r="AI336" i="22"/>
  <c r="F336" i="20"/>
  <c r="G336" i="20" s="1"/>
  <c r="AI337" i="22"/>
  <c r="F337" i="20"/>
  <c r="G337" i="20" s="1"/>
  <c r="AI338" i="22"/>
  <c r="F338" i="20"/>
  <c r="G338" i="20" s="1"/>
  <c r="AI339" i="22"/>
  <c r="F339" i="20"/>
  <c r="G339" i="20" s="1"/>
  <c r="AI340" i="22"/>
  <c r="F340" i="20"/>
  <c r="G340" i="20" s="1"/>
  <c r="AI341" i="22"/>
  <c r="F341" i="20"/>
  <c r="G341" i="20" s="1"/>
  <c r="AI342" i="22"/>
  <c r="F342" i="20"/>
  <c r="G342" i="20" s="1"/>
  <c r="AI343" i="22"/>
  <c r="F343" i="20"/>
  <c r="G343" i="20" s="1"/>
  <c r="AI344" i="22"/>
  <c r="F344" i="20"/>
  <c r="G344" i="20" s="1"/>
  <c r="AI345" i="22"/>
  <c r="F345" i="20"/>
  <c r="G345" i="20" s="1"/>
  <c r="AI346" i="22"/>
  <c r="F346" i="20"/>
  <c r="G346" i="20" s="1"/>
  <c r="AI347" i="22"/>
  <c r="F347" i="20"/>
  <c r="G347" i="20" s="1"/>
  <c r="AI348" i="22"/>
  <c r="F348" i="20"/>
  <c r="G348" i="20" s="1"/>
  <c r="AI349" i="22"/>
  <c r="F349" i="20"/>
  <c r="G349" i="20" s="1"/>
  <c r="AI350" i="22"/>
  <c r="F350" i="20"/>
  <c r="G350" i="20" s="1"/>
  <c r="AI351" i="22"/>
  <c r="F351" i="20"/>
  <c r="G351" i="20" s="1"/>
  <c r="AI352" i="22"/>
  <c r="F352" i="20"/>
  <c r="G352" i="20" s="1"/>
  <c r="AI353" i="22"/>
  <c r="F353" i="20"/>
  <c r="G353" i="20" s="1"/>
  <c r="AI354" i="22"/>
  <c r="F354" i="20"/>
  <c r="G354" i="20" s="1"/>
  <c r="AI355" i="22"/>
  <c r="F355" i="20"/>
  <c r="G355" i="20" s="1"/>
  <c r="AI356" i="22"/>
  <c r="F356" i="20"/>
  <c r="G356" i="20" s="1"/>
  <c r="AI357" i="22"/>
  <c r="F357" i="20"/>
  <c r="G357" i="20" s="1"/>
  <c r="AI359" i="22"/>
  <c r="F359" i="20"/>
  <c r="AF358" i="22"/>
  <c r="D328" i="20"/>
  <c r="AG329" i="22"/>
  <c r="D329" i="20"/>
  <c r="E329" i="20" s="1"/>
  <c r="AG330" i="22"/>
  <c r="D330" i="20"/>
  <c r="E330" i="20" s="1"/>
  <c r="AG331" i="22"/>
  <c r="D331" i="20"/>
  <c r="E331" i="20" s="1"/>
  <c r="AG332" i="22"/>
  <c r="D332" i="20"/>
  <c r="E332" i="20" s="1"/>
  <c r="AG333" i="22"/>
  <c r="D333" i="20"/>
  <c r="E333" i="20" s="1"/>
  <c r="AG334" i="22"/>
  <c r="D334" i="20"/>
  <c r="E334" i="20" s="1"/>
  <c r="AG335" i="22"/>
  <c r="D335" i="20"/>
  <c r="E335" i="20" s="1"/>
  <c r="AG336" i="22"/>
  <c r="D336" i="20"/>
  <c r="E336" i="20" s="1"/>
  <c r="AG337" i="22"/>
  <c r="D337" i="20"/>
  <c r="E337" i="20" s="1"/>
  <c r="AG338" i="22"/>
  <c r="D338" i="20"/>
  <c r="E338" i="20" s="1"/>
  <c r="AG339" i="22"/>
  <c r="D339" i="20"/>
  <c r="E339" i="20" s="1"/>
  <c r="AG340" i="22"/>
  <c r="D340" i="20"/>
  <c r="E340" i="20" s="1"/>
  <c r="AG341" i="22"/>
  <c r="D341" i="20"/>
  <c r="E341" i="20" s="1"/>
  <c r="AG342" i="22"/>
  <c r="D342" i="20"/>
  <c r="E342" i="20" s="1"/>
  <c r="AG343" i="22"/>
  <c r="D343" i="20"/>
  <c r="E343" i="20" s="1"/>
  <c r="AG344" i="22"/>
  <c r="D344" i="20"/>
  <c r="E344" i="20" s="1"/>
  <c r="AG345" i="22"/>
  <c r="D345" i="20"/>
  <c r="E345" i="20" s="1"/>
  <c r="AG346" i="22"/>
  <c r="D346" i="20"/>
  <c r="E346" i="20" s="1"/>
  <c r="AG347" i="22"/>
  <c r="D347" i="20"/>
  <c r="E347" i="20" s="1"/>
  <c r="AG348" i="22"/>
  <c r="D348" i="20"/>
  <c r="E348" i="20" s="1"/>
  <c r="AG349" i="22"/>
  <c r="D349" i="20"/>
  <c r="E349" i="20" s="1"/>
  <c r="AG350" i="22"/>
  <c r="D350" i="20"/>
  <c r="E350" i="20" s="1"/>
  <c r="AG351" i="22"/>
  <c r="D351" i="20"/>
  <c r="E351" i="20" s="1"/>
  <c r="AG352" i="22"/>
  <c r="E352" i="20"/>
  <c r="AG353" i="22"/>
  <c r="D353" i="20"/>
  <c r="E353" i="20" s="1"/>
  <c r="AG354" i="22"/>
  <c r="D354" i="20"/>
  <c r="E354" i="20" s="1"/>
  <c r="AG355" i="22"/>
  <c r="D355" i="20"/>
  <c r="E355" i="20" s="1"/>
  <c r="AG356" i="22"/>
  <c r="D356" i="20"/>
  <c r="E356" i="20" s="1"/>
  <c r="AG357" i="22"/>
  <c r="D357" i="20"/>
  <c r="E357" i="20" s="1"/>
  <c r="AG359" i="22"/>
  <c r="D359" i="20"/>
  <c r="E359" i="20" s="1"/>
  <c r="C358" i="20"/>
  <c r="AD358" i="22"/>
  <c r="B328" i="20"/>
  <c r="B358" i="20" s="1"/>
  <c r="BH28" i="13"/>
  <c r="BH57" i="13"/>
  <c r="BK57" i="13" s="1"/>
  <c r="BI58" i="13"/>
  <c r="BL58" i="13" s="1"/>
  <c r="BH41" i="13"/>
  <c r="BH53" i="13"/>
  <c r="BJ10" i="13"/>
  <c r="BI26" i="13"/>
  <c r="BH58" i="13"/>
  <c r="BK58" i="13" s="1"/>
  <c r="BJ39" i="13"/>
  <c r="BH50" i="13"/>
  <c r="BJ51" i="13"/>
  <c r="BE32" i="9"/>
  <c r="BJ28" i="8"/>
  <c r="BG7" i="8"/>
  <c r="BG11" i="8"/>
  <c r="BG15" i="8"/>
  <c r="BG9" i="8"/>
  <c r="BG13" i="8"/>
  <c r="BG8" i="8"/>
  <c r="BG12" i="8"/>
  <c r="BG10" i="8"/>
  <c r="BG14" i="8"/>
  <c r="BE17" i="14"/>
  <c r="BF27" i="11"/>
  <c r="BF28" i="11"/>
  <c r="BE90" i="11"/>
  <c r="BE183" i="11"/>
  <c r="BD183" i="11"/>
  <c r="BD70" i="11"/>
  <c r="BF70" i="11" s="1"/>
  <c r="BG129" i="10"/>
  <c r="BF204" i="10"/>
  <c r="BG204" i="10" s="1"/>
  <c r="BF224" i="10"/>
  <c r="BF247" i="10"/>
  <c r="BG247" i="10" s="1"/>
  <c r="BF344" i="10"/>
  <c r="BF27" i="10"/>
  <c r="BE152" i="10"/>
  <c r="BG152" i="10" s="1"/>
  <c r="BE224" i="10"/>
  <c r="BF298" i="10"/>
  <c r="BE322" i="10"/>
  <c r="BG322" i="10" s="1"/>
  <c r="BE344" i="10"/>
  <c r="BF90" i="10"/>
  <c r="BE104" i="10"/>
  <c r="BG104" i="10" s="1"/>
  <c r="BE129" i="10"/>
  <c r="BF178" i="10"/>
  <c r="BF206" i="10"/>
  <c r="BG206" i="10" s="1"/>
  <c r="BF245" i="10"/>
  <c r="BG245" i="10" s="1"/>
  <c r="BF276" i="10"/>
  <c r="BG276" i="10" s="1"/>
  <c r="BE298" i="10"/>
  <c r="BF342" i="10"/>
  <c r="BG342" i="10" s="1"/>
  <c r="BE178" i="10"/>
  <c r="BF48" i="9"/>
  <c r="BF5" i="9"/>
  <c r="BF34" i="9"/>
  <c r="BG49" i="8"/>
  <c r="BG6" i="8"/>
  <c r="BG40" i="8"/>
  <c r="BG48" i="8"/>
  <c r="BE28" i="8"/>
  <c r="BG28" i="8" s="1"/>
  <c r="BG29" i="8"/>
  <c r="BG30" i="8"/>
  <c r="BF70" i="8"/>
  <c r="BE98" i="8"/>
  <c r="BG98" i="8" s="1"/>
  <c r="BF155" i="7"/>
  <c r="BF130" i="7"/>
  <c r="BF156" i="7"/>
  <c r="BF157" i="7"/>
  <c r="BF202" i="7"/>
  <c r="BF203" i="7"/>
  <c r="BE249" i="7"/>
  <c r="BD265" i="7"/>
  <c r="BD17" i="7"/>
  <c r="BD62" i="7"/>
  <c r="BF62" i="7" s="1"/>
  <c r="BD114" i="7"/>
  <c r="BF114" i="7" s="1"/>
  <c r="BD173" i="7"/>
  <c r="BD249" i="7"/>
  <c r="BD34" i="7"/>
  <c r="AE358" i="24"/>
  <c r="AI358" i="24" s="1"/>
  <c r="AG328" i="24"/>
  <c r="AI328" i="24"/>
  <c r="AE358" i="22"/>
  <c r="AG328" i="22"/>
  <c r="AI328" i="22"/>
  <c r="DK56" i="12"/>
  <c r="DR63" i="12"/>
  <c r="DH63" i="12"/>
  <c r="DP62" i="12"/>
  <c r="DP63" i="12"/>
  <c r="DM56" i="12"/>
  <c r="DM57" i="12"/>
  <c r="DM59" i="12"/>
  <c r="DM21" i="12"/>
  <c r="DM29" i="12"/>
  <c r="DM37" i="12"/>
  <c r="DM45" i="12"/>
  <c r="DM53" i="12"/>
  <c r="DO62" i="12"/>
  <c r="DO63" i="12"/>
  <c r="DK57" i="12"/>
  <c r="DR62" i="12"/>
  <c r="DK59" i="12"/>
  <c r="DK21" i="12"/>
  <c r="DK29" i="12"/>
  <c r="DK37" i="12"/>
  <c r="DK45" i="12"/>
  <c r="DK53" i="12"/>
  <c r="DN62" i="12"/>
  <c r="DN63" i="12"/>
  <c r="DK8" i="12"/>
  <c r="DK9" i="12"/>
  <c r="DK10" i="12"/>
  <c r="DK11" i="12"/>
  <c r="DS12" i="12"/>
  <c r="DS13" i="12"/>
  <c r="DK16" i="12"/>
  <c r="DK17" i="12"/>
  <c r="DK24" i="12"/>
  <c r="DK25" i="12"/>
  <c r="DK32" i="12"/>
  <c r="DK33" i="12"/>
  <c r="DK40" i="12"/>
  <c r="DK41" i="12"/>
  <c r="DK48" i="12"/>
  <c r="DK49" i="12"/>
  <c r="DS56" i="12"/>
  <c r="DS57" i="12"/>
  <c r="DJ12" i="12"/>
  <c r="DJ13" i="12"/>
  <c r="DM8" i="12"/>
  <c r="DM9" i="12"/>
  <c r="DM10" i="12"/>
  <c r="DM11" i="12"/>
  <c r="DI12" i="12"/>
  <c r="DI60" i="12" s="1"/>
  <c r="DI62" i="12" s="1"/>
  <c r="DQ12" i="12"/>
  <c r="DI13" i="12"/>
  <c r="DI61" i="12" s="1"/>
  <c r="DI63" i="12" s="1"/>
  <c r="DQ13" i="12"/>
  <c r="DM16" i="12"/>
  <c r="DM17" i="12"/>
  <c r="DM24" i="12"/>
  <c r="DM25" i="12"/>
  <c r="DM32" i="12"/>
  <c r="DM33" i="12"/>
  <c r="DM40" i="12"/>
  <c r="DM41" i="12"/>
  <c r="DM48" i="12"/>
  <c r="DM49" i="12"/>
  <c r="DQ56" i="12"/>
  <c r="DQ57" i="12"/>
  <c r="DH12" i="12"/>
  <c r="DH60" i="12" s="1"/>
  <c r="DH62" i="12" s="1"/>
  <c r="DL12" i="12"/>
  <c r="DH13" i="12"/>
  <c r="DH61" i="12" s="1"/>
  <c r="DL13" i="12"/>
  <c r="BH80" i="2"/>
  <c r="BI80" i="2" s="1"/>
  <c r="BI88" i="2"/>
  <c r="BH89" i="2"/>
  <c r="BI29" i="2"/>
  <c r="BI38" i="2"/>
  <c r="BJ62" i="2"/>
  <c r="BL60" i="2"/>
  <c r="BI92" i="2"/>
  <c r="BL98" i="2"/>
  <c r="BI106" i="2"/>
  <c r="BH107" i="2"/>
  <c r="BI70" i="2"/>
  <c r="BH71" i="2"/>
  <c r="BI23" i="2"/>
  <c r="BG107" i="2"/>
  <c r="BI44" i="2"/>
  <c r="BI56" i="2"/>
  <c r="BI65" i="2"/>
  <c r="BI97" i="2"/>
  <c r="BH98" i="2"/>
  <c r="BI98" i="2" s="1"/>
  <c r="BJ40" i="13"/>
  <c r="BJ46" i="13"/>
  <c r="BJ52" i="13"/>
  <c r="BH35" i="2"/>
  <c r="BH77" i="2"/>
  <c r="BH95" i="2"/>
  <c r="BI6" i="2"/>
  <c r="BI7" i="2"/>
  <c r="BK11" i="2"/>
  <c r="BI13" i="2"/>
  <c r="BI19" i="2"/>
  <c r="BI25" i="2"/>
  <c r="BK31" i="2"/>
  <c r="BG35" i="2"/>
  <c r="BI36" i="2"/>
  <c r="BI37" i="2"/>
  <c r="BK41" i="2"/>
  <c r="BI43" i="2"/>
  <c r="BI49" i="2"/>
  <c r="BI55" i="2"/>
  <c r="BK61" i="2"/>
  <c r="BI67" i="2"/>
  <c r="BG69" i="2"/>
  <c r="BI69" i="2" s="1"/>
  <c r="BK71" i="2"/>
  <c r="BL71" i="2" s="1"/>
  <c r="BI73" i="2"/>
  <c r="BG77" i="2"/>
  <c r="BI85" i="2"/>
  <c r="BG87" i="2"/>
  <c r="BG89" i="2" s="1"/>
  <c r="BK89" i="2"/>
  <c r="BL89" i="2" s="1"/>
  <c r="BI91" i="2"/>
  <c r="BG95" i="2"/>
  <c r="BI103" i="2"/>
  <c r="BK107" i="2"/>
  <c r="BL107" i="2" s="1"/>
  <c r="BI44" i="13"/>
  <c r="BI50" i="13"/>
  <c r="BJ50" i="13" s="1"/>
  <c r="BI56" i="13"/>
  <c r="BJ11" i="2"/>
  <c r="BJ41" i="2"/>
  <c r="BH68" i="2"/>
  <c r="BL78" i="2"/>
  <c r="BH86" i="2"/>
  <c r="BI86" i="2" s="1"/>
  <c r="BL96" i="2"/>
  <c r="BG68" i="2"/>
  <c r="BG86" i="2"/>
  <c r="BK62" i="1"/>
  <c r="BI88" i="1"/>
  <c r="BH89" i="1"/>
  <c r="BI20" i="1"/>
  <c r="BG80" i="1"/>
  <c r="BI87" i="1"/>
  <c r="BI50" i="1"/>
  <c r="BG89" i="1"/>
  <c r="BK32" i="1"/>
  <c r="BI70" i="1"/>
  <c r="BH71" i="1"/>
  <c r="BI71" i="1" s="1"/>
  <c r="BI44" i="1"/>
  <c r="BI92" i="1"/>
  <c r="BI20" i="13"/>
  <c r="BH17" i="1"/>
  <c r="BI17" i="1" s="1"/>
  <c r="BH23" i="1"/>
  <c r="BI23" i="1" s="1"/>
  <c r="BH29" i="1"/>
  <c r="BI29" i="1" s="1"/>
  <c r="BJ30" i="1"/>
  <c r="BL30" i="1" s="1"/>
  <c r="BH35" i="1"/>
  <c r="BH47" i="1"/>
  <c r="BI47" i="1" s="1"/>
  <c r="BH53" i="1"/>
  <c r="BI53" i="1" s="1"/>
  <c r="BH59" i="1"/>
  <c r="BI59" i="1" s="1"/>
  <c r="BJ60" i="1"/>
  <c r="BL60" i="1" s="1"/>
  <c r="BH65" i="1"/>
  <c r="BI65" i="1" s="1"/>
  <c r="BH77" i="1"/>
  <c r="BH79" i="1"/>
  <c r="BJ80" i="1"/>
  <c r="BL80" i="1" s="1"/>
  <c r="BH83" i="1"/>
  <c r="BI83" i="1" s="1"/>
  <c r="BH95" i="1"/>
  <c r="BH97" i="1"/>
  <c r="BJ98" i="1"/>
  <c r="BL98" i="1" s="1"/>
  <c r="BH101" i="1"/>
  <c r="BI101" i="1" s="1"/>
  <c r="BH105" i="1"/>
  <c r="BI105" i="1" s="1"/>
  <c r="BJ16" i="13"/>
  <c r="BI7" i="1"/>
  <c r="BK11" i="1"/>
  <c r="BI13" i="1"/>
  <c r="BI19" i="1"/>
  <c r="BI25" i="1"/>
  <c r="BG35" i="1"/>
  <c r="BI37" i="1"/>
  <c r="BK41" i="1"/>
  <c r="BI43" i="1"/>
  <c r="BI49" i="1"/>
  <c r="BI55" i="1"/>
  <c r="BI67" i="1"/>
  <c r="BI73" i="1"/>
  <c r="BG77" i="1"/>
  <c r="BI85" i="1"/>
  <c r="BI91" i="1"/>
  <c r="BG95" i="1"/>
  <c r="BI103" i="1"/>
  <c r="BK107" i="1"/>
  <c r="BL107" i="1" s="1"/>
  <c r="BI14" i="13"/>
  <c r="BL10" i="1"/>
  <c r="BJ11" i="1"/>
  <c r="BJ31" i="1"/>
  <c r="BL40" i="1"/>
  <c r="BJ41" i="1"/>
  <c r="BJ61" i="1"/>
  <c r="BJ62" i="1" s="1"/>
  <c r="BH68" i="1"/>
  <c r="BL70" i="1"/>
  <c r="BH78" i="1"/>
  <c r="BI78" i="1" s="1"/>
  <c r="BH86" i="1"/>
  <c r="BI86" i="1" s="1"/>
  <c r="BL88" i="1"/>
  <c r="BH96" i="1"/>
  <c r="BI96" i="1" s="1"/>
  <c r="BH106" i="1"/>
  <c r="BJ22" i="13"/>
  <c r="BG68" i="1"/>
  <c r="BG86" i="1"/>
  <c r="BJ6" i="13"/>
  <c r="BH11" i="13"/>
  <c r="BJ12" i="13"/>
  <c r="BH17" i="13"/>
  <c r="BJ18" i="13"/>
  <c r="BH23" i="13"/>
  <c r="BJ24" i="13"/>
  <c r="BH27" i="13"/>
  <c r="BK27" i="13" s="1"/>
  <c r="BI28" i="13"/>
  <c r="BL28" i="13" s="1"/>
  <c r="BJ9" i="13"/>
  <c r="BH14" i="13"/>
  <c r="BJ15" i="13"/>
  <c r="BH20" i="13"/>
  <c r="BJ20" i="13" s="1"/>
  <c r="BJ21" i="13"/>
  <c r="BH26" i="13"/>
  <c r="BJ58" i="13"/>
  <c r="BJ44" i="13"/>
  <c r="BJ56" i="13"/>
  <c r="BJ28" i="13"/>
  <c r="BJ26" i="13"/>
  <c r="BJ7" i="13"/>
  <c r="BH8" i="13"/>
  <c r="BJ13" i="13"/>
  <c r="BJ19" i="13"/>
  <c r="BJ25" i="13"/>
  <c r="BJ37" i="13"/>
  <c r="BH38" i="13"/>
  <c r="BJ43" i="13"/>
  <c r="BJ49" i="13"/>
  <c r="BJ55" i="13"/>
  <c r="BI11" i="13"/>
  <c r="BJ11" i="13" s="1"/>
  <c r="BI17" i="13"/>
  <c r="BJ17" i="13" s="1"/>
  <c r="BI23" i="13"/>
  <c r="BI27" i="13"/>
  <c r="BI41" i="13"/>
  <c r="BJ41" i="13" s="1"/>
  <c r="BI47" i="13"/>
  <c r="BJ47" i="13" s="1"/>
  <c r="BI53" i="13"/>
  <c r="BJ53" i="13" s="1"/>
  <c r="BI57" i="13"/>
  <c r="BI8" i="13"/>
  <c r="BI38" i="13"/>
  <c r="BJ38" i="13" s="1"/>
  <c r="AG358" i="22" l="1"/>
  <c r="BI35" i="2"/>
  <c r="BF32" i="9"/>
  <c r="BK59" i="13"/>
  <c r="BM41" i="2"/>
  <c r="BM61" i="2"/>
  <c r="BM62" i="2" s="1"/>
  <c r="BN61" i="1"/>
  <c r="BO40" i="1"/>
  <c r="BN41" i="1"/>
  <c r="BO41" i="1" s="1"/>
  <c r="BF168" i="11"/>
  <c r="BI53" i="2"/>
  <c r="BM41" i="1"/>
  <c r="BM60" i="1"/>
  <c r="BL50" i="13"/>
  <c r="BM50" i="13" s="1"/>
  <c r="BL44" i="13"/>
  <c r="BM44" i="13" s="1"/>
  <c r="BL38" i="13"/>
  <c r="BM38" i="13" s="1"/>
  <c r="BO39" i="2"/>
  <c r="BN60" i="2"/>
  <c r="BO60" i="2" s="1"/>
  <c r="BI29" i="13"/>
  <c r="BL27" i="13"/>
  <c r="BM27" i="13" s="1"/>
  <c r="BL29" i="13"/>
  <c r="BJ8" i="13"/>
  <c r="BJ32" i="1"/>
  <c r="BJ14" i="13"/>
  <c r="BG71" i="2"/>
  <c r="BF183" i="11"/>
  <c r="BM58" i="13"/>
  <c r="BM11" i="2"/>
  <c r="BM31" i="2"/>
  <c r="BM32" i="2" s="1"/>
  <c r="BO9" i="1"/>
  <c r="BN30" i="1"/>
  <c r="BI47" i="2"/>
  <c r="BI59" i="13"/>
  <c r="BL57" i="13"/>
  <c r="BM57" i="13" s="1"/>
  <c r="BO39" i="1"/>
  <c r="BN60" i="1"/>
  <c r="BO60" i="1" s="1"/>
  <c r="BI104" i="2"/>
  <c r="BN61" i="2"/>
  <c r="BO40" i="2"/>
  <c r="BN41" i="2"/>
  <c r="BO41" i="2" s="1"/>
  <c r="BM62" i="1"/>
  <c r="BI83" i="2"/>
  <c r="BN11" i="2"/>
  <c r="BO11" i="2" s="1"/>
  <c r="BO10" i="2"/>
  <c r="BN31" i="2"/>
  <c r="BJ23" i="13"/>
  <c r="BH59" i="13"/>
  <c r="BL41" i="2"/>
  <c r="BI95" i="2"/>
  <c r="AI358" i="22"/>
  <c r="BH29" i="13"/>
  <c r="BK28" i="13"/>
  <c r="BK29" i="13" s="1"/>
  <c r="BI20" i="2"/>
  <c r="BI8" i="2"/>
  <c r="BI59" i="2"/>
  <c r="BO9" i="2"/>
  <c r="BN30" i="2"/>
  <c r="BO30" i="2" s="1"/>
  <c r="BL47" i="13"/>
  <c r="BM47" i="13" s="1"/>
  <c r="BO10" i="1"/>
  <c r="BN31" i="1"/>
  <c r="BN11" i="1"/>
  <c r="BO11" i="1" s="1"/>
  <c r="BI105" i="2"/>
  <c r="BM11" i="1"/>
  <c r="BM30" i="1"/>
  <c r="BM32" i="1" s="1"/>
  <c r="G359" i="23"/>
  <c r="F358" i="23"/>
  <c r="G358" i="23" s="1"/>
  <c r="AG358" i="24"/>
  <c r="D358" i="23"/>
  <c r="E358" i="23" s="1"/>
  <c r="E328" i="23"/>
  <c r="G359" i="20"/>
  <c r="F358" i="20"/>
  <c r="G358" i="20" s="1"/>
  <c r="D358" i="20"/>
  <c r="E358" i="20" s="1"/>
  <c r="E328" i="20"/>
  <c r="BJ29" i="13"/>
  <c r="BG178" i="10"/>
  <c r="BG298" i="10"/>
  <c r="BG344" i="10"/>
  <c r="BF249" i="7"/>
  <c r="DL60" i="12"/>
  <c r="DM12" i="12"/>
  <c r="DQ62" i="12"/>
  <c r="DJ60" i="12"/>
  <c r="DK12" i="12"/>
  <c r="DS62" i="12"/>
  <c r="DQ63" i="12"/>
  <c r="DL61" i="12"/>
  <c r="DM13" i="12"/>
  <c r="DJ61" i="12"/>
  <c r="DK13" i="12"/>
  <c r="DS63" i="12"/>
  <c r="BK62" i="2"/>
  <c r="BL62" i="2" s="1"/>
  <c r="BL61" i="2"/>
  <c r="BI87" i="2"/>
  <c r="BI71" i="2"/>
  <c r="BL11" i="2"/>
  <c r="BI77" i="2"/>
  <c r="BK32" i="2"/>
  <c r="BL32" i="2" s="1"/>
  <c r="BL31" i="2"/>
  <c r="BI68" i="2"/>
  <c r="BI107" i="2"/>
  <c r="BI89" i="2"/>
  <c r="BL41" i="1"/>
  <c r="BL31" i="1"/>
  <c r="BL62" i="1"/>
  <c r="BI106" i="1"/>
  <c r="BH107" i="1"/>
  <c r="BI107" i="1" s="1"/>
  <c r="BL11" i="1"/>
  <c r="BL61" i="1"/>
  <c r="BI95" i="1"/>
  <c r="BI77" i="1"/>
  <c r="BI35" i="1"/>
  <c r="BI97" i="1"/>
  <c r="BH98" i="1"/>
  <c r="BI98" i="1" s="1"/>
  <c r="BI79" i="1"/>
  <c r="BH80" i="1"/>
  <c r="BI80" i="1" s="1"/>
  <c r="BI68" i="1"/>
  <c r="BL32" i="1"/>
  <c r="BI89" i="1"/>
  <c r="BJ57" i="13"/>
  <c r="BJ27" i="13"/>
  <c r="BO61" i="2" l="1"/>
  <c r="BN62" i="2"/>
  <c r="BO62" i="2" s="1"/>
  <c r="BO30" i="1"/>
  <c r="BM29" i="13"/>
  <c r="BO31" i="2"/>
  <c r="BN32" i="2"/>
  <c r="BO32" i="2" s="1"/>
  <c r="BJ59" i="13"/>
  <c r="BL59" i="13"/>
  <c r="BM59" i="13" s="1"/>
  <c r="BO31" i="1"/>
  <c r="BN32" i="1"/>
  <c r="BO32" i="1" s="1"/>
  <c r="BO61" i="1"/>
  <c r="BN62" i="1"/>
  <c r="BO62" i="1" s="1"/>
  <c r="BM28" i="13"/>
  <c r="DM60" i="12"/>
  <c r="DL62" i="12"/>
  <c r="DM62" i="12" s="1"/>
  <c r="DK60" i="12"/>
  <c r="DJ62" i="12"/>
  <c r="DK62" i="12" s="1"/>
  <c r="DM61" i="12"/>
  <c r="DL63" i="12"/>
  <c r="DM63" i="12" s="1"/>
  <c r="DK61" i="12"/>
  <c r="DJ63" i="12"/>
  <c r="DK63" i="12" s="1"/>
  <c r="BC149" i="7" l="1"/>
  <c r="BC104" i="7"/>
  <c r="BC75" i="7"/>
  <c r="BD92" i="8"/>
  <c r="BB23" i="16"/>
  <c r="BA23" i="16"/>
  <c r="BB15" i="16"/>
  <c r="BA15" i="16"/>
  <c r="BC24" i="16"/>
  <c r="AY24" i="16"/>
  <c r="AX24" i="16"/>
  <c r="AZ24" i="16" s="1"/>
  <c r="AY22" i="16"/>
  <c r="AX22" i="16"/>
  <c r="AY21" i="16"/>
  <c r="AX21" i="16"/>
  <c r="AY20" i="16"/>
  <c r="AX20" i="16"/>
  <c r="AY19" i="16"/>
  <c r="AX19" i="16"/>
  <c r="AY18" i="16"/>
  <c r="AX18" i="16"/>
  <c r="BC17" i="16"/>
  <c r="AY17" i="16"/>
  <c r="AX17" i="16"/>
  <c r="BC16" i="16"/>
  <c r="AY16" i="16"/>
  <c r="AX16" i="16"/>
  <c r="AY14" i="16"/>
  <c r="AX14" i="16"/>
  <c r="AY13" i="16"/>
  <c r="AX13" i="16"/>
  <c r="AY12" i="16"/>
  <c r="AX12" i="16"/>
  <c r="AY11" i="16"/>
  <c r="AX11" i="16"/>
  <c r="AY10" i="16"/>
  <c r="AX10" i="16"/>
  <c r="BC9" i="16"/>
  <c r="AY9" i="16"/>
  <c r="AX9" i="16"/>
  <c r="BC8" i="16"/>
  <c r="AY8" i="16"/>
  <c r="AX8" i="16"/>
  <c r="BC7" i="16"/>
  <c r="AY7" i="16"/>
  <c r="AZ7" i="16" s="1"/>
  <c r="AX7" i="16"/>
  <c r="BC6" i="16"/>
  <c r="AY6" i="16"/>
  <c r="AX6" i="16"/>
  <c r="BC5" i="16"/>
  <c r="AY5" i="16"/>
  <c r="AZ5" i="16" s="1"/>
  <c r="AX5" i="16"/>
  <c r="BB34" i="14"/>
  <c r="BA34" i="14"/>
  <c r="BB17" i="14"/>
  <c r="BA17" i="14"/>
  <c r="BC35" i="14"/>
  <c r="AY35" i="14"/>
  <c r="AX35" i="14"/>
  <c r="BC34" i="14"/>
  <c r="AY33" i="14"/>
  <c r="AX33" i="14"/>
  <c r="AY32" i="14"/>
  <c r="AX32" i="14"/>
  <c r="AY31" i="14"/>
  <c r="AX31" i="14"/>
  <c r="BC30" i="14"/>
  <c r="AY30" i="14"/>
  <c r="AZ30" i="14" s="1"/>
  <c r="AX30" i="14"/>
  <c r="BC29" i="14"/>
  <c r="AY29" i="14"/>
  <c r="AX29" i="14"/>
  <c r="BC28" i="14"/>
  <c r="AY28" i="14"/>
  <c r="AX28" i="14"/>
  <c r="BC27" i="14"/>
  <c r="AY27" i="14"/>
  <c r="AZ27" i="14" s="1"/>
  <c r="AX27" i="14"/>
  <c r="BC26" i="14"/>
  <c r="AY26" i="14"/>
  <c r="AX26" i="14"/>
  <c r="BC25" i="14"/>
  <c r="AY25" i="14"/>
  <c r="AX25" i="14"/>
  <c r="BC24" i="14"/>
  <c r="AY24" i="14"/>
  <c r="AX24" i="14"/>
  <c r="BC23" i="14"/>
  <c r="AY23" i="14"/>
  <c r="AZ23" i="14" s="1"/>
  <c r="AX23" i="14"/>
  <c r="BC22" i="14"/>
  <c r="AY22" i="14"/>
  <c r="AX22" i="14"/>
  <c r="BC21" i="14"/>
  <c r="AY21" i="14"/>
  <c r="AZ21" i="14" s="1"/>
  <c r="AX21" i="14"/>
  <c r="BC20" i="14"/>
  <c r="AY20" i="14"/>
  <c r="AX20" i="14"/>
  <c r="BC19" i="14"/>
  <c r="AY19" i="14"/>
  <c r="AZ19" i="14" s="1"/>
  <c r="AX19" i="14"/>
  <c r="BC18" i="14"/>
  <c r="AY18" i="14"/>
  <c r="AX18" i="14"/>
  <c r="AY16" i="14"/>
  <c r="AX16" i="14"/>
  <c r="AY15" i="14"/>
  <c r="AX15" i="14"/>
  <c r="AY14" i="14"/>
  <c r="AX14" i="14"/>
  <c r="AY13" i="14"/>
  <c r="AX13" i="14"/>
  <c r="AY12" i="14"/>
  <c r="AX12" i="14"/>
  <c r="BC11" i="14"/>
  <c r="AY11" i="14"/>
  <c r="AX11" i="14"/>
  <c r="AY10" i="14"/>
  <c r="AX10" i="14"/>
  <c r="BC9" i="14"/>
  <c r="AY9" i="14"/>
  <c r="AX9" i="14"/>
  <c r="AZ9" i="14" s="1"/>
  <c r="BC8" i="14"/>
  <c r="AY8" i="14"/>
  <c r="AX8" i="14"/>
  <c r="BC7" i="14"/>
  <c r="AY7" i="14"/>
  <c r="AX7" i="14"/>
  <c r="AZ7" i="14" s="1"/>
  <c r="BC6" i="14"/>
  <c r="AY6" i="14"/>
  <c r="AZ6" i="14" s="1"/>
  <c r="AX6" i="14"/>
  <c r="BC5" i="14"/>
  <c r="AY5" i="14"/>
  <c r="AX5" i="14"/>
  <c r="AX17" i="14" s="1"/>
  <c r="BB183" i="11"/>
  <c r="BA183" i="11"/>
  <c r="BB168" i="11"/>
  <c r="BA168" i="11"/>
  <c r="BB139" i="11"/>
  <c r="BA139" i="11"/>
  <c r="BB122" i="11"/>
  <c r="BA122" i="11"/>
  <c r="BB90" i="11"/>
  <c r="BA90" i="11"/>
  <c r="BB70" i="11"/>
  <c r="BA70" i="11"/>
  <c r="BB46" i="11"/>
  <c r="BA46" i="11"/>
  <c r="BB26" i="11"/>
  <c r="BA26" i="11"/>
  <c r="BC184" i="11"/>
  <c r="AY184" i="11"/>
  <c r="AX184" i="11"/>
  <c r="BC183" i="11"/>
  <c r="BC182" i="11"/>
  <c r="AY182" i="11"/>
  <c r="AZ182" i="11" s="1"/>
  <c r="AX182" i="11"/>
  <c r="BC181" i="11"/>
  <c r="AY181" i="11"/>
  <c r="AX181" i="11"/>
  <c r="BC180" i="11"/>
  <c r="AY180" i="11"/>
  <c r="AX180" i="11"/>
  <c r="BC179" i="11"/>
  <c r="AY179" i="11"/>
  <c r="AZ179" i="11" s="1"/>
  <c r="AX179" i="11"/>
  <c r="AY178" i="11"/>
  <c r="AX178" i="11"/>
  <c r="BC177" i="11"/>
  <c r="AY177" i="11"/>
  <c r="AX177" i="11"/>
  <c r="BC176" i="11"/>
  <c r="AY176" i="11"/>
  <c r="AZ176" i="11" s="1"/>
  <c r="AX176" i="11"/>
  <c r="BC175" i="11"/>
  <c r="AY175" i="11"/>
  <c r="AX175" i="11"/>
  <c r="BC174" i="11"/>
  <c r="AY174" i="11"/>
  <c r="AX174" i="11"/>
  <c r="BC173" i="11"/>
  <c r="AY173" i="11"/>
  <c r="AX173" i="11"/>
  <c r="BC172" i="11"/>
  <c r="AY172" i="11"/>
  <c r="AZ172" i="11" s="1"/>
  <c r="AX172" i="11"/>
  <c r="BC171" i="11"/>
  <c r="AY171" i="11"/>
  <c r="AX171" i="11"/>
  <c r="BC170" i="11"/>
  <c r="AY170" i="11"/>
  <c r="AX170" i="11"/>
  <c r="BC169" i="11"/>
  <c r="AY169" i="11"/>
  <c r="AX169" i="11"/>
  <c r="BC168" i="11"/>
  <c r="AY167" i="11"/>
  <c r="AX167" i="11"/>
  <c r="BC166" i="11"/>
  <c r="AY166" i="11"/>
  <c r="AX166" i="11"/>
  <c r="BC165" i="11"/>
  <c r="AY165" i="11"/>
  <c r="AX165" i="11"/>
  <c r="BC164" i="11"/>
  <c r="AY164" i="11"/>
  <c r="AZ164" i="11" s="1"/>
  <c r="AX164" i="11"/>
  <c r="BC163" i="11"/>
  <c r="AY163" i="11"/>
  <c r="AX163" i="11"/>
  <c r="BC162" i="11"/>
  <c r="AY162" i="11"/>
  <c r="AX162" i="11"/>
  <c r="AZ162" i="11" s="1"/>
  <c r="BC161" i="11"/>
  <c r="AY161" i="11"/>
  <c r="AZ161" i="11" s="1"/>
  <c r="AX161" i="11"/>
  <c r="BC160" i="11"/>
  <c r="AY160" i="11"/>
  <c r="AZ160" i="11" s="1"/>
  <c r="AX160" i="11"/>
  <c r="BC159" i="11"/>
  <c r="AY159" i="11"/>
  <c r="AX159" i="11"/>
  <c r="BC158" i="11"/>
  <c r="AY158" i="11"/>
  <c r="AX158" i="11"/>
  <c r="BC157" i="11"/>
  <c r="AY157" i="11"/>
  <c r="AZ157" i="11" s="1"/>
  <c r="AX157" i="11"/>
  <c r="BC156" i="11"/>
  <c r="AY156" i="11"/>
  <c r="AZ156" i="11" s="1"/>
  <c r="AX156" i="11"/>
  <c r="BC155" i="11"/>
  <c r="AY155" i="11"/>
  <c r="AX155" i="11"/>
  <c r="BC154" i="11"/>
  <c r="AY154" i="11"/>
  <c r="AX154" i="11"/>
  <c r="BC153" i="11"/>
  <c r="AY153" i="11"/>
  <c r="AX153" i="11"/>
  <c r="BC152" i="11"/>
  <c r="AY152" i="11"/>
  <c r="AZ152" i="11" s="1"/>
  <c r="AX152" i="11"/>
  <c r="BC151" i="11"/>
  <c r="AY151" i="11"/>
  <c r="AX151" i="11"/>
  <c r="BC150" i="11"/>
  <c r="AY150" i="11"/>
  <c r="AX150" i="11"/>
  <c r="BC149" i="11"/>
  <c r="AY149" i="11"/>
  <c r="AX149" i="11"/>
  <c r="BC148" i="11"/>
  <c r="AY148" i="11"/>
  <c r="AZ148" i="11" s="1"/>
  <c r="AX148" i="11"/>
  <c r="BC147" i="11"/>
  <c r="AY147" i="11"/>
  <c r="AX147" i="11"/>
  <c r="BC140" i="11"/>
  <c r="AY140" i="11"/>
  <c r="AX140" i="11"/>
  <c r="BC139" i="11"/>
  <c r="AY138" i="11"/>
  <c r="AX138" i="11"/>
  <c r="BC137" i="11"/>
  <c r="AY137" i="11"/>
  <c r="AX137" i="11"/>
  <c r="BC136" i="11"/>
  <c r="AY136" i="11"/>
  <c r="AX136" i="11"/>
  <c r="BC135" i="11"/>
  <c r="AY135" i="11"/>
  <c r="AZ135" i="11" s="1"/>
  <c r="AX135" i="11"/>
  <c r="BC134" i="11"/>
  <c r="AY134" i="11"/>
  <c r="AX134" i="11"/>
  <c r="BC133" i="11"/>
  <c r="AY133" i="11"/>
  <c r="AZ133" i="11" s="1"/>
  <c r="AX133" i="11"/>
  <c r="BC132" i="11"/>
  <c r="AY132" i="11"/>
  <c r="AX132" i="11"/>
  <c r="BC131" i="11"/>
  <c r="AY131" i="11"/>
  <c r="AX131" i="11"/>
  <c r="BC130" i="11"/>
  <c r="AY130" i="11"/>
  <c r="AX130" i="11"/>
  <c r="AZ130" i="11" s="1"/>
  <c r="BC129" i="11"/>
  <c r="AY129" i="11"/>
  <c r="AX129" i="11"/>
  <c r="BC128" i="11"/>
  <c r="AY128" i="11"/>
  <c r="AX128" i="11"/>
  <c r="BC127" i="11"/>
  <c r="AY127" i="11"/>
  <c r="AX127" i="11"/>
  <c r="BC126" i="11"/>
  <c r="AY126" i="11"/>
  <c r="AX126" i="11"/>
  <c r="BC125" i="11"/>
  <c r="AY125" i="11"/>
  <c r="AX125" i="11"/>
  <c r="BC124" i="11"/>
  <c r="AY124" i="11"/>
  <c r="AX124" i="11"/>
  <c r="BC123" i="11"/>
  <c r="AY123" i="11"/>
  <c r="AZ123" i="11" s="1"/>
  <c r="AX123" i="11"/>
  <c r="BC122" i="11"/>
  <c r="BC121" i="11"/>
  <c r="AY121" i="11"/>
  <c r="AX121" i="11"/>
  <c r="BC120" i="11"/>
  <c r="AY120" i="11"/>
  <c r="AZ120" i="11" s="1"/>
  <c r="AX120" i="11"/>
  <c r="BC119" i="11"/>
  <c r="AY119" i="11"/>
  <c r="AZ119" i="11" s="1"/>
  <c r="AX119" i="11"/>
  <c r="BC118" i="11"/>
  <c r="AY118" i="11"/>
  <c r="AX118" i="11"/>
  <c r="BC117" i="11"/>
  <c r="AY117" i="11"/>
  <c r="AX117" i="11"/>
  <c r="BC116" i="11"/>
  <c r="AY116" i="11"/>
  <c r="AX116" i="11"/>
  <c r="BC115" i="11"/>
  <c r="AY115" i="11"/>
  <c r="AX115" i="11"/>
  <c r="BC114" i="11"/>
  <c r="AY114" i="11"/>
  <c r="AX114" i="11"/>
  <c r="AZ114" i="11" s="1"/>
  <c r="BC113" i="11"/>
  <c r="AY113" i="11"/>
  <c r="AX113" i="11"/>
  <c r="BC112" i="11"/>
  <c r="AY112" i="11"/>
  <c r="AX112" i="11"/>
  <c r="BC111" i="11"/>
  <c r="AY111" i="11"/>
  <c r="AX111" i="11"/>
  <c r="BC110" i="11"/>
  <c r="AY110" i="11"/>
  <c r="AZ110" i="11" s="1"/>
  <c r="AX110" i="11"/>
  <c r="BC109" i="11"/>
  <c r="AY109" i="11"/>
  <c r="AZ109" i="11" s="1"/>
  <c r="AX109" i="11"/>
  <c r="BC108" i="11"/>
  <c r="AY108" i="11"/>
  <c r="AX108" i="11"/>
  <c r="BC107" i="11"/>
  <c r="AY107" i="11"/>
  <c r="AX107" i="11"/>
  <c r="BC106" i="11"/>
  <c r="AY106" i="11"/>
  <c r="AX106" i="11"/>
  <c r="BC105" i="11"/>
  <c r="AY105" i="11"/>
  <c r="AZ105" i="11" s="1"/>
  <c r="AX105" i="11"/>
  <c r="BC104" i="11"/>
  <c r="AY104" i="11"/>
  <c r="AX104" i="11"/>
  <c r="BC103" i="11"/>
  <c r="AY103" i="11"/>
  <c r="AX103" i="11"/>
  <c r="BC102" i="11"/>
  <c r="AY102" i="11"/>
  <c r="AX102" i="11"/>
  <c r="BC101" i="11"/>
  <c r="AY101" i="11"/>
  <c r="AZ101" i="11" s="1"/>
  <c r="AX101" i="11"/>
  <c r="BC100" i="11"/>
  <c r="AY100" i="11"/>
  <c r="AX100" i="11"/>
  <c r="BC99" i="11"/>
  <c r="AY99" i="11"/>
  <c r="AX99" i="11"/>
  <c r="BC98" i="11"/>
  <c r="AY98" i="11"/>
  <c r="AX98" i="11"/>
  <c r="BC91" i="11"/>
  <c r="AY91" i="11"/>
  <c r="AZ91" i="11" s="1"/>
  <c r="AX91" i="11"/>
  <c r="BC90" i="11"/>
  <c r="BC89" i="11"/>
  <c r="AY89" i="11"/>
  <c r="AX89" i="11"/>
  <c r="BC88" i="11"/>
  <c r="AY88" i="11"/>
  <c r="AX88" i="11"/>
  <c r="BC87" i="11"/>
  <c r="AY87" i="11"/>
  <c r="AX87" i="11"/>
  <c r="BC86" i="11"/>
  <c r="AY86" i="11"/>
  <c r="AX86" i="11"/>
  <c r="BC85" i="11"/>
  <c r="AY85" i="11"/>
  <c r="AX85" i="11"/>
  <c r="BC84" i="11"/>
  <c r="AY84" i="11"/>
  <c r="AX84" i="11"/>
  <c r="AZ84" i="11" s="1"/>
  <c r="BC83" i="11"/>
  <c r="AY83" i="11"/>
  <c r="AX83" i="11"/>
  <c r="BC82" i="11"/>
  <c r="AY82" i="11"/>
  <c r="AX82" i="11"/>
  <c r="BC81" i="11"/>
  <c r="AY81" i="11"/>
  <c r="AX81" i="11"/>
  <c r="BC80" i="11"/>
  <c r="AY80" i="11"/>
  <c r="AZ80" i="11" s="1"/>
  <c r="AX80" i="11"/>
  <c r="BC79" i="11"/>
  <c r="AY79" i="11"/>
  <c r="AX79" i="11"/>
  <c r="BC78" i="11"/>
  <c r="AY78" i="11"/>
  <c r="AX78" i="11"/>
  <c r="BC77" i="11"/>
  <c r="AY77" i="11"/>
  <c r="AX77" i="11"/>
  <c r="BC76" i="11"/>
  <c r="AY76" i="11"/>
  <c r="AX76" i="11"/>
  <c r="BC75" i="11"/>
  <c r="AY75" i="11"/>
  <c r="AX75" i="11"/>
  <c r="BC74" i="11"/>
  <c r="AY74" i="11"/>
  <c r="AX74" i="11"/>
  <c r="BC73" i="11"/>
  <c r="AZ73" i="11"/>
  <c r="AY73" i="11"/>
  <c r="AX73" i="11"/>
  <c r="BC72" i="11"/>
  <c r="AZ72" i="11"/>
  <c r="AY72" i="11"/>
  <c r="AX72" i="11"/>
  <c r="BC71" i="11"/>
  <c r="AZ71" i="11"/>
  <c r="AY71" i="11"/>
  <c r="AX71" i="11"/>
  <c r="BC70" i="11"/>
  <c r="AY69" i="11"/>
  <c r="AX69" i="11"/>
  <c r="AY68" i="11"/>
  <c r="AX68" i="11"/>
  <c r="BC67" i="11"/>
  <c r="AY67" i="11"/>
  <c r="AX67" i="11"/>
  <c r="AY66" i="11"/>
  <c r="AX66" i="11"/>
  <c r="BC65" i="11"/>
  <c r="AY65" i="11"/>
  <c r="AX65" i="11"/>
  <c r="BC64" i="11"/>
  <c r="AY64" i="11"/>
  <c r="AZ64" i="11" s="1"/>
  <c r="AX64" i="11"/>
  <c r="BC63" i="11"/>
  <c r="AY63" i="11"/>
  <c r="AX63" i="11"/>
  <c r="BC62" i="11"/>
  <c r="AY62" i="11"/>
  <c r="AX62" i="11"/>
  <c r="BC61" i="11"/>
  <c r="AY61" i="11"/>
  <c r="AX61" i="11"/>
  <c r="BC60" i="11"/>
  <c r="AY60" i="11"/>
  <c r="AZ60" i="11" s="1"/>
  <c r="AX60" i="11"/>
  <c r="BC59" i="11"/>
  <c r="AZ59" i="11"/>
  <c r="AY59" i="11"/>
  <c r="AX59" i="11"/>
  <c r="BC58" i="11"/>
  <c r="AZ58" i="11"/>
  <c r="AY58" i="11"/>
  <c r="AX58" i="11"/>
  <c r="BC57" i="11"/>
  <c r="AY57" i="11"/>
  <c r="AZ57" i="11" s="1"/>
  <c r="AX57" i="11"/>
  <c r="BC56" i="11"/>
  <c r="AY56" i="11"/>
  <c r="AX56" i="11"/>
  <c r="BC55" i="11"/>
  <c r="AY55" i="11"/>
  <c r="AX55" i="11"/>
  <c r="BC54" i="11"/>
  <c r="AY54" i="11"/>
  <c r="AX54" i="11"/>
  <c r="BC47" i="11"/>
  <c r="AY47" i="11"/>
  <c r="AZ47" i="11" s="1"/>
  <c r="AX47" i="11"/>
  <c r="BC46" i="11"/>
  <c r="BC45" i="11"/>
  <c r="AY45" i="11"/>
  <c r="AX45" i="11"/>
  <c r="BC44" i="11"/>
  <c r="AY44" i="11"/>
  <c r="AX44" i="11"/>
  <c r="BC43" i="11"/>
  <c r="AY43" i="11"/>
  <c r="AX43" i="11"/>
  <c r="BC42" i="11"/>
  <c r="AY42" i="11"/>
  <c r="AX42" i="11"/>
  <c r="BC41" i="11"/>
  <c r="AY41" i="11"/>
  <c r="AX41" i="11"/>
  <c r="BC40" i="11"/>
  <c r="AY40" i="11"/>
  <c r="AZ40" i="11" s="1"/>
  <c r="AX40" i="11"/>
  <c r="BC39" i="11"/>
  <c r="AY39" i="11"/>
  <c r="AX39" i="11"/>
  <c r="BC38" i="11"/>
  <c r="AY38" i="11"/>
  <c r="AX38" i="11"/>
  <c r="BC37" i="11"/>
  <c r="AY37" i="11"/>
  <c r="AX37" i="11"/>
  <c r="BC36" i="11"/>
  <c r="AY36" i="11"/>
  <c r="AZ36" i="11" s="1"/>
  <c r="AX36" i="11"/>
  <c r="BC35" i="11"/>
  <c r="AY35" i="11"/>
  <c r="AX35" i="11"/>
  <c r="BC34" i="11"/>
  <c r="AY34" i="11"/>
  <c r="AX34" i="11"/>
  <c r="BC33" i="11"/>
  <c r="AY33" i="11"/>
  <c r="AX33" i="11"/>
  <c r="BC32" i="11"/>
  <c r="AY32" i="11"/>
  <c r="AZ32" i="11" s="1"/>
  <c r="AX32" i="11"/>
  <c r="BC31" i="11"/>
  <c r="AY31" i="11"/>
  <c r="AX31" i="11"/>
  <c r="BC30" i="11"/>
  <c r="AY30" i="11"/>
  <c r="AX30" i="11"/>
  <c r="BC29" i="11"/>
  <c r="AY29" i="11"/>
  <c r="AX29" i="11"/>
  <c r="BC28" i="11"/>
  <c r="AY28" i="11"/>
  <c r="AZ28" i="11" s="1"/>
  <c r="AX28" i="11"/>
  <c r="AX46" i="11" s="1"/>
  <c r="BC27" i="11"/>
  <c r="AY27" i="11"/>
  <c r="AX27" i="11"/>
  <c r="BC26" i="11"/>
  <c r="BC25" i="11"/>
  <c r="AY25" i="11"/>
  <c r="AZ25" i="11" s="1"/>
  <c r="AX25" i="11"/>
  <c r="BC24" i="11"/>
  <c r="AY24" i="11"/>
  <c r="AX24" i="11"/>
  <c r="BC23" i="11"/>
  <c r="AY23" i="11"/>
  <c r="AX23" i="11"/>
  <c r="AZ23" i="11" s="1"/>
  <c r="BC22" i="11"/>
  <c r="AY22" i="11"/>
  <c r="AX22" i="11"/>
  <c r="BC21" i="11"/>
  <c r="AY21" i="11"/>
  <c r="AX21" i="11"/>
  <c r="AZ21" i="11" s="1"/>
  <c r="AY20" i="11"/>
  <c r="AX20" i="11"/>
  <c r="BC19" i="11"/>
  <c r="AY19" i="11"/>
  <c r="AX19" i="11"/>
  <c r="BC18" i="11"/>
  <c r="AY18" i="11"/>
  <c r="AX18" i="11"/>
  <c r="BC17" i="11"/>
  <c r="AY17" i="11"/>
  <c r="AX17" i="11"/>
  <c r="BC16" i="11"/>
  <c r="AY16" i="11"/>
  <c r="AX16" i="11"/>
  <c r="BC15" i="11"/>
  <c r="AY15" i="11"/>
  <c r="AX15" i="11"/>
  <c r="BC14" i="11"/>
  <c r="AY14" i="11"/>
  <c r="AX14" i="11"/>
  <c r="BC13" i="11"/>
  <c r="AY13" i="11"/>
  <c r="AX13" i="11"/>
  <c r="BC12" i="11"/>
  <c r="AY12" i="11"/>
  <c r="AX12" i="11"/>
  <c r="BC11" i="11"/>
  <c r="AY11" i="11"/>
  <c r="AX11" i="11"/>
  <c r="BC10" i="11"/>
  <c r="AY10" i="11"/>
  <c r="AX10" i="11"/>
  <c r="BC9" i="11"/>
  <c r="AY9" i="11"/>
  <c r="AX9" i="11"/>
  <c r="BC8" i="11"/>
  <c r="AY8" i="11"/>
  <c r="AX8" i="11"/>
  <c r="BC7" i="11"/>
  <c r="AY7" i="11"/>
  <c r="AX7" i="11"/>
  <c r="BC6" i="11"/>
  <c r="AY6" i="11"/>
  <c r="AX6" i="11"/>
  <c r="BC5" i="11"/>
  <c r="AY5" i="11"/>
  <c r="AX5" i="11"/>
  <c r="BC344" i="10"/>
  <c r="BB344" i="10"/>
  <c r="BC342" i="10"/>
  <c r="BB342" i="10"/>
  <c r="BC322" i="10"/>
  <c r="BD322" i="10" s="1"/>
  <c r="BB322" i="10"/>
  <c r="BC298" i="10"/>
  <c r="BB298" i="10"/>
  <c r="BC296" i="10"/>
  <c r="BD296" i="10" s="1"/>
  <c r="BB296" i="10"/>
  <c r="BC276" i="10"/>
  <c r="BB276" i="10"/>
  <c r="BC247" i="10"/>
  <c r="BD247" i="10" s="1"/>
  <c r="BB247" i="10"/>
  <c r="BC245" i="10"/>
  <c r="BB245" i="10"/>
  <c r="BC224" i="10"/>
  <c r="BD224" i="10" s="1"/>
  <c r="BB224" i="10"/>
  <c r="BC206" i="10"/>
  <c r="BB206" i="10"/>
  <c r="BC204" i="10"/>
  <c r="BD204" i="10" s="1"/>
  <c r="BB204" i="10"/>
  <c r="BC178" i="10"/>
  <c r="BB178" i="10"/>
  <c r="BC154" i="10"/>
  <c r="BD154" i="10" s="1"/>
  <c r="BB154" i="10"/>
  <c r="BC152" i="10"/>
  <c r="BB152" i="10"/>
  <c r="BC129" i="10"/>
  <c r="BD129" i="10" s="1"/>
  <c r="BB129" i="10"/>
  <c r="BC104" i="10"/>
  <c r="BB104" i="10"/>
  <c r="BC90" i="10"/>
  <c r="BD90" i="10" s="1"/>
  <c r="BB90" i="10"/>
  <c r="BC60" i="10"/>
  <c r="BF60" i="10" s="1"/>
  <c r="BG60" i="10" s="1"/>
  <c r="BB60" i="10"/>
  <c r="BE60" i="10" s="1"/>
  <c r="BC58" i="10"/>
  <c r="BD58" i="10" s="1"/>
  <c r="BB58" i="10"/>
  <c r="BC47" i="10"/>
  <c r="BB47" i="10"/>
  <c r="BC27" i="10"/>
  <c r="BD27" i="10" s="1"/>
  <c r="BB27" i="10"/>
  <c r="BC11" i="10"/>
  <c r="BB11" i="10"/>
  <c r="BD344" i="10"/>
  <c r="BD343" i="10"/>
  <c r="AZ343" i="10"/>
  <c r="BA343" i="10" s="1"/>
  <c r="AY343" i="10"/>
  <c r="BD342" i="10"/>
  <c r="AZ341" i="10"/>
  <c r="AY341" i="10"/>
  <c r="AZ340" i="10"/>
  <c r="AY340" i="10"/>
  <c r="AZ339" i="10"/>
  <c r="AY339" i="10"/>
  <c r="AZ338" i="10"/>
  <c r="AY338" i="10"/>
  <c r="BD337" i="10"/>
  <c r="AZ337" i="10"/>
  <c r="AY337" i="10"/>
  <c r="BD336" i="10"/>
  <c r="AZ336" i="10"/>
  <c r="AY336" i="10"/>
  <c r="BA336" i="10" s="1"/>
  <c r="BD335" i="10"/>
  <c r="AZ335" i="10"/>
  <c r="AY335" i="10"/>
  <c r="BD334" i="10"/>
  <c r="AZ334" i="10"/>
  <c r="BA334" i="10" s="1"/>
  <c r="AY334" i="10"/>
  <c r="BD333" i="10"/>
  <c r="AZ333" i="10"/>
  <c r="BA333" i="10" s="1"/>
  <c r="AY333" i="10"/>
  <c r="BD332" i="10"/>
  <c r="AZ332" i="10"/>
  <c r="AY332" i="10"/>
  <c r="BD331" i="10"/>
  <c r="AZ331" i="10"/>
  <c r="AY331" i="10"/>
  <c r="BD330" i="10"/>
  <c r="AZ330" i="10"/>
  <c r="AY330" i="10"/>
  <c r="BD329" i="10"/>
  <c r="AZ329" i="10"/>
  <c r="AY329" i="10"/>
  <c r="BD328" i="10"/>
  <c r="AZ328" i="10"/>
  <c r="AY328" i="10"/>
  <c r="BD327" i="10"/>
  <c r="AZ327" i="10"/>
  <c r="AY327" i="10"/>
  <c r="BD326" i="10"/>
  <c r="AZ326" i="10"/>
  <c r="AY326" i="10"/>
  <c r="BD325" i="10"/>
  <c r="AZ325" i="10"/>
  <c r="AY325" i="10"/>
  <c r="BD324" i="10"/>
  <c r="AZ324" i="10"/>
  <c r="AY324" i="10"/>
  <c r="BD323" i="10"/>
  <c r="AZ323" i="10"/>
  <c r="AY323" i="10"/>
  <c r="AY344" i="10" s="1"/>
  <c r="AZ321" i="10"/>
  <c r="AY321" i="10"/>
  <c r="AZ320" i="10"/>
  <c r="AY320" i="10"/>
  <c r="AZ319" i="10"/>
  <c r="AY319" i="10"/>
  <c r="AZ318" i="10"/>
  <c r="AY318" i="10"/>
  <c r="AZ317" i="10"/>
  <c r="AY317" i="10"/>
  <c r="BD316" i="10"/>
  <c r="AZ316" i="10"/>
  <c r="AY316" i="10"/>
  <c r="AZ315" i="10"/>
  <c r="AY315" i="10"/>
  <c r="BD314" i="10"/>
  <c r="AZ314" i="10"/>
  <c r="AY314" i="10"/>
  <c r="AZ313" i="10"/>
  <c r="AY313" i="10"/>
  <c r="AZ312" i="10"/>
  <c r="AY312" i="10"/>
  <c r="BD311" i="10"/>
  <c r="AZ311" i="10"/>
  <c r="AY311" i="10"/>
  <c r="BD310" i="10"/>
  <c r="AZ310" i="10"/>
  <c r="AY310" i="10"/>
  <c r="BD309" i="10"/>
  <c r="AZ309" i="10"/>
  <c r="AY309" i="10"/>
  <c r="BD308" i="10"/>
  <c r="AZ308" i="10"/>
  <c r="BA308" i="10" s="1"/>
  <c r="AY308" i="10"/>
  <c r="BD307" i="10"/>
  <c r="AZ307" i="10"/>
  <c r="AY307" i="10"/>
  <c r="BD306" i="10"/>
  <c r="AZ306" i="10"/>
  <c r="BA306" i="10" s="1"/>
  <c r="AY306" i="10"/>
  <c r="BD305" i="10"/>
  <c r="AZ305" i="10"/>
  <c r="AY305" i="10"/>
  <c r="BD304" i="10"/>
  <c r="AZ304" i="10"/>
  <c r="BA304" i="10" s="1"/>
  <c r="AY304" i="10"/>
  <c r="BD298" i="10"/>
  <c r="BD297" i="10"/>
  <c r="AZ297" i="10"/>
  <c r="BA297" i="10" s="1"/>
  <c r="AY297" i="10"/>
  <c r="AZ295" i="10"/>
  <c r="AY295" i="10"/>
  <c r="BD294" i="10"/>
  <c r="AZ294" i="10"/>
  <c r="AY294" i="10"/>
  <c r="AZ293" i="10"/>
  <c r="AY293" i="10"/>
  <c r="BD292" i="10"/>
  <c r="AZ292" i="10"/>
  <c r="AY292" i="10"/>
  <c r="BD291" i="10"/>
  <c r="AZ291" i="10"/>
  <c r="AY291" i="10"/>
  <c r="BD290" i="10"/>
  <c r="AZ290" i="10"/>
  <c r="BA290" i="10" s="1"/>
  <c r="AY290" i="10"/>
  <c r="BD289" i="10"/>
  <c r="AZ289" i="10"/>
  <c r="BA289" i="10" s="1"/>
  <c r="AY289" i="10"/>
  <c r="BD288" i="10"/>
  <c r="AZ288" i="10"/>
  <c r="BA288" i="10" s="1"/>
  <c r="AY288" i="10"/>
  <c r="BD287" i="10"/>
  <c r="AZ287" i="10"/>
  <c r="BA287" i="10" s="1"/>
  <c r="AY287" i="10"/>
  <c r="BD286" i="10"/>
  <c r="AZ286" i="10"/>
  <c r="BA286" i="10" s="1"/>
  <c r="AY286" i="10"/>
  <c r="BD285" i="10"/>
  <c r="AZ285" i="10"/>
  <c r="BA285" i="10" s="1"/>
  <c r="AY285" i="10"/>
  <c r="BD284" i="10"/>
  <c r="AZ284" i="10"/>
  <c r="BA284" i="10" s="1"/>
  <c r="AY284" i="10"/>
  <c r="BD283" i="10"/>
  <c r="AZ283" i="10"/>
  <c r="BA283" i="10" s="1"/>
  <c r="AY283" i="10"/>
  <c r="BD282" i="10"/>
  <c r="AZ282" i="10"/>
  <c r="BA282" i="10" s="1"/>
  <c r="AY282" i="10"/>
  <c r="BD281" i="10"/>
  <c r="AZ281" i="10"/>
  <c r="BA281" i="10" s="1"/>
  <c r="AY281" i="10"/>
  <c r="BD280" i="10"/>
  <c r="AZ280" i="10"/>
  <c r="BA280" i="10" s="1"/>
  <c r="AY280" i="10"/>
  <c r="BD279" i="10"/>
  <c r="AZ279" i="10"/>
  <c r="BA279" i="10" s="1"/>
  <c r="AY279" i="10"/>
  <c r="BD278" i="10"/>
  <c r="AZ278" i="10"/>
  <c r="BA278" i="10" s="1"/>
  <c r="AY278" i="10"/>
  <c r="BD277" i="10"/>
  <c r="AZ277" i="10"/>
  <c r="BA277" i="10" s="1"/>
  <c r="AY277" i="10"/>
  <c r="AY298" i="10" s="1"/>
  <c r="BD276" i="10"/>
  <c r="BD275" i="10"/>
  <c r="AZ275" i="10"/>
  <c r="AY275" i="10"/>
  <c r="BD274" i="10"/>
  <c r="AZ274" i="10"/>
  <c r="AY274" i="10"/>
  <c r="BD273" i="10"/>
  <c r="BA273" i="10"/>
  <c r="AZ273" i="10"/>
  <c r="AY273" i="10"/>
  <c r="BD272" i="10"/>
  <c r="BA272" i="10"/>
  <c r="AZ272" i="10"/>
  <c r="AY272" i="10"/>
  <c r="BD271" i="10"/>
  <c r="BA271" i="10"/>
  <c r="AZ271" i="10"/>
  <c r="AY271" i="10"/>
  <c r="BD270" i="10"/>
  <c r="BA270" i="10"/>
  <c r="AZ270" i="10"/>
  <c r="AY270" i="10"/>
  <c r="BD269" i="10"/>
  <c r="BA269" i="10"/>
  <c r="AZ269" i="10"/>
  <c r="AY269" i="10"/>
  <c r="BD268" i="10"/>
  <c r="AZ268" i="10"/>
  <c r="AY268" i="10"/>
  <c r="BD267" i="10"/>
  <c r="AZ267" i="10"/>
  <c r="AY267" i="10"/>
  <c r="BD266" i="10"/>
  <c r="AZ266" i="10"/>
  <c r="AY266" i="10"/>
  <c r="BD265" i="10"/>
  <c r="AZ265" i="10"/>
  <c r="AY265" i="10"/>
  <c r="BD264" i="10"/>
  <c r="AZ264" i="10"/>
  <c r="BA264" i="10" s="1"/>
  <c r="AY264" i="10"/>
  <c r="BD263" i="10"/>
  <c r="AZ263" i="10"/>
  <c r="AY263" i="10"/>
  <c r="BD262" i="10"/>
  <c r="AZ262" i="10"/>
  <c r="AY262" i="10"/>
  <c r="BD261" i="10"/>
  <c r="AZ261" i="10"/>
  <c r="AY261" i="10"/>
  <c r="BD260" i="10"/>
  <c r="AZ260" i="10"/>
  <c r="BA260" i="10" s="1"/>
  <c r="AY260" i="10"/>
  <c r="BD259" i="10"/>
  <c r="AZ259" i="10"/>
  <c r="AY259" i="10"/>
  <c r="BD258" i="10"/>
  <c r="AZ258" i="10"/>
  <c r="AY258" i="10"/>
  <c r="BD257" i="10"/>
  <c r="AZ257" i="10"/>
  <c r="AY257" i="10"/>
  <c r="BD256" i="10"/>
  <c r="AZ256" i="10"/>
  <c r="BA256" i="10" s="1"/>
  <c r="AY256" i="10"/>
  <c r="BD255" i="10"/>
  <c r="AZ255" i="10"/>
  <c r="AY255" i="10"/>
  <c r="AY276" i="10" s="1"/>
  <c r="BD246" i="10"/>
  <c r="AZ246" i="10"/>
  <c r="AY246" i="10"/>
  <c r="BD245" i="10"/>
  <c r="BD244" i="10"/>
  <c r="BD243" i="10"/>
  <c r="AZ243" i="10"/>
  <c r="AY243" i="10"/>
  <c r="BD242" i="10"/>
  <c r="AZ242" i="10"/>
  <c r="BA242" i="10" s="1"/>
  <c r="AY242" i="10"/>
  <c r="BD241" i="10"/>
  <c r="AZ241" i="10"/>
  <c r="AY241" i="10"/>
  <c r="BD240" i="10"/>
  <c r="AZ240" i="10"/>
  <c r="AY240" i="10"/>
  <c r="BD239" i="10"/>
  <c r="AZ239" i="10"/>
  <c r="AY239" i="10"/>
  <c r="BD238" i="10"/>
  <c r="AZ238" i="10"/>
  <c r="BA238" i="10" s="1"/>
  <c r="AY238" i="10"/>
  <c r="BD237" i="10"/>
  <c r="AZ237" i="10"/>
  <c r="AY237" i="10"/>
  <c r="BD236" i="10"/>
  <c r="AZ236" i="10"/>
  <c r="AY236" i="10"/>
  <c r="BD235" i="10"/>
  <c r="AZ235" i="10"/>
  <c r="AY235" i="10"/>
  <c r="BD234" i="10"/>
  <c r="AZ234" i="10"/>
  <c r="BA234" i="10" s="1"/>
  <c r="AY234" i="10"/>
  <c r="BD233" i="10"/>
  <c r="AZ233" i="10"/>
  <c r="AY233" i="10"/>
  <c r="BD232" i="10"/>
  <c r="AZ232" i="10"/>
  <c r="AY232" i="10"/>
  <c r="BD231" i="10"/>
  <c r="AZ231" i="10"/>
  <c r="AY231" i="10"/>
  <c r="BD230" i="10"/>
  <c r="AZ230" i="10"/>
  <c r="BA230" i="10" s="1"/>
  <c r="AY230" i="10"/>
  <c r="BD229" i="10"/>
  <c r="AZ229" i="10"/>
  <c r="AY229" i="10"/>
  <c r="BD228" i="10"/>
  <c r="AZ228" i="10"/>
  <c r="AY228" i="10"/>
  <c r="BD227" i="10"/>
  <c r="AZ227" i="10"/>
  <c r="AY227" i="10"/>
  <c r="BD226" i="10"/>
  <c r="AZ226" i="10"/>
  <c r="AY226" i="10"/>
  <c r="BD225" i="10"/>
  <c r="AZ225" i="10"/>
  <c r="AY225" i="10"/>
  <c r="AZ223" i="10"/>
  <c r="AY223" i="10"/>
  <c r="BD222" i="10"/>
  <c r="AZ222" i="10"/>
  <c r="AY222" i="10"/>
  <c r="BD221" i="10"/>
  <c r="AZ221" i="10"/>
  <c r="BA221" i="10" s="1"/>
  <c r="AY221" i="10"/>
  <c r="BD220" i="10"/>
  <c r="AZ220" i="10"/>
  <c r="AY220" i="10"/>
  <c r="BD219" i="10"/>
  <c r="AZ219" i="10"/>
  <c r="AY219" i="10"/>
  <c r="BD218" i="10"/>
  <c r="AZ218" i="10"/>
  <c r="AY218" i="10"/>
  <c r="BD217" i="10"/>
  <c r="AZ217" i="10"/>
  <c r="BA217" i="10" s="1"/>
  <c r="AY217" i="10"/>
  <c r="BD216" i="10"/>
  <c r="AZ216" i="10"/>
  <c r="AY216" i="10"/>
  <c r="BD215" i="10"/>
  <c r="AZ215" i="10"/>
  <c r="BA215" i="10" s="1"/>
  <c r="AY215" i="10"/>
  <c r="BD214" i="10"/>
  <c r="AZ214" i="10"/>
  <c r="BA214" i="10" s="1"/>
  <c r="AY214" i="10"/>
  <c r="BD213" i="10"/>
  <c r="AZ213" i="10"/>
  <c r="BA213" i="10" s="1"/>
  <c r="AY213" i="10"/>
  <c r="BD212" i="10"/>
  <c r="AZ212" i="10"/>
  <c r="BA212" i="10" s="1"/>
  <c r="AY212" i="10"/>
  <c r="BD206" i="10"/>
  <c r="BD205" i="10"/>
  <c r="AZ205" i="10"/>
  <c r="AY205" i="10"/>
  <c r="BD203" i="10"/>
  <c r="AZ203" i="10"/>
  <c r="BA203" i="10" s="1"/>
  <c r="AY203" i="10"/>
  <c r="BD202" i="10"/>
  <c r="AZ202" i="10"/>
  <c r="AY202" i="10"/>
  <c r="BD201" i="10"/>
  <c r="AZ201" i="10"/>
  <c r="BA201" i="10" s="1"/>
  <c r="AY201" i="10"/>
  <c r="BD200" i="10"/>
  <c r="AZ200" i="10"/>
  <c r="AY200" i="10"/>
  <c r="BD199" i="10"/>
  <c r="AZ199" i="10"/>
  <c r="AY199" i="10"/>
  <c r="BD198" i="10"/>
  <c r="AZ198" i="10"/>
  <c r="AY198" i="10"/>
  <c r="BD197" i="10"/>
  <c r="AZ197" i="10"/>
  <c r="BA197" i="10" s="1"/>
  <c r="AY197" i="10"/>
  <c r="BD196" i="10"/>
  <c r="AZ196" i="10"/>
  <c r="AY196" i="10"/>
  <c r="BD195" i="10"/>
  <c r="AZ195" i="10"/>
  <c r="AY195" i="10"/>
  <c r="BD194" i="10"/>
  <c r="AZ194" i="10"/>
  <c r="AY194" i="10"/>
  <c r="BD193" i="10"/>
  <c r="AZ193" i="10"/>
  <c r="BA193" i="10" s="1"/>
  <c r="AY193" i="10"/>
  <c r="BD192" i="10"/>
  <c r="AZ192" i="10"/>
  <c r="AY192" i="10"/>
  <c r="BD191" i="10"/>
  <c r="AZ191" i="10"/>
  <c r="AY191" i="10"/>
  <c r="BD190" i="10"/>
  <c r="AZ190" i="10"/>
  <c r="AY190" i="10"/>
  <c r="BD189" i="10"/>
  <c r="AZ189" i="10"/>
  <c r="BA189" i="10" s="1"/>
  <c r="AY189" i="10"/>
  <c r="BD188" i="10"/>
  <c r="AZ188" i="10"/>
  <c r="AY188" i="10"/>
  <c r="BD187" i="10"/>
  <c r="AZ187" i="10"/>
  <c r="AY187" i="10"/>
  <c r="BD186" i="10"/>
  <c r="AZ186" i="10"/>
  <c r="AY186" i="10"/>
  <c r="BD185" i="10"/>
  <c r="AZ185" i="10"/>
  <c r="BA185" i="10" s="1"/>
  <c r="AY185" i="10"/>
  <c r="BD184" i="10"/>
  <c r="AZ184" i="10"/>
  <c r="AY184" i="10"/>
  <c r="BD183" i="10"/>
  <c r="AZ183" i="10"/>
  <c r="AY183" i="10"/>
  <c r="BD182" i="10"/>
  <c r="AZ182" i="10"/>
  <c r="AY182" i="10"/>
  <c r="BD181" i="10"/>
  <c r="AZ181" i="10"/>
  <c r="BA181" i="10" s="1"/>
  <c r="AY181" i="10"/>
  <c r="BD180" i="10"/>
  <c r="AZ180" i="10"/>
  <c r="AY180" i="10"/>
  <c r="BD179" i="10"/>
  <c r="AZ179" i="10"/>
  <c r="AZ206" i="10" s="1"/>
  <c r="AY179" i="10"/>
  <c r="BD178" i="10"/>
  <c r="BD177" i="10"/>
  <c r="AZ177" i="10"/>
  <c r="BA177" i="10" s="1"/>
  <c r="AY177" i="10"/>
  <c r="BD176" i="10"/>
  <c r="AZ176" i="10"/>
  <c r="AY176" i="10"/>
  <c r="BD175" i="10"/>
  <c r="AZ175" i="10"/>
  <c r="AY175" i="10"/>
  <c r="BD174" i="10"/>
  <c r="AZ174" i="10"/>
  <c r="BA174" i="10" s="1"/>
  <c r="AY174" i="10"/>
  <c r="BD173" i="10"/>
  <c r="AZ173" i="10"/>
  <c r="BA173" i="10" s="1"/>
  <c r="AY173" i="10"/>
  <c r="BD172" i="10"/>
  <c r="AZ172" i="10"/>
  <c r="AY172" i="10"/>
  <c r="BD171" i="10"/>
  <c r="AZ171" i="10"/>
  <c r="AY171" i="10"/>
  <c r="BD170" i="10"/>
  <c r="AZ170" i="10"/>
  <c r="BA170" i="10" s="1"/>
  <c r="AY170" i="10"/>
  <c r="BD169" i="10"/>
  <c r="AZ169" i="10"/>
  <c r="AY169" i="10"/>
  <c r="BD168" i="10"/>
  <c r="AZ168" i="10"/>
  <c r="AY168" i="10"/>
  <c r="BD167" i="10"/>
  <c r="AZ167" i="10"/>
  <c r="AY167" i="10"/>
  <c r="BD166" i="10"/>
  <c r="AZ166" i="10"/>
  <c r="BA166" i="10" s="1"/>
  <c r="AY166" i="10"/>
  <c r="BD165" i="10"/>
  <c r="AZ165" i="10"/>
  <c r="AY165" i="10"/>
  <c r="BD164" i="10"/>
  <c r="AZ164" i="10"/>
  <c r="AY164" i="10"/>
  <c r="BD163" i="10"/>
  <c r="AZ163" i="10"/>
  <c r="AY163" i="10"/>
  <c r="BD162" i="10"/>
  <c r="AZ162" i="10"/>
  <c r="AY162" i="10"/>
  <c r="BD153" i="10"/>
  <c r="AZ153" i="10"/>
  <c r="BA153" i="10" s="1"/>
  <c r="AY153" i="10"/>
  <c r="BD152" i="10"/>
  <c r="AZ151" i="10"/>
  <c r="AY151" i="10"/>
  <c r="BD150" i="10"/>
  <c r="AZ150" i="10"/>
  <c r="AY150" i="10"/>
  <c r="BD149" i="10"/>
  <c r="AZ149" i="10"/>
  <c r="AY149" i="10"/>
  <c r="AZ148" i="10"/>
  <c r="AY148" i="10"/>
  <c r="BD147" i="10"/>
  <c r="AZ147" i="10"/>
  <c r="AY147" i="10"/>
  <c r="BD146" i="10"/>
  <c r="AZ146" i="10"/>
  <c r="AY146" i="10"/>
  <c r="BD145" i="10"/>
  <c r="AZ145" i="10"/>
  <c r="AY145" i="10"/>
  <c r="BD144" i="10"/>
  <c r="AZ144" i="10"/>
  <c r="AY144" i="10"/>
  <c r="BD143" i="10"/>
  <c r="AZ143" i="10"/>
  <c r="AY143" i="10"/>
  <c r="BD142" i="10"/>
  <c r="BA142" i="10"/>
  <c r="AZ142" i="10"/>
  <c r="AY142" i="10"/>
  <c r="BD141" i="10"/>
  <c r="BA141" i="10"/>
  <c r="AZ141" i="10"/>
  <c r="AY141" i="10"/>
  <c r="BD140" i="10"/>
  <c r="BA140" i="10"/>
  <c r="AZ140" i="10"/>
  <c r="AY140" i="10"/>
  <c r="BD139" i="10"/>
  <c r="BA139" i="10"/>
  <c r="AZ139" i="10"/>
  <c r="AY139" i="10"/>
  <c r="BD138" i="10"/>
  <c r="AZ138" i="10"/>
  <c r="AY138" i="10"/>
  <c r="BD137" i="10"/>
  <c r="AZ137" i="10"/>
  <c r="AY137" i="10"/>
  <c r="BD136" i="10"/>
  <c r="AZ136" i="10"/>
  <c r="BA136" i="10" s="1"/>
  <c r="AY136" i="10"/>
  <c r="BD135" i="10"/>
  <c r="AZ135" i="10"/>
  <c r="BA135" i="10" s="1"/>
  <c r="AY135" i="10"/>
  <c r="BD134" i="10"/>
  <c r="AZ134" i="10"/>
  <c r="BA134" i="10" s="1"/>
  <c r="AY134" i="10"/>
  <c r="BD133" i="10"/>
  <c r="AZ133" i="10"/>
  <c r="BA133" i="10" s="1"/>
  <c r="AY133" i="10"/>
  <c r="BD132" i="10"/>
  <c r="AZ132" i="10"/>
  <c r="AY132" i="10"/>
  <c r="BD131" i="10"/>
  <c r="AZ131" i="10"/>
  <c r="AY131" i="10"/>
  <c r="BD130" i="10"/>
  <c r="AZ130" i="10"/>
  <c r="AY130" i="10"/>
  <c r="AZ128" i="10"/>
  <c r="AY128" i="10"/>
  <c r="AZ127" i="10"/>
  <c r="BA127" i="10" s="1"/>
  <c r="AY127" i="10"/>
  <c r="BD126" i="10"/>
  <c r="AZ126" i="10"/>
  <c r="BA126" i="10" s="1"/>
  <c r="AY126" i="10"/>
  <c r="BD125" i="10"/>
  <c r="AZ125" i="10"/>
  <c r="AY125" i="10"/>
  <c r="BD124" i="10"/>
  <c r="AZ124" i="10"/>
  <c r="AY124" i="10"/>
  <c r="BD123" i="10"/>
  <c r="AZ123" i="10"/>
  <c r="AY123" i="10"/>
  <c r="AZ122" i="10"/>
  <c r="AY122" i="10"/>
  <c r="BD121" i="10"/>
  <c r="AZ121" i="10"/>
  <c r="AY121" i="10"/>
  <c r="BD120" i="10"/>
  <c r="AZ120" i="10"/>
  <c r="AY120" i="10"/>
  <c r="BD119" i="10"/>
  <c r="AZ119" i="10"/>
  <c r="BA119" i="10" s="1"/>
  <c r="AY119" i="10"/>
  <c r="BD118" i="10"/>
  <c r="AZ118" i="10"/>
  <c r="BA118" i="10" s="1"/>
  <c r="AY118" i="10"/>
  <c r="BD117" i="10"/>
  <c r="AZ117" i="10"/>
  <c r="AY117" i="10"/>
  <c r="BD116" i="10"/>
  <c r="AZ116" i="10"/>
  <c r="AY116" i="10"/>
  <c r="BD115" i="10"/>
  <c r="AZ115" i="10"/>
  <c r="BA115" i="10" s="1"/>
  <c r="AY115" i="10"/>
  <c r="BD114" i="10"/>
  <c r="AZ114" i="10"/>
  <c r="BA114" i="10" s="1"/>
  <c r="AY114" i="10"/>
  <c r="BD113" i="10"/>
  <c r="AZ113" i="10"/>
  <c r="AY113" i="10"/>
  <c r="BD112" i="10"/>
  <c r="AZ112" i="10"/>
  <c r="AY112" i="10"/>
  <c r="BD111" i="10"/>
  <c r="AZ111" i="10"/>
  <c r="BA111" i="10" s="1"/>
  <c r="AY111" i="10"/>
  <c r="BD105" i="10"/>
  <c r="AZ105" i="10"/>
  <c r="AY105" i="10"/>
  <c r="BD104" i="10"/>
  <c r="AZ103" i="10"/>
  <c r="AY103" i="10"/>
  <c r="AZ102" i="10"/>
  <c r="AY102" i="10"/>
  <c r="BD101" i="10"/>
  <c r="AZ101" i="10"/>
  <c r="AY101" i="10"/>
  <c r="BD100" i="10"/>
  <c r="AZ100" i="10"/>
  <c r="AY100" i="10"/>
  <c r="BD99" i="10"/>
  <c r="AZ99" i="10"/>
  <c r="AY99" i="10"/>
  <c r="BD98" i="10"/>
  <c r="AZ98" i="10"/>
  <c r="AY98" i="10"/>
  <c r="BD97" i="10"/>
  <c r="AZ97" i="10"/>
  <c r="AY97" i="10"/>
  <c r="BD96" i="10"/>
  <c r="AZ96" i="10"/>
  <c r="AY96" i="10"/>
  <c r="BD95" i="10"/>
  <c r="AZ95" i="10"/>
  <c r="AY95" i="10"/>
  <c r="BD94" i="10"/>
  <c r="AZ94" i="10"/>
  <c r="AY94" i="10"/>
  <c r="BD93" i="10"/>
  <c r="AZ93" i="10"/>
  <c r="AY93" i="10"/>
  <c r="BD92" i="10"/>
  <c r="AZ92" i="10"/>
  <c r="AY92" i="10"/>
  <c r="BD91" i="10"/>
  <c r="AZ91" i="10"/>
  <c r="AY91" i="10"/>
  <c r="BA91" i="10" s="1"/>
  <c r="AZ89" i="10"/>
  <c r="AY89" i="10"/>
  <c r="AZ88" i="10"/>
  <c r="AY88" i="10"/>
  <c r="AZ87" i="10"/>
  <c r="AY87" i="10"/>
  <c r="AZ86" i="10"/>
  <c r="AY86" i="10"/>
  <c r="AZ85" i="10"/>
  <c r="AY85" i="10"/>
  <c r="BD84" i="10"/>
  <c r="AZ84" i="10"/>
  <c r="AY84" i="10"/>
  <c r="BD83" i="10"/>
  <c r="AZ83" i="10"/>
  <c r="AY83" i="10"/>
  <c r="AZ82" i="10"/>
  <c r="AY82" i="10"/>
  <c r="BD81" i="10"/>
  <c r="AZ81" i="10"/>
  <c r="AY81" i="10"/>
  <c r="BD80" i="10"/>
  <c r="AZ80" i="10"/>
  <c r="AY80" i="10"/>
  <c r="BD79" i="10"/>
  <c r="AZ79" i="10"/>
  <c r="AY79" i="10"/>
  <c r="BD78" i="10"/>
  <c r="AZ78" i="10"/>
  <c r="AY78" i="10"/>
  <c r="BA78" i="10" s="1"/>
  <c r="BD77" i="10"/>
  <c r="AZ77" i="10"/>
  <c r="AY77" i="10"/>
  <c r="BA77" i="10" s="1"/>
  <c r="BD76" i="10"/>
  <c r="AZ76" i="10"/>
  <c r="AY76" i="10"/>
  <c r="BA76" i="10" s="1"/>
  <c r="BD75" i="10"/>
  <c r="AZ75" i="10"/>
  <c r="AY75" i="10"/>
  <c r="BA75" i="10" s="1"/>
  <c r="BD74" i="10"/>
  <c r="AZ74" i="10"/>
  <c r="AY74" i="10"/>
  <c r="BA74" i="10" s="1"/>
  <c r="BD73" i="10"/>
  <c r="AZ73" i="10"/>
  <c r="AY73" i="10"/>
  <c r="BA73" i="10" s="1"/>
  <c r="BD72" i="10"/>
  <c r="AZ72" i="10"/>
  <c r="AY72" i="10"/>
  <c r="BA72" i="10" s="1"/>
  <c r="BD71" i="10"/>
  <c r="AZ71" i="10"/>
  <c r="AY71" i="10"/>
  <c r="BA71" i="10" s="1"/>
  <c r="BD70" i="10"/>
  <c r="AZ70" i="10"/>
  <c r="AY70" i="10"/>
  <c r="BD69" i="10"/>
  <c r="BA69" i="10"/>
  <c r="AZ69" i="10"/>
  <c r="AY69" i="10"/>
  <c r="BD68" i="10"/>
  <c r="BA68" i="10"/>
  <c r="AZ68" i="10"/>
  <c r="AY68" i="10"/>
  <c r="BD67" i="10"/>
  <c r="BA67" i="10"/>
  <c r="AZ67" i="10"/>
  <c r="AY67" i="10"/>
  <c r="BD66" i="10"/>
  <c r="BA66" i="10"/>
  <c r="AZ66" i="10"/>
  <c r="AY66" i="10"/>
  <c r="BD60" i="10"/>
  <c r="BD59" i="10"/>
  <c r="AZ59" i="10"/>
  <c r="AY59" i="10"/>
  <c r="BA59" i="10" s="1"/>
  <c r="AZ57" i="10"/>
  <c r="AY57" i="10"/>
  <c r="BD56" i="10"/>
  <c r="AZ56" i="10"/>
  <c r="AY56" i="10"/>
  <c r="BD55" i="10"/>
  <c r="AZ55" i="10"/>
  <c r="AY55" i="10"/>
  <c r="BD54" i="10"/>
  <c r="AZ54" i="10"/>
  <c r="AY54" i="10"/>
  <c r="BD53" i="10"/>
  <c r="AZ53" i="10"/>
  <c r="AY53" i="10"/>
  <c r="BD52" i="10"/>
  <c r="AZ52" i="10"/>
  <c r="AY52" i="10"/>
  <c r="BD51" i="10"/>
  <c r="AZ51" i="10"/>
  <c r="AY51" i="10"/>
  <c r="BD50" i="10"/>
  <c r="AZ50" i="10"/>
  <c r="AY50" i="10"/>
  <c r="BD49" i="10"/>
  <c r="AZ49" i="10"/>
  <c r="AY49" i="10"/>
  <c r="BD48" i="10"/>
  <c r="AZ48" i="10"/>
  <c r="AY48" i="10"/>
  <c r="BD47" i="10"/>
  <c r="AZ46" i="10"/>
  <c r="AY46" i="10"/>
  <c r="AZ45" i="10"/>
  <c r="AY45" i="10"/>
  <c r="BD44" i="10"/>
  <c r="AZ44" i="10"/>
  <c r="AY44" i="10"/>
  <c r="BD43" i="10"/>
  <c r="AZ43" i="10"/>
  <c r="AY43" i="10"/>
  <c r="BD42" i="10"/>
  <c r="AZ42" i="10"/>
  <c r="AY42" i="10"/>
  <c r="BD41" i="10"/>
  <c r="AZ41" i="10"/>
  <c r="AY41" i="10"/>
  <c r="BD40" i="10"/>
  <c r="AZ40" i="10"/>
  <c r="BA40" i="10" s="1"/>
  <c r="AY40" i="10"/>
  <c r="BD39" i="10"/>
  <c r="AZ39" i="10"/>
  <c r="AY39" i="10"/>
  <c r="BD38" i="10"/>
  <c r="AZ38" i="10"/>
  <c r="AY38" i="10"/>
  <c r="BD37" i="10"/>
  <c r="AZ37" i="10"/>
  <c r="AY37" i="10"/>
  <c r="BD36" i="10"/>
  <c r="AZ36" i="10"/>
  <c r="AY36" i="10"/>
  <c r="BD35" i="10"/>
  <c r="AZ35" i="10"/>
  <c r="AY35" i="10"/>
  <c r="BA35" i="10" s="1"/>
  <c r="BD34" i="10"/>
  <c r="AZ34" i="10"/>
  <c r="AY34" i="10"/>
  <c r="BD33" i="10"/>
  <c r="AZ33" i="10"/>
  <c r="BA33" i="10" s="1"/>
  <c r="AY33" i="10"/>
  <c r="BD32" i="10"/>
  <c r="AZ32" i="10"/>
  <c r="BA32" i="10" s="1"/>
  <c r="AY32" i="10"/>
  <c r="BD31" i="10"/>
  <c r="AZ31" i="10"/>
  <c r="AY31" i="10"/>
  <c r="BD30" i="10"/>
  <c r="AZ30" i="10"/>
  <c r="BA30" i="10" s="1"/>
  <c r="AY30" i="10"/>
  <c r="BD29" i="10"/>
  <c r="AZ29" i="10"/>
  <c r="BA29" i="10" s="1"/>
  <c r="AY29" i="10"/>
  <c r="BD28" i="10"/>
  <c r="AZ28" i="10"/>
  <c r="BA28" i="10" s="1"/>
  <c r="AY28" i="10"/>
  <c r="AZ26" i="10"/>
  <c r="AY26" i="10"/>
  <c r="BD25" i="10"/>
  <c r="AZ25" i="10"/>
  <c r="AY25" i="10"/>
  <c r="BD24" i="10"/>
  <c r="AZ24" i="10"/>
  <c r="AY24" i="10"/>
  <c r="BD23" i="10"/>
  <c r="AZ23" i="10"/>
  <c r="AY23" i="10"/>
  <c r="BD22" i="10"/>
  <c r="AZ22" i="10"/>
  <c r="AY22" i="10"/>
  <c r="BD21" i="10"/>
  <c r="AZ21" i="10"/>
  <c r="BA21" i="10" s="1"/>
  <c r="AY21" i="10"/>
  <c r="BD20" i="10"/>
  <c r="AZ20" i="10"/>
  <c r="BA20" i="10" s="1"/>
  <c r="AY20" i="10"/>
  <c r="BD19" i="10"/>
  <c r="AZ19" i="10"/>
  <c r="AY19" i="10"/>
  <c r="BD18" i="10"/>
  <c r="AZ18" i="10"/>
  <c r="AY18" i="10"/>
  <c r="BD17" i="10"/>
  <c r="AZ17" i="10"/>
  <c r="BA17" i="10" s="1"/>
  <c r="AY17" i="10"/>
  <c r="BD16" i="10"/>
  <c r="AZ16" i="10"/>
  <c r="BA16" i="10" s="1"/>
  <c r="AY16" i="10"/>
  <c r="BD15" i="10"/>
  <c r="AZ15" i="10"/>
  <c r="AY15" i="10"/>
  <c r="BD14" i="10"/>
  <c r="AZ14" i="10"/>
  <c r="BA14" i="10" s="1"/>
  <c r="AY14" i="10"/>
  <c r="BD13" i="10"/>
  <c r="AZ13" i="10"/>
  <c r="AY13" i="10"/>
  <c r="BD12" i="10"/>
  <c r="AZ12" i="10"/>
  <c r="BA12" i="10" s="1"/>
  <c r="AY12" i="10"/>
  <c r="BD11" i="10"/>
  <c r="AZ10" i="10"/>
  <c r="AY10" i="10"/>
  <c r="BD9" i="10"/>
  <c r="AZ9" i="10"/>
  <c r="AY9" i="10"/>
  <c r="AZ8" i="10"/>
  <c r="AY8" i="10"/>
  <c r="BD7" i="10"/>
  <c r="AZ7" i="10"/>
  <c r="AY7" i="10"/>
  <c r="BD6" i="10"/>
  <c r="AZ6" i="10"/>
  <c r="AY6" i="10"/>
  <c r="BD5" i="10"/>
  <c r="AZ5" i="10"/>
  <c r="AY5" i="10"/>
  <c r="BB48" i="9"/>
  <c r="BA48" i="9"/>
  <c r="BC48" i="9" s="1"/>
  <c r="BB32" i="9"/>
  <c r="BA32" i="9"/>
  <c r="BC49" i="9"/>
  <c r="AY49" i="9"/>
  <c r="AX49" i="9"/>
  <c r="AY47" i="9"/>
  <c r="AX47" i="9"/>
  <c r="AY46" i="9"/>
  <c r="AX46" i="9"/>
  <c r="AY45" i="9"/>
  <c r="AX45" i="9"/>
  <c r="AY44" i="9"/>
  <c r="AX44" i="9"/>
  <c r="AY43" i="9"/>
  <c r="AX43" i="9"/>
  <c r="AY42" i="9"/>
  <c r="AX42" i="9"/>
  <c r="AY41" i="9"/>
  <c r="AX41" i="9"/>
  <c r="BC40" i="9"/>
  <c r="AY40" i="9"/>
  <c r="AX40" i="9"/>
  <c r="BC39" i="9"/>
  <c r="AY39" i="9"/>
  <c r="AX39" i="9"/>
  <c r="BC38" i="9"/>
  <c r="AY38" i="9"/>
  <c r="AX38" i="9"/>
  <c r="BC37" i="9"/>
  <c r="AY37" i="9"/>
  <c r="AX37" i="9"/>
  <c r="BC36" i="9"/>
  <c r="AY36" i="9"/>
  <c r="AX36" i="9"/>
  <c r="BC35" i="9"/>
  <c r="AY35" i="9"/>
  <c r="AX35" i="9"/>
  <c r="BC34" i="9"/>
  <c r="AY34" i="9"/>
  <c r="AY48" i="9" s="1"/>
  <c r="AX34" i="9"/>
  <c r="BC33" i="9"/>
  <c r="AY33" i="9"/>
  <c r="AX33" i="9"/>
  <c r="AZ33" i="9" s="1"/>
  <c r="BC31" i="9"/>
  <c r="AY31" i="9"/>
  <c r="AX31" i="9"/>
  <c r="BC30" i="9"/>
  <c r="AY30" i="9"/>
  <c r="AX30" i="9"/>
  <c r="BC29" i="9"/>
  <c r="AY29" i="9"/>
  <c r="AX29" i="9"/>
  <c r="BC28" i="9"/>
  <c r="AY28" i="9"/>
  <c r="AX28" i="9"/>
  <c r="BC27" i="9"/>
  <c r="AY27" i="9"/>
  <c r="AZ27" i="9" s="1"/>
  <c r="AX27" i="9"/>
  <c r="BC26" i="9"/>
  <c r="AY26" i="9"/>
  <c r="AX26" i="9"/>
  <c r="BC25" i="9"/>
  <c r="AY25" i="9"/>
  <c r="AX25" i="9"/>
  <c r="BC24" i="9"/>
  <c r="AY24" i="9"/>
  <c r="AX24" i="9"/>
  <c r="BC23" i="9"/>
  <c r="AY23" i="9"/>
  <c r="AX23" i="9"/>
  <c r="BC22" i="9"/>
  <c r="AY22" i="9"/>
  <c r="AZ22" i="9" s="1"/>
  <c r="AX22" i="9"/>
  <c r="BC21" i="9"/>
  <c r="AY21" i="9"/>
  <c r="AX21" i="9"/>
  <c r="BC20" i="9"/>
  <c r="AY20" i="9"/>
  <c r="AX20" i="9"/>
  <c r="BC19" i="9"/>
  <c r="AY19" i="9"/>
  <c r="AX19" i="9"/>
  <c r="AY18" i="9"/>
  <c r="AX18" i="9"/>
  <c r="BC17" i="9"/>
  <c r="AY17" i="9"/>
  <c r="AX17" i="9"/>
  <c r="BC16" i="9"/>
  <c r="AY16" i="9"/>
  <c r="AX16" i="9"/>
  <c r="BC15" i="9"/>
  <c r="AY15" i="9"/>
  <c r="AZ15" i="9" s="1"/>
  <c r="AX15" i="9"/>
  <c r="BC14" i="9"/>
  <c r="AY14" i="9"/>
  <c r="AX14" i="9"/>
  <c r="BC13" i="9"/>
  <c r="AY13" i="9"/>
  <c r="AX13" i="9"/>
  <c r="BC12" i="9"/>
  <c r="AY12" i="9"/>
  <c r="AX12" i="9"/>
  <c r="BC11" i="9"/>
  <c r="AY11" i="9"/>
  <c r="AZ11" i="9" s="1"/>
  <c r="AX11" i="9"/>
  <c r="BC10" i="9"/>
  <c r="AY10" i="9"/>
  <c r="AX10" i="9"/>
  <c r="BC9" i="9"/>
  <c r="AY9" i="9"/>
  <c r="AX9" i="9"/>
  <c r="BC8" i="9"/>
  <c r="AY8" i="9"/>
  <c r="AX8" i="9"/>
  <c r="BC7" i="9"/>
  <c r="AY7" i="9"/>
  <c r="AZ7" i="9" s="1"/>
  <c r="AX7" i="9"/>
  <c r="BC6" i="9"/>
  <c r="AY6" i="9"/>
  <c r="AX6" i="9"/>
  <c r="BC5" i="9"/>
  <c r="AY5" i="9"/>
  <c r="AX5" i="9"/>
  <c r="BC98" i="8"/>
  <c r="BB98" i="8"/>
  <c r="BC96" i="8"/>
  <c r="BB96" i="8"/>
  <c r="BD96" i="8" s="1"/>
  <c r="BC70" i="8"/>
  <c r="BB70" i="8"/>
  <c r="BC49" i="8"/>
  <c r="BB49" i="8"/>
  <c r="BD49" i="8" s="1"/>
  <c r="BC47" i="8"/>
  <c r="BB47" i="8"/>
  <c r="BC28" i="8"/>
  <c r="BB28" i="8"/>
  <c r="BD28" i="8" s="1"/>
  <c r="BD98" i="8"/>
  <c r="BD97" i="8"/>
  <c r="AZ97" i="8"/>
  <c r="AY97" i="8"/>
  <c r="AZ95" i="8"/>
  <c r="AY95" i="8"/>
  <c r="AZ94" i="8"/>
  <c r="AY94" i="8"/>
  <c r="AZ93" i="8"/>
  <c r="AY93" i="8"/>
  <c r="AZ92" i="8"/>
  <c r="BA92" i="8" s="1"/>
  <c r="AY92" i="8"/>
  <c r="BD91" i="8"/>
  <c r="AZ91" i="8"/>
  <c r="AY91" i="8"/>
  <c r="AZ90" i="8"/>
  <c r="AY90" i="8"/>
  <c r="AZ89" i="8"/>
  <c r="AY89" i="8"/>
  <c r="BD88" i="8"/>
  <c r="AZ88" i="8"/>
  <c r="AY88" i="8"/>
  <c r="BD87" i="8"/>
  <c r="AZ87" i="8"/>
  <c r="AY87" i="8"/>
  <c r="BD86" i="8"/>
  <c r="AZ86" i="8"/>
  <c r="BA86" i="8" s="1"/>
  <c r="AY86" i="8"/>
  <c r="BD85" i="8"/>
  <c r="AZ85" i="8"/>
  <c r="AY85" i="8"/>
  <c r="BD84" i="8"/>
  <c r="AZ84" i="8"/>
  <c r="AY84" i="8"/>
  <c r="BD83" i="8"/>
  <c r="AZ83" i="8"/>
  <c r="AY83" i="8"/>
  <c r="BD82" i="8"/>
  <c r="AZ82" i="8"/>
  <c r="AY82" i="8"/>
  <c r="BD81" i="8"/>
  <c r="AZ81" i="8"/>
  <c r="AY81" i="8"/>
  <c r="BD80" i="8"/>
  <c r="AZ80" i="8"/>
  <c r="BA80" i="8" s="1"/>
  <c r="AY80" i="8"/>
  <c r="BD79" i="8"/>
  <c r="AZ79" i="8"/>
  <c r="AY79" i="8"/>
  <c r="BD78" i="8"/>
  <c r="AZ78" i="8"/>
  <c r="AY78" i="8"/>
  <c r="BD77" i="8"/>
  <c r="AZ77" i="8"/>
  <c r="AY77" i="8"/>
  <c r="BD76" i="8"/>
  <c r="AZ76" i="8"/>
  <c r="AY76" i="8"/>
  <c r="BA76" i="8" s="1"/>
  <c r="BD75" i="8"/>
  <c r="AZ75" i="8"/>
  <c r="AY75" i="8"/>
  <c r="BA75" i="8" s="1"/>
  <c r="BD74" i="8"/>
  <c r="AZ74" i="8"/>
  <c r="AY74" i="8"/>
  <c r="BA74" i="8" s="1"/>
  <c r="BD73" i="8"/>
  <c r="AZ73" i="8"/>
  <c r="AY73" i="8"/>
  <c r="BA73" i="8" s="1"/>
  <c r="BD72" i="8"/>
  <c r="AZ72" i="8"/>
  <c r="AY72" i="8"/>
  <c r="AY96" i="8" s="1"/>
  <c r="BD71" i="8"/>
  <c r="AZ71" i="8"/>
  <c r="AZ98" i="8" s="1"/>
  <c r="AY71" i="8"/>
  <c r="AY98" i="8" s="1"/>
  <c r="BD70" i="8"/>
  <c r="AZ69" i="8"/>
  <c r="AY69" i="8"/>
  <c r="AZ68" i="8"/>
  <c r="AY68" i="8"/>
  <c r="AZ67" i="8"/>
  <c r="AY67" i="8"/>
  <c r="BD66" i="8"/>
  <c r="AZ66" i="8"/>
  <c r="AY66" i="8"/>
  <c r="BD65" i="8"/>
  <c r="AZ65" i="8"/>
  <c r="AY65" i="8"/>
  <c r="BD64" i="8"/>
  <c r="AZ64" i="8"/>
  <c r="AY64" i="8"/>
  <c r="BD63" i="8"/>
  <c r="AZ63" i="8"/>
  <c r="AY63" i="8"/>
  <c r="BD62" i="8"/>
  <c r="AZ62" i="8"/>
  <c r="BA62" i="8" s="1"/>
  <c r="AY62" i="8"/>
  <c r="AZ61" i="8"/>
  <c r="AY61" i="8"/>
  <c r="BD60" i="8"/>
  <c r="AZ60" i="8"/>
  <c r="AY60" i="8"/>
  <c r="BD59" i="8"/>
  <c r="AZ59" i="8"/>
  <c r="AY59" i="8"/>
  <c r="BD58" i="8"/>
  <c r="AZ58" i="8"/>
  <c r="BA58" i="8" s="1"/>
  <c r="AY58" i="8"/>
  <c r="BD57" i="8"/>
  <c r="AZ57" i="8"/>
  <c r="AY57" i="8"/>
  <c r="BD56" i="8"/>
  <c r="AZ56" i="8"/>
  <c r="AY56" i="8"/>
  <c r="BD55" i="8"/>
  <c r="AZ55" i="8"/>
  <c r="BA55" i="8" s="1"/>
  <c r="AY55" i="8"/>
  <c r="BD54" i="8"/>
  <c r="AZ54" i="8"/>
  <c r="BA54" i="8" s="1"/>
  <c r="AY54" i="8"/>
  <c r="BD53" i="8"/>
  <c r="AZ53" i="8"/>
  <c r="BA53" i="8" s="1"/>
  <c r="AY53" i="8"/>
  <c r="BD52" i="8"/>
  <c r="AZ52" i="8"/>
  <c r="BA52" i="8" s="1"/>
  <c r="AY52" i="8"/>
  <c r="BD51" i="8"/>
  <c r="AZ51" i="8"/>
  <c r="AY51" i="8"/>
  <c r="BD50" i="8"/>
  <c r="AZ50" i="8"/>
  <c r="BA50" i="8" s="1"/>
  <c r="AY50" i="8"/>
  <c r="BD48" i="8"/>
  <c r="AZ48" i="8"/>
  <c r="AY48" i="8"/>
  <c r="AZ46" i="8"/>
  <c r="AY46" i="8"/>
  <c r="AZ45" i="8"/>
  <c r="AY45" i="8"/>
  <c r="AZ44" i="8"/>
  <c r="AY44" i="8"/>
  <c r="AZ43" i="8"/>
  <c r="AY43" i="8"/>
  <c r="AZ42" i="8"/>
  <c r="AY42" i="8"/>
  <c r="AZ41" i="8"/>
  <c r="AY41" i="8"/>
  <c r="AZ40" i="8"/>
  <c r="AY40" i="8"/>
  <c r="BD39" i="8"/>
  <c r="AZ39" i="8"/>
  <c r="AY39" i="8"/>
  <c r="AZ38" i="8"/>
  <c r="AY38" i="8"/>
  <c r="BD37" i="8"/>
  <c r="AZ37" i="8"/>
  <c r="AY37" i="8"/>
  <c r="BA37" i="8" s="1"/>
  <c r="BD36" i="8"/>
  <c r="AZ36" i="8"/>
  <c r="AY36" i="8"/>
  <c r="BA36" i="8" s="1"/>
  <c r="BD35" i="8"/>
  <c r="AZ35" i="8"/>
  <c r="BA35" i="8" s="1"/>
  <c r="AY35" i="8"/>
  <c r="BD34" i="8"/>
  <c r="AZ34" i="8"/>
  <c r="BA34" i="8" s="1"/>
  <c r="AY34" i="8"/>
  <c r="BD33" i="8"/>
  <c r="AZ33" i="8"/>
  <c r="AY33" i="8"/>
  <c r="BD32" i="8"/>
  <c r="AZ32" i="8"/>
  <c r="AY32" i="8"/>
  <c r="BD31" i="8"/>
  <c r="AZ31" i="8"/>
  <c r="BA31" i="8" s="1"/>
  <c r="AY31" i="8"/>
  <c r="BD30" i="8"/>
  <c r="AZ30" i="8"/>
  <c r="BA30" i="8" s="1"/>
  <c r="AY30" i="8"/>
  <c r="BD29" i="8"/>
  <c r="AZ29" i="8"/>
  <c r="AY29" i="8"/>
  <c r="AY49" i="8" s="1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BD19" i="8"/>
  <c r="AZ19" i="8"/>
  <c r="AY19" i="8"/>
  <c r="BD18" i="8"/>
  <c r="AZ18" i="8"/>
  <c r="AY18" i="8"/>
  <c r="BD17" i="8"/>
  <c r="AZ17" i="8"/>
  <c r="AY17" i="8"/>
  <c r="BD16" i="8"/>
  <c r="AZ16" i="8"/>
  <c r="AY16" i="8"/>
  <c r="BD15" i="8"/>
  <c r="AZ15" i="8"/>
  <c r="AY15" i="8"/>
  <c r="BD14" i="8"/>
  <c r="AZ14" i="8"/>
  <c r="AY14" i="8"/>
  <c r="BD13" i="8"/>
  <c r="AZ13" i="8"/>
  <c r="AY13" i="8"/>
  <c r="BD12" i="8"/>
  <c r="AZ12" i="8"/>
  <c r="AY12" i="8"/>
  <c r="BD11" i="8"/>
  <c r="AZ11" i="8"/>
  <c r="AY11" i="8"/>
  <c r="BD10" i="8"/>
  <c r="AZ10" i="8"/>
  <c r="AY10" i="8"/>
  <c r="BD9" i="8"/>
  <c r="AZ9" i="8"/>
  <c r="BA9" i="8" s="1"/>
  <c r="AY9" i="8"/>
  <c r="BD8" i="8"/>
  <c r="AZ8" i="8"/>
  <c r="AY8" i="8"/>
  <c r="BD7" i="8"/>
  <c r="AZ7" i="8"/>
  <c r="AY7" i="8"/>
  <c r="BD6" i="8"/>
  <c r="AZ6" i="8"/>
  <c r="AY6" i="8"/>
  <c r="BB265" i="7"/>
  <c r="BA265" i="7"/>
  <c r="BB249" i="7"/>
  <c r="BA249" i="7"/>
  <c r="BC249" i="7" s="1"/>
  <c r="BB216" i="7"/>
  <c r="BA216" i="7"/>
  <c r="BB201" i="7"/>
  <c r="BA201" i="7"/>
  <c r="BC201" i="7" s="1"/>
  <c r="BB173" i="7"/>
  <c r="BA173" i="7"/>
  <c r="BB155" i="7"/>
  <c r="BA155" i="7"/>
  <c r="BB130" i="7"/>
  <c r="BA130" i="7"/>
  <c r="BB114" i="7"/>
  <c r="BA114" i="7"/>
  <c r="BC114" i="7" s="1"/>
  <c r="BB81" i="7"/>
  <c r="BA81" i="7"/>
  <c r="BB62" i="7"/>
  <c r="BA62" i="7"/>
  <c r="BC62" i="7" s="1"/>
  <c r="BB34" i="7"/>
  <c r="BA34" i="7"/>
  <c r="BB17" i="7"/>
  <c r="BA17" i="7"/>
  <c r="BC266" i="7"/>
  <c r="AY266" i="7"/>
  <c r="AX266" i="7"/>
  <c r="AY264" i="7"/>
  <c r="AX264" i="7"/>
  <c r="BC263" i="7"/>
  <c r="AY263" i="7"/>
  <c r="AX263" i="7"/>
  <c r="AY262" i="7"/>
  <c r="AX262" i="7"/>
  <c r="BC261" i="7"/>
  <c r="AY261" i="7"/>
  <c r="AX261" i="7"/>
  <c r="BC260" i="7"/>
  <c r="AY260" i="7"/>
  <c r="AX260" i="7"/>
  <c r="AY259" i="7"/>
  <c r="AZ259" i="7" s="1"/>
  <c r="AX259" i="7"/>
  <c r="BC258" i="7"/>
  <c r="AY258" i="7"/>
  <c r="AX258" i="7"/>
  <c r="BC257" i="7"/>
  <c r="AY257" i="7"/>
  <c r="AX257" i="7"/>
  <c r="BC256" i="7"/>
  <c r="AY256" i="7"/>
  <c r="AX256" i="7"/>
  <c r="BC255" i="7"/>
  <c r="AY255" i="7"/>
  <c r="AZ255" i="7" s="1"/>
  <c r="AX255" i="7"/>
  <c r="BC254" i="7"/>
  <c r="AY254" i="7"/>
  <c r="AX254" i="7"/>
  <c r="BC253" i="7"/>
  <c r="AY253" i="7"/>
  <c r="AX253" i="7"/>
  <c r="BC252" i="7"/>
  <c r="AY252" i="7"/>
  <c r="AX252" i="7"/>
  <c r="BC251" i="7"/>
  <c r="AY251" i="7"/>
  <c r="AX251" i="7"/>
  <c r="BC250" i="7"/>
  <c r="AY250" i="7"/>
  <c r="AX250" i="7"/>
  <c r="BC248" i="7"/>
  <c r="AY248" i="7"/>
  <c r="AZ248" i="7" s="1"/>
  <c r="AX248" i="7"/>
  <c r="BC247" i="7"/>
  <c r="AY247" i="7"/>
  <c r="AX247" i="7"/>
  <c r="BC246" i="7"/>
  <c r="AY246" i="7"/>
  <c r="AZ246" i="7" s="1"/>
  <c r="AX246" i="7"/>
  <c r="BC245" i="7"/>
  <c r="AY245" i="7"/>
  <c r="AZ245" i="7" s="1"/>
  <c r="AX245" i="7"/>
  <c r="BC244" i="7"/>
  <c r="AY244" i="7"/>
  <c r="AX244" i="7"/>
  <c r="BC243" i="7"/>
  <c r="AY243" i="7"/>
  <c r="AZ243" i="7" s="1"/>
  <c r="AX243" i="7"/>
  <c r="BC242" i="7"/>
  <c r="AY242" i="7"/>
  <c r="AX242" i="7"/>
  <c r="BC241" i="7"/>
  <c r="AY241" i="7"/>
  <c r="AZ241" i="7" s="1"/>
  <c r="AX241" i="7"/>
  <c r="BC240" i="7"/>
  <c r="AY240" i="7"/>
  <c r="AX240" i="7"/>
  <c r="BC239" i="7"/>
  <c r="AY239" i="7"/>
  <c r="AZ239" i="7" s="1"/>
  <c r="AX239" i="7"/>
  <c r="BC238" i="7"/>
  <c r="AY238" i="7"/>
  <c r="AX238" i="7"/>
  <c r="BC237" i="7"/>
  <c r="AY237" i="7"/>
  <c r="AZ237" i="7" s="1"/>
  <c r="AX237" i="7"/>
  <c r="BC236" i="7"/>
  <c r="AY236" i="7"/>
  <c r="AX236" i="7"/>
  <c r="BC235" i="7"/>
  <c r="AY235" i="7"/>
  <c r="AZ235" i="7" s="1"/>
  <c r="AX235" i="7"/>
  <c r="BC234" i="7"/>
  <c r="AY234" i="7"/>
  <c r="AX234" i="7"/>
  <c r="BC233" i="7"/>
  <c r="AY233" i="7"/>
  <c r="AZ233" i="7" s="1"/>
  <c r="AX233" i="7"/>
  <c r="BC232" i="7"/>
  <c r="AY232" i="7"/>
  <c r="AX232" i="7"/>
  <c r="BC231" i="7"/>
  <c r="AY231" i="7"/>
  <c r="AZ231" i="7" s="1"/>
  <c r="AX231" i="7"/>
  <c r="BC230" i="7"/>
  <c r="AY230" i="7"/>
  <c r="AX230" i="7"/>
  <c r="BC229" i="7"/>
  <c r="AY229" i="7"/>
  <c r="AZ229" i="7" s="1"/>
  <c r="AX229" i="7"/>
  <c r="BC228" i="7"/>
  <c r="AY228" i="7"/>
  <c r="AX228" i="7"/>
  <c r="BC227" i="7"/>
  <c r="AY227" i="7"/>
  <c r="AZ227" i="7" s="1"/>
  <c r="AX227" i="7"/>
  <c r="BC226" i="7"/>
  <c r="AY226" i="7"/>
  <c r="AX226" i="7"/>
  <c r="BC225" i="7"/>
  <c r="AY225" i="7"/>
  <c r="AZ225" i="7" s="1"/>
  <c r="AX225" i="7"/>
  <c r="BC224" i="7"/>
  <c r="AY224" i="7"/>
  <c r="AX224" i="7"/>
  <c r="AX249" i="7" s="1"/>
  <c r="BC217" i="7"/>
  <c r="AY217" i="7"/>
  <c r="AZ217" i="7" s="1"/>
  <c r="AX217" i="7"/>
  <c r="BC216" i="7"/>
  <c r="BC215" i="7"/>
  <c r="AY215" i="7"/>
  <c r="AZ215" i="7" s="1"/>
  <c r="AX215" i="7"/>
  <c r="BC214" i="7"/>
  <c r="AY214" i="7"/>
  <c r="AX214" i="7"/>
  <c r="BC213" i="7"/>
  <c r="AY213" i="7"/>
  <c r="AX213" i="7"/>
  <c r="BC212" i="7"/>
  <c r="AY212" i="7"/>
  <c r="AZ212" i="7" s="1"/>
  <c r="AX212" i="7"/>
  <c r="BC211" i="7"/>
  <c r="AY211" i="7"/>
  <c r="AX211" i="7"/>
  <c r="BC210" i="7"/>
  <c r="AY210" i="7"/>
  <c r="AX210" i="7"/>
  <c r="BC209" i="7"/>
  <c r="AY209" i="7"/>
  <c r="AZ209" i="7" s="1"/>
  <c r="AX209" i="7"/>
  <c r="BC208" i="7"/>
  <c r="AY208" i="7"/>
  <c r="AX208" i="7"/>
  <c r="BC207" i="7"/>
  <c r="AY207" i="7"/>
  <c r="AZ207" i="7" s="1"/>
  <c r="AX207" i="7"/>
  <c r="BC206" i="7"/>
  <c r="AY206" i="7"/>
  <c r="AX206" i="7"/>
  <c r="BC205" i="7"/>
  <c r="AY205" i="7"/>
  <c r="AZ205" i="7" s="1"/>
  <c r="AX205" i="7"/>
  <c r="BC204" i="7"/>
  <c r="AY204" i="7"/>
  <c r="AX204" i="7"/>
  <c r="BC203" i="7"/>
  <c r="AY203" i="7"/>
  <c r="AZ203" i="7" s="1"/>
  <c r="AX203" i="7"/>
  <c r="BC202" i="7"/>
  <c r="AY202" i="7"/>
  <c r="AX202" i="7"/>
  <c r="AY200" i="7"/>
  <c r="AX200" i="7"/>
  <c r="BC199" i="7"/>
  <c r="AY199" i="7"/>
  <c r="AX199" i="7"/>
  <c r="AY198" i="7"/>
  <c r="AZ198" i="7" s="1"/>
  <c r="AX198" i="7"/>
  <c r="BC197" i="7"/>
  <c r="AY197" i="7"/>
  <c r="AX197" i="7"/>
  <c r="BC196" i="7"/>
  <c r="AY196" i="7"/>
  <c r="AX196" i="7"/>
  <c r="BC195" i="7"/>
  <c r="AY195" i="7"/>
  <c r="AX195" i="7"/>
  <c r="BC194" i="7"/>
  <c r="AY194" i="7"/>
  <c r="AX194" i="7"/>
  <c r="BC193" i="7"/>
  <c r="AY193" i="7"/>
  <c r="AX193" i="7"/>
  <c r="AZ193" i="7" s="1"/>
  <c r="BC192" i="7"/>
  <c r="AY192" i="7"/>
  <c r="AX192" i="7"/>
  <c r="BC191" i="7"/>
  <c r="AY191" i="7"/>
  <c r="AX191" i="7"/>
  <c r="BC190" i="7"/>
  <c r="AY190" i="7"/>
  <c r="AX190" i="7"/>
  <c r="BC189" i="7"/>
  <c r="AY189" i="7"/>
  <c r="AX189" i="7"/>
  <c r="BC188" i="7"/>
  <c r="AY188" i="7"/>
  <c r="AX188" i="7"/>
  <c r="BC187" i="7"/>
  <c r="AY187" i="7"/>
  <c r="AX187" i="7"/>
  <c r="BC186" i="7"/>
  <c r="AY186" i="7"/>
  <c r="AX186" i="7"/>
  <c r="BC185" i="7"/>
  <c r="AY185" i="7"/>
  <c r="AX185" i="7"/>
  <c r="AZ185" i="7" s="1"/>
  <c r="BC184" i="7"/>
  <c r="AY184" i="7"/>
  <c r="AX184" i="7"/>
  <c r="AZ184" i="7" s="1"/>
  <c r="BC183" i="7"/>
  <c r="AY183" i="7"/>
  <c r="AX183" i="7"/>
  <c r="AZ183" i="7" s="1"/>
  <c r="BC182" i="7"/>
  <c r="AY182" i="7"/>
  <c r="AX182" i="7"/>
  <c r="AZ182" i="7" s="1"/>
  <c r="BC181" i="7"/>
  <c r="AY181" i="7"/>
  <c r="AX181" i="7"/>
  <c r="AZ181" i="7" s="1"/>
  <c r="BC174" i="7"/>
  <c r="AY174" i="7"/>
  <c r="AX174" i="7"/>
  <c r="AZ174" i="7" s="1"/>
  <c r="AY172" i="7"/>
  <c r="AX172" i="7"/>
  <c r="AY171" i="7"/>
  <c r="AX171" i="7"/>
  <c r="AY170" i="7"/>
  <c r="AX170" i="7"/>
  <c r="BC169" i="7"/>
  <c r="AY169" i="7"/>
  <c r="AX169" i="7"/>
  <c r="BC168" i="7"/>
  <c r="AY168" i="7"/>
  <c r="AX168" i="7"/>
  <c r="BC167" i="7"/>
  <c r="AY167" i="7"/>
  <c r="AX167" i="7"/>
  <c r="BC166" i="7"/>
  <c r="AY166" i="7"/>
  <c r="AX166" i="7"/>
  <c r="BC165" i="7"/>
  <c r="AY165" i="7"/>
  <c r="AX165" i="7"/>
  <c r="BC164" i="7"/>
  <c r="AY164" i="7"/>
  <c r="AX164" i="7"/>
  <c r="BC163" i="7"/>
  <c r="AY163" i="7"/>
  <c r="AX163" i="7"/>
  <c r="BC162" i="7"/>
  <c r="AY162" i="7"/>
  <c r="AZ162" i="7" s="1"/>
  <c r="AX162" i="7"/>
  <c r="BC161" i="7"/>
  <c r="AY161" i="7"/>
  <c r="AX161" i="7"/>
  <c r="BC160" i="7"/>
  <c r="AY160" i="7"/>
  <c r="AX160" i="7"/>
  <c r="BC159" i="7"/>
  <c r="AY159" i="7"/>
  <c r="AX159" i="7"/>
  <c r="BC158" i="7"/>
  <c r="AY158" i="7"/>
  <c r="AZ158" i="7" s="1"/>
  <c r="AX158" i="7"/>
  <c r="BC157" i="7"/>
  <c r="AY157" i="7"/>
  <c r="AX157" i="7"/>
  <c r="BC156" i="7"/>
  <c r="AY156" i="7"/>
  <c r="AX156" i="7"/>
  <c r="BC155" i="7"/>
  <c r="BC154" i="7"/>
  <c r="AY154" i="7"/>
  <c r="AX154" i="7"/>
  <c r="BC153" i="7"/>
  <c r="AY153" i="7"/>
  <c r="AX153" i="7"/>
  <c r="BC152" i="7"/>
  <c r="AY152" i="7"/>
  <c r="AZ152" i="7" s="1"/>
  <c r="AX152" i="7"/>
  <c r="BC151" i="7"/>
  <c r="AY151" i="7"/>
  <c r="AX151" i="7"/>
  <c r="BC150" i="7"/>
  <c r="AY150" i="7"/>
  <c r="AX150" i="7"/>
  <c r="AY149" i="7"/>
  <c r="AZ149" i="7" s="1"/>
  <c r="AX149" i="7"/>
  <c r="BC148" i="7"/>
  <c r="AY148" i="7"/>
  <c r="AX148" i="7"/>
  <c r="BC147" i="7"/>
  <c r="AY147" i="7"/>
  <c r="AX147" i="7"/>
  <c r="BC146" i="7"/>
  <c r="AY146" i="7"/>
  <c r="AX146" i="7"/>
  <c r="BC145" i="7"/>
  <c r="AY145" i="7"/>
  <c r="AZ145" i="7" s="1"/>
  <c r="AX145" i="7"/>
  <c r="BC144" i="7"/>
  <c r="AY144" i="7"/>
  <c r="AX144" i="7"/>
  <c r="BC143" i="7"/>
  <c r="AY143" i="7"/>
  <c r="AX143" i="7"/>
  <c r="BC142" i="7"/>
  <c r="AY142" i="7"/>
  <c r="AX142" i="7"/>
  <c r="BC141" i="7"/>
  <c r="AY141" i="7"/>
  <c r="AZ141" i="7" s="1"/>
  <c r="AX141" i="7"/>
  <c r="BC140" i="7"/>
  <c r="AY140" i="7"/>
  <c r="AX140" i="7"/>
  <c r="BC139" i="7"/>
  <c r="AY139" i="7"/>
  <c r="AX139" i="7"/>
  <c r="BC138" i="7"/>
  <c r="AY138" i="7"/>
  <c r="AX138" i="7"/>
  <c r="BC131" i="7"/>
  <c r="AY131" i="7"/>
  <c r="AZ131" i="7" s="1"/>
  <c r="AX131" i="7"/>
  <c r="BC130" i="7"/>
  <c r="AY129" i="7"/>
  <c r="AX129" i="7"/>
  <c r="AY128" i="7"/>
  <c r="AX128" i="7"/>
  <c r="BC127" i="7"/>
  <c r="AY127" i="7"/>
  <c r="AX127" i="7"/>
  <c r="BC126" i="7"/>
  <c r="AY126" i="7"/>
  <c r="AX126" i="7"/>
  <c r="BC125" i="7"/>
  <c r="AY125" i="7"/>
  <c r="AX125" i="7"/>
  <c r="BC124" i="7"/>
  <c r="AY124" i="7"/>
  <c r="AZ124" i="7" s="1"/>
  <c r="AX124" i="7"/>
  <c r="BC123" i="7"/>
  <c r="AY123" i="7"/>
  <c r="AX123" i="7"/>
  <c r="BC122" i="7"/>
  <c r="AY122" i="7"/>
  <c r="AX122" i="7"/>
  <c r="BC121" i="7"/>
  <c r="AY121" i="7"/>
  <c r="AX121" i="7"/>
  <c r="BC120" i="7"/>
  <c r="AY120" i="7"/>
  <c r="AX120" i="7"/>
  <c r="BC119" i="7"/>
  <c r="AY119" i="7"/>
  <c r="AX119" i="7"/>
  <c r="BC118" i="7"/>
  <c r="AY118" i="7"/>
  <c r="AX118" i="7"/>
  <c r="BC117" i="7"/>
  <c r="AY117" i="7"/>
  <c r="AX117" i="7"/>
  <c r="BC116" i="7"/>
  <c r="AY116" i="7"/>
  <c r="AX116" i="7"/>
  <c r="BC115" i="7"/>
  <c r="AY115" i="7"/>
  <c r="AX115" i="7"/>
  <c r="AY113" i="7"/>
  <c r="AX113" i="7"/>
  <c r="AY112" i="7"/>
  <c r="AX112" i="7"/>
  <c r="BC111" i="7"/>
  <c r="AY111" i="7"/>
  <c r="AX111" i="7"/>
  <c r="BC110" i="7"/>
  <c r="AY110" i="7"/>
  <c r="AZ110" i="7" s="1"/>
  <c r="AX110" i="7"/>
  <c r="BC109" i="7"/>
  <c r="AY109" i="7"/>
  <c r="AX109" i="7"/>
  <c r="BC108" i="7"/>
  <c r="AY108" i="7"/>
  <c r="AX108" i="7"/>
  <c r="BC107" i="7"/>
  <c r="AY107" i="7"/>
  <c r="AX107" i="7"/>
  <c r="BC106" i="7"/>
  <c r="AY106" i="7"/>
  <c r="AX106" i="7"/>
  <c r="BC105" i="7"/>
  <c r="AY105" i="7"/>
  <c r="AX105" i="7"/>
  <c r="AY104" i="7"/>
  <c r="AZ104" i="7" s="1"/>
  <c r="AX104" i="7"/>
  <c r="BC103" i="7"/>
  <c r="AY103" i="7"/>
  <c r="AX103" i="7"/>
  <c r="BC102" i="7"/>
  <c r="AY102" i="7"/>
  <c r="AX102" i="7"/>
  <c r="BC101" i="7"/>
  <c r="AY101" i="7"/>
  <c r="AX101" i="7"/>
  <c r="BC100" i="7"/>
  <c r="AY100" i="7"/>
  <c r="AX100" i="7"/>
  <c r="BC99" i="7"/>
  <c r="AY99" i="7"/>
  <c r="AX99" i="7"/>
  <c r="BC98" i="7"/>
  <c r="AY98" i="7"/>
  <c r="AX98" i="7"/>
  <c r="BC97" i="7"/>
  <c r="AY97" i="7"/>
  <c r="AX97" i="7"/>
  <c r="BC96" i="7"/>
  <c r="AY96" i="7"/>
  <c r="AX96" i="7"/>
  <c r="BC95" i="7"/>
  <c r="AY95" i="7"/>
  <c r="AX95" i="7"/>
  <c r="BC94" i="7"/>
  <c r="AY94" i="7"/>
  <c r="AX94" i="7"/>
  <c r="BC93" i="7"/>
  <c r="AY93" i="7"/>
  <c r="AX93" i="7"/>
  <c r="BC92" i="7"/>
  <c r="AY92" i="7"/>
  <c r="AX92" i="7"/>
  <c r="BC91" i="7"/>
  <c r="AY91" i="7"/>
  <c r="AX91" i="7"/>
  <c r="BC90" i="7"/>
  <c r="AY90" i="7"/>
  <c r="AX90" i="7"/>
  <c r="BC89" i="7"/>
  <c r="AY89" i="7"/>
  <c r="AX89" i="7"/>
  <c r="BC82" i="7"/>
  <c r="AY82" i="7"/>
  <c r="AX82" i="7"/>
  <c r="BC81" i="7"/>
  <c r="AY80" i="7"/>
  <c r="AX80" i="7"/>
  <c r="AY79" i="7"/>
  <c r="AX79" i="7"/>
  <c r="AY78" i="7"/>
  <c r="AX78" i="7"/>
  <c r="BC77" i="7"/>
  <c r="AY77" i="7"/>
  <c r="AX77" i="7"/>
  <c r="BC76" i="7"/>
  <c r="AY76" i="7"/>
  <c r="AX76" i="7"/>
  <c r="AY75" i="7"/>
  <c r="AZ75" i="7" s="1"/>
  <c r="AX75" i="7"/>
  <c r="BC74" i="7"/>
  <c r="AY74" i="7"/>
  <c r="AX74" i="7"/>
  <c r="BC73" i="7"/>
  <c r="AY73" i="7"/>
  <c r="AX73" i="7"/>
  <c r="BC72" i="7"/>
  <c r="AY72" i="7"/>
  <c r="AZ72" i="7" s="1"/>
  <c r="AX72" i="7"/>
  <c r="BC71" i="7"/>
  <c r="AY71" i="7"/>
  <c r="AX71" i="7"/>
  <c r="BC70" i="7"/>
  <c r="AY70" i="7"/>
  <c r="AX70" i="7"/>
  <c r="BC69" i="7"/>
  <c r="AY69" i="7"/>
  <c r="AX69" i="7"/>
  <c r="BC68" i="7"/>
  <c r="AY68" i="7"/>
  <c r="AX68" i="7"/>
  <c r="BC67" i="7"/>
  <c r="AY67" i="7"/>
  <c r="AX67" i="7"/>
  <c r="BC66" i="7"/>
  <c r="AY66" i="7"/>
  <c r="AX66" i="7"/>
  <c r="BC65" i="7"/>
  <c r="AY65" i="7"/>
  <c r="AX65" i="7"/>
  <c r="BC64" i="7"/>
  <c r="AY64" i="7"/>
  <c r="AX64" i="7"/>
  <c r="BC63" i="7"/>
  <c r="AY63" i="7"/>
  <c r="AX63" i="7"/>
  <c r="AY61" i="7"/>
  <c r="AX61" i="7"/>
  <c r="AY60" i="7"/>
  <c r="AX60" i="7"/>
  <c r="BC59" i="7"/>
  <c r="AY59" i="7"/>
  <c r="AZ59" i="7" s="1"/>
  <c r="AX59" i="7"/>
  <c r="BC58" i="7"/>
  <c r="AY58" i="7"/>
  <c r="AX58" i="7"/>
  <c r="BC57" i="7"/>
  <c r="AY57" i="7"/>
  <c r="AX57" i="7"/>
  <c r="BC56" i="7"/>
  <c r="AY56" i="7"/>
  <c r="AX56" i="7"/>
  <c r="BC55" i="7"/>
  <c r="AY55" i="7"/>
  <c r="AX55" i="7"/>
  <c r="BC54" i="7"/>
  <c r="AY54" i="7"/>
  <c r="AX54" i="7"/>
  <c r="BC53" i="7"/>
  <c r="AY53" i="7"/>
  <c r="AX53" i="7"/>
  <c r="BC52" i="7"/>
  <c r="AY52" i="7"/>
  <c r="AZ52" i="7" s="1"/>
  <c r="AX52" i="7"/>
  <c r="BC51" i="7"/>
  <c r="AY51" i="7"/>
  <c r="AX51" i="7"/>
  <c r="BC50" i="7"/>
  <c r="AY50" i="7"/>
  <c r="AX50" i="7"/>
  <c r="BC49" i="7"/>
  <c r="AY49" i="7"/>
  <c r="AX49" i="7"/>
  <c r="BC48" i="7"/>
  <c r="AY48" i="7"/>
  <c r="AZ48" i="7" s="1"/>
  <c r="AX48" i="7"/>
  <c r="BC47" i="7"/>
  <c r="AY47" i="7"/>
  <c r="AX47" i="7"/>
  <c r="BC46" i="7"/>
  <c r="AY46" i="7"/>
  <c r="AX46" i="7"/>
  <c r="BC45" i="7"/>
  <c r="AY45" i="7"/>
  <c r="AX45" i="7"/>
  <c r="BC44" i="7"/>
  <c r="AY44" i="7"/>
  <c r="AZ44" i="7" s="1"/>
  <c r="AX44" i="7"/>
  <c r="BC43" i="7"/>
  <c r="AY43" i="7"/>
  <c r="AX43" i="7"/>
  <c r="BC42" i="7"/>
  <c r="AY42" i="7"/>
  <c r="AX42" i="7"/>
  <c r="BC35" i="7"/>
  <c r="AY35" i="7"/>
  <c r="AX35" i="7"/>
  <c r="AY33" i="7"/>
  <c r="AX33" i="7"/>
  <c r="AY32" i="7"/>
  <c r="AX32" i="7"/>
  <c r="AY31" i="7"/>
  <c r="AX31" i="7"/>
  <c r="AY30" i="7"/>
  <c r="AX30" i="7"/>
  <c r="AY29" i="7"/>
  <c r="AX29" i="7"/>
  <c r="BC28" i="7"/>
  <c r="AY28" i="7"/>
  <c r="AX28" i="7"/>
  <c r="BC27" i="7"/>
  <c r="AY27" i="7"/>
  <c r="AX27" i="7"/>
  <c r="BC26" i="7"/>
  <c r="AY26" i="7"/>
  <c r="AX26" i="7"/>
  <c r="BC25" i="7"/>
  <c r="AY25" i="7"/>
  <c r="AZ25" i="7" s="1"/>
  <c r="AX25" i="7"/>
  <c r="BC24" i="7"/>
  <c r="AY24" i="7"/>
  <c r="AX24" i="7"/>
  <c r="BC23" i="7"/>
  <c r="AY23" i="7"/>
  <c r="AZ23" i="7" s="1"/>
  <c r="AX23" i="7"/>
  <c r="BC22" i="7"/>
  <c r="AY22" i="7"/>
  <c r="AZ22" i="7" s="1"/>
  <c r="AX22" i="7"/>
  <c r="BC21" i="7"/>
  <c r="AY21" i="7"/>
  <c r="AZ21" i="7" s="1"/>
  <c r="AX21" i="7"/>
  <c r="BC20" i="7"/>
  <c r="AY20" i="7"/>
  <c r="AX20" i="7"/>
  <c r="BC19" i="7"/>
  <c r="AY19" i="7"/>
  <c r="AZ19" i="7" s="1"/>
  <c r="AX19" i="7"/>
  <c r="BC18" i="7"/>
  <c r="AY18" i="7"/>
  <c r="AZ18" i="7" s="1"/>
  <c r="AX18" i="7"/>
  <c r="AY16" i="7"/>
  <c r="AX16" i="7"/>
  <c r="AY15" i="7"/>
  <c r="AX15" i="7"/>
  <c r="AY14" i="7"/>
  <c r="AX14" i="7"/>
  <c r="AY13" i="7"/>
  <c r="AX13" i="7"/>
  <c r="AY12" i="7"/>
  <c r="AX12" i="7"/>
  <c r="BC11" i="7"/>
  <c r="AY11" i="7"/>
  <c r="AX11" i="7"/>
  <c r="BC10" i="7"/>
  <c r="AY10" i="7"/>
  <c r="AX10" i="7"/>
  <c r="BC9" i="7"/>
  <c r="AY9" i="7"/>
  <c r="AZ9" i="7" s="1"/>
  <c r="AX9" i="7"/>
  <c r="BC8" i="7"/>
  <c r="AY8" i="7"/>
  <c r="AX8" i="7"/>
  <c r="BC7" i="7"/>
  <c r="AY7" i="7"/>
  <c r="AZ7" i="7" s="1"/>
  <c r="AX7" i="7"/>
  <c r="BC6" i="7"/>
  <c r="AY6" i="7"/>
  <c r="AZ6" i="7" s="1"/>
  <c r="AX6" i="7"/>
  <c r="BC5" i="7"/>
  <c r="AY5" i="7"/>
  <c r="AZ5" i="7" s="1"/>
  <c r="AX5" i="7"/>
  <c r="AC318" i="24"/>
  <c r="AB318" i="24"/>
  <c r="AA318" i="24"/>
  <c r="Z318" i="24"/>
  <c r="Y318" i="24"/>
  <c r="X318" i="24"/>
  <c r="W318" i="24"/>
  <c r="V318" i="24"/>
  <c r="U318" i="24"/>
  <c r="T318" i="24"/>
  <c r="S318" i="24"/>
  <c r="R318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B318" i="24"/>
  <c r="AH319" i="24"/>
  <c r="F319" i="23" s="1"/>
  <c r="AF319" i="24"/>
  <c r="D319" i="23" s="1"/>
  <c r="AE319" i="24"/>
  <c r="C319" i="23" s="1"/>
  <c r="AD319" i="24"/>
  <c r="B319" i="23" s="1"/>
  <c r="AH317" i="24"/>
  <c r="F317" i="23" s="1"/>
  <c r="AF317" i="24"/>
  <c r="AE317" i="24"/>
  <c r="AD317" i="24"/>
  <c r="B317" i="23" s="1"/>
  <c r="AH316" i="24"/>
  <c r="F316" i="23" s="1"/>
  <c r="AF316" i="24"/>
  <c r="AE316" i="24"/>
  <c r="C316" i="23" s="1"/>
  <c r="AD316" i="24"/>
  <c r="B316" i="23" s="1"/>
  <c r="AH315" i="24"/>
  <c r="F315" i="23" s="1"/>
  <c r="AF315" i="24"/>
  <c r="AE315" i="24"/>
  <c r="C315" i="23" s="1"/>
  <c r="AD315" i="24"/>
  <c r="B315" i="23" s="1"/>
  <c r="AH314" i="24"/>
  <c r="F314" i="23" s="1"/>
  <c r="AF314" i="24"/>
  <c r="D314" i="23" s="1"/>
  <c r="AE314" i="24"/>
  <c r="C314" i="23" s="1"/>
  <c r="AD314" i="24"/>
  <c r="B314" i="23" s="1"/>
  <c r="AH313" i="24"/>
  <c r="F313" i="23" s="1"/>
  <c r="AF313" i="24"/>
  <c r="AE313" i="24"/>
  <c r="C313" i="23" s="1"/>
  <c r="AD313" i="24"/>
  <c r="B313" i="23" s="1"/>
  <c r="AH312" i="24"/>
  <c r="F312" i="23" s="1"/>
  <c r="AF312" i="24"/>
  <c r="D312" i="23" s="1"/>
  <c r="AE312" i="24"/>
  <c r="C312" i="23" s="1"/>
  <c r="AD312" i="24"/>
  <c r="B312" i="23" s="1"/>
  <c r="AH311" i="24"/>
  <c r="AF311" i="24"/>
  <c r="AE311" i="24"/>
  <c r="C311" i="23" s="1"/>
  <c r="AD311" i="24"/>
  <c r="B311" i="23" s="1"/>
  <c r="AH310" i="24"/>
  <c r="F310" i="23" s="1"/>
  <c r="AF310" i="24"/>
  <c r="AE310" i="24"/>
  <c r="C310" i="23" s="1"/>
  <c r="AD310" i="24"/>
  <c r="B310" i="23" s="1"/>
  <c r="AH309" i="24"/>
  <c r="F309" i="23" s="1"/>
  <c r="AF309" i="24"/>
  <c r="D309" i="23" s="1"/>
  <c r="AE309" i="24"/>
  <c r="C309" i="23" s="1"/>
  <c r="AD309" i="24"/>
  <c r="AH308" i="24"/>
  <c r="F308" i="23" s="1"/>
  <c r="AF308" i="24"/>
  <c r="D308" i="23" s="1"/>
  <c r="AE308" i="24"/>
  <c r="C308" i="23" s="1"/>
  <c r="AD308" i="24"/>
  <c r="B308" i="23" s="1"/>
  <c r="AH307" i="24"/>
  <c r="AF307" i="24"/>
  <c r="D307" i="23" s="1"/>
  <c r="AE307" i="24"/>
  <c r="C307" i="23" s="1"/>
  <c r="AD307" i="24"/>
  <c r="B307" i="23" s="1"/>
  <c r="AH306" i="24"/>
  <c r="F306" i="23" s="1"/>
  <c r="AF306" i="24"/>
  <c r="D306" i="23" s="1"/>
  <c r="AE306" i="24"/>
  <c r="C306" i="23" s="1"/>
  <c r="AD306" i="24"/>
  <c r="B306" i="23" s="1"/>
  <c r="AH305" i="24"/>
  <c r="F305" i="23" s="1"/>
  <c r="AF305" i="24"/>
  <c r="AE305" i="24"/>
  <c r="C305" i="23" s="1"/>
  <c r="AD305" i="24"/>
  <c r="B305" i="23" s="1"/>
  <c r="AH304" i="24"/>
  <c r="F304" i="23" s="1"/>
  <c r="AF304" i="24"/>
  <c r="D304" i="23" s="1"/>
  <c r="AE304" i="24"/>
  <c r="AD304" i="24"/>
  <c r="B304" i="23" s="1"/>
  <c r="AH303" i="24"/>
  <c r="F303" i="23" s="1"/>
  <c r="AF303" i="24"/>
  <c r="D303" i="23" s="1"/>
  <c r="AE303" i="24"/>
  <c r="C303" i="23" s="1"/>
  <c r="AD303" i="24"/>
  <c r="B303" i="23" s="1"/>
  <c r="AH302" i="24"/>
  <c r="F302" i="23" s="1"/>
  <c r="AF302" i="24"/>
  <c r="D302" i="23" s="1"/>
  <c r="AE302" i="24"/>
  <c r="AD302" i="24"/>
  <c r="B302" i="23" s="1"/>
  <c r="AH301" i="24"/>
  <c r="F301" i="23" s="1"/>
  <c r="AF301" i="24"/>
  <c r="AE301" i="24"/>
  <c r="C301" i="23" s="1"/>
  <c r="AD301" i="24"/>
  <c r="B301" i="23" s="1"/>
  <c r="AH300" i="24"/>
  <c r="F300" i="23" s="1"/>
  <c r="AF300" i="24"/>
  <c r="AE300" i="24"/>
  <c r="C300" i="23" s="1"/>
  <c r="AD300" i="24"/>
  <c r="B300" i="23" s="1"/>
  <c r="AH299" i="24"/>
  <c r="F299" i="23" s="1"/>
  <c r="AF299" i="24"/>
  <c r="AE299" i="24"/>
  <c r="C299" i="23" s="1"/>
  <c r="AD299" i="24"/>
  <c r="B299" i="23" s="1"/>
  <c r="AH298" i="24"/>
  <c r="F298" i="23" s="1"/>
  <c r="AF298" i="24"/>
  <c r="D298" i="23" s="1"/>
  <c r="AE298" i="24"/>
  <c r="C298" i="23" s="1"/>
  <c r="AD298" i="24"/>
  <c r="B298" i="23" s="1"/>
  <c r="AH297" i="24"/>
  <c r="F297" i="23" s="1"/>
  <c r="AF297" i="24"/>
  <c r="D297" i="23" s="1"/>
  <c r="AE297" i="24"/>
  <c r="C297" i="23" s="1"/>
  <c r="AD297" i="24"/>
  <c r="B297" i="23" s="1"/>
  <c r="AH296" i="24"/>
  <c r="F296" i="23" s="1"/>
  <c r="AF296" i="24"/>
  <c r="D296" i="23" s="1"/>
  <c r="AE296" i="24"/>
  <c r="C296" i="23" s="1"/>
  <c r="AD296" i="24"/>
  <c r="B296" i="23" s="1"/>
  <c r="AH295" i="24"/>
  <c r="AF295" i="24"/>
  <c r="AE295" i="24"/>
  <c r="C295" i="23" s="1"/>
  <c r="AD295" i="24"/>
  <c r="B295" i="23" s="1"/>
  <c r="AH294" i="24"/>
  <c r="F294" i="23" s="1"/>
  <c r="AF294" i="24"/>
  <c r="AE294" i="24"/>
  <c r="C294" i="23" s="1"/>
  <c r="AD294" i="24"/>
  <c r="B294" i="23" s="1"/>
  <c r="AH293" i="24"/>
  <c r="F293" i="23" s="1"/>
  <c r="AF293" i="24"/>
  <c r="D293" i="23" s="1"/>
  <c r="AE293" i="24"/>
  <c r="C293" i="23" s="1"/>
  <c r="AD293" i="24"/>
  <c r="AH292" i="24"/>
  <c r="F292" i="23" s="1"/>
  <c r="AF292" i="24"/>
  <c r="D292" i="23" s="1"/>
  <c r="AE292" i="24"/>
  <c r="C292" i="23" s="1"/>
  <c r="AD292" i="24"/>
  <c r="B292" i="23" s="1"/>
  <c r="AH291" i="24"/>
  <c r="AF291" i="24"/>
  <c r="D291" i="23" s="1"/>
  <c r="AE291" i="24"/>
  <c r="C291" i="23" s="1"/>
  <c r="AD291" i="24"/>
  <c r="B291" i="23" s="1"/>
  <c r="AH290" i="24"/>
  <c r="F290" i="23" s="1"/>
  <c r="AF290" i="24"/>
  <c r="D290" i="23" s="1"/>
  <c r="AE290" i="24"/>
  <c r="C290" i="23" s="1"/>
  <c r="AD290" i="24"/>
  <c r="B290" i="23" s="1"/>
  <c r="AH289" i="24"/>
  <c r="F289" i="23" s="1"/>
  <c r="AF289" i="24"/>
  <c r="AE289" i="24"/>
  <c r="C289" i="23" s="1"/>
  <c r="AD289" i="24"/>
  <c r="B289" i="23" s="1"/>
  <c r="AH288" i="24"/>
  <c r="F288" i="23" s="1"/>
  <c r="AF288" i="24"/>
  <c r="D288" i="23" s="1"/>
  <c r="AE288" i="24"/>
  <c r="AD288" i="24"/>
  <c r="B288" i="23" s="1"/>
  <c r="AC318" i="22"/>
  <c r="AB318" i="22"/>
  <c r="AA318" i="22"/>
  <c r="Z318" i="22"/>
  <c r="Y318" i="22"/>
  <c r="X318" i="22"/>
  <c r="W318" i="22"/>
  <c r="V318" i="22"/>
  <c r="U318" i="22"/>
  <c r="T318" i="22"/>
  <c r="S318" i="22"/>
  <c r="R318" i="22"/>
  <c r="Q318" i="22"/>
  <c r="P318" i="22"/>
  <c r="O318" i="22"/>
  <c r="N318" i="22"/>
  <c r="M318" i="22"/>
  <c r="L318" i="22"/>
  <c r="K318" i="22"/>
  <c r="J318" i="22"/>
  <c r="I318" i="22"/>
  <c r="H318" i="22"/>
  <c r="G318" i="22"/>
  <c r="F318" i="22"/>
  <c r="E318" i="22"/>
  <c r="D318" i="22"/>
  <c r="C318" i="22"/>
  <c r="B318" i="22"/>
  <c r="AH319" i="22"/>
  <c r="F319" i="20" s="1"/>
  <c r="AF319" i="22"/>
  <c r="D319" i="20" s="1"/>
  <c r="AE319" i="22"/>
  <c r="C319" i="20" s="1"/>
  <c r="AD319" i="22"/>
  <c r="B319" i="20" s="1"/>
  <c r="AH317" i="22"/>
  <c r="F317" i="20" s="1"/>
  <c r="AF317" i="22"/>
  <c r="D317" i="20" s="1"/>
  <c r="AE317" i="22"/>
  <c r="C317" i="20" s="1"/>
  <c r="AD317" i="22"/>
  <c r="B317" i="20" s="1"/>
  <c r="AH316" i="22"/>
  <c r="F316" i="20" s="1"/>
  <c r="AF316" i="22"/>
  <c r="D316" i="20" s="1"/>
  <c r="AE316" i="22"/>
  <c r="C316" i="20" s="1"/>
  <c r="AD316" i="22"/>
  <c r="B316" i="20" s="1"/>
  <c r="AH315" i="22"/>
  <c r="F315" i="20" s="1"/>
  <c r="AF315" i="22"/>
  <c r="D315" i="20" s="1"/>
  <c r="AE315" i="22"/>
  <c r="C315" i="20" s="1"/>
  <c r="AD315" i="22"/>
  <c r="B315" i="20" s="1"/>
  <c r="AH314" i="22"/>
  <c r="F314" i="20" s="1"/>
  <c r="AF314" i="22"/>
  <c r="D314" i="20" s="1"/>
  <c r="AE314" i="22"/>
  <c r="C314" i="20" s="1"/>
  <c r="AD314" i="22"/>
  <c r="B314" i="20" s="1"/>
  <c r="AH313" i="22"/>
  <c r="F313" i="20" s="1"/>
  <c r="AF313" i="22"/>
  <c r="D313" i="20" s="1"/>
  <c r="AE313" i="22"/>
  <c r="C313" i="20" s="1"/>
  <c r="AD313" i="22"/>
  <c r="B313" i="20" s="1"/>
  <c r="AH312" i="22"/>
  <c r="F312" i="20" s="1"/>
  <c r="AF312" i="22"/>
  <c r="D312" i="20" s="1"/>
  <c r="AE312" i="22"/>
  <c r="C312" i="20" s="1"/>
  <c r="AD312" i="22"/>
  <c r="B312" i="20" s="1"/>
  <c r="AH311" i="22"/>
  <c r="F311" i="20" s="1"/>
  <c r="AF311" i="22"/>
  <c r="D311" i="20" s="1"/>
  <c r="AE311" i="22"/>
  <c r="C311" i="20" s="1"/>
  <c r="AD311" i="22"/>
  <c r="B311" i="20" s="1"/>
  <c r="AH310" i="22"/>
  <c r="F310" i="20" s="1"/>
  <c r="AF310" i="22"/>
  <c r="D310" i="20" s="1"/>
  <c r="AE310" i="22"/>
  <c r="C310" i="20" s="1"/>
  <c r="AD310" i="22"/>
  <c r="B310" i="20" s="1"/>
  <c r="AH309" i="22"/>
  <c r="F309" i="20" s="1"/>
  <c r="AF309" i="22"/>
  <c r="D309" i="20" s="1"/>
  <c r="AE309" i="22"/>
  <c r="C309" i="20" s="1"/>
  <c r="AD309" i="22"/>
  <c r="B309" i="20" s="1"/>
  <c r="AH308" i="22"/>
  <c r="F308" i="20" s="1"/>
  <c r="AF308" i="22"/>
  <c r="D308" i="20" s="1"/>
  <c r="AE308" i="22"/>
  <c r="C308" i="20" s="1"/>
  <c r="AD308" i="22"/>
  <c r="B308" i="20" s="1"/>
  <c r="AH307" i="22"/>
  <c r="F307" i="20" s="1"/>
  <c r="AF307" i="22"/>
  <c r="D307" i="20" s="1"/>
  <c r="AE307" i="22"/>
  <c r="C307" i="20" s="1"/>
  <c r="AD307" i="22"/>
  <c r="B307" i="20" s="1"/>
  <c r="AH306" i="22"/>
  <c r="F306" i="20" s="1"/>
  <c r="AF306" i="22"/>
  <c r="D306" i="20" s="1"/>
  <c r="AE306" i="22"/>
  <c r="C306" i="20" s="1"/>
  <c r="AD306" i="22"/>
  <c r="B306" i="20" s="1"/>
  <c r="AH305" i="22"/>
  <c r="F305" i="20" s="1"/>
  <c r="AF305" i="22"/>
  <c r="D305" i="20" s="1"/>
  <c r="AE305" i="22"/>
  <c r="C305" i="20" s="1"/>
  <c r="AD305" i="22"/>
  <c r="B305" i="20" s="1"/>
  <c r="AH304" i="22"/>
  <c r="F304" i="20" s="1"/>
  <c r="AF304" i="22"/>
  <c r="D304" i="20" s="1"/>
  <c r="AE304" i="22"/>
  <c r="C304" i="20" s="1"/>
  <c r="AD304" i="22"/>
  <c r="B304" i="20" s="1"/>
  <c r="AH303" i="22"/>
  <c r="F303" i="20" s="1"/>
  <c r="AF303" i="22"/>
  <c r="D303" i="20" s="1"/>
  <c r="AE303" i="22"/>
  <c r="C303" i="20" s="1"/>
  <c r="AD303" i="22"/>
  <c r="B303" i="20" s="1"/>
  <c r="AH302" i="22"/>
  <c r="F302" i="20" s="1"/>
  <c r="AF302" i="22"/>
  <c r="D302" i="20" s="1"/>
  <c r="AE302" i="22"/>
  <c r="C302" i="20" s="1"/>
  <c r="AD302" i="22"/>
  <c r="B302" i="20" s="1"/>
  <c r="AH301" i="22"/>
  <c r="F301" i="20" s="1"/>
  <c r="AF301" i="22"/>
  <c r="D301" i="20" s="1"/>
  <c r="AE301" i="22"/>
  <c r="C301" i="20" s="1"/>
  <c r="AD301" i="22"/>
  <c r="B301" i="20" s="1"/>
  <c r="AH300" i="22"/>
  <c r="F300" i="20" s="1"/>
  <c r="AF300" i="22"/>
  <c r="D300" i="20" s="1"/>
  <c r="AE300" i="22"/>
  <c r="C300" i="20" s="1"/>
  <c r="AD300" i="22"/>
  <c r="B300" i="20" s="1"/>
  <c r="AH299" i="22"/>
  <c r="F299" i="20" s="1"/>
  <c r="AF299" i="22"/>
  <c r="D299" i="20" s="1"/>
  <c r="AE299" i="22"/>
  <c r="C299" i="20" s="1"/>
  <c r="AD299" i="22"/>
  <c r="B299" i="20" s="1"/>
  <c r="AH298" i="22"/>
  <c r="F298" i="20" s="1"/>
  <c r="AF298" i="22"/>
  <c r="D298" i="20" s="1"/>
  <c r="AE298" i="22"/>
  <c r="C298" i="20" s="1"/>
  <c r="AD298" i="22"/>
  <c r="B298" i="20" s="1"/>
  <c r="AH297" i="22"/>
  <c r="F297" i="20" s="1"/>
  <c r="AF297" i="22"/>
  <c r="D297" i="20" s="1"/>
  <c r="AE297" i="22"/>
  <c r="C297" i="20" s="1"/>
  <c r="AD297" i="22"/>
  <c r="B297" i="20" s="1"/>
  <c r="AH296" i="22"/>
  <c r="F296" i="20" s="1"/>
  <c r="AF296" i="22"/>
  <c r="D296" i="20" s="1"/>
  <c r="AE296" i="22"/>
  <c r="C296" i="20" s="1"/>
  <c r="AD296" i="22"/>
  <c r="B296" i="20" s="1"/>
  <c r="AH295" i="22"/>
  <c r="F295" i="20" s="1"/>
  <c r="AF295" i="22"/>
  <c r="D295" i="20" s="1"/>
  <c r="AE295" i="22"/>
  <c r="C295" i="20" s="1"/>
  <c r="AD295" i="22"/>
  <c r="B295" i="20" s="1"/>
  <c r="AH294" i="22"/>
  <c r="F294" i="20" s="1"/>
  <c r="AF294" i="22"/>
  <c r="D294" i="20" s="1"/>
  <c r="AE294" i="22"/>
  <c r="C294" i="20" s="1"/>
  <c r="AD294" i="22"/>
  <c r="B294" i="20" s="1"/>
  <c r="AH293" i="22"/>
  <c r="F293" i="20" s="1"/>
  <c r="AF293" i="22"/>
  <c r="D293" i="20" s="1"/>
  <c r="AE293" i="22"/>
  <c r="C293" i="20" s="1"/>
  <c r="AD293" i="22"/>
  <c r="B293" i="20" s="1"/>
  <c r="AH292" i="22"/>
  <c r="F292" i="20" s="1"/>
  <c r="AF292" i="22"/>
  <c r="D292" i="20" s="1"/>
  <c r="AE292" i="22"/>
  <c r="C292" i="20" s="1"/>
  <c r="AD292" i="22"/>
  <c r="B292" i="20" s="1"/>
  <c r="AH291" i="22"/>
  <c r="F291" i="20" s="1"/>
  <c r="AF291" i="22"/>
  <c r="D291" i="20" s="1"/>
  <c r="AE291" i="22"/>
  <c r="C291" i="20" s="1"/>
  <c r="AD291" i="22"/>
  <c r="B291" i="20" s="1"/>
  <c r="AH290" i="22"/>
  <c r="F290" i="20" s="1"/>
  <c r="AF290" i="22"/>
  <c r="D290" i="20" s="1"/>
  <c r="AE290" i="22"/>
  <c r="C290" i="20" s="1"/>
  <c r="AD290" i="22"/>
  <c r="B290" i="20" s="1"/>
  <c r="AH289" i="22"/>
  <c r="F289" i="20" s="1"/>
  <c r="AF289" i="22"/>
  <c r="D289" i="20" s="1"/>
  <c r="AE289" i="22"/>
  <c r="C289" i="20" s="1"/>
  <c r="AD289" i="22"/>
  <c r="B289" i="20" s="1"/>
  <c r="AH288" i="22"/>
  <c r="F288" i="20" s="1"/>
  <c r="AF288" i="22"/>
  <c r="D288" i="20" s="1"/>
  <c r="AE288" i="22"/>
  <c r="C288" i="20" s="1"/>
  <c r="AD288" i="22"/>
  <c r="B288" i="20" s="1"/>
  <c r="DE65" i="12"/>
  <c r="DE64" i="12"/>
  <c r="DF59" i="12"/>
  <c r="DG59" i="12" s="1"/>
  <c r="DD59" i="12"/>
  <c r="DE59" i="12" s="1"/>
  <c r="DC59" i="12"/>
  <c r="DB59" i="12"/>
  <c r="DF58" i="12"/>
  <c r="DG58" i="12" s="1"/>
  <c r="DD58" i="12"/>
  <c r="DE58" i="12" s="1"/>
  <c r="DC58" i="12"/>
  <c r="DB58" i="12"/>
  <c r="DF57" i="12"/>
  <c r="DD57" i="12"/>
  <c r="DC57" i="12"/>
  <c r="DB57" i="12"/>
  <c r="DF56" i="12"/>
  <c r="DD56" i="12"/>
  <c r="DE56" i="12" s="1"/>
  <c r="DC56" i="12"/>
  <c r="DB56" i="12"/>
  <c r="DE55" i="12"/>
  <c r="DE54" i="12"/>
  <c r="DF53" i="12"/>
  <c r="DD53" i="12"/>
  <c r="DE53" i="12" s="1"/>
  <c r="DC53" i="12"/>
  <c r="DG53" i="12" s="1"/>
  <c r="DB53" i="12"/>
  <c r="DF52" i="12"/>
  <c r="DD52" i="12"/>
  <c r="DE52" i="12" s="1"/>
  <c r="DC52" i="12"/>
  <c r="DG52" i="12" s="1"/>
  <c r="DB52" i="12"/>
  <c r="DE51" i="12"/>
  <c r="DE50" i="12"/>
  <c r="DE49" i="12"/>
  <c r="DE48" i="12"/>
  <c r="DE47" i="12"/>
  <c r="DE46" i="12"/>
  <c r="DF45" i="12"/>
  <c r="DG45" i="12" s="1"/>
  <c r="DD45" i="12"/>
  <c r="DC45" i="12"/>
  <c r="DB45" i="12"/>
  <c r="DF44" i="12"/>
  <c r="DG44" i="12" s="1"/>
  <c r="DD44" i="12"/>
  <c r="DC44" i="12"/>
  <c r="DB44" i="12"/>
  <c r="DE43" i="12"/>
  <c r="DE42" i="12"/>
  <c r="DE41" i="12"/>
  <c r="DE40" i="12"/>
  <c r="DE39" i="12"/>
  <c r="DE38" i="12"/>
  <c r="DF37" i="12"/>
  <c r="DD37" i="12"/>
  <c r="DE37" i="12" s="1"/>
  <c r="DC37" i="12"/>
  <c r="DG37" i="12" s="1"/>
  <c r="DB37" i="12"/>
  <c r="DF36" i="12"/>
  <c r="DD36" i="12"/>
  <c r="DE36" i="12" s="1"/>
  <c r="DC36" i="12"/>
  <c r="DG36" i="12" s="1"/>
  <c r="DB36" i="12"/>
  <c r="DE35" i="12"/>
  <c r="DE34" i="12"/>
  <c r="DE33" i="12"/>
  <c r="DE32" i="12"/>
  <c r="DE31" i="12"/>
  <c r="DE30" i="12"/>
  <c r="DF29" i="12"/>
  <c r="DG29" i="12" s="1"/>
  <c r="DD29" i="12"/>
  <c r="DC29" i="12"/>
  <c r="DB29" i="12"/>
  <c r="DF28" i="12"/>
  <c r="DG28" i="12" s="1"/>
  <c r="DD28" i="12"/>
  <c r="DC28" i="12"/>
  <c r="DB28" i="12"/>
  <c r="DE28" i="12" s="1"/>
  <c r="DE27" i="12"/>
  <c r="DE26" i="12"/>
  <c r="DE25" i="12"/>
  <c r="DE24" i="12"/>
  <c r="DE23" i="12"/>
  <c r="DE22" i="12"/>
  <c r="DF21" i="12"/>
  <c r="DG21" i="12" s="1"/>
  <c r="DD21" i="12"/>
  <c r="DE21" i="12" s="1"/>
  <c r="DC21" i="12"/>
  <c r="DB21" i="12"/>
  <c r="DF20" i="12"/>
  <c r="DG20" i="12" s="1"/>
  <c r="DD20" i="12"/>
  <c r="DC20" i="12"/>
  <c r="DB20" i="12"/>
  <c r="DE20" i="12" s="1"/>
  <c r="DE19" i="12"/>
  <c r="DE18" i="12"/>
  <c r="DE17" i="12"/>
  <c r="DE16" i="12"/>
  <c r="DE15" i="12"/>
  <c r="DE14" i="12"/>
  <c r="DF13" i="12"/>
  <c r="DD13" i="12"/>
  <c r="DD61" i="12" s="1"/>
  <c r="DC13" i="12"/>
  <c r="DC61" i="12" s="1"/>
  <c r="DB13" i="12"/>
  <c r="DF12" i="12"/>
  <c r="DE12" i="12"/>
  <c r="DD12" i="12"/>
  <c r="DC12" i="12"/>
  <c r="DB12" i="12"/>
  <c r="DE11" i="12"/>
  <c r="DE10" i="12"/>
  <c r="DE9" i="12"/>
  <c r="DE8" i="12"/>
  <c r="DG65" i="12"/>
  <c r="CZ65" i="12"/>
  <c r="DA65" i="12" s="1"/>
  <c r="CX65" i="12"/>
  <c r="CW65" i="12"/>
  <c r="CV65" i="12"/>
  <c r="DG64" i="12"/>
  <c r="CZ64" i="12"/>
  <c r="CX64" i="12"/>
  <c r="CW64" i="12"/>
  <c r="CV64" i="12"/>
  <c r="DG55" i="12"/>
  <c r="CZ55" i="12"/>
  <c r="DA55" i="12" s="1"/>
  <c r="CX55" i="12"/>
  <c r="CW55" i="12"/>
  <c r="CV55" i="12"/>
  <c r="DG54" i="12"/>
  <c r="CZ54" i="12"/>
  <c r="CX54" i="12"/>
  <c r="CW54" i="12"/>
  <c r="CV54" i="12"/>
  <c r="DG51" i="12"/>
  <c r="CZ51" i="12"/>
  <c r="DA51" i="12" s="1"/>
  <c r="CX51" i="12"/>
  <c r="CW51" i="12"/>
  <c r="CV51" i="12"/>
  <c r="DG50" i="12"/>
  <c r="CZ50" i="12"/>
  <c r="CX50" i="12"/>
  <c r="CW50" i="12"/>
  <c r="CV50" i="12"/>
  <c r="DG49" i="12"/>
  <c r="CZ49" i="12"/>
  <c r="CX49" i="12"/>
  <c r="CX53" i="12" s="1"/>
  <c r="CW49" i="12"/>
  <c r="CW53" i="12" s="1"/>
  <c r="CV49" i="12"/>
  <c r="DG48" i="12"/>
  <c r="CZ48" i="12"/>
  <c r="CZ52" i="12" s="1"/>
  <c r="CX48" i="12"/>
  <c r="CX52" i="12" s="1"/>
  <c r="CW48" i="12"/>
  <c r="CV48" i="12"/>
  <c r="DG47" i="12"/>
  <c r="CZ47" i="12"/>
  <c r="DA47" i="12" s="1"/>
  <c r="CX47" i="12"/>
  <c r="CW47" i="12"/>
  <c r="CV47" i="12"/>
  <c r="DG46" i="12"/>
  <c r="CZ46" i="12"/>
  <c r="CX46" i="12"/>
  <c r="CW46" i="12"/>
  <c r="CV46" i="12"/>
  <c r="DG43" i="12"/>
  <c r="CZ43" i="12"/>
  <c r="DA43" i="12" s="1"/>
  <c r="CX43" i="12"/>
  <c r="CW43" i="12"/>
  <c r="CV43" i="12"/>
  <c r="DG42" i="12"/>
  <c r="CZ42" i="12"/>
  <c r="CX42" i="12"/>
  <c r="CW42" i="12"/>
  <c r="CV42" i="12"/>
  <c r="DG41" i="12"/>
  <c r="CZ41" i="12"/>
  <c r="CX41" i="12"/>
  <c r="CX45" i="12" s="1"/>
  <c r="CW41" i="12"/>
  <c r="CW45" i="12" s="1"/>
  <c r="CV41" i="12"/>
  <c r="DG40" i="12"/>
  <c r="CZ40" i="12"/>
  <c r="CZ44" i="12" s="1"/>
  <c r="CX40" i="12"/>
  <c r="CX44" i="12" s="1"/>
  <c r="CW40" i="12"/>
  <c r="CV40" i="12"/>
  <c r="DG39" i="12"/>
  <c r="CZ39" i="12"/>
  <c r="DA39" i="12" s="1"/>
  <c r="CX39" i="12"/>
  <c r="CW39" i="12"/>
  <c r="CV39" i="12"/>
  <c r="DG38" i="12"/>
  <c r="CZ38" i="12"/>
  <c r="CX38" i="12"/>
  <c r="CW38" i="12"/>
  <c r="CV38" i="12"/>
  <c r="DG35" i="12"/>
  <c r="CZ35" i="12"/>
  <c r="DA35" i="12" s="1"/>
  <c r="CX35" i="12"/>
  <c r="CW35" i="12"/>
  <c r="CV35" i="12"/>
  <c r="DG34" i="12"/>
  <c r="CZ34" i="12"/>
  <c r="CX34" i="12"/>
  <c r="CW34" i="12"/>
  <c r="CV34" i="12"/>
  <c r="DG33" i="12"/>
  <c r="CZ33" i="12"/>
  <c r="CX33" i="12"/>
  <c r="CX37" i="12" s="1"/>
  <c r="CW33" i="12"/>
  <c r="CW37" i="12" s="1"/>
  <c r="CV33" i="12"/>
  <c r="DG32" i="12"/>
  <c r="CZ32" i="12"/>
  <c r="CZ36" i="12" s="1"/>
  <c r="CX32" i="12"/>
  <c r="CW32" i="12"/>
  <c r="CV32" i="12"/>
  <c r="DG31" i="12"/>
  <c r="CZ31" i="12"/>
  <c r="DA31" i="12" s="1"/>
  <c r="CX31" i="12"/>
  <c r="CW31" i="12"/>
  <c r="CV31" i="12"/>
  <c r="DG30" i="12"/>
  <c r="CZ30" i="12"/>
  <c r="CX30" i="12"/>
  <c r="CW30" i="12"/>
  <c r="CV30" i="12"/>
  <c r="DG27" i="12"/>
  <c r="CZ27" i="12"/>
  <c r="DA27" i="12" s="1"/>
  <c r="CX27" i="12"/>
  <c r="CW27" i="12"/>
  <c r="CV27" i="12"/>
  <c r="DG26" i="12"/>
  <c r="CZ26" i="12"/>
  <c r="CX26" i="12"/>
  <c r="CW26" i="12"/>
  <c r="CV26" i="12"/>
  <c r="DG25" i="12"/>
  <c r="CZ25" i="12"/>
  <c r="CX25" i="12"/>
  <c r="CX29" i="12" s="1"/>
  <c r="CW25" i="12"/>
  <c r="CW29" i="12" s="1"/>
  <c r="CV25" i="12"/>
  <c r="DG24" i="12"/>
  <c r="CZ24" i="12"/>
  <c r="CX24" i="12"/>
  <c r="CX28" i="12" s="1"/>
  <c r="CW24" i="12"/>
  <c r="CV24" i="12"/>
  <c r="DG23" i="12"/>
  <c r="CZ23" i="12"/>
  <c r="DA23" i="12" s="1"/>
  <c r="CX23" i="12"/>
  <c r="CW23" i="12"/>
  <c r="CV23" i="12"/>
  <c r="DG22" i="12"/>
  <c r="CZ22" i="12"/>
  <c r="CX22" i="12"/>
  <c r="CW22" i="12"/>
  <c r="CV22" i="12"/>
  <c r="DG19" i="12"/>
  <c r="CZ19" i="12"/>
  <c r="DA19" i="12" s="1"/>
  <c r="CX19" i="12"/>
  <c r="CW19" i="12"/>
  <c r="CV19" i="12"/>
  <c r="DG18" i="12"/>
  <c r="CZ18" i="12"/>
  <c r="CX18" i="12"/>
  <c r="CW18" i="12"/>
  <c r="CV18" i="12"/>
  <c r="DG17" i="12"/>
  <c r="CZ17" i="12"/>
  <c r="CX17" i="12"/>
  <c r="CW17" i="12"/>
  <c r="CW21" i="12" s="1"/>
  <c r="CV17" i="12"/>
  <c r="DG16" i="12"/>
  <c r="CZ16" i="12"/>
  <c r="CX16" i="12"/>
  <c r="CX20" i="12" s="1"/>
  <c r="CW16" i="12"/>
  <c r="CV16" i="12"/>
  <c r="DG15" i="12"/>
  <c r="CZ15" i="12"/>
  <c r="DA15" i="12" s="1"/>
  <c r="CX15" i="12"/>
  <c r="CW15" i="12"/>
  <c r="CV15" i="12"/>
  <c r="DG14" i="12"/>
  <c r="CZ14" i="12"/>
  <c r="CX14" i="12"/>
  <c r="CW14" i="12"/>
  <c r="CV14" i="12"/>
  <c r="DG11" i="12"/>
  <c r="CZ11" i="12"/>
  <c r="CX11" i="12"/>
  <c r="CX59" i="12" s="1"/>
  <c r="CW11" i="12"/>
  <c r="CW59" i="12" s="1"/>
  <c r="CV11" i="12"/>
  <c r="DG10" i="12"/>
  <c r="CZ10" i="12"/>
  <c r="CZ58" i="12" s="1"/>
  <c r="CX10" i="12"/>
  <c r="CX58" i="12" s="1"/>
  <c r="CW10" i="12"/>
  <c r="CV10" i="12"/>
  <c r="DG9" i="12"/>
  <c r="CZ9" i="12"/>
  <c r="CZ57" i="12" s="1"/>
  <c r="CX9" i="12"/>
  <c r="CW9" i="12"/>
  <c r="CV9" i="12"/>
  <c r="CV57" i="12" s="1"/>
  <c r="DG8" i="12"/>
  <c r="CZ8" i="12"/>
  <c r="CX8" i="12"/>
  <c r="CW8" i="12"/>
  <c r="CW56" i="12" s="1"/>
  <c r="CV8" i="12"/>
  <c r="CV56" i="12" s="1"/>
  <c r="BE104" i="2"/>
  <c r="BD104" i="2"/>
  <c r="BE101" i="2"/>
  <c r="BF101" i="2" s="1"/>
  <c r="BD101" i="2"/>
  <c r="BE97" i="2"/>
  <c r="BD97" i="2"/>
  <c r="BE96" i="2"/>
  <c r="BD96" i="2"/>
  <c r="BE95" i="2"/>
  <c r="BD95" i="2"/>
  <c r="BE92" i="2"/>
  <c r="BD92" i="2"/>
  <c r="BF92" i="2" s="1"/>
  <c r="BE88" i="2"/>
  <c r="BD88" i="2"/>
  <c r="BE87" i="2"/>
  <c r="BD87" i="2"/>
  <c r="BF87" i="2" s="1"/>
  <c r="BE86" i="2"/>
  <c r="BD86" i="2"/>
  <c r="BE83" i="2"/>
  <c r="BD83" i="2"/>
  <c r="BF83" i="2" s="1"/>
  <c r="BE79" i="2"/>
  <c r="BD79" i="2"/>
  <c r="BE78" i="2"/>
  <c r="BD78" i="2"/>
  <c r="BE77" i="2"/>
  <c r="BD77" i="2"/>
  <c r="BE74" i="2"/>
  <c r="BD74" i="2"/>
  <c r="BF74" i="2" s="1"/>
  <c r="BE70" i="2"/>
  <c r="BD70" i="2"/>
  <c r="BE69" i="2"/>
  <c r="BD69" i="2"/>
  <c r="BF69" i="2" s="1"/>
  <c r="BE68" i="2"/>
  <c r="BD68" i="2"/>
  <c r="BE65" i="2"/>
  <c r="BD65" i="2"/>
  <c r="BF65" i="2" s="1"/>
  <c r="BE59" i="2"/>
  <c r="BD59" i="2"/>
  <c r="BE56" i="2"/>
  <c r="BD56" i="2"/>
  <c r="BF56" i="2" s="1"/>
  <c r="BE53" i="2"/>
  <c r="BD53" i="2"/>
  <c r="BE50" i="2"/>
  <c r="BD50" i="2"/>
  <c r="BF50" i="2" s="1"/>
  <c r="BE47" i="2"/>
  <c r="BD47" i="2"/>
  <c r="BE44" i="2"/>
  <c r="BD44" i="2"/>
  <c r="BF44" i="2" s="1"/>
  <c r="BE40" i="2"/>
  <c r="BD40" i="2"/>
  <c r="BE39" i="2"/>
  <c r="BD39" i="2"/>
  <c r="BE38" i="2"/>
  <c r="BD38" i="2"/>
  <c r="BE35" i="2"/>
  <c r="BD35" i="2"/>
  <c r="BF35" i="2" s="1"/>
  <c r="BE29" i="2"/>
  <c r="BD29" i="2"/>
  <c r="BE26" i="2"/>
  <c r="BD26" i="2"/>
  <c r="BF26" i="2" s="1"/>
  <c r="BE23" i="2"/>
  <c r="BD23" i="2"/>
  <c r="BE20" i="2"/>
  <c r="BD20" i="2"/>
  <c r="BF20" i="2" s="1"/>
  <c r="BE17" i="2"/>
  <c r="BD17" i="2"/>
  <c r="BE14" i="2"/>
  <c r="BD14" i="2"/>
  <c r="BF14" i="2" s="1"/>
  <c r="BE10" i="2"/>
  <c r="BD10" i="2"/>
  <c r="BE9" i="2"/>
  <c r="BD9" i="2"/>
  <c r="BE8" i="2"/>
  <c r="BD8" i="2"/>
  <c r="BE106" i="2"/>
  <c r="BD106" i="2"/>
  <c r="BD107" i="2" s="1"/>
  <c r="BE105" i="2"/>
  <c r="BD105" i="2"/>
  <c r="BF103" i="2"/>
  <c r="BB103" i="2"/>
  <c r="BA103" i="2"/>
  <c r="BF102" i="2"/>
  <c r="BB102" i="2"/>
  <c r="BA102" i="2"/>
  <c r="BF100" i="2"/>
  <c r="BB100" i="2"/>
  <c r="BA100" i="2"/>
  <c r="BF99" i="2"/>
  <c r="BB99" i="2"/>
  <c r="BA99" i="2"/>
  <c r="BC99" i="2" s="1"/>
  <c r="BF95" i="2"/>
  <c r="BF94" i="2"/>
  <c r="BB94" i="2"/>
  <c r="BA94" i="2"/>
  <c r="BF93" i="2"/>
  <c r="BB93" i="2"/>
  <c r="BB96" i="2" s="1"/>
  <c r="BA93" i="2"/>
  <c r="BF91" i="2"/>
  <c r="BB91" i="2"/>
  <c r="BA91" i="2"/>
  <c r="BF90" i="2"/>
  <c r="BB90" i="2"/>
  <c r="BA90" i="2"/>
  <c r="BF88" i="2"/>
  <c r="BF86" i="2"/>
  <c r="BF85" i="2"/>
  <c r="BB85" i="2"/>
  <c r="BB88" i="2" s="1"/>
  <c r="BA85" i="2"/>
  <c r="BF84" i="2"/>
  <c r="BB84" i="2"/>
  <c r="BA84" i="2"/>
  <c r="BC84" i="2" s="1"/>
  <c r="BF82" i="2"/>
  <c r="BB82" i="2"/>
  <c r="BA82" i="2"/>
  <c r="BF81" i="2"/>
  <c r="BB81" i="2"/>
  <c r="BC81" i="2" s="1"/>
  <c r="BA81" i="2"/>
  <c r="BF79" i="2"/>
  <c r="BF77" i="2"/>
  <c r="BF76" i="2"/>
  <c r="BB76" i="2"/>
  <c r="BA76" i="2"/>
  <c r="BA79" i="2" s="1"/>
  <c r="BF75" i="2"/>
  <c r="BB75" i="2"/>
  <c r="BA75" i="2"/>
  <c r="BF73" i="2"/>
  <c r="BB73" i="2"/>
  <c r="BA73" i="2"/>
  <c r="BF72" i="2"/>
  <c r="BB72" i="2"/>
  <c r="BA72" i="2"/>
  <c r="BF70" i="2"/>
  <c r="BF68" i="2"/>
  <c r="BF67" i="2"/>
  <c r="BB67" i="2"/>
  <c r="BB70" i="2" s="1"/>
  <c r="BA67" i="2"/>
  <c r="BF66" i="2"/>
  <c r="BB66" i="2"/>
  <c r="BA66" i="2"/>
  <c r="BC66" i="2" s="1"/>
  <c r="BF64" i="2"/>
  <c r="BB64" i="2"/>
  <c r="BA64" i="2"/>
  <c r="BF63" i="2"/>
  <c r="BB63" i="2"/>
  <c r="BC63" i="2" s="1"/>
  <c r="BA63" i="2"/>
  <c r="BF59" i="2"/>
  <c r="BF58" i="2"/>
  <c r="BB58" i="2"/>
  <c r="BA58" i="2"/>
  <c r="BF57" i="2"/>
  <c r="BB57" i="2"/>
  <c r="BA57" i="2"/>
  <c r="BF55" i="2"/>
  <c r="BB55" i="2"/>
  <c r="BA55" i="2"/>
  <c r="BA56" i="2" s="1"/>
  <c r="BF54" i="2"/>
  <c r="BB54" i="2"/>
  <c r="BA54" i="2"/>
  <c r="BF53" i="2"/>
  <c r="BF52" i="2"/>
  <c r="BB52" i="2"/>
  <c r="BA52" i="2"/>
  <c r="BC52" i="2" s="1"/>
  <c r="BF51" i="2"/>
  <c r="BB51" i="2"/>
  <c r="BA51" i="2"/>
  <c r="BF49" i="2"/>
  <c r="BB49" i="2"/>
  <c r="BA49" i="2"/>
  <c r="BF48" i="2"/>
  <c r="BB48" i="2"/>
  <c r="BA48" i="2"/>
  <c r="BF47" i="2"/>
  <c r="BF46" i="2"/>
  <c r="BB46" i="2"/>
  <c r="BA46" i="2"/>
  <c r="BC46" i="2" s="1"/>
  <c r="BF45" i="2"/>
  <c r="BB45" i="2"/>
  <c r="BA45" i="2"/>
  <c r="BC45" i="2" s="1"/>
  <c r="BF43" i="2"/>
  <c r="BB43" i="2"/>
  <c r="BA43" i="2"/>
  <c r="BF42" i="2"/>
  <c r="BB42" i="2"/>
  <c r="BA42" i="2"/>
  <c r="BF40" i="2"/>
  <c r="BF38" i="2"/>
  <c r="BF37" i="2"/>
  <c r="BB37" i="2"/>
  <c r="BA37" i="2"/>
  <c r="BF36" i="2"/>
  <c r="BB36" i="2"/>
  <c r="BA36" i="2"/>
  <c r="BF34" i="2"/>
  <c r="BB34" i="2"/>
  <c r="BB106" i="2" s="1"/>
  <c r="BA34" i="2"/>
  <c r="BF33" i="2"/>
  <c r="BB33" i="2"/>
  <c r="BB105" i="2" s="1"/>
  <c r="BA33" i="2"/>
  <c r="BF29" i="2"/>
  <c r="BF28" i="2"/>
  <c r="BB28" i="2"/>
  <c r="BA28" i="2"/>
  <c r="BC28" i="2" s="1"/>
  <c r="BF27" i="2"/>
  <c r="BB27" i="2"/>
  <c r="BC27" i="2" s="1"/>
  <c r="BA27" i="2"/>
  <c r="BF25" i="2"/>
  <c r="BB25" i="2"/>
  <c r="BA25" i="2"/>
  <c r="BA26" i="2" s="1"/>
  <c r="BF24" i="2"/>
  <c r="BB24" i="2"/>
  <c r="BA24" i="2"/>
  <c r="BF23" i="2"/>
  <c r="BF22" i="2"/>
  <c r="BB22" i="2"/>
  <c r="BA22" i="2"/>
  <c r="BF21" i="2"/>
  <c r="BB21" i="2"/>
  <c r="BA21" i="2"/>
  <c r="BF19" i="2"/>
  <c r="BB19" i="2"/>
  <c r="BA19" i="2"/>
  <c r="BA20" i="2" s="1"/>
  <c r="BF18" i="2"/>
  <c r="BB18" i="2"/>
  <c r="BA18" i="2"/>
  <c r="BF17" i="2"/>
  <c r="BF16" i="2"/>
  <c r="BB16" i="2"/>
  <c r="BA16" i="2"/>
  <c r="BF15" i="2"/>
  <c r="BB15" i="2"/>
  <c r="BA15" i="2"/>
  <c r="BF13" i="2"/>
  <c r="BB13" i="2"/>
  <c r="BA13" i="2"/>
  <c r="BF12" i="2"/>
  <c r="BB12" i="2"/>
  <c r="BA12" i="2"/>
  <c r="BF10" i="2"/>
  <c r="BF8" i="2"/>
  <c r="BF7" i="2"/>
  <c r="BB7" i="2"/>
  <c r="BA7" i="2"/>
  <c r="BF6" i="2"/>
  <c r="BB6" i="2"/>
  <c r="BA6" i="2"/>
  <c r="BC55" i="13"/>
  <c r="BF55" i="13" s="1"/>
  <c r="BB55" i="13"/>
  <c r="BE55" i="13" s="1"/>
  <c r="BC54" i="13"/>
  <c r="BF54" i="13" s="1"/>
  <c r="BB54" i="13"/>
  <c r="BE54" i="13" s="1"/>
  <c r="BC52" i="13"/>
  <c r="BF52" i="13" s="1"/>
  <c r="BB52" i="13"/>
  <c r="BE52" i="13" s="1"/>
  <c r="BC51" i="13"/>
  <c r="BF51" i="13" s="1"/>
  <c r="BB51" i="13"/>
  <c r="BC49" i="13"/>
  <c r="BF49" i="13" s="1"/>
  <c r="BB49" i="13"/>
  <c r="BE49" i="13" s="1"/>
  <c r="BC48" i="13"/>
  <c r="BB48" i="13"/>
  <c r="BE48" i="13" s="1"/>
  <c r="BC46" i="13"/>
  <c r="BF46" i="13" s="1"/>
  <c r="BB46" i="13"/>
  <c r="BE46" i="13" s="1"/>
  <c r="BC45" i="13"/>
  <c r="BF45" i="13" s="1"/>
  <c r="BB45" i="13"/>
  <c r="BC43" i="13"/>
  <c r="BF43" i="13" s="1"/>
  <c r="BB43" i="13"/>
  <c r="BE43" i="13" s="1"/>
  <c r="BC42" i="13"/>
  <c r="BF42" i="13" s="1"/>
  <c r="BB42" i="13"/>
  <c r="BC40" i="13"/>
  <c r="BB40" i="13"/>
  <c r="BE40" i="13" s="1"/>
  <c r="BC39" i="13"/>
  <c r="BF39" i="13" s="1"/>
  <c r="BB39" i="13"/>
  <c r="BC37" i="13"/>
  <c r="BF37" i="13" s="1"/>
  <c r="BB37" i="13"/>
  <c r="BE37" i="13" s="1"/>
  <c r="BC36" i="13"/>
  <c r="BF36" i="13" s="1"/>
  <c r="BB36" i="13"/>
  <c r="BE36" i="13" s="1"/>
  <c r="BC25" i="13"/>
  <c r="BB25" i="13"/>
  <c r="BE25" i="13" s="1"/>
  <c r="BC24" i="13"/>
  <c r="BF24" i="13" s="1"/>
  <c r="BG24" i="13" s="1"/>
  <c r="BB24" i="13"/>
  <c r="BE24" i="13" s="1"/>
  <c r="BC22" i="13"/>
  <c r="BB22" i="13"/>
  <c r="BE22" i="13" s="1"/>
  <c r="BC21" i="13"/>
  <c r="BB21" i="13"/>
  <c r="BC19" i="13"/>
  <c r="BB19" i="13"/>
  <c r="BE19" i="13" s="1"/>
  <c r="BC18" i="13"/>
  <c r="BF18" i="13" s="1"/>
  <c r="BB18" i="13"/>
  <c r="BC16" i="13"/>
  <c r="BB16" i="13"/>
  <c r="BE16" i="13" s="1"/>
  <c r="BC15" i="13"/>
  <c r="BF15" i="13" s="1"/>
  <c r="BB15" i="13"/>
  <c r="BC13" i="13"/>
  <c r="BB13" i="13"/>
  <c r="BE13" i="13" s="1"/>
  <c r="BE14" i="13" s="1"/>
  <c r="BD12" i="13"/>
  <c r="BC12" i="13"/>
  <c r="BF12" i="13" s="1"/>
  <c r="BG12" i="13" s="1"/>
  <c r="BB12" i="13"/>
  <c r="BE12" i="13" s="1"/>
  <c r="BC10" i="13"/>
  <c r="BB10" i="13"/>
  <c r="BE10" i="13" s="1"/>
  <c r="BC9" i="13"/>
  <c r="BB9" i="13"/>
  <c r="BC7" i="13"/>
  <c r="BB7" i="13"/>
  <c r="BE7" i="13" s="1"/>
  <c r="BC6" i="13"/>
  <c r="BF6" i="13" s="1"/>
  <c r="BB6" i="13"/>
  <c r="BE104" i="1"/>
  <c r="BF104" i="1" s="1"/>
  <c r="BD104" i="1"/>
  <c r="BE101" i="1"/>
  <c r="BD101" i="1"/>
  <c r="BE97" i="1"/>
  <c r="BE98" i="1" s="1"/>
  <c r="BD97" i="1"/>
  <c r="BD98" i="1" s="1"/>
  <c r="BE96" i="1"/>
  <c r="BD96" i="1"/>
  <c r="BE95" i="1"/>
  <c r="BD95" i="1"/>
  <c r="BE92" i="1"/>
  <c r="BD92" i="1"/>
  <c r="BE88" i="1"/>
  <c r="BE89" i="1" s="1"/>
  <c r="BD88" i="1"/>
  <c r="BD89" i="1" s="1"/>
  <c r="BE87" i="1"/>
  <c r="BD87" i="1"/>
  <c r="BE86" i="1"/>
  <c r="BD86" i="1"/>
  <c r="BF86" i="1" s="1"/>
  <c r="BE83" i="1"/>
  <c r="BD83" i="1"/>
  <c r="BE79" i="1"/>
  <c r="BE80" i="1" s="1"/>
  <c r="BD79" i="1"/>
  <c r="BD80" i="1" s="1"/>
  <c r="BE78" i="1"/>
  <c r="BD78" i="1"/>
  <c r="BE77" i="1"/>
  <c r="BF77" i="1" s="1"/>
  <c r="BD77" i="1"/>
  <c r="BE74" i="1"/>
  <c r="BD74" i="1"/>
  <c r="BE70" i="1"/>
  <c r="BE71" i="1" s="1"/>
  <c r="BD70" i="1"/>
  <c r="BD71" i="1" s="1"/>
  <c r="BE69" i="1"/>
  <c r="BD69" i="1"/>
  <c r="BE68" i="1"/>
  <c r="BF68" i="1" s="1"/>
  <c r="BD68" i="1"/>
  <c r="BE65" i="1"/>
  <c r="BD65" i="1"/>
  <c r="BE59" i="1"/>
  <c r="BD59" i="1"/>
  <c r="BF59" i="1" s="1"/>
  <c r="BE56" i="1"/>
  <c r="BD56" i="1"/>
  <c r="BE53" i="1"/>
  <c r="BD53" i="1"/>
  <c r="BF53" i="1" s="1"/>
  <c r="BE50" i="1"/>
  <c r="BD50" i="1"/>
  <c r="BE47" i="1"/>
  <c r="BD47" i="1"/>
  <c r="BF47" i="1" s="1"/>
  <c r="BE44" i="1"/>
  <c r="BD44" i="1"/>
  <c r="BD40" i="1"/>
  <c r="BE39" i="1"/>
  <c r="BD39" i="1"/>
  <c r="BE38" i="1"/>
  <c r="BF38" i="1" s="1"/>
  <c r="BD38" i="1"/>
  <c r="BE35" i="1"/>
  <c r="BD35" i="1"/>
  <c r="BE29" i="1"/>
  <c r="BD29" i="1"/>
  <c r="BE26" i="1"/>
  <c r="BD26" i="1"/>
  <c r="BE23" i="1"/>
  <c r="BD23" i="1"/>
  <c r="BE20" i="1"/>
  <c r="BD20" i="1"/>
  <c r="BE17" i="1"/>
  <c r="BF17" i="1" s="1"/>
  <c r="BD17" i="1"/>
  <c r="BE14" i="1"/>
  <c r="BD14" i="1"/>
  <c r="BE10" i="1"/>
  <c r="BD10" i="1"/>
  <c r="BE9" i="1"/>
  <c r="BD9" i="1"/>
  <c r="BE8" i="1"/>
  <c r="BD8" i="1"/>
  <c r="BE106" i="1"/>
  <c r="BF106" i="1" s="1"/>
  <c r="BD106" i="1"/>
  <c r="BE105" i="1"/>
  <c r="BD105" i="1"/>
  <c r="BF103" i="1"/>
  <c r="BB103" i="1"/>
  <c r="BA103" i="1"/>
  <c r="BC103" i="1" s="1"/>
  <c r="BF102" i="1"/>
  <c r="BB102" i="1"/>
  <c r="BA102" i="1"/>
  <c r="BC102" i="1" s="1"/>
  <c r="BF101" i="1"/>
  <c r="BF100" i="1"/>
  <c r="BB100" i="1"/>
  <c r="BA100" i="1"/>
  <c r="BC100" i="1" s="1"/>
  <c r="BF99" i="1"/>
  <c r="BB99" i="1"/>
  <c r="BA99" i="1"/>
  <c r="BF96" i="1"/>
  <c r="BF95" i="1"/>
  <c r="BF94" i="1"/>
  <c r="BB94" i="1"/>
  <c r="BB97" i="1" s="1"/>
  <c r="BA94" i="1"/>
  <c r="BF93" i="1"/>
  <c r="BB93" i="1"/>
  <c r="BA93" i="1"/>
  <c r="BF92" i="1"/>
  <c r="BF91" i="1"/>
  <c r="BB91" i="1"/>
  <c r="BC91" i="1" s="1"/>
  <c r="BA91" i="1"/>
  <c r="BF90" i="1"/>
  <c r="BB90" i="1"/>
  <c r="BC90" i="1" s="1"/>
  <c r="BA90" i="1"/>
  <c r="BF85" i="1"/>
  <c r="BB85" i="1"/>
  <c r="BB88" i="1" s="1"/>
  <c r="BA85" i="1"/>
  <c r="BA88" i="1" s="1"/>
  <c r="BF84" i="1"/>
  <c r="BB84" i="1"/>
  <c r="BB87" i="1" s="1"/>
  <c r="BA84" i="1"/>
  <c r="BA87" i="1" s="1"/>
  <c r="BF83" i="1"/>
  <c r="BF82" i="1"/>
  <c r="BB82" i="1"/>
  <c r="BB83" i="1" s="1"/>
  <c r="BA82" i="1"/>
  <c r="BF81" i="1"/>
  <c r="BB81" i="1"/>
  <c r="BA81" i="1"/>
  <c r="BC81" i="1" s="1"/>
  <c r="BF78" i="1"/>
  <c r="BF76" i="1"/>
  <c r="BB76" i="1"/>
  <c r="BB79" i="1" s="1"/>
  <c r="BA76" i="1"/>
  <c r="BF75" i="1"/>
  <c r="BB75" i="1"/>
  <c r="BB78" i="1" s="1"/>
  <c r="BA75" i="1"/>
  <c r="BC75" i="1" s="1"/>
  <c r="BF74" i="1"/>
  <c r="BF73" i="1"/>
  <c r="BB73" i="1"/>
  <c r="BA73" i="1"/>
  <c r="BF72" i="1"/>
  <c r="BB72" i="1"/>
  <c r="BA72" i="1"/>
  <c r="BF70" i="1"/>
  <c r="BF67" i="1"/>
  <c r="BB67" i="1"/>
  <c r="BA67" i="1"/>
  <c r="BA70" i="1" s="1"/>
  <c r="BF66" i="1"/>
  <c r="BB66" i="1"/>
  <c r="BA66" i="1"/>
  <c r="BC66" i="1" s="1"/>
  <c r="BF65" i="1"/>
  <c r="BF64" i="1"/>
  <c r="BB64" i="1"/>
  <c r="BA64" i="1"/>
  <c r="BC64" i="1" s="1"/>
  <c r="BF63" i="1"/>
  <c r="BB63" i="1"/>
  <c r="BA63" i="1"/>
  <c r="BF58" i="1"/>
  <c r="BB58" i="1"/>
  <c r="BA58" i="1"/>
  <c r="BF57" i="1"/>
  <c r="BB57" i="1"/>
  <c r="BA57" i="1"/>
  <c r="BF56" i="1"/>
  <c r="BF55" i="1"/>
  <c r="BC55" i="1"/>
  <c r="BB55" i="1"/>
  <c r="BA55" i="1"/>
  <c r="BF54" i="1"/>
  <c r="BC54" i="1"/>
  <c r="BB54" i="1"/>
  <c r="BA54" i="1"/>
  <c r="BF52" i="1"/>
  <c r="BB52" i="1"/>
  <c r="BA52" i="1"/>
  <c r="BF51" i="1"/>
  <c r="BB51" i="1"/>
  <c r="BA51" i="1"/>
  <c r="BF50" i="1"/>
  <c r="BF49" i="1"/>
  <c r="BC49" i="1"/>
  <c r="BB49" i="1"/>
  <c r="BA49" i="1"/>
  <c r="BF48" i="1"/>
  <c r="BC48" i="1"/>
  <c r="BB48" i="1"/>
  <c r="BA48" i="1"/>
  <c r="BF46" i="1"/>
  <c r="BB46" i="1"/>
  <c r="BA46" i="1"/>
  <c r="BF45" i="1"/>
  <c r="BB45" i="1"/>
  <c r="BA45" i="1"/>
  <c r="BF44" i="1"/>
  <c r="BF43" i="1"/>
  <c r="BC43" i="1"/>
  <c r="BB43" i="1"/>
  <c r="BA43" i="1"/>
  <c r="BF42" i="1"/>
  <c r="BC42" i="1"/>
  <c r="BB42" i="1"/>
  <c r="BA42" i="1"/>
  <c r="BF37" i="1"/>
  <c r="BB37" i="1"/>
  <c r="BC37" i="1" s="1"/>
  <c r="BA37" i="1"/>
  <c r="BF36" i="1"/>
  <c r="BB36" i="1"/>
  <c r="BA36" i="1"/>
  <c r="BF35" i="1"/>
  <c r="BF34" i="1"/>
  <c r="BB34" i="1"/>
  <c r="BA34" i="1"/>
  <c r="BA106" i="1" s="1"/>
  <c r="BF33" i="1"/>
  <c r="BB33" i="1"/>
  <c r="BA33" i="1"/>
  <c r="BC33" i="1" s="1"/>
  <c r="BF29" i="1"/>
  <c r="BF28" i="1"/>
  <c r="BB28" i="1"/>
  <c r="BA28" i="1"/>
  <c r="BA29" i="1" s="1"/>
  <c r="BF27" i="1"/>
  <c r="BB27" i="1"/>
  <c r="BC27" i="1" s="1"/>
  <c r="BA27" i="1"/>
  <c r="BF26" i="1"/>
  <c r="BF25" i="1"/>
  <c r="BB25" i="1"/>
  <c r="BA25" i="1"/>
  <c r="BC25" i="1" s="1"/>
  <c r="BF24" i="1"/>
  <c r="BB24" i="1"/>
  <c r="BA24" i="1"/>
  <c r="BC24" i="1" s="1"/>
  <c r="BF23" i="1"/>
  <c r="BF22" i="1"/>
  <c r="BB22" i="1"/>
  <c r="BA22" i="1"/>
  <c r="BF21" i="1"/>
  <c r="BB21" i="1"/>
  <c r="BC21" i="1" s="1"/>
  <c r="BA21" i="1"/>
  <c r="BF20" i="1"/>
  <c r="BF19" i="1"/>
  <c r="BB19" i="1"/>
  <c r="BA19" i="1"/>
  <c r="BF18" i="1"/>
  <c r="BB18" i="1"/>
  <c r="BA18" i="1"/>
  <c r="BF16" i="1"/>
  <c r="BB16" i="1"/>
  <c r="BA16" i="1"/>
  <c r="BF15" i="1"/>
  <c r="BB15" i="1"/>
  <c r="BA15" i="1"/>
  <c r="BF14" i="1"/>
  <c r="BF13" i="1"/>
  <c r="BB13" i="1"/>
  <c r="BA13" i="1"/>
  <c r="BF12" i="1"/>
  <c r="BB12" i="1"/>
  <c r="BA12" i="1"/>
  <c r="BF8" i="1"/>
  <c r="BF7" i="1"/>
  <c r="BB7" i="1"/>
  <c r="BA7" i="1"/>
  <c r="BF6" i="1"/>
  <c r="BB6" i="1"/>
  <c r="BA6" i="1"/>
  <c r="AR24" i="7"/>
  <c r="AR25" i="7"/>
  <c r="AR26" i="7"/>
  <c r="AR27" i="7"/>
  <c r="AR28" i="7"/>
  <c r="AR29" i="7"/>
  <c r="AR30" i="7"/>
  <c r="AR31" i="7"/>
  <c r="AR32" i="7"/>
  <c r="AR33" i="7"/>
  <c r="CX36" i="12" l="1"/>
  <c r="B318" i="20"/>
  <c r="BC36" i="1"/>
  <c r="BA69" i="1"/>
  <c r="BE61" i="1"/>
  <c r="BE62" i="1" s="1"/>
  <c r="BH40" i="1"/>
  <c r="BF98" i="1"/>
  <c r="BE30" i="2"/>
  <c r="BH9" i="2"/>
  <c r="BA17" i="1"/>
  <c r="BC18" i="1"/>
  <c r="BC76" i="1"/>
  <c r="BC82" i="1"/>
  <c r="BE30" i="1"/>
  <c r="BH9" i="1"/>
  <c r="BE60" i="1"/>
  <c r="BH39" i="1"/>
  <c r="BB8" i="2"/>
  <c r="BA14" i="2"/>
  <c r="BC21" i="2"/>
  <c r="BA50" i="2"/>
  <c r="BC57" i="2"/>
  <c r="BA74" i="2"/>
  <c r="BA92" i="2"/>
  <c r="BA104" i="2"/>
  <c r="BE31" i="2"/>
  <c r="BE32" i="2" s="1"/>
  <c r="BH10" i="2"/>
  <c r="BE61" i="2"/>
  <c r="BH40" i="2"/>
  <c r="BE71" i="2"/>
  <c r="BE80" i="2"/>
  <c r="BE89" i="2"/>
  <c r="BE98" i="2"/>
  <c r="CZ56" i="12"/>
  <c r="CX57" i="12"/>
  <c r="CW58" i="12"/>
  <c r="DA58" i="12" s="1"/>
  <c r="CV59" i="12"/>
  <c r="DA14" i="12"/>
  <c r="CY15" i="12"/>
  <c r="CW20" i="12"/>
  <c r="CV21" i="12"/>
  <c r="DA18" i="12"/>
  <c r="CY19" i="12"/>
  <c r="DA22" i="12"/>
  <c r="CY23" i="12"/>
  <c r="CW28" i="12"/>
  <c r="CV29" i="12"/>
  <c r="DA26" i="12"/>
  <c r="CY27" i="12"/>
  <c r="DA30" i="12"/>
  <c r="CW36" i="12"/>
  <c r="CV37" i="12"/>
  <c r="CW44" i="12"/>
  <c r="CV45" i="12"/>
  <c r="DC60" i="12"/>
  <c r="DB61" i="12"/>
  <c r="DE61" i="12" s="1"/>
  <c r="DE29" i="12"/>
  <c r="DE44" i="12"/>
  <c r="DE45" i="12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9" i="20"/>
  <c r="AZ187" i="7"/>
  <c r="AZ191" i="7"/>
  <c r="AZ195" i="7"/>
  <c r="AX201" i="7"/>
  <c r="AZ210" i="7"/>
  <c r="BC173" i="7"/>
  <c r="BC265" i="7"/>
  <c r="BA71" i="8"/>
  <c r="BA72" i="8"/>
  <c r="BA83" i="8"/>
  <c r="AZ35" i="9"/>
  <c r="BC32" i="9"/>
  <c r="BA37" i="10"/>
  <c r="AZ245" i="10"/>
  <c r="AY26" i="11"/>
  <c r="AZ9" i="11"/>
  <c r="AZ13" i="11"/>
  <c r="AZ17" i="11"/>
  <c r="AZ30" i="11"/>
  <c r="AZ34" i="11"/>
  <c r="AZ38" i="11"/>
  <c r="AZ55" i="11"/>
  <c r="AZ128" i="11"/>
  <c r="AZ163" i="11"/>
  <c r="BD61" i="1"/>
  <c r="BG40" i="1"/>
  <c r="BG9" i="2"/>
  <c r="BG30" i="2" s="1"/>
  <c r="BG39" i="2"/>
  <c r="BG60" i="2" s="1"/>
  <c r="DD60" i="12"/>
  <c r="AZ63" i="7"/>
  <c r="AZ91" i="7"/>
  <c r="AZ95" i="7"/>
  <c r="AZ99" i="7"/>
  <c r="AZ118" i="7"/>
  <c r="AZ122" i="7"/>
  <c r="AZ186" i="7"/>
  <c r="AZ190" i="7"/>
  <c r="AZ194" i="7"/>
  <c r="AY265" i="7"/>
  <c r="BA19" i="8"/>
  <c r="BA48" i="8"/>
  <c r="BA36" i="10"/>
  <c r="BA92" i="10"/>
  <c r="AZ178" i="10"/>
  <c r="BA205" i="10"/>
  <c r="BA328" i="10"/>
  <c r="BA332" i="10"/>
  <c r="AX26" i="11"/>
  <c r="AZ22" i="11"/>
  <c r="AZ29" i="11"/>
  <c r="AZ33" i="11"/>
  <c r="AZ37" i="11"/>
  <c r="AY70" i="11"/>
  <c r="AZ78" i="11"/>
  <c r="AZ17" i="16"/>
  <c r="AZ166" i="11"/>
  <c r="AX183" i="11"/>
  <c r="AZ171" i="11"/>
  <c r="AZ175" i="11"/>
  <c r="AZ28" i="14"/>
  <c r="AZ35" i="14"/>
  <c r="BD31" i="1"/>
  <c r="BG10" i="1"/>
  <c r="BC15" i="1"/>
  <c r="BB106" i="1"/>
  <c r="BF40" i="1"/>
  <c r="BC73" i="1"/>
  <c r="BF105" i="1"/>
  <c r="BE31" i="1"/>
  <c r="BE32" i="1" s="1"/>
  <c r="BH10" i="1"/>
  <c r="BF89" i="1"/>
  <c r="BF39" i="2"/>
  <c r="BA97" i="2"/>
  <c r="BE60" i="2"/>
  <c r="BH39" i="2"/>
  <c r="DA44" i="12"/>
  <c r="BC12" i="1"/>
  <c r="BC22" i="1"/>
  <c r="BB105" i="1"/>
  <c r="BC46" i="1"/>
  <c r="BC52" i="1"/>
  <c r="BC72" i="1"/>
  <c r="BF88" i="1"/>
  <c r="BC93" i="1"/>
  <c r="BD107" i="1"/>
  <c r="BD30" i="1"/>
  <c r="BG9" i="1"/>
  <c r="BG30" i="1" s="1"/>
  <c r="BD60" i="1"/>
  <c r="BG39" i="1"/>
  <c r="BG60" i="1" s="1"/>
  <c r="BF9" i="2"/>
  <c r="BC15" i="2"/>
  <c r="BA23" i="2"/>
  <c r="BB38" i="2"/>
  <c r="BA44" i="2"/>
  <c r="BC51" i="2"/>
  <c r="BC58" i="2"/>
  <c r="BC64" i="2"/>
  <c r="BC75" i="2"/>
  <c r="BA78" i="2"/>
  <c r="BC82" i="2"/>
  <c r="BC93" i="2"/>
  <c r="BB97" i="2"/>
  <c r="BD31" i="2"/>
  <c r="BG10" i="2"/>
  <c r="BD61" i="2"/>
  <c r="BG40" i="2"/>
  <c r="BD71" i="2"/>
  <c r="BD80" i="2"/>
  <c r="BD89" i="2"/>
  <c r="BF97" i="2"/>
  <c r="BF104" i="2"/>
  <c r="CX56" i="12"/>
  <c r="CW57" i="12"/>
  <c r="CV58" i="12"/>
  <c r="CZ59" i="12"/>
  <c r="CV36" i="12"/>
  <c r="CY36" i="12" s="1"/>
  <c r="CZ37" i="12"/>
  <c r="DB60" i="12"/>
  <c r="DF60" i="12"/>
  <c r="DF61" i="12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9" i="20"/>
  <c r="E288" i="23"/>
  <c r="E291" i="23"/>
  <c r="E292" i="23"/>
  <c r="E296" i="23"/>
  <c r="E297" i="23"/>
  <c r="AZ8" i="7"/>
  <c r="AZ20" i="7"/>
  <c r="AZ24" i="7"/>
  <c r="AZ42" i="7"/>
  <c r="AZ46" i="7"/>
  <c r="AZ50" i="7"/>
  <c r="AZ54" i="7"/>
  <c r="AZ58" i="7"/>
  <c r="AZ65" i="7"/>
  <c r="AZ69" i="7"/>
  <c r="AZ89" i="7"/>
  <c r="AZ93" i="7"/>
  <c r="AZ97" i="7"/>
  <c r="AZ101" i="7"/>
  <c r="AZ105" i="7"/>
  <c r="AZ116" i="7"/>
  <c r="AZ120" i="7"/>
  <c r="AZ139" i="7"/>
  <c r="AZ143" i="7"/>
  <c r="AZ147" i="7"/>
  <c r="AZ154" i="7"/>
  <c r="AZ156" i="7"/>
  <c r="AZ160" i="7"/>
  <c r="AZ168" i="7"/>
  <c r="AZ188" i="7"/>
  <c r="AZ192" i="7"/>
  <c r="AZ196" i="7"/>
  <c r="AZ253" i="7"/>
  <c r="AZ257" i="7"/>
  <c r="AZ260" i="7"/>
  <c r="AZ263" i="7"/>
  <c r="AZ266" i="7"/>
  <c r="BA17" i="8"/>
  <c r="BA98" i="8"/>
  <c r="AZ96" i="8"/>
  <c r="BA84" i="8"/>
  <c r="BA97" i="8"/>
  <c r="AY32" i="9"/>
  <c r="AZ9" i="9"/>
  <c r="AZ13" i="9"/>
  <c r="AZ17" i="9"/>
  <c r="AZ20" i="9"/>
  <c r="AZ24" i="9"/>
  <c r="AZ28" i="9"/>
  <c r="BA31" i="10"/>
  <c r="BA34" i="10"/>
  <c r="BA39" i="10"/>
  <c r="BA42" i="10"/>
  <c r="BA50" i="10"/>
  <c r="BA54" i="10"/>
  <c r="BA116" i="10"/>
  <c r="BA130" i="10"/>
  <c r="BA291" i="10"/>
  <c r="BA326" i="10"/>
  <c r="BA330" i="10"/>
  <c r="AZ27" i="11"/>
  <c r="AZ31" i="11"/>
  <c r="AZ35" i="11"/>
  <c r="AZ56" i="11"/>
  <c r="AZ100" i="11"/>
  <c r="AZ104" i="11"/>
  <c r="AZ108" i="11"/>
  <c r="AZ111" i="11"/>
  <c r="AZ115" i="11"/>
  <c r="AZ126" i="11"/>
  <c r="AZ129" i="11"/>
  <c r="AZ149" i="11"/>
  <c r="AZ153" i="11"/>
  <c r="AI291" i="24"/>
  <c r="F291" i="23"/>
  <c r="G291" i="23" s="1"/>
  <c r="AI295" i="24"/>
  <c r="F295" i="23"/>
  <c r="G295" i="23" s="1"/>
  <c r="AG299" i="24"/>
  <c r="D299" i="23"/>
  <c r="E299" i="23" s="1"/>
  <c r="AG300" i="24"/>
  <c r="D300" i="23"/>
  <c r="E300" i="23" s="1"/>
  <c r="AG301" i="24"/>
  <c r="D301" i="23"/>
  <c r="E301" i="23" s="1"/>
  <c r="AG305" i="24"/>
  <c r="D305" i="23"/>
  <c r="E305" i="23" s="1"/>
  <c r="AG310" i="24"/>
  <c r="D310" i="23"/>
  <c r="E310" i="23" s="1"/>
  <c r="AG311" i="24"/>
  <c r="D311" i="23"/>
  <c r="E311" i="23" s="1"/>
  <c r="AG313" i="24"/>
  <c r="D313" i="23"/>
  <c r="E313" i="23" s="1"/>
  <c r="AG315" i="24"/>
  <c r="D315" i="23"/>
  <c r="E315" i="23" s="1"/>
  <c r="AG316" i="24"/>
  <c r="D316" i="23"/>
  <c r="E316" i="23" s="1"/>
  <c r="AG317" i="24"/>
  <c r="D317" i="23"/>
  <c r="E317" i="23" s="1"/>
  <c r="E319" i="23"/>
  <c r="G289" i="23"/>
  <c r="G290" i="23"/>
  <c r="G292" i="23"/>
  <c r="G293" i="23"/>
  <c r="G294" i="23"/>
  <c r="G296" i="23"/>
  <c r="AG297" i="24"/>
  <c r="E298" i="23"/>
  <c r="E302" i="23"/>
  <c r="E303" i="23"/>
  <c r="E304" i="23"/>
  <c r="E306" i="23"/>
  <c r="E307" i="23"/>
  <c r="E308" i="23"/>
  <c r="E312" i="23"/>
  <c r="E314" i="23"/>
  <c r="AG289" i="24"/>
  <c r="D289" i="23"/>
  <c r="E289" i="23" s="1"/>
  <c r="AG294" i="24"/>
  <c r="D294" i="23"/>
  <c r="E294" i="23" s="1"/>
  <c r="AG295" i="24"/>
  <c r="D295" i="23"/>
  <c r="E295" i="23" s="1"/>
  <c r="AI302" i="24"/>
  <c r="C302" i="23"/>
  <c r="AI304" i="24"/>
  <c r="C304" i="23"/>
  <c r="G304" i="23" s="1"/>
  <c r="AI317" i="24"/>
  <c r="C317" i="23"/>
  <c r="AI288" i="24"/>
  <c r="C288" i="23"/>
  <c r="G288" i="23" s="1"/>
  <c r="AG309" i="24"/>
  <c r="B309" i="23"/>
  <c r="E309" i="23" s="1"/>
  <c r="AG293" i="24"/>
  <c r="B293" i="23"/>
  <c r="AI307" i="24"/>
  <c r="F307" i="23"/>
  <c r="G307" i="23" s="1"/>
  <c r="AI311" i="24"/>
  <c r="F311" i="23"/>
  <c r="G311" i="23" s="1"/>
  <c r="G319" i="23"/>
  <c r="E290" i="23"/>
  <c r="G297" i="23"/>
  <c r="G298" i="23"/>
  <c r="G299" i="23"/>
  <c r="G300" i="23"/>
  <c r="G301" i="23"/>
  <c r="G302" i="23"/>
  <c r="G303" i="23"/>
  <c r="G305" i="23"/>
  <c r="G306" i="23"/>
  <c r="G308" i="23"/>
  <c r="G309" i="23"/>
  <c r="G310" i="23"/>
  <c r="G312" i="23"/>
  <c r="G313" i="23"/>
  <c r="G314" i="23"/>
  <c r="G315" i="23"/>
  <c r="G316" i="23"/>
  <c r="G317" i="23"/>
  <c r="F318" i="20"/>
  <c r="G288" i="20"/>
  <c r="D318" i="20"/>
  <c r="E318" i="20" s="1"/>
  <c r="E288" i="20"/>
  <c r="C318" i="20"/>
  <c r="G318" i="20" s="1"/>
  <c r="BB47" i="13"/>
  <c r="BE45" i="13"/>
  <c r="BE47" i="13" s="1"/>
  <c r="BB53" i="13"/>
  <c r="BE51" i="13"/>
  <c r="BD9" i="13"/>
  <c r="BF9" i="13"/>
  <c r="BB17" i="13"/>
  <c r="BE15" i="13"/>
  <c r="BD18" i="13"/>
  <c r="BE18" i="13"/>
  <c r="BG18" i="13" s="1"/>
  <c r="BB23" i="13"/>
  <c r="BE21" i="13"/>
  <c r="BC26" i="13"/>
  <c r="BF25" i="13"/>
  <c r="BG37" i="13"/>
  <c r="BF38" i="13"/>
  <c r="BD40" i="13"/>
  <c r="BF40" i="13"/>
  <c r="BF44" i="13"/>
  <c r="BG43" i="13"/>
  <c r="BG46" i="13"/>
  <c r="BF47" i="13"/>
  <c r="BG49" i="13"/>
  <c r="BF53" i="13"/>
  <c r="BG52" i="13"/>
  <c r="BF56" i="13"/>
  <c r="BG55" i="13"/>
  <c r="BG6" i="13"/>
  <c r="BB41" i="13"/>
  <c r="BE39" i="13"/>
  <c r="BD42" i="13"/>
  <c r="BE42" i="13"/>
  <c r="BE44" i="13" s="1"/>
  <c r="BB27" i="13"/>
  <c r="BE27" i="13" s="1"/>
  <c r="BE6" i="13"/>
  <c r="BE8" i="13" s="1"/>
  <c r="BB11" i="13"/>
  <c r="BE9" i="13"/>
  <c r="BE11" i="13" s="1"/>
  <c r="BC14" i="13"/>
  <c r="BF13" i="13"/>
  <c r="BC17" i="13"/>
  <c r="BD17" i="13" s="1"/>
  <c r="BF16" i="13"/>
  <c r="BC20" i="13"/>
  <c r="BF19" i="13"/>
  <c r="BD22" i="13"/>
  <c r="BF22" i="13"/>
  <c r="BE26" i="13"/>
  <c r="BE38" i="13"/>
  <c r="BE41" i="13"/>
  <c r="BE50" i="13"/>
  <c r="BE53" i="13"/>
  <c r="BE56" i="13"/>
  <c r="BD21" i="13"/>
  <c r="BF21" i="13"/>
  <c r="BG21" i="13" s="1"/>
  <c r="BC28" i="13"/>
  <c r="BF28" i="13" s="1"/>
  <c r="BF7" i="13"/>
  <c r="BD10" i="13"/>
  <c r="BF10" i="13"/>
  <c r="BD48" i="13"/>
  <c r="BF48" i="13"/>
  <c r="BG48" i="13" s="1"/>
  <c r="BG15" i="13"/>
  <c r="BE17" i="13"/>
  <c r="BE20" i="13"/>
  <c r="BE23" i="13"/>
  <c r="BD24" i="13"/>
  <c r="BG36" i="13"/>
  <c r="BG39" i="13"/>
  <c r="BG51" i="13"/>
  <c r="BG54" i="13"/>
  <c r="BA13" i="8"/>
  <c r="BA8" i="8"/>
  <c r="BA12" i="8"/>
  <c r="BA16" i="8"/>
  <c r="AI299" i="24"/>
  <c r="AG302" i="24"/>
  <c r="AG303" i="24"/>
  <c r="AI315" i="24"/>
  <c r="AG319" i="24"/>
  <c r="AH318" i="24"/>
  <c r="AG291" i="24"/>
  <c r="AG292" i="24"/>
  <c r="AI294" i="24"/>
  <c r="AI296" i="24"/>
  <c r="AI303" i="24"/>
  <c r="AG307" i="24"/>
  <c r="AG308" i="24"/>
  <c r="AI310" i="24"/>
  <c r="AI312" i="24"/>
  <c r="AG292" i="22"/>
  <c r="AG294" i="22"/>
  <c r="AG299" i="22"/>
  <c r="AG300" i="22"/>
  <c r="AG301" i="22"/>
  <c r="AG302" i="22"/>
  <c r="AG303" i="22"/>
  <c r="AG304" i="22"/>
  <c r="AG305" i="22"/>
  <c r="AG307" i="22"/>
  <c r="AG309" i="22"/>
  <c r="AG311" i="22"/>
  <c r="AG313" i="22"/>
  <c r="AG315" i="22"/>
  <c r="AG317" i="22"/>
  <c r="AG288" i="22"/>
  <c r="AG289" i="22"/>
  <c r="AG291" i="22"/>
  <c r="AG293" i="22"/>
  <c r="AG295" i="22"/>
  <c r="AG296" i="22"/>
  <c r="AG297" i="22"/>
  <c r="AG308" i="22"/>
  <c r="AG310" i="22"/>
  <c r="AG312" i="22"/>
  <c r="AG314" i="22"/>
  <c r="AG316" i="22"/>
  <c r="AG319" i="22"/>
  <c r="AD318" i="22"/>
  <c r="AI288" i="22"/>
  <c r="AI289" i="22"/>
  <c r="AI290" i="22"/>
  <c r="AI291" i="22"/>
  <c r="AI292" i="22"/>
  <c r="AI293" i="22"/>
  <c r="AI294" i="22"/>
  <c r="AI296" i="22"/>
  <c r="AI297" i="22"/>
  <c r="AI298" i="22"/>
  <c r="AI299" i="22"/>
  <c r="AI300" i="22"/>
  <c r="AI301" i="22"/>
  <c r="AI302" i="22"/>
  <c r="AI304" i="22"/>
  <c r="AI305" i="22"/>
  <c r="AI306" i="22"/>
  <c r="AI307" i="22"/>
  <c r="AI308" i="22"/>
  <c r="AI309" i="22"/>
  <c r="AI310" i="22"/>
  <c r="AI311" i="22"/>
  <c r="AI312" i="22"/>
  <c r="AI313" i="22"/>
  <c r="AI314" i="22"/>
  <c r="AI315" i="22"/>
  <c r="AI316" i="22"/>
  <c r="AI317" i="22"/>
  <c r="AI319" i="22"/>
  <c r="BD46" i="13"/>
  <c r="BD6" i="13"/>
  <c r="BC11" i="13"/>
  <c r="BC23" i="13"/>
  <c r="BD23" i="13" s="1"/>
  <c r="BC27" i="13"/>
  <c r="BF27" i="13" s="1"/>
  <c r="BD16" i="13"/>
  <c r="BC44" i="13"/>
  <c r="BC34" i="7"/>
  <c r="AX15" i="16"/>
  <c r="AZ6" i="16"/>
  <c r="AX23" i="16"/>
  <c r="AZ16" i="16"/>
  <c r="AY23" i="16"/>
  <c r="AY15" i="16"/>
  <c r="AZ5" i="14"/>
  <c r="AZ8" i="14"/>
  <c r="AX34" i="14"/>
  <c r="AZ20" i="14"/>
  <c r="AZ24" i="14"/>
  <c r="AY17" i="14"/>
  <c r="AZ18" i="14"/>
  <c r="AZ22" i="14"/>
  <c r="AY34" i="14"/>
  <c r="AZ34" i="14" s="1"/>
  <c r="AZ6" i="11"/>
  <c r="AZ10" i="11"/>
  <c r="AZ14" i="11"/>
  <c r="AZ18" i="11"/>
  <c r="AZ24" i="11"/>
  <c r="AZ63" i="11"/>
  <c r="AZ88" i="11"/>
  <c r="AZ112" i="11"/>
  <c r="AZ7" i="11"/>
  <c r="AZ11" i="11"/>
  <c r="AZ15" i="11"/>
  <c r="AZ19" i="11"/>
  <c r="AZ65" i="11"/>
  <c r="AX90" i="11"/>
  <c r="AZ75" i="11"/>
  <c r="AY122" i="11"/>
  <c r="AZ102" i="11"/>
  <c r="AZ106" i="11"/>
  <c r="AZ113" i="11"/>
  <c r="AZ117" i="11"/>
  <c r="AY139" i="11"/>
  <c r="AZ139" i="11" s="1"/>
  <c r="AZ134" i="11"/>
  <c r="AZ140" i="11"/>
  <c r="AZ150" i="11"/>
  <c r="AZ154" i="11"/>
  <c r="AZ158" i="11"/>
  <c r="AZ169" i="11"/>
  <c r="AZ173" i="11"/>
  <c r="AZ177" i="11"/>
  <c r="AZ184" i="11"/>
  <c r="AZ8" i="11"/>
  <c r="AZ12" i="11"/>
  <c r="AZ16" i="11"/>
  <c r="AZ54" i="11"/>
  <c r="AX70" i="11"/>
  <c r="AZ70" i="11" s="1"/>
  <c r="AZ76" i="11"/>
  <c r="AX122" i="11"/>
  <c r="AZ99" i="11"/>
  <c r="AZ103" i="11"/>
  <c r="AZ107" i="11"/>
  <c r="AX139" i="11"/>
  <c r="AZ125" i="11"/>
  <c r="AY168" i="11"/>
  <c r="AZ151" i="11"/>
  <c r="AZ155" i="11"/>
  <c r="AZ159" i="11"/>
  <c r="AZ165" i="11"/>
  <c r="AX168" i="11"/>
  <c r="AY183" i="11"/>
  <c r="AZ174" i="11"/>
  <c r="AZ26" i="11"/>
  <c r="AY46" i="11"/>
  <c r="AZ46" i="11" s="1"/>
  <c r="AY90" i="11"/>
  <c r="AZ90" i="11" s="1"/>
  <c r="AZ98" i="11"/>
  <c r="AZ147" i="11"/>
  <c r="AZ5" i="11"/>
  <c r="AZ81" i="11"/>
  <c r="AZ124" i="11"/>
  <c r="AZ170" i="11"/>
  <c r="AY11" i="10"/>
  <c r="AZ27" i="10"/>
  <c r="BA43" i="10"/>
  <c r="BA51" i="10"/>
  <c r="BA145" i="10"/>
  <c r="AY152" i="10"/>
  <c r="BA163" i="10"/>
  <c r="BA167" i="10"/>
  <c r="BA171" i="10"/>
  <c r="BA182" i="10"/>
  <c r="BA186" i="10"/>
  <c r="BA190" i="10"/>
  <c r="BA194" i="10"/>
  <c r="BA198" i="10"/>
  <c r="BA202" i="10"/>
  <c r="BA218" i="10"/>
  <c r="BA227" i="10"/>
  <c r="BA231" i="10"/>
  <c r="BA235" i="10"/>
  <c r="BA239" i="10"/>
  <c r="BA257" i="10"/>
  <c r="BA261" i="10"/>
  <c r="BA265" i="10"/>
  <c r="AZ298" i="10"/>
  <c r="BA298" i="10" s="1"/>
  <c r="AY322" i="10"/>
  <c r="BA305" i="10"/>
  <c r="BA309" i="10"/>
  <c r="BA323" i="10"/>
  <c r="BA327" i="10"/>
  <c r="BA335" i="10"/>
  <c r="AY27" i="10"/>
  <c r="AZ47" i="10"/>
  <c r="BA48" i="10"/>
  <c r="BA52" i="10"/>
  <c r="BA56" i="10"/>
  <c r="AZ90" i="10"/>
  <c r="AZ154" i="10"/>
  <c r="BA94" i="10"/>
  <c r="BA112" i="10"/>
  <c r="BA123" i="10"/>
  <c r="BA131" i="10"/>
  <c r="BA164" i="10"/>
  <c r="BA168" i="10"/>
  <c r="BA183" i="10"/>
  <c r="BA187" i="10"/>
  <c r="BA191" i="10"/>
  <c r="BA195" i="10"/>
  <c r="BA199" i="10"/>
  <c r="BA228" i="10"/>
  <c r="BA232" i="10"/>
  <c r="BA236" i="10"/>
  <c r="BA240" i="10"/>
  <c r="BA258" i="10"/>
  <c r="BA262" i="10"/>
  <c r="BA266" i="10"/>
  <c r="AY296" i="10"/>
  <c r="AZ342" i="10"/>
  <c r="AZ104" i="10"/>
  <c r="AY245" i="10"/>
  <c r="BA5" i="10"/>
  <c r="AZ11" i="10"/>
  <c r="BA15" i="10"/>
  <c r="BA19" i="10"/>
  <c r="BA49" i="10"/>
  <c r="BA53" i="10"/>
  <c r="AZ58" i="10"/>
  <c r="BA96" i="10"/>
  <c r="BA113" i="10"/>
  <c r="BA117" i="10"/>
  <c r="BA124" i="10"/>
  <c r="AY129" i="10"/>
  <c r="BA132" i="10"/>
  <c r="BA165" i="10"/>
  <c r="BA169" i="10"/>
  <c r="AY178" i="10"/>
  <c r="BA178" i="10" s="1"/>
  <c r="BA180" i="10"/>
  <c r="BA184" i="10"/>
  <c r="BA188" i="10"/>
  <c r="BA192" i="10"/>
  <c r="BA196" i="10"/>
  <c r="BA200" i="10"/>
  <c r="BA216" i="10"/>
  <c r="AZ224" i="10"/>
  <c r="BA229" i="10"/>
  <c r="BA233" i="10"/>
  <c r="BA237" i="10"/>
  <c r="BA241" i="10"/>
  <c r="BA246" i="10"/>
  <c r="AZ276" i="10"/>
  <c r="BA276" i="10" s="1"/>
  <c r="BA259" i="10"/>
  <c r="BA263" i="10"/>
  <c r="BA267" i="10"/>
  <c r="BA292" i="10"/>
  <c r="BA307" i="10"/>
  <c r="BA325" i="10"/>
  <c r="BA329" i="10"/>
  <c r="AY342" i="10"/>
  <c r="BA245" i="10"/>
  <c r="AY104" i="10"/>
  <c r="AY206" i="10"/>
  <c r="BA206" i="10" s="1"/>
  <c r="AY224" i="10"/>
  <c r="AZ247" i="10"/>
  <c r="AZ296" i="10"/>
  <c r="BA296" i="10" s="1"/>
  <c r="AZ322" i="10"/>
  <c r="BA322" i="10" s="1"/>
  <c r="AZ344" i="10"/>
  <c r="BA344" i="10" s="1"/>
  <c r="AY47" i="10"/>
  <c r="BA105" i="10"/>
  <c r="AZ129" i="10"/>
  <c r="AY154" i="10"/>
  <c r="BA154" i="10" s="1"/>
  <c r="BA162" i="10"/>
  <c r="AZ204" i="10"/>
  <c r="BA225" i="10"/>
  <c r="BA226" i="10"/>
  <c r="AY247" i="10"/>
  <c r="BA255" i="10"/>
  <c r="BA324" i="10"/>
  <c r="BA13" i="10"/>
  <c r="AY58" i="10"/>
  <c r="AY90" i="10"/>
  <c r="AZ152" i="10"/>
  <c r="BA152" i="10" s="1"/>
  <c r="AY204" i="10"/>
  <c r="BA179" i="10"/>
  <c r="AZ8" i="9"/>
  <c r="AZ12" i="9"/>
  <c r="AZ16" i="9"/>
  <c r="AZ19" i="9"/>
  <c r="AZ23" i="9"/>
  <c r="AZ26" i="9"/>
  <c r="AZ36" i="9"/>
  <c r="AZ48" i="9"/>
  <c r="AZ6" i="9"/>
  <c r="AZ10" i="9"/>
  <c r="AZ14" i="9"/>
  <c r="AZ21" i="9"/>
  <c r="AX48" i="9"/>
  <c r="AZ49" i="9"/>
  <c r="AZ5" i="9"/>
  <c r="AX32" i="9"/>
  <c r="AZ32" i="9" s="1"/>
  <c r="AZ34" i="9"/>
  <c r="BA79" i="8"/>
  <c r="AY47" i="8"/>
  <c r="BA6" i="8"/>
  <c r="BA10" i="8"/>
  <c r="BA32" i="8"/>
  <c r="AY28" i="8"/>
  <c r="BA28" i="8" s="1"/>
  <c r="BA7" i="8"/>
  <c r="BA11" i="8"/>
  <c r="BA29" i="8"/>
  <c r="BA33" i="8"/>
  <c r="AY70" i="8"/>
  <c r="BA51" i="8"/>
  <c r="AZ28" i="8"/>
  <c r="AZ47" i="8"/>
  <c r="AZ49" i="8"/>
  <c r="BA49" i="8" s="1"/>
  <c r="AZ70" i="8"/>
  <c r="AZ45" i="7"/>
  <c r="AZ49" i="7"/>
  <c r="AZ53" i="7"/>
  <c r="AZ57" i="7"/>
  <c r="AZ64" i="7"/>
  <c r="AZ68" i="7"/>
  <c r="AZ73" i="7"/>
  <c r="AZ82" i="7"/>
  <c r="AY114" i="7"/>
  <c r="AZ92" i="7"/>
  <c r="AZ96" i="7"/>
  <c r="AZ100" i="7"/>
  <c r="AZ115" i="7"/>
  <c r="AZ119" i="7"/>
  <c r="AX130" i="7"/>
  <c r="AZ138" i="7"/>
  <c r="AZ142" i="7"/>
  <c r="AZ146" i="7"/>
  <c r="AZ153" i="7"/>
  <c r="AZ159" i="7"/>
  <c r="AZ166" i="7"/>
  <c r="AY201" i="7"/>
  <c r="AZ206" i="7"/>
  <c r="AZ214" i="7"/>
  <c r="AZ226" i="7"/>
  <c r="AZ230" i="7"/>
  <c r="AZ234" i="7"/>
  <c r="AZ238" i="7"/>
  <c r="AZ242" i="7"/>
  <c r="AZ252" i="7"/>
  <c r="AZ256" i="7"/>
  <c r="AX265" i="7"/>
  <c r="AY130" i="7"/>
  <c r="AY155" i="7"/>
  <c r="AZ155" i="7" s="1"/>
  <c r="AZ43" i="7"/>
  <c r="AZ47" i="7"/>
  <c r="AZ51" i="7"/>
  <c r="AZ55" i="7"/>
  <c r="AZ66" i="7"/>
  <c r="AZ71" i="7"/>
  <c r="AZ90" i="7"/>
  <c r="AZ94" i="7"/>
  <c r="AZ98" i="7"/>
  <c r="AZ102" i="7"/>
  <c r="AZ106" i="7"/>
  <c r="AZ117" i="7"/>
  <c r="AZ121" i="7"/>
  <c r="AZ140" i="7"/>
  <c r="AZ144" i="7"/>
  <c r="AZ148" i="7"/>
  <c r="AZ151" i="7"/>
  <c r="AX155" i="7"/>
  <c r="AY173" i="7"/>
  <c r="AZ161" i="7"/>
  <c r="AX173" i="7"/>
  <c r="AX216" i="7"/>
  <c r="AZ204" i="7"/>
  <c r="AZ208" i="7"/>
  <c r="AZ211" i="7"/>
  <c r="AY249" i="7"/>
  <c r="AZ249" i="7" s="1"/>
  <c r="AZ228" i="7"/>
  <c r="AZ232" i="7"/>
  <c r="AZ236" i="7"/>
  <c r="AZ240" i="7"/>
  <c r="AZ244" i="7"/>
  <c r="AZ250" i="7"/>
  <c r="AZ254" i="7"/>
  <c r="AY216" i="7"/>
  <c r="AZ216" i="7" s="1"/>
  <c r="AY17" i="7"/>
  <c r="AZ35" i="7"/>
  <c r="AX17" i="7"/>
  <c r="AX34" i="7"/>
  <c r="AY62" i="7"/>
  <c r="AY81" i="7"/>
  <c r="AZ157" i="7"/>
  <c r="AZ202" i="7"/>
  <c r="AZ224" i="7"/>
  <c r="AZ251" i="7"/>
  <c r="AY34" i="7"/>
  <c r="AX62" i="7"/>
  <c r="AX81" i="7"/>
  <c r="AX114" i="7"/>
  <c r="AZ114" i="7" s="1"/>
  <c r="AZ164" i="7"/>
  <c r="AZ150" i="7"/>
  <c r="AZ213" i="7"/>
  <c r="AF318" i="24"/>
  <c r="AI290" i="24"/>
  <c r="AI293" i="24"/>
  <c r="AG296" i="24"/>
  <c r="AI298" i="24"/>
  <c r="AI301" i="24"/>
  <c r="AG304" i="24"/>
  <c r="AI306" i="24"/>
  <c r="AI309" i="24"/>
  <c r="AG312" i="24"/>
  <c r="AI314" i="24"/>
  <c r="AD318" i="24"/>
  <c r="AI289" i="24"/>
  <c r="AI297" i="24"/>
  <c r="AI305" i="24"/>
  <c r="AI313" i="24"/>
  <c r="AE318" i="24"/>
  <c r="AI318" i="24" s="1"/>
  <c r="AG290" i="24"/>
  <c r="AI292" i="24"/>
  <c r="AG298" i="24"/>
  <c r="AI300" i="24"/>
  <c r="AG306" i="24"/>
  <c r="AI308" i="24"/>
  <c r="AG314" i="24"/>
  <c r="AI316" i="24"/>
  <c r="AG288" i="24"/>
  <c r="AI319" i="24"/>
  <c r="AE318" i="22"/>
  <c r="AG290" i="22"/>
  <c r="AI295" i="22"/>
  <c r="AG298" i="22"/>
  <c r="AI303" i="22"/>
  <c r="AG306" i="22"/>
  <c r="AH318" i="22"/>
  <c r="AF318" i="22"/>
  <c r="AG318" i="22" s="1"/>
  <c r="DC62" i="12"/>
  <c r="DC63" i="12"/>
  <c r="DG60" i="12"/>
  <c r="DG61" i="12"/>
  <c r="DB62" i="12"/>
  <c r="DB63" i="12"/>
  <c r="DF62" i="12"/>
  <c r="DF63" i="12"/>
  <c r="DD63" i="12"/>
  <c r="CY31" i="12"/>
  <c r="DA34" i="12"/>
  <c r="CY35" i="12"/>
  <c r="DA38" i="12"/>
  <c r="CY39" i="12"/>
  <c r="DA42" i="12"/>
  <c r="CY43" i="12"/>
  <c r="DA46" i="12"/>
  <c r="CY47" i="12"/>
  <c r="CW52" i="12"/>
  <c r="CV53" i="12"/>
  <c r="DA50" i="12"/>
  <c r="CY51" i="12"/>
  <c r="DA54" i="12"/>
  <c r="CY55" i="12"/>
  <c r="DA64" i="12"/>
  <c r="CY65" i="12"/>
  <c r="CY58" i="12"/>
  <c r="CY14" i="12"/>
  <c r="CV20" i="12"/>
  <c r="CY20" i="12" s="1"/>
  <c r="CZ21" i="12"/>
  <c r="DA21" i="12" s="1"/>
  <c r="CY18" i="12"/>
  <c r="CY22" i="12"/>
  <c r="CV28" i="12"/>
  <c r="CZ29" i="12"/>
  <c r="DA29" i="12" s="1"/>
  <c r="CY26" i="12"/>
  <c r="CY30" i="12"/>
  <c r="CY34" i="12"/>
  <c r="CY38" i="12"/>
  <c r="CV44" i="12"/>
  <c r="CZ45" i="12"/>
  <c r="DA45" i="12" s="1"/>
  <c r="CY42" i="12"/>
  <c r="CY46" i="12"/>
  <c r="CV52" i="12"/>
  <c r="CZ53" i="12"/>
  <c r="CY50" i="12"/>
  <c r="CY54" i="12"/>
  <c r="CY64" i="12"/>
  <c r="DE13" i="12"/>
  <c r="DE57" i="12"/>
  <c r="DD62" i="12"/>
  <c r="DE62" i="12" s="1"/>
  <c r="CZ20" i="12"/>
  <c r="DA20" i="12" s="1"/>
  <c r="CX21" i="12"/>
  <c r="CY21" i="12" s="1"/>
  <c r="CZ28" i="12"/>
  <c r="DA28" i="12" s="1"/>
  <c r="DA36" i="12"/>
  <c r="DA52" i="12"/>
  <c r="CY28" i="12"/>
  <c r="CY44" i="12"/>
  <c r="CY52" i="12"/>
  <c r="DA56" i="12"/>
  <c r="CY56" i="12"/>
  <c r="DA57" i="12"/>
  <c r="DA59" i="12"/>
  <c r="DA37" i="12"/>
  <c r="DA53" i="12"/>
  <c r="CY57" i="12"/>
  <c r="CY59" i="12"/>
  <c r="CY29" i="12"/>
  <c r="CY37" i="12"/>
  <c r="CY45" i="12"/>
  <c r="CY53" i="12"/>
  <c r="CY8" i="12"/>
  <c r="CY9" i="12"/>
  <c r="CY10" i="12"/>
  <c r="CY11" i="12"/>
  <c r="DG12" i="12"/>
  <c r="DG13" i="12"/>
  <c r="CY16" i="12"/>
  <c r="CY17" i="12"/>
  <c r="CY24" i="12"/>
  <c r="CY25" i="12"/>
  <c r="CY32" i="12"/>
  <c r="CY33" i="12"/>
  <c r="CY40" i="12"/>
  <c r="CY41" i="12"/>
  <c r="CY48" i="12"/>
  <c r="CY49" i="12"/>
  <c r="DG56" i="12"/>
  <c r="DG57" i="12"/>
  <c r="CX12" i="12"/>
  <c r="CX13" i="12"/>
  <c r="DA8" i="12"/>
  <c r="DA9" i="12"/>
  <c r="DA10" i="12"/>
  <c r="DA11" i="12"/>
  <c r="CW12" i="12"/>
  <c r="CW60" i="12" s="1"/>
  <c r="CW62" i="12" s="1"/>
  <c r="CW13" i="12"/>
  <c r="CW61" i="12" s="1"/>
  <c r="CW63" i="12" s="1"/>
  <c r="DA16" i="12"/>
  <c r="DA17" i="12"/>
  <c r="DA24" i="12"/>
  <c r="DA25" i="12"/>
  <c r="DA32" i="12"/>
  <c r="DA33" i="12"/>
  <c r="DA40" i="12"/>
  <c r="DA41" i="12"/>
  <c r="DA48" i="12"/>
  <c r="DA49" i="12"/>
  <c r="CV12" i="12"/>
  <c r="CZ12" i="12"/>
  <c r="CV13" i="12"/>
  <c r="CV61" i="12" s="1"/>
  <c r="CV63" i="12" s="1"/>
  <c r="CZ13" i="12"/>
  <c r="BA17" i="2"/>
  <c r="BD51" i="13"/>
  <c r="BD52" i="13"/>
  <c r="BD54" i="13"/>
  <c r="BC33" i="2"/>
  <c r="BC34" i="2"/>
  <c r="BB69" i="2"/>
  <c r="BC72" i="2"/>
  <c r="BB74" i="2"/>
  <c r="BB78" i="2"/>
  <c r="BC78" i="2" s="1"/>
  <c r="BB79" i="2"/>
  <c r="BB87" i="2"/>
  <c r="BC90" i="2"/>
  <c r="BB92" i="2"/>
  <c r="BC92" i="2" s="1"/>
  <c r="BA96" i="2"/>
  <c r="BA98" i="2" s="1"/>
  <c r="BB101" i="2"/>
  <c r="BC102" i="2"/>
  <c r="BB104" i="2"/>
  <c r="BC104" i="2" s="1"/>
  <c r="BF105" i="2"/>
  <c r="BC16" i="2"/>
  <c r="BC22" i="2"/>
  <c r="BB65" i="2"/>
  <c r="BA80" i="2"/>
  <c r="BB83" i="2"/>
  <c r="BC83" i="2" s="1"/>
  <c r="BA101" i="2"/>
  <c r="BD30" i="2"/>
  <c r="BD32" i="2" s="1"/>
  <c r="BD60" i="2"/>
  <c r="BD62" i="2" s="1"/>
  <c r="BD98" i="2"/>
  <c r="BF98" i="2" s="1"/>
  <c r="BB57" i="13"/>
  <c r="BE57" i="13" s="1"/>
  <c r="BA8" i="2"/>
  <c r="BC8" i="2" s="1"/>
  <c r="BC12" i="2"/>
  <c r="BB14" i="2"/>
  <c r="BB17" i="2"/>
  <c r="BC17" i="2" s="1"/>
  <c r="BC18" i="2"/>
  <c r="BB20" i="2"/>
  <c r="BC20" i="2" s="1"/>
  <c r="BB23" i="2"/>
  <c r="BC23" i="2" s="1"/>
  <c r="BC24" i="2"/>
  <c r="BB26" i="2"/>
  <c r="BC26" i="2" s="1"/>
  <c r="BB29" i="2"/>
  <c r="BA105" i="2"/>
  <c r="BA106" i="2"/>
  <c r="BA107" i="2" s="1"/>
  <c r="BA38" i="2"/>
  <c r="BC38" i="2" s="1"/>
  <c r="BC42" i="2"/>
  <c r="BB44" i="2"/>
  <c r="BC44" i="2" s="1"/>
  <c r="BB47" i="2"/>
  <c r="BC47" i="2" s="1"/>
  <c r="BC48" i="2"/>
  <c r="BB50" i="2"/>
  <c r="BC50" i="2" s="1"/>
  <c r="BB53" i="2"/>
  <c r="BC54" i="2"/>
  <c r="BB56" i="2"/>
  <c r="BC56" i="2" s="1"/>
  <c r="BB59" i="2"/>
  <c r="BC59" i="2" s="1"/>
  <c r="BA65" i="2"/>
  <c r="BA70" i="2"/>
  <c r="BA83" i="2"/>
  <c r="BA88" i="2"/>
  <c r="BC88" i="2" s="1"/>
  <c r="BF106" i="2"/>
  <c r="BE11" i="2"/>
  <c r="BE41" i="2"/>
  <c r="BA29" i="2"/>
  <c r="BA47" i="2"/>
  <c r="BA53" i="2"/>
  <c r="BA59" i="2"/>
  <c r="BC76" i="2"/>
  <c r="BC94" i="2"/>
  <c r="BC100" i="2"/>
  <c r="BD11" i="2"/>
  <c r="BD41" i="2"/>
  <c r="BC79" i="2"/>
  <c r="BB80" i="2"/>
  <c r="BB89" i="2"/>
  <c r="BC106" i="2"/>
  <c r="BB107" i="2"/>
  <c r="BC70" i="2"/>
  <c r="BB71" i="2"/>
  <c r="BC14" i="2"/>
  <c r="BC105" i="2"/>
  <c r="BC74" i="2"/>
  <c r="BF80" i="2"/>
  <c r="BC97" i="2"/>
  <c r="BB98" i="2"/>
  <c r="BF30" i="2"/>
  <c r="BD45" i="13"/>
  <c r="BC47" i="13"/>
  <c r="BD47" i="13" s="1"/>
  <c r="BC50" i="13"/>
  <c r="BC56" i="13"/>
  <c r="BB35" i="2"/>
  <c r="BB77" i="2"/>
  <c r="BB95" i="2"/>
  <c r="BD36" i="13"/>
  <c r="BC53" i="13"/>
  <c r="BD53" i="13" s="1"/>
  <c r="BB56" i="13"/>
  <c r="BC6" i="2"/>
  <c r="BC7" i="2"/>
  <c r="BC13" i="2"/>
  <c r="BC19" i="2"/>
  <c r="BC25" i="2"/>
  <c r="BA35" i="2"/>
  <c r="BC36" i="2"/>
  <c r="BC37" i="2"/>
  <c r="BC43" i="2"/>
  <c r="BC49" i="2"/>
  <c r="BC55" i="2"/>
  <c r="BC67" i="2"/>
  <c r="BA69" i="2"/>
  <c r="BC69" i="2" s="1"/>
  <c r="BF71" i="2"/>
  <c r="BC73" i="2"/>
  <c r="BA77" i="2"/>
  <c r="BC85" i="2"/>
  <c r="BA87" i="2"/>
  <c r="BC87" i="2" s="1"/>
  <c r="BF89" i="2"/>
  <c r="BC91" i="2"/>
  <c r="BA95" i="2"/>
  <c r="BC103" i="2"/>
  <c r="BE107" i="2"/>
  <c r="BF107" i="2" s="1"/>
  <c r="BC57" i="13"/>
  <c r="BC58" i="13"/>
  <c r="BF58" i="13" s="1"/>
  <c r="BB68" i="2"/>
  <c r="BF78" i="2"/>
  <c r="BB86" i="2"/>
  <c r="BF96" i="2"/>
  <c r="BC41" i="13"/>
  <c r="BD41" i="13" s="1"/>
  <c r="BA68" i="2"/>
  <c r="BA86" i="2"/>
  <c r="BC29" i="13"/>
  <c r="BD27" i="13"/>
  <c r="BD7" i="13"/>
  <c r="BB8" i="13"/>
  <c r="BD13" i="13"/>
  <c r="BB14" i="13"/>
  <c r="BD14" i="13" s="1"/>
  <c r="BD15" i="13"/>
  <c r="BD19" i="13"/>
  <c r="BB20" i="13"/>
  <c r="BD20" i="13" s="1"/>
  <c r="BD25" i="13"/>
  <c r="BB26" i="13"/>
  <c r="BB28" i="13"/>
  <c r="BE28" i="13" s="1"/>
  <c r="BE29" i="13" s="1"/>
  <c r="BD37" i="13"/>
  <c r="BB38" i="13"/>
  <c r="BD39" i="13"/>
  <c r="BD43" i="13"/>
  <c r="BB44" i="13"/>
  <c r="BD44" i="13" s="1"/>
  <c r="BD49" i="13"/>
  <c r="BB50" i="13"/>
  <c r="BD55" i="13"/>
  <c r="BB58" i="13"/>
  <c r="BE58" i="13" s="1"/>
  <c r="BE59" i="13" s="1"/>
  <c r="BC8" i="13"/>
  <c r="BC38" i="13"/>
  <c r="BD38" i="13" s="1"/>
  <c r="BA8" i="1"/>
  <c r="BB14" i="1"/>
  <c r="BB26" i="1"/>
  <c r="BC28" i="1"/>
  <c r="BB44" i="1"/>
  <c r="BC45" i="1"/>
  <c r="BB47" i="1"/>
  <c r="BB50" i="1"/>
  <c r="BC51" i="1"/>
  <c r="BB53" i="1"/>
  <c r="BB56" i="1"/>
  <c r="BC57" i="1"/>
  <c r="BB59" i="1"/>
  <c r="BC67" i="1"/>
  <c r="BB8" i="1"/>
  <c r="BA14" i="1"/>
  <c r="BC14" i="1" s="1"/>
  <c r="BC16" i="1"/>
  <c r="BB20" i="1"/>
  <c r="BB23" i="1"/>
  <c r="BA26" i="1"/>
  <c r="BB38" i="1"/>
  <c r="BC38" i="1" s="1"/>
  <c r="BA44" i="1"/>
  <c r="BA50" i="1"/>
  <c r="BA56" i="1"/>
  <c r="BC56" i="1" s="1"/>
  <c r="BC58" i="1"/>
  <c r="BC63" i="1"/>
  <c r="BB65" i="1"/>
  <c r="BB69" i="1"/>
  <c r="BC69" i="1" s="1"/>
  <c r="BB70" i="1"/>
  <c r="BC84" i="1"/>
  <c r="BC85" i="1"/>
  <c r="BB96" i="1"/>
  <c r="BC99" i="1"/>
  <c r="BB101" i="1"/>
  <c r="BB104" i="1"/>
  <c r="BA20" i="1"/>
  <c r="BA23" i="1"/>
  <c r="BA38" i="1"/>
  <c r="BA71" i="1"/>
  <c r="BB74" i="1"/>
  <c r="BC74" i="1" s="1"/>
  <c r="BC87" i="1"/>
  <c r="BB92" i="1"/>
  <c r="BA104" i="1"/>
  <c r="BE11" i="1"/>
  <c r="BE41" i="1"/>
  <c r="BA74" i="1"/>
  <c r="BA89" i="1"/>
  <c r="BA92" i="1"/>
  <c r="BC94" i="1"/>
  <c r="BD11" i="1"/>
  <c r="BD41" i="1"/>
  <c r="BC88" i="1"/>
  <c r="BB89" i="1"/>
  <c r="BC89" i="1" s="1"/>
  <c r="BB98" i="1"/>
  <c r="BC106" i="1"/>
  <c r="BB107" i="1"/>
  <c r="BC70" i="1"/>
  <c r="BB80" i="1"/>
  <c r="BC8" i="1"/>
  <c r="BC20" i="1"/>
  <c r="BF71" i="1"/>
  <c r="BF80" i="1"/>
  <c r="BF9" i="1"/>
  <c r="BB17" i="1"/>
  <c r="BC17" i="1" s="1"/>
  <c r="BB29" i="1"/>
  <c r="BC29" i="1" s="1"/>
  <c r="BF30" i="1"/>
  <c r="BB35" i="1"/>
  <c r="BF39" i="1"/>
  <c r="BF69" i="1"/>
  <c r="BB77" i="1"/>
  <c r="BF79" i="1"/>
  <c r="BF87" i="1"/>
  <c r="BB95" i="1"/>
  <c r="BF97" i="1"/>
  <c r="BC6" i="1"/>
  <c r="BC7" i="1"/>
  <c r="BC13" i="1"/>
  <c r="BC19" i="1"/>
  <c r="BA35" i="1"/>
  <c r="BA47" i="1"/>
  <c r="BC47" i="1" s="1"/>
  <c r="BA53" i="1"/>
  <c r="BC53" i="1" s="1"/>
  <c r="BA59" i="1"/>
  <c r="BC59" i="1" s="1"/>
  <c r="BA65" i="1"/>
  <c r="BA77" i="1"/>
  <c r="BA79" i="1"/>
  <c r="BA83" i="1"/>
  <c r="BC83" i="1" s="1"/>
  <c r="BA95" i="1"/>
  <c r="BA97" i="1"/>
  <c r="BA101" i="1"/>
  <c r="BC101" i="1" s="1"/>
  <c r="BA105" i="1"/>
  <c r="BA107" i="1" s="1"/>
  <c r="BE107" i="1"/>
  <c r="BF107" i="1" s="1"/>
  <c r="BF10" i="1"/>
  <c r="BB68" i="1"/>
  <c r="BB86" i="1"/>
  <c r="BC34" i="1"/>
  <c r="BA68" i="1"/>
  <c r="BA78" i="1"/>
  <c r="BC78" i="1" s="1"/>
  <c r="BA86" i="1"/>
  <c r="BA96" i="1"/>
  <c r="BC96" i="1" s="1"/>
  <c r="AW24" i="16"/>
  <c r="AS24" i="16"/>
  <c r="AR24" i="16"/>
  <c r="AT24" i="16" s="1"/>
  <c r="AV23" i="16"/>
  <c r="AU23" i="16"/>
  <c r="AS22" i="16"/>
  <c r="AR22" i="16"/>
  <c r="AS21" i="16"/>
  <c r="AR21" i="16"/>
  <c r="AS20" i="16"/>
  <c r="AR20" i="16"/>
  <c r="AS19" i="16"/>
  <c r="AR19" i="16"/>
  <c r="AS18" i="16"/>
  <c r="AR18" i="16"/>
  <c r="AW17" i="16"/>
  <c r="AS17" i="16"/>
  <c r="AR17" i="16"/>
  <c r="AW16" i="16"/>
  <c r="AS16" i="16"/>
  <c r="AR16" i="16"/>
  <c r="AV15" i="16"/>
  <c r="AU15" i="16"/>
  <c r="AS14" i="16"/>
  <c r="AR14" i="16"/>
  <c r="AS13" i="16"/>
  <c r="AR13" i="16"/>
  <c r="AS12" i="16"/>
  <c r="AR12" i="16"/>
  <c r="AS11" i="16"/>
  <c r="AR11" i="16"/>
  <c r="AS10" i="16"/>
  <c r="AR10" i="16"/>
  <c r="AW9" i="16"/>
  <c r="AS9" i="16"/>
  <c r="AR9" i="16"/>
  <c r="AW8" i="16"/>
  <c r="AS8" i="16"/>
  <c r="AR8" i="16"/>
  <c r="AW7" i="16"/>
  <c r="AS7" i="16"/>
  <c r="AR7" i="16"/>
  <c r="AW6" i="16"/>
  <c r="AS6" i="16"/>
  <c r="AR6" i="16"/>
  <c r="AW5" i="16"/>
  <c r="AS5" i="16"/>
  <c r="AR5" i="16"/>
  <c r="AW35" i="14"/>
  <c r="AS35" i="14"/>
  <c r="AR35" i="14"/>
  <c r="AT35" i="14" s="1"/>
  <c r="AV34" i="14"/>
  <c r="AW34" i="14" s="1"/>
  <c r="AU34" i="14"/>
  <c r="AS33" i="14"/>
  <c r="AR33" i="14"/>
  <c r="AS32" i="14"/>
  <c r="AR32" i="14"/>
  <c r="AS31" i="14"/>
  <c r="AR31" i="14"/>
  <c r="AW30" i="14"/>
  <c r="AS30" i="14"/>
  <c r="AR30" i="14"/>
  <c r="AW29" i="14"/>
  <c r="AT29" i="14"/>
  <c r="AS29" i="14"/>
  <c r="AR29" i="14"/>
  <c r="AW28" i="14"/>
  <c r="AT28" i="14"/>
  <c r="AS28" i="14"/>
  <c r="AR28" i="14"/>
  <c r="AW27" i="14"/>
  <c r="AT27" i="14"/>
  <c r="AS27" i="14"/>
  <c r="AR27" i="14"/>
  <c r="AW26" i="14"/>
  <c r="AS26" i="14"/>
  <c r="AR26" i="14"/>
  <c r="AW25" i="14"/>
  <c r="AS25" i="14"/>
  <c r="AT25" i="14" s="1"/>
  <c r="AR25" i="14"/>
  <c r="AW24" i="14"/>
  <c r="AS24" i="14"/>
  <c r="AT24" i="14" s="1"/>
  <c r="AR24" i="14"/>
  <c r="AW23" i="14"/>
  <c r="AS23" i="14"/>
  <c r="AT23" i="14" s="1"/>
  <c r="AR23" i="14"/>
  <c r="AW22" i="14"/>
  <c r="AS22" i="14"/>
  <c r="AT22" i="14" s="1"/>
  <c r="AR22" i="14"/>
  <c r="AW21" i="14"/>
  <c r="AS21" i="14"/>
  <c r="AT21" i="14" s="1"/>
  <c r="AR21" i="14"/>
  <c r="AW20" i="14"/>
  <c r="AS20" i="14"/>
  <c r="AT20" i="14" s="1"/>
  <c r="AR20" i="14"/>
  <c r="AW19" i="14"/>
  <c r="AS19" i="14"/>
  <c r="AR19" i="14"/>
  <c r="AR34" i="14" s="1"/>
  <c r="AW18" i="14"/>
  <c r="AS18" i="14"/>
  <c r="AT18" i="14" s="1"/>
  <c r="AR18" i="14"/>
  <c r="AV17" i="14"/>
  <c r="AU17" i="14"/>
  <c r="AS16" i="14"/>
  <c r="AR16" i="14"/>
  <c r="AS15" i="14"/>
  <c r="AR15" i="14"/>
  <c r="AS14" i="14"/>
  <c r="AR14" i="14"/>
  <c r="AS13" i="14"/>
  <c r="AR13" i="14"/>
  <c r="AS12" i="14"/>
  <c r="AR12" i="14"/>
  <c r="AW11" i="14"/>
  <c r="AS11" i="14"/>
  <c r="AR11" i="14"/>
  <c r="AS10" i="14"/>
  <c r="AR10" i="14"/>
  <c r="AW9" i="14"/>
  <c r="AS9" i="14"/>
  <c r="AT9" i="14" s="1"/>
  <c r="AR9" i="14"/>
  <c r="AW8" i="14"/>
  <c r="AS8" i="14"/>
  <c r="AR8" i="14"/>
  <c r="AW7" i="14"/>
  <c r="AS7" i="14"/>
  <c r="AR7" i="14"/>
  <c r="AW6" i="14"/>
  <c r="AS6" i="14"/>
  <c r="AT6" i="14" s="1"/>
  <c r="AR6" i="14"/>
  <c r="AW5" i="14"/>
  <c r="AS5" i="14"/>
  <c r="AR5" i="14"/>
  <c r="AW184" i="11"/>
  <c r="AS184" i="11"/>
  <c r="AR184" i="11"/>
  <c r="AW183" i="11"/>
  <c r="AV183" i="11"/>
  <c r="AU183" i="11"/>
  <c r="AW182" i="11"/>
  <c r="AS182" i="11"/>
  <c r="AR182" i="11"/>
  <c r="AW181" i="11"/>
  <c r="AS181" i="11"/>
  <c r="AR181" i="11"/>
  <c r="AW180" i="11"/>
  <c r="AS180" i="11"/>
  <c r="AR180" i="11"/>
  <c r="AT180" i="11" s="1"/>
  <c r="AW179" i="11"/>
  <c r="AS179" i="11"/>
  <c r="AR179" i="11"/>
  <c r="AT179" i="11" s="1"/>
  <c r="AS178" i="11"/>
  <c r="AR178" i="11"/>
  <c r="AW177" i="11"/>
  <c r="AS177" i="11"/>
  <c r="AT177" i="11" s="1"/>
  <c r="AR177" i="11"/>
  <c r="AW176" i="11"/>
  <c r="AS176" i="11"/>
  <c r="AR176" i="11"/>
  <c r="AW175" i="11"/>
  <c r="AS175" i="11"/>
  <c r="AR175" i="11"/>
  <c r="AW174" i="11"/>
  <c r="AS174" i="11"/>
  <c r="AR174" i="11"/>
  <c r="AW173" i="11"/>
  <c r="AS173" i="11"/>
  <c r="AT173" i="11" s="1"/>
  <c r="AR173" i="11"/>
  <c r="AW172" i="11"/>
  <c r="AS172" i="11"/>
  <c r="AR172" i="11"/>
  <c r="AW171" i="11"/>
  <c r="AS171" i="11"/>
  <c r="AR171" i="11"/>
  <c r="AW170" i="11"/>
  <c r="AS170" i="11"/>
  <c r="AR170" i="11"/>
  <c r="AW169" i="11"/>
  <c r="AS169" i="11"/>
  <c r="AT169" i="11" s="1"/>
  <c r="AR169" i="11"/>
  <c r="AV168" i="11"/>
  <c r="AU168" i="11"/>
  <c r="AS167" i="11"/>
  <c r="AR167" i="11"/>
  <c r="AW166" i="11"/>
  <c r="AS166" i="11"/>
  <c r="AR166" i="11"/>
  <c r="AW165" i="11"/>
  <c r="AS165" i="11"/>
  <c r="AR165" i="11"/>
  <c r="AW164" i="11"/>
  <c r="AS164" i="11"/>
  <c r="AR164" i="11"/>
  <c r="AW163" i="11"/>
  <c r="AS163" i="11"/>
  <c r="AT163" i="11" s="1"/>
  <c r="AR163" i="11"/>
  <c r="AW162" i="11"/>
  <c r="AS162" i="11"/>
  <c r="AT162" i="11" s="1"/>
  <c r="AR162" i="11"/>
  <c r="AW161" i="11"/>
  <c r="AS161" i="11"/>
  <c r="AR161" i="11"/>
  <c r="AW160" i="11"/>
  <c r="AS160" i="11"/>
  <c r="AR160" i="11"/>
  <c r="AW159" i="11"/>
  <c r="AS159" i="11"/>
  <c r="AT159" i="11" s="1"/>
  <c r="AR159" i="11"/>
  <c r="AW158" i="11"/>
  <c r="AS158" i="11"/>
  <c r="AT158" i="11" s="1"/>
  <c r="AR158" i="11"/>
  <c r="AW157" i="11"/>
  <c r="AS157" i="11"/>
  <c r="AR157" i="11"/>
  <c r="AW156" i="11"/>
  <c r="AS156" i="11"/>
  <c r="AR156" i="11"/>
  <c r="AW155" i="11"/>
  <c r="AS155" i="11"/>
  <c r="AT155" i="11" s="1"/>
  <c r="AR155" i="11"/>
  <c r="AW154" i="11"/>
  <c r="AS154" i="11"/>
  <c r="AT154" i="11" s="1"/>
  <c r="AR154" i="11"/>
  <c r="AW153" i="11"/>
  <c r="AS153" i="11"/>
  <c r="AR153" i="11"/>
  <c r="AW152" i="11"/>
  <c r="AS152" i="11"/>
  <c r="AR152" i="11"/>
  <c r="AW151" i="11"/>
  <c r="AS151" i="11"/>
  <c r="AT151" i="11" s="1"/>
  <c r="AR151" i="11"/>
  <c r="AW150" i="11"/>
  <c r="AS150" i="11"/>
  <c r="AT150" i="11" s="1"/>
  <c r="AR150" i="11"/>
  <c r="AW149" i="11"/>
  <c r="AS149" i="11"/>
  <c r="AR149" i="11"/>
  <c r="AW148" i="11"/>
  <c r="AS148" i="11"/>
  <c r="AR148" i="11"/>
  <c r="AW147" i="11"/>
  <c r="AS147" i="11"/>
  <c r="AR147" i="11"/>
  <c r="AW140" i="11"/>
  <c r="AS140" i="11"/>
  <c r="AT140" i="11" s="1"/>
  <c r="AR140" i="11"/>
  <c r="AV139" i="11"/>
  <c r="AU139" i="11"/>
  <c r="AS138" i="11"/>
  <c r="AR138" i="11"/>
  <c r="AW137" i="11"/>
  <c r="AS137" i="11"/>
  <c r="AR137" i="11"/>
  <c r="AW136" i="11"/>
  <c r="AS136" i="11"/>
  <c r="AR136" i="11"/>
  <c r="AW135" i="11"/>
  <c r="AS135" i="11"/>
  <c r="AR135" i="11"/>
  <c r="AW134" i="11"/>
  <c r="AS134" i="11"/>
  <c r="AR134" i="11"/>
  <c r="AW133" i="11"/>
  <c r="AS133" i="11"/>
  <c r="AR133" i="11"/>
  <c r="AW132" i="11"/>
  <c r="AS132" i="11"/>
  <c r="AR132" i="11"/>
  <c r="AT132" i="11" s="1"/>
  <c r="AW131" i="11"/>
  <c r="AS131" i="11"/>
  <c r="AR131" i="11"/>
  <c r="AW130" i="11"/>
  <c r="AS130" i="11"/>
  <c r="AT130" i="11" s="1"/>
  <c r="AR130" i="11"/>
  <c r="AW129" i="11"/>
  <c r="AS129" i="11"/>
  <c r="AT129" i="11" s="1"/>
  <c r="AR129" i="11"/>
  <c r="AW128" i="11"/>
  <c r="AS128" i="11"/>
  <c r="AR128" i="11"/>
  <c r="AW127" i="11"/>
  <c r="AS127" i="11"/>
  <c r="AR127" i="11"/>
  <c r="AW126" i="11"/>
  <c r="AS126" i="11"/>
  <c r="AR126" i="11"/>
  <c r="AT126" i="11" s="1"/>
  <c r="AW125" i="11"/>
  <c r="AS125" i="11"/>
  <c r="AR125" i="11"/>
  <c r="AT125" i="11" s="1"/>
  <c r="AW124" i="11"/>
  <c r="AS124" i="11"/>
  <c r="AR124" i="11"/>
  <c r="AW123" i="11"/>
  <c r="AS123" i="11"/>
  <c r="AR123" i="11"/>
  <c r="AV122" i="11"/>
  <c r="AW122" i="11" s="1"/>
  <c r="AU122" i="11"/>
  <c r="AW121" i="11"/>
  <c r="AS121" i="11"/>
  <c r="AR121" i="11"/>
  <c r="AW120" i="11"/>
  <c r="AS120" i="11"/>
  <c r="AR120" i="11"/>
  <c r="AW119" i="11"/>
  <c r="AS119" i="11"/>
  <c r="AR119" i="11"/>
  <c r="AW118" i="11"/>
  <c r="AS118" i="11"/>
  <c r="AT118" i="11" s="1"/>
  <c r="AR118" i="11"/>
  <c r="AW117" i="11"/>
  <c r="AS117" i="11"/>
  <c r="AT117" i="11" s="1"/>
  <c r="AR117" i="11"/>
  <c r="AW116" i="11"/>
  <c r="AS116" i="11"/>
  <c r="AT116" i="11" s="1"/>
  <c r="AR116" i="11"/>
  <c r="AW115" i="11"/>
  <c r="AS115" i="11"/>
  <c r="AR115" i="11"/>
  <c r="AW114" i="11"/>
  <c r="AS114" i="11"/>
  <c r="AT114" i="11" s="1"/>
  <c r="AR114" i="11"/>
  <c r="AW113" i="11"/>
  <c r="AS113" i="11"/>
  <c r="AT113" i="11" s="1"/>
  <c r="AR113" i="11"/>
  <c r="AW112" i="11"/>
  <c r="AS112" i="11"/>
  <c r="AT112" i="11" s="1"/>
  <c r="AR112" i="11"/>
  <c r="AW111" i="11"/>
  <c r="AS111" i="11"/>
  <c r="AR111" i="11"/>
  <c r="AW110" i="11"/>
  <c r="AS110" i="11"/>
  <c r="AR110" i="11"/>
  <c r="AW109" i="11"/>
  <c r="AS109" i="11"/>
  <c r="AT109" i="11" s="1"/>
  <c r="AR109" i="11"/>
  <c r="AW108" i="11"/>
  <c r="AS108" i="11"/>
  <c r="AT108" i="11" s="1"/>
  <c r="AR108" i="11"/>
  <c r="AW107" i="11"/>
  <c r="AS107" i="11"/>
  <c r="AR107" i="11"/>
  <c r="AW106" i="11"/>
  <c r="AS106" i="11"/>
  <c r="AT106" i="11" s="1"/>
  <c r="AR106" i="11"/>
  <c r="AW105" i="11"/>
  <c r="AS105" i="11"/>
  <c r="AT105" i="11" s="1"/>
  <c r="AR105" i="11"/>
  <c r="AW104" i="11"/>
  <c r="AS104" i="11"/>
  <c r="AT104" i="11" s="1"/>
  <c r="AR104" i="11"/>
  <c r="AW103" i="11"/>
  <c r="AS103" i="11"/>
  <c r="AR103" i="11"/>
  <c r="AW102" i="11"/>
  <c r="AS102" i="11"/>
  <c r="AT102" i="11" s="1"/>
  <c r="AR102" i="11"/>
  <c r="AW101" i="11"/>
  <c r="AS101" i="11"/>
  <c r="AT101" i="11" s="1"/>
  <c r="AR101" i="11"/>
  <c r="AW100" i="11"/>
  <c r="AS100" i="11"/>
  <c r="AT100" i="11" s="1"/>
  <c r="AR100" i="11"/>
  <c r="AW99" i="11"/>
  <c r="AS99" i="11"/>
  <c r="AR99" i="11"/>
  <c r="AW98" i="11"/>
  <c r="AS98" i="11"/>
  <c r="AR98" i="11"/>
  <c r="AW91" i="11"/>
  <c r="AS91" i="11"/>
  <c r="AT91" i="11" s="1"/>
  <c r="AR91" i="11"/>
  <c r="AV90" i="11"/>
  <c r="AU90" i="11"/>
  <c r="AW89" i="11"/>
  <c r="AS89" i="11"/>
  <c r="AR89" i="11"/>
  <c r="AW88" i="11"/>
  <c r="AS88" i="11"/>
  <c r="AR88" i="11"/>
  <c r="AW87" i="11"/>
  <c r="AS87" i="11"/>
  <c r="AR87" i="11"/>
  <c r="AW86" i="11"/>
  <c r="AS86" i="11"/>
  <c r="AR86" i="11"/>
  <c r="AW85" i="11"/>
  <c r="AS85" i="11"/>
  <c r="AR85" i="11"/>
  <c r="AW84" i="11"/>
  <c r="AS84" i="11"/>
  <c r="AT84" i="11" s="1"/>
  <c r="AR84" i="11"/>
  <c r="AW83" i="11"/>
  <c r="AS83" i="11"/>
  <c r="AT83" i="11" s="1"/>
  <c r="AR83" i="11"/>
  <c r="AW82" i="11"/>
  <c r="AS82" i="11"/>
  <c r="AR82" i="11"/>
  <c r="AW81" i="11"/>
  <c r="AS81" i="11"/>
  <c r="AR81" i="11"/>
  <c r="AW80" i="11"/>
  <c r="AS80" i="11"/>
  <c r="AR80" i="11"/>
  <c r="AW79" i="11"/>
  <c r="AS79" i="11"/>
  <c r="AR79" i="11"/>
  <c r="AW78" i="11"/>
  <c r="AS78" i="11"/>
  <c r="AT78" i="11" s="1"/>
  <c r="AR78" i="11"/>
  <c r="AW77" i="11"/>
  <c r="AS77" i="11"/>
  <c r="AR77" i="11"/>
  <c r="AW76" i="11"/>
  <c r="AS76" i="11"/>
  <c r="AR76" i="11"/>
  <c r="AW75" i="11"/>
  <c r="AS75" i="11"/>
  <c r="AT75" i="11" s="1"/>
  <c r="AR75" i="11"/>
  <c r="AW74" i="11"/>
  <c r="AS74" i="11"/>
  <c r="AR74" i="11"/>
  <c r="AW73" i="11"/>
  <c r="AS73" i="11"/>
  <c r="AR73" i="11"/>
  <c r="AT73" i="11" s="1"/>
  <c r="AW72" i="11"/>
  <c r="AS72" i="11"/>
  <c r="AR72" i="11"/>
  <c r="AT72" i="11" s="1"/>
  <c r="AW71" i="11"/>
  <c r="AS71" i="11"/>
  <c r="AR71" i="11"/>
  <c r="AV70" i="11"/>
  <c r="AU70" i="11"/>
  <c r="AS69" i="11"/>
  <c r="AR69" i="11"/>
  <c r="AS68" i="11"/>
  <c r="AR68" i="11"/>
  <c r="AW67" i="11"/>
  <c r="AS67" i="11"/>
  <c r="AR67" i="11"/>
  <c r="AS66" i="11"/>
  <c r="AR66" i="11"/>
  <c r="AW65" i="11"/>
  <c r="AS65" i="11"/>
  <c r="AR65" i="11"/>
  <c r="AW64" i="11"/>
  <c r="AS64" i="11"/>
  <c r="AR64" i="11"/>
  <c r="AW63" i="11"/>
  <c r="AS63" i="11"/>
  <c r="AT63" i="11" s="1"/>
  <c r="AR63" i="11"/>
  <c r="AW62" i="11"/>
  <c r="AS62" i="11"/>
  <c r="AT62" i="11" s="1"/>
  <c r="AR62" i="11"/>
  <c r="AW61" i="11"/>
  <c r="AS61" i="11"/>
  <c r="AR61" i="11"/>
  <c r="AW60" i="11"/>
  <c r="AS60" i="11"/>
  <c r="AR60" i="11"/>
  <c r="AW59" i="11"/>
  <c r="AS59" i="11"/>
  <c r="AR59" i="11"/>
  <c r="AT59" i="11" s="1"/>
  <c r="AW58" i="11"/>
  <c r="AS58" i="11"/>
  <c r="AR58" i="11"/>
  <c r="AT58" i="11" s="1"/>
  <c r="AW57" i="11"/>
  <c r="AS57" i="11"/>
  <c r="AR57" i="11"/>
  <c r="AW56" i="11"/>
  <c r="AT56" i="11"/>
  <c r="AS56" i="11"/>
  <c r="AR56" i="11"/>
  <c r="AW55" i="11"/>
  <c r="AT55" i="11"/>
  <c r="AS55" i="11"/>
  <c r="AR55" i="11"/>
  <c r="AW54" i="11"/>
  <c r="AT54" i="11"/>
  <c r="AS54" i="11"/>
  <c r="AR54" i="11"/>
  <c r="AW47" i="11"/>
  <c r="AT47" i="11"/>
  <c r="AS47" i="11"/>
  <c r="AR47" i="11"/>
  <c r="AV46" i="11"/>
  <c r="AW46" i="11" s="1"/>
  <c r="AU46" i="11"/>
  <c r="AW45" i="11"/>
  <c r="AS45" i="11"/>
  <c r="AR45" i="11"/>
  <c r="AW44" i="11"/>
  <c r="AS44" i="11"/>
  <c r="AR44" i="11"/>
  <c r="AW43" i="11"/>
  <c r="AS43" i="11"/>
  <c r="AT43" i="11" s="1"/>
  <c r="AR43" i="11"/>
  <c r="AW42" i="11"/>
  <c r="AS42" i="11"/>
  <c r="AT42" i="11" s="1"/>
  <c r="AR42" i="11"/>
  <c r="AW41" i="11"/>
  <c r="AS41" i="11"/>
  <c r="AR41" i="11"/>
  <c r="AW40" i="11"/>
  <c r="AS40" i="11"/>
  <c r="AR40" i="11"/>
  <c r="AW39" i="11"/>
  <c r="AS39" i="11"/>
  <c r="AT39" i="11" s="1"/>
  <c r="AR39" i="11"/>
  <c r="AW38" i="11"/>
  <c r="AS38" i="11"/>
  <c r="AT38" i="11" s="1"/>
  <c r="AR38" i="11"/>
  <c r="AW37" i="11"/>
  <c r="AS37" i="11"/>
  <c r="AR37" i="11"/>
  <c r="AW36" i="11"/>
  <c r="AS36" i="11"/>
  <c r="AR36" i="11"/>
  <c r="AW35" i="11"/>
  <c r="AS35" i="11"/>
  <c r="AT35" i="11" s="1"/>
  <c r="AR35" i="11"/>
  <c r="AW34" i="11"/>
  <c r="AS34" i="11"/>
  <c r="AT34" i="11" s="1"/>
  <c r="AR34" i="11"/>
  <c r="AW33" i="11"/>
  <c r="AS33" i="11"/>
  <c r="AR33" i="11"/>
  <c r="AW32" i="11"/>
  <c r="AS32" i="11"/>
  <c r="AR32" i="11"/>
  <c r="AW31" i="11"/>
  <c r="AS31" i="11"/>
  <c r="AT31" i="11" s="1"/>
  <c r="AR31" i="11"/>
  <c r="AW30" i="11"/>
  <c r="AT30" i="11"/>
  <c r="AS30" i="11"/>
  <c r="AR30" i="11"/>
  <c r="AW29" i="11"/>
  <c r="AT29" i="11"/>
  <c r="AS29" i="11"/>
  <c r="AR29" i="11"/>
  <c r="AW28" i="11"/>
  <c r="AT28" i="11"/>
  <c r="AS28" i="11"/>
  <c r="AR28" i="11"/>
  <c r="AW27" i="11"/>
  <c r="AT27" i="11"/>
  <c r="AS27" i="11"/>
  <c r="AR27" i="11"/>
  <c r="AV26" i="11"/>
  <c r="AU26" i="11"/>
  <c r="AW25" i="11"/>
  <c r="AS25" i="11"/>
  <c r="AR25" i="11"/>
  <c r="AW24" i="11"/>
  <c r="AS24" i="11"/>
  <c r="AT24" i="11" s="1"/>
  <c r="AR24" i="11"/>
  <c r="AW23" i="11"/>
  <c r="AS23" i="11"/>
  <c r="AT23" i="11" s="1"/>
  <c r="AR23" i="11"/>
  <c r="AW22" i="11"/>
  <c r="AS22" i="11"/>
  <c r="AR22" i="11"/>
  <c r="AW21" i="11"/>
  <c r="AS21" i="11"/>
  <c r="AR21" i="11"/>
  <c r="AS20" i="11"/>
  <c r="AR20" i="11"/>
  <c r="AW19" i="11"/>
  <c r="AS19" i="11"/>
  <c r="AT19" i="11" s="1"/>
  <c r="AR19" i="11"/>
  <c r="AW18" i="11"/>
  <c r="AS18" i="11"/>
  <c r="AT18" i="11" s="1"/>
  <c r="AR18" i="11"/>
  <c r="AW17" i="11"/>
  <c r="AS17" i="11"/>
  <c r="AT17" i="11" s="1"/>
  <c r="AR17" i="11"/>
  <c r="AW16" i="11"/>
  <c r="AS16" i="11"/>
  <c r="AT16" i="11" s="1"/>
  <c r="AR16" i="11"/>
  <c r="AW15" i="11"/>
  <c r="AS15" i="11"/>
  <c r="AT15" i="11" s="1"/>
  <c r="AR15" i="11"/>
  <c r="AW14" i="11"/>
  <c r="AS14" i="11"/>
  <c r="AT14" i="11" s="1"/>
  <c r="AR14" i="11"/>
  <c r="AW13" i="11"/>
  <c r="AS13" i="11"/>
  <c r="AT13" i="11" s="1"/>
  <c r="AR13" i="11"/>
  <c r="AW12" i="11"/>
  <c r="AS12" i="11"/>
  <c r="AT12" i="11" s="1"/>
  <c r="AR12" i="11"/>
  <c r="AW11" i="11"/>
  <c r="AS11" i="11"/>
  <c r="AT11" i="11" s="1"/>
  <c r="AR11" i="11"/>
  <c r="AW10" i="11"/>
  <c r="AS10" i="11"/>
  <c r="AT10" i="11" s="1"/>
  <c r="AR10" i="11"/>
  <c r="AW9" i="11"/>
  <c r="AS9" i="11"/>
  <c r="AT9" i="11" s="1"/>
  <c r="AR9" i="11"/>
  <c r="AW8" i="11"/>
  <c r="AS8" i="11"/>
  <c r="AT8" i="11" s="1"/>
  <c r="AR8" i="11"/>
  <c r="AW7" i="11"/>
  <c r="AS7" i="11"/>
  <c r="AT7" i="11" s="1"/>
  <c r="AR7" i="11"/>
  <c r="AW6" i="11"/>
  <c r="AS6" i="11"/>
  <c r="AT6" i="11" s="1"/>
  <c r="AR6" i="11"/>
  <c r="AW5" i="11"/>
  <c r="AS5" i="11"/>
  <c r="AT5" i="11" s="1"/>
  <c r="AR5" i="11"/>
  <c r="AW344" i="10"/>
  <c r="AV344" i="10"/>
  <c r="AX343" i="10"/>
  <c r="AT343" i="10"/>
  <c r="AU343" i="10" s="1"/>
  <c r="AS343" i="10"/>
  <c r="AW342" i="10"/>
  <c r="AX342" i="10" s="1"/>
  <c r="AV342" i="10"/>
  <c r="AT341" i="10"/>
  <c r="AS341" i="10"/>
  <c r="AT340" i="10"/>
  <c r="AS340" i="10"/>
  <c r="AT339" i="10"/>
  <c r="AS339" i="10"/>
  <c r="AT338" i="10"/>
  <c r="AS338" i="10"/>
  <c r="AX337" i="10"/>
  <c r="AT337" i="10"/>
  <c r="AS337" i="10"/>
  <c r="AX336" i="10"/>
  <c r="AT336" i="10"/>
  <c r="AS336" i="10"/>
  <c r="AU336" i="10" s="1"/>
  <c r="AX335" i="10"/>
  <c r="AT335" i="10"/>
  <c r="AS335" i="10"/>
  <c r="AX334" i="10"/>
  <c r="AT334" i="10"/>
  <c r="AS334" i="10"/>
  <c r="AX333" i="10"/>
  <c r="AT333" i="10"/>
  <c r="AS333" i="10"/>
  <c r="AX332" i="10"/>
  <c r="AT332" i="10"/>
  <c r="AS332" i="10"/>
  <c r="AX331" i="10"/>
  <c r="AT331" i="10"/>
  <c r="AS331" i="10"/>
  <c r="AX330" i="10"/>
  <c r="AT330" i="10"/>
  <c r="AS330" i="10"/>
  <c r="AU330" i="10" s="1"/>
  <c r="AX329" i="10"/>
  <c r="AT329" i="10"/>
  <c r="AS329" i="10"/>
  <c r="AU329" i="10" s="1"/>
  <c r="AX328" i="10"/>
  <c r="AT328" i="10"/>
  <c r="AS328" i="10"/>
  <c r="AU328" i="10" s="1"/>
  <c r="AX327" i="10"/>
  <c r="AT327" i="10"/>
  <c r="AS327" i="10"/>
  <c r="AU327" i="10" s="1"/>
  <c r="AX326" i="10"/>
  <c r="AT326" i="10"/>
  <c r="AS326" i="10"/>
  <c r="AU326" i="10" s="1"/>
  <c r="AX325" i="10"/>
  <c r="AT325" i="10"/>
  <c r="AS325" i="10"/>
  <c r="AU325" i="10" s="1"/>
  <c r="AX324" i="10"/>
  <c r="AT324" i="10"/>
  <c r="AS324" i="10"/>
  <c r="AU324" i="10" s="1"/>
  <c r="AX323" i="10"/>
  <c r="AT323" i="10"/>
  <c r="AT344" i="10" s="1"/>
  <c r="AS323" i="10"/>
  <c r="AX322" i="10"/>
  <c r="AW322" i="10"/>
  <c r="AV322" i="10"/>
  <c r="AT321" i="10"/>
  <c r="AS321" i="10"/>
  <c r="AT320" i="10"/>
  <c r="AS320" i="10"/>
  <c r="AT319" i="10"/>
  <c r="AS319" i="10"/>
  <c r="AT318" i="10"/>
  <c r="AS318" i="10"/>
  <c r="AT317" i="10"/>
  <c r="AS317" i="10"/>
  <c r="AX316" i="10"/>
  <c r="AT316" i="10"/>
  <c r="AS316" i="10"/>
  <c r="AT315" i="10"/>
  <c r="AS315" i="10"/>
  <c r="AX314" i="10"/>
  <c r="AT314" i="10"/>
  <c r="AS314" i="10"/>
  <c r="AT313" i="10"/>
  <c r="AS313" i="10"/>
  <c r="AT312" i="10"/>
  <c r="AS312" i="10"/>
  <c r="AX311" i="10"/>
  <c r="AT311" i="10"/>
  <c r="AS311" i="10"/>
  <c r="AX310" i="10"/>
  <c r="AT310" i="10"/>
  <c r="AS310" i="10"/>
  <c r="AX309" i="10"/>
  <c r="AT309" i="10"/>
  <c r="AS309" i="10"/>
  <c r="AX308" i="10"/>
  <c r="AT308" i="10"/>
  <c r="AS308" i="10"/>
  <c r="AU308" i="10" s="1"/>
  <c r="AX307" i="10"/>
  <c r="AT307" i="10"/>
  <c r="AS307" i="10"/>
  <c r="AU307" i="10" s="1"/>
  <c r="AX306" i="10"/>
  <c r="AT306" i="10"/>
  <c r="AS306" i="10"/>
  <c r="AX305" i="10"/>
  <c r="AT305" i="10"/>
  <c r="AS305" i="10"/>
  <c r="AX304" i="10"/>
  <c r="AT304" i="10"/>
  <c r="AS304" i="10"/>
  <c r="AS322" i="10" s="1"/>
  <c r="AW298" i="10"/>
  <c r="AV298" i="10"/>
  <c r="AX298" i="10" s="1"/>
  <c r="AX297" i="10"/>
  <c r="AT297" i="10"/>
  <c r="AS297" i="10"/>
  <c r="AW296" i="10"/>
  <c r="AV296" i="10"/>
  <c r="AT295" i="10"/>
  <c r="AS295" i="10"/>
  <c r="AX294" i="10"/>
  <c r="AT294" i="10"/>
  <c r="AU294" i="10" s="1"/>
  <c r="AS294" i="10"/>
  <c r="AT293" i="10"/>
  <c r="AS293" i="10"/>
  <c r="AX292" i="10"/>
  <c r="AT292" i="10"/>
  <c r="AU292" i="10" s="1"/>
  <c r="AS292" i="10"/>
  <c r="AX291" i="10"/>
  <c r="AT291" i="10"/>
  <c r="AU291" i="10" s="1"/>
  <c r="AS291" i="10"/>
  <c r="AX290" i="10"/>
  <c r="AT290" i="10"/>
  <c r="AS290" i="10"/>
  <c r="AX289" i="10"/>
  <c r="AT289" i="10"/>
  <c r="AS289" i="10"/>
  <c r="AX288" i="10"/>
  <c r="AT288" i="10"/>
  <c r="AU288" i="10" s="1"/>
  <c r="AS288" i="10"/>
  <c r="AX287" i="10"/>
  <c r="AT287" i="10"/>
  <c r="AU287" i="10" s="1"/>
  <c r="AS287" i="10"/>
  <c r="AX286" i="10"/>
  <c r="AT286" i="10"/>
  <c r="AS286" i="10"/>
  <c r="AX285" i="10"/>
  <c r="AT285" i="10"/>
  <c r="AS285" i="10"/>
  <c r="AX284" i="10"/>
  <c r="AT284" i="10"/>
  <c r="AU284" i="10" s="1"/>
  <c r="AS284" i="10"/>
  <c r="AX283" i="10"/>
  <c r="AT283" i="10"/>
  <c r="AU283" i="10" s="1"/>
  <c r="AS283" i="10"/>
  <c r="AX282" i="10"/>
  <c r="AT282" i="10"/>
  <c r="AS282" i="10"/>
  <c r="AX281" i="10"/>
  <c r="AT281" i="10"/>
  <c r="AS281" i="10"/>
  <c r="AX280" i="10"/>
  <c r="AT280" i="10"/>
  <c r="AU280" i="10" s="1"/>
  <c r="AS280" i="10"/>
  <c r="AX279" i="10"/>
  <c r="AT279" i="10"/>
  <c r="AU279" i="10" s="1"/>
  <c r="AS279" i="10"/>
  <c r="AX278" i="10"/>
  <c r="AT278" i="10"/>
  <c r="AS278" i="10"/>
  <c r="AS296" i="10" s="1"/>
  <c r="AX277" i="10"/>
  <c r="AT277" i="10"/>
  <c r="AS277" i="10"/>
  <c r="AS298" i="10" s="1"/>
  <c r="AX276" i="10"/>
  <c r="AW276" i="10"/>
  <c r="AV276" i="10"/>
  <c r="AX275" i="10"/>
  <c r="AT275" i="10"/>
  <c r="AS275" i="10"/>
  <c r="AX274" i="10"/>
  <c r="AT274" i="10"/>
  <c r="AS274" i="10"/>
  <c r="AX273" i="10"/>
  <c r="AT273" i="10"/>
  <c r="AS273" i="10"/>
  <c r="AX272" i="10"/>
  <c r="AT272" i="10"/>
  <c r="AS272" i="10"/>
  <c r="AX271" i="10"/>
  <c r="AT271" i="10"/>
  <c r="AU271" i="10" s="1"/>
  <c r="AS271" i="10"/>
  <c r="AX270" i="10"/>
  <c r="AT270" i="10"/>
  <c r="AU270" i="10" s="1"/>
  <c r="AS270" i="10"/>
  <c r="AX269" i="10"/>
  <c r="AT269" i="10"/>
  <c r="AS269" i="10"/>
  <c r="AX268" i="10"/>
  <c r="AT268" i="10"/>
  <c r="AS268" i="10"/>
  <c r="AX267" i="10"/>
  <c r="AT267" i="10"/>
  <c r="AU267" i="10" s="1"/>
  <c r="AS267" i="10"/>
  <c r="AX266" i="10"/>
  <c r="AT266" i="10"/>
  <c r="AS266" i="10"/>
  <c r="AX265" i="10"/>
  <c r="AT265" i="10"/>
  <c r="AS265" i="10"/>
  <c r="AX264" i="10"/>
  <c r="AT264" i="10"/>
  <c r="AS264" i="10"/>
  <c r="AX263" i="10"/>
  <c r="AT263" i="10"/>
  <c r="AU263" i="10" s="1"/>
  <c r="AS263" i="10"/>
  <c r="AX262" i="10"/>
  <c r="AT262" i="10"/>
  <c r="AS262" i="10"/>
  <c r="AX261" i="10"/>
  <c r="AT261" i="10"/>
  <c r="AS261" i="10"/>
  <c r="AX260" i="10"/>
  <c r="AT260" i="10"/>
  <c r="AS260" i="10"/>
  <c r="AX259" i="10"/>
  <c r="AT259" i="10"/>
  <c r="AU259" i="10" s="1"/>
  <c r="AS259" i="10"/>
  <c r="AX258" i="10"/>
  <c r="AT258" i="10"/>
  <c r="AS258" i="10"/>
  <c r="AX257" i="10"/>
  <c r="AT257" i="10"/>
  <c r="AS257" i="10"/>
  <c r="AX256" i="10"/>
  <c r="AT256" i="10"/>
  <c r="AS256" i="10"/>
  <c r="AX255" i="10"/>
  <c r="AT255" i="10"/>
  <c r="AS255" i="10"/>
  <c r="AW247" i="10"/>
  <c r="AX247" i="10" s="1"/>
  <c r="AV247" i="10"/>
  <c r="AX246" i="10"/>
  <c r="AT246" i="10"/>
  <c r="AS246" i="10"/>
  <c r="AW245" i="10"/>
  <c r="AV245" i="10"/>
  <c r="AX244" i="10"/>
  <c r="AX243" i="10"/>
  <c r="AT243" i="10"/>
  <c r="AS243" i="10"/>
  <c r="AX242" i="10"/>
  <c r="AT242" i="10"/>
  <c r="AS242" i="10"/>
  <c r="AX241" i="10"/>
  <c r="AT241" i="10"/>
  <c r="AS241" i="10"/>
  <c r="AX240" i="10"/>
  <c r="AT240" i="10"/>
  <c r="AU240" i="10" s="1"/>
  <c r="AS240" i="10"/>
  <c r="AX239" i="10"/>
  <c r="AT239" i="10"/>
  <c r="AS239" i="10"/>
  <c r="AX238" i="10"/>
  <c r="AT238" i="10"/>
  <c r="AS238" i="10"/>
  <c r="AX237" i="10"/>
  <c r="AT237" i="10"/>
  <c r="AS237" i="10"/>
  <c r="AX236" i="10"/>
  <c r="AT236" i="10"/>
  <c r="AU236" i="10" s="1"/>
  <c r="AS236" i="10"/>
  <c r="AX235" i="10"/>
  <c r="AT235" i="10"/>
  <c r="AS235" i="10"/>
  <c r="AX234" i="10"/>
  <c r="AT234" i="10"/>
  <c r="AS234" i="10"/>
  <c r="AX233" i="10"/>
  <c r="AT233" i="10"/>
  <c r="AS233" i="10"/>
  <c r="AX232" i="10"/>
  <c r="AT232" i="10"/>
  <c r="AU232" i="10" s="1"/>
  <c r="AS232" i="10"/>
  <c r="AX231" i="10"/>
  <c r="AT231" i="10"/>
  <c r="AS231" i="10"/>
  <c r="AX230" i="10"/>
  <c r="AT230" i="10"/>
  <c r="AS230" i="10"/>
  <c r="AX229" i="10"/>
  <c r="AT229" i="10"/>
  <c r="AS229" i="10"/>
  <c r="AX228" i="10"/>
  <c r="AT228" i="10"/>
  <c r="AU228" i="10" s="1"/>
  <c r="AS228" i="10"/>
  <c r="AX227" i="10"/>
  <c r="AT227" i="10"/>
  <c r="AS227" i="10"/>
  <c r="AX226" i="10"/>
  <c r="AT226" i="10"/>
  <c r="AS226" i="10"/>
  <c r="AX225" i="10"/>
  <c r="AT225" i="10"/>
  <c r="AS225" i="10"/>
  <c r="AS247" i="10" s="1"/>
  <c r="AW224" i="10"/>
  <c r="AX224" i="10" s="1"/>
  <c r="AV224" i="10"/>
  <c r="AT223" i="10"/>
  <c r="AS223" i="10"/>
  <c r="AX222" i="10"/>
  <c r="AT222" i="10"/>
  <c r="AS222" i="10"/>
  <c r="AX221" i="10"/>
  <c r="AT221" i="10"/>
  <c r="AS221" i="10"/>
  <c r="AX220" i="10"/>
  <c r="AT220" i="10"/>
  <c r="AU220" i="10" s="1"/>
  <c r="AS220" i="10"/>
  <c r="AX219" i="10"/>
  <c r="AT219" i="10"/>
  <c r="AS219" i="10"/>
  <c r="AX218" i="10"/>
  <c r="AT218" i="10"/>
  <c r="AS218" i="10"/>
  <c r="AX217" i="10"/>
  <c r="AT217" i="10"/>
  <c r="AS217" i="10"/>
  <c r="AX216" i="10"/>
  <c r="AT216" i="10"/>
  <c r="AU216" i="10" s="1"/>
  <c r="AS216" i="10"/>
  <c r="AX215" i="10"/>
  <c r="AT215" i="10"/>
  <c r="AS215" i="10"/>
  <c r="AX214" i="10"/>
  <c r="AT214" i="10"/>
  <c r="AS214" i="10"/>
  <c r="AX213" i="10"/>
  <c r="AT213" i="10"/>
  <c r="AS213" i="10"/>
  <c r="AX212" i="10"/>
  <c r="AT212" i="10"/>
  <c r="AT224" i="10" s="1"/>
  <c r="AS212" i="10"/>
  <c r="AW206" i="10"/>
  <c r="AV206" i="10"/>
  <c r="AX206" i="10" s="1"/>
  <c r="AX205" i="10"/>
  <c r="AT205" i="10"/>
  <c r="AU205" i="10" s="1"/>
  <c r="AS205" i="10"/>
  <c r="AX204" i="10"/>
  <c r="AW204" i="10"/>
  <c r="AV204" i="10"/>
  <c r="AX203" i="10"/>
  <c r="AT203" i="10"/>
  <c r="AS203" i="10"/>
  <c r="AX202" i="10"/>
  <c r="AT202" i="10"/>
  <c r="AS202" i="10"/>
  <c r="AX201" i="10"/>
  <c r="AT201" i="10"/>
  <c r="AS201" i="10"/>
  <c r="AU201" i="10" s="1"/>
  <c r="AX200" i="10"/>
  <c r="AT200" i="10"/>
  <c r="AS200" i="10"/>
  <c r="AU200" i="10" s="1"/>
  <c r="AX199" i="10"/>
  <c r="AT199" i="10"/>
  <c r="AS199" i="10"/>
  <c r="AU199" i="10" s="1"/>
  <c r="AX198" i="10"/>
  <c r="AT198" i="10"/>
  <c r="AS198" i="10"/>
  <c r="AX197" i="10"/>
  <c r="AT197" i="10"/>
  <c r="AS197" i="10"/>
  <c r="AU197" i="10" s="1"/>
  <c r="AX196" i="10"/>
  <c r="AT196" i="10"/>
  <c r="AS196" i="10"/>
  <c r="AU196" i="10" s="1"/>
  <c r="AX195" i="10"/>
  <c r="AT195" i="10"/>
  <c r="AS195" i="10"/>
  <c r="AU195" i="10" s="1"/>
  <c r="AX194" i="10"/>
  <c r="AT194" i="10"/>
  <c r="AS194" i="10"/>
  <c r="AX193" i="10"/>
  <c r="AT193" i="10"/>
  <c r="AS193" i="10"/>
  <c r="AU193" i="10" s="1"/>
  <c r="AX192" i="10"/>
  <c r="AT192" i="10"/>
  <c r="AS192" i="10"/>
  <c r="AU192" i="10" s="1"/>
  <c r="AX191" i="10"/>
  <c r="AT191" i="10"/>
  <c r="AS191" i="10"/>
  <c r="AU191" i="10" s="1"/>
  <c r="AX190" i="10"/>
  <c r="AT190" i="10"/>
  <c r="AS190" i="10"/>
  <c r="AX189" i="10"/>
  <c r="AT189" i="10"/>
  <c r="AS189" i="10"/>
  <c r="AU189" i="10" s="1"/>
  <c r="AX188" i="10"/>
  <c r="AT188" i="10"/>
  <c r="AS188" i="10"/>
  <c r="AU188" i="10" s="1"/>
  <c r="AX187" i="10"/>
  <c r="AT187" i="10"/>
  <c r="AS187" i="10"/>
  <c r="AU187" i="10" s="1"/>
  <c r="AX186" i="10"/>
  <c r="AT186" i="10"/>
  <c r="AS186" i="10"/>
  <c r="AX185" i="10"/>
  <c r="AT185" i="10"/>
  <c r="AS185" i="10"/>
  <c r="AU185" i="10" s="1"/>
  <c r="AX184" i="10"/>
  <c r="AT184" i="10"/>
  <c r="AS184" i="10"/>
  <c r="AX183" i="10"/>
  <c r="AT183" i="10"/>
  <c r="AS183" i="10"/>
  <c r="AU183" i="10" s="1"/>
  <c r="AX182" i="10"/>
  <c r="AT182" i="10"/>
  <c r="AS182" i="10"/>
  <c r="AX181" i="10"/>
  <c r="AT181" i="10"/>
  <c r="AS181" i="10"/>
  <c r="AU181" i="10" s="1"/>
  <c r="AX180" i="10"/>
  <c r="AT180" i="10"/>
  <c r="AT204" i="10" s="1"/>
  <c r="AS180" i="10"/>
  <c r="AX179" i="10"/>
  <c r="AT179" i="10"/>
  <c r="AS179" i="10"/>
  <c r="AS206" i="10" s="1"/>
  <c r="AW178" i="10"/>
  <c r="AX178" i="10" s="1"/>
  <c r="AV178" i="10"/>
  <c r="AX177" i="10"/>
  <c r="AT177" i="10"/>
  <c r="AS177" i="10"/>
  <c r="AX176" i="10"/>
  <c r="AT176" i="10"/>
  <c r="AS176" i="10"/>
  <c r="AX175" i="10"/>
  <c r="AT175" i="10"/>
  <c r="AS175" i="10"/>
  <c r="AX174" i="10"/>
  <c r="AT174" i="10"/>
  <c r="AU174" i="10" s="1"/>
  <c r="AS174" i="10"/>
  <c r="AX173" i="10"/>
  <c r="AT173" i="10"/>
  <c r="AS173" i="10"/>
  <c r="AX172" i="10"/>
  <c r="AT172" i="10"/>
  <c r="AU172" i="10" s="1"/>
  <c r="AS172" i="10"/>
  <c r="AX171" i="10"/>
  <c r="AT171" i="10"/>
  <c r="AS171" i="10"/>
  <c r="AX170" i="10"/>
  <c r="AT170" i="10"/>
  <c r="AU170" i="10" s="1"/>
  <c r="AS170" i="10"/>
  <c r="AX169" i="10"/>
  <c r="AT169" i="10"/>
  <c r="AS169" i="10"/>
  <c r="AX168" i="10"/>
  <c r="AT168" i="10"/>
  <c r="AU168" i="10" s="1"/>
  <c r="AS168" i="10"/>
  <c r="AX167" i="10"/>
  <c r="AT167" i="10"/>
  <c r="AS167" i="10"/>
  <c r="AX166" i="10"/>
  <c r="AT166" i="10"/>
  <c r="AU166" i="10" s="1"/>
  <c r="AS166" i="10"/>
  <c r="AX165" i="10"/>
  <c r="AT165" i="10"/>
  <c r="AS165" i="10"/>
  <c r="AX164" i="10"/>
  <c r="AT164" i="10"/>
  <c r="AU164" i="10" s="1"/>
  <c r="AS164" i="10"/>
  <c r="AX163" i="10"/>
  <c r="AT163" i="10"/>
  <c r="AS163" i="10"/>
  <c r="AX162" i="10"/>
  <c r="AT162" i="10"/>
  <c r="AU162" i="10" s="1"/>
  <c r="AS162" i="10"/>
  <c r="AW154" i="10"/>
  <c r="AV154" i="10"/>
  <c r="AX153" i="10"/>
  <c r="AT153" i="10"/>
  <c r="AU153" i="10" s="1"/>
  <c r="AS153" i="10"/>
  <c r="AW152" i="10"/>
  <c r="AX152" i="10" s="1"/>
  <c r="AV152" i="10"/>
  <c r="AT151" i="10"/>
  <c r="AS151" i="10"/>
  <c r="AX150" i="10"/>
  <c r="AT150" i="10"/>
  <c r="AS150" i="10"/>
  <c r="AX149" i="10"/>
  <c r="AT149" i="10"/>
  <c r="AS149" i="10"/>
  <c r="AT148" i="10"/>
  <c r="AS148" i="10"/>
  <c r="AX147" i="10"/>
  <c r="AT147" i="10"/>
  <c r="AS147" i="10"/>
  <c r="AU147" i="10" s="1"/>
  <c r="AX146" i="10"/>
  <c r="AT146" i="10"/>
  <c r="AS146" i="10"/>
  <c r="AX145" i="10"/>
  <c r="AT145" i="10"/>
  <c r="AU145" i="10" s="1"/>
  <c r="AS145" i="10"/>
  <c r="AX144" i="10"/>
  <c r="AT144" i="10"/>
  <c r="AS144" i="10"/>
  <c r="AX143" i="10"/>
  <c r="AT143" i="10"/>
  <c r="AS143" i="10"/>
  <c r="AX142" i="10"/>
  <c r="AT142" i="10"/>
  <c r="AS142" i="10"/>
  <c r="AX141" i="10"/>
  <c r="AT141" i="10"/>
  <c r="AU141" i="10" s="1"/>
  <c r="AS141" i="10"/>
  <c r="AX140" i="10"/>
  <c r="AT140" i="10"/>
  <c r="AS140" i="10"/>
  <c r="AX139" i="10"/>
  <c r="AT139" i="10"/>
  <c r="AU139" i="10" s="1"/>
  <c r="AS139" i="10"/>
  <c r="AX138" i="10"/>
  <c r="AT138" i="10"/>
  <c r="AS138" i="10"/>
  <c r="AX137" i="10"/>
  <c r="AT137" i="10"/>
  <c r="AU137" i="10" s="1"/>
  <c r="AS137" i="10"/>
  <c r="AX136" i="10"/>
  <c r="AT136" i="10"/>
  <c r="AS136" i="10"/>
  <c r="AX135" i="10"/>
  <c r="AT135" i="10"/>
  <c r="AU135" i="10" s="1"/>
  <c r="AS135" i="10"/>
  <c r="AX134" i="10"/>
  <c r="AT134" i="10"/>
  <c r="AS134" i="10"/>
  <c r="AX133" i="10"/>
  <c r="AT133" i="10"/>
  <c r="AU133" i="10" s="1"/>
  <c r="AS133" i="10"/>
  <c r="AX132" i="10"/>
  <c r="AT132" i="10"/>
  <c r="AS132" i="10"/>
  <c r="AX131" i="10"/>
  <c r="AT131" i="10"/>
  <c r="AT152" i="10" s="1"/>
  <c r="AS131" i="10"/>
  <c r="AX130" i="10"/>
  <c r="AT130" i="10"/>
  <c r="AS130" i="10"/>
  <c r="AW129" i="10"/>
  <c r="AV129" i="10"/>
  <c r="AX129" i="10" s="1"/>
  <c r="AT128" i="10"/>
  <c r="AS128" i="10"/>
  <c r="AT127" i="10"/>
  <c r="AS127" i="10"/>
  <c r="AX126" i="10"/>
  <c r="AT126" i="10"/>
  <c r="AS126" i="10"/>
  <c r="AX125" i="10"/>
  <c r="AT125" i="10"/>
  <c r="AS125" i="10"/>
  <c r="AX124" i="10"/>
  <c r="AT124" i="10"/>
  <c r="AU124" i="10" s="1"/>
  <c r="AS124" i="10"/>
  <c r="AX123" i="10"/>
  <c r="AT123" i="10"/>
  <c r="AS123" i="10"/>
  <c r="AT122" i="10"/>
  <c r="AS122" i="10"/>
  <c r="AX121" i="10"/>
  <c r="AT121" i="10"/>
  <c r="AS121" i="10"/>
  <c r="AX120" i="10"/>
  <c r="AT120" i="10"/>
  <c r="AS120" i="10"/>
  <c r="AU120" i="10" s="1"/>
  <c r="AX119" i="10"/>
  <c r="AT119" i="10"/>
  <c r="AS119" i="10"/>
  <c r="AX118" i="10"/>
  <c r="AT118" i="10"/>
  <c r="AS118" i="10"/>
  <c r="AU118" i="10" s="1"/>
  <c r="AX117" i="10"/>
  <c r="AT117" i="10"/>
  <c r="AS117" i="10"/>
  <c r="AX116" i="10"/>
  <c r="AT116" i="10"/>
  <c r="AS116" i="10"/>
  <c r="AU116" i="10" s="1"/>
  <c r="AX115" i="10"/>
  <c r="AT115" i="10"/>
  <c r="AS115" i="10"/>
  <c r="AX114" i="10"/>
  <c r="AT114" i="10"/>
  <c r="AS114" i="10"/>
  <c r="AU114" i="10" s="1"/>
  <c r="AX113" i="10"/>
  <c r="AT113" i="10"/>
  <c r="AS113" i="10"/>
  <c r="AX112" i="10"/>
  <c r="AT112" i="10"/>
  <c r="AS112" i="10"/>
  <c r="AU112" i="10" s="1"/>
  <c r="AX111" i="10"/>
  <c r="AT111" i="10"/>
  <c r="AS111" i="10"/>
  <c r="AX105" i="10"/>
  <c r="AT105" i="10"/>
  <c r="AS105" i="10"/>
  <c r="AU105" i="10" s="1"/>
  <c r="AW104" i="10"/>
  <c r="AX104" i="10" s="1"/>
  <c r="AV104" i="10"/>
  <c r="AT103" i="10"/>
  <c r="AS103" i="10"/>
  <c r="AT102" i="10"/>
  <c r="AS102" i="10"/>
  <c r="AX101" i="10"/>
  <c r="AT101" i="10"/>
  <c r="AS101" i="10"/>
  <c r="AX100" i="10"/>
  <c r="AT100" i="10"/>
  <c r="AS100" i="10"/>
  <c r="AX99" i="10"/>
  <c r="AT99" i="10"/>
  <c r="AS99" i="10"/>
  <c r="AX98" i="10"/>
  <c r="AT98" i="10"/>
  <c r="AS98" i="10"/>
  <c r="AU98" i="10" s="1"/>
  <c r="AX97" i="10"/>
  <c r="AT97" i="10"/>
  <c r="AS97" i="10"/>
  <c r="AU97" i="10" s="1"/>
  <c r="AX96" i="10"/>
  <c r="AT96" i="10"/>
  <c r="AS96" i="10"/>
  <c r="AU96" i="10" s="1"/>
  <c r="AX95" i="10"/>
  <c r="AT95" i="10"/>
  <c r="AS95" i="10"/>
  <c r="AX94" i="10"/>
  <c r="AT94" i="10"/>
  <c r="AU94" i="10" s="1"/>
  <c r="AS94" i="10"/>
  <c r="AX93" i="10"/>
  <c r="AT93" i="10"/>
  <c r="AU93" i="10" s="1"/>
  <c r="AS93" i="10"/>
  <c r="AX92" i="10"/>
  <c r="AT92" i="10"/>
  <c r="AU92" i="10" s="1"/>
  <c r="AS92" i="10"/>
  <c r="AX91" i="10"/>
  <c r="AT91" i="10"/>
  <c r="AS91" i="10"/>
  <c r="AW90" i="10"/>
  <c r="AX90" i="10" s="1"/>
  <c r="AV90" i="10"/>
  <c r="AT89" i="10"/>
  <c r="AS89" i="10"/>
  <c r="AT88" i="10"/>
  <c r="AS88" i="10"/>
  <c r="AT87" i="10"/>
  <c r="AS87" i="10"/>
  <c r="AT86" i="10"/>
  <c r="AS86" i="10"/>
  <c r="AT85" i="10"/>
  <c r="AS85" i="10"/>
  <c r="AX84" i="10"/>
  <c r="AT84" i="10"/>
  <c r="AS84" i="10"/>
  <c r="AX83" i="10"/>
  <c r="AT83" i="10"/>
  <c r="AU83" i="10" s="1"/>
  <c r="AS83" i="10"/>
  <c r="AT82" i="10"/>
  <c r="AS82" i="10"/>
  <c r="AX81" i="10"/>
  <c r="AT81" i="10"/>
  <c r="AS81" i="10"/>
  <c r="AX80" i="10"/>
  <c r="AT80" i="10"/>
  <c r="AS80" i="10"/>
  <c r="AX79" i="10"/>
  <c r="AT79" i="10"/>
  <c r="AS79" i="10"/>
  <c r="AX78" i="10"/>
  <c r="AT78" i="10"/>
  <c r="AU78" i="10" s="1"/>
  <c r="AS78" i="10"/>
  <c r="AX77" i="10"/>
  <c r="AT77" i="10"/>
  <c r="AS77" i="10"/>
  <c r="AX76" i="10"/>
  <c r="AT76" i="10"/>
  <c r="AU76" i="10" s="1"/>
  <c r="AS76" i="10"/>
  <c r="AX75" i="10"/>
  <c r="AT75" i="10"/>
  <c r="AS75" i="10"/>
  <c r="AX74" i="10"/>
  <c r="AT74" i="10"/>
  <c r="AU74" i="10" s="1"/>
  <c r="AS74" i="10"/>
  <c r="AX73" i="10"/>
  <c r="AT73" i="10"/>
  <c r="AS73" i="10"/>
  <c r="AX72" i="10"/>
  <c r="AT72" i="10"/>
  <c r="AU72" i="10" s="1"/>
  <c r="AS72" i="10"/>
  <c r="AX71" i="10"/>
  <c r="AT71" i="10"/>
  <c r="AS71" i="10"/>
  <c r="AX70" i="10"/>
  <c r="AT70" i="10"/>
  <c r="AU70" i="10" s="1"/>
  <c r="AS70" i="10"/>
  <c r="AX69" i="10"/>
  <c r="AT69" i="10"/>
  <c r="AS69" i="10"/>
  <c r="AX68" i="10"/>
  <c r="AT68" i="10"/>
  <c r="AU68" i="10" s="1"/>
  <c r="AS68" i="10"/>
  <c r="AX67" i="10"/>
  <c r="AT67" i="10"/>
  <c r="AS67" i="10"/>
  <c r="AX66" i="10"/>
  <c r="AT66" i="10"/>
  <c r="AS66" i="10"/>
  <c r="AW60" i="10"/>
  <c r="AZ60" i="10" s="1"/>
  <c r="AV60" i="10"/>
  <c r="AX59" i="10"/>
  <c r="AU59" i="10"/>
  <c r="AT59" i="10"/>
  <c r="AS59" i="10"/>
  <c r="AW58" i="10"/>
  <c r="AV58" i="10"/>
  <c r="AT58" i="10"/>
  <c r="AT57" i="10"/>
  <c r="AS57" i="10"/>
  <c r="AX56" i="10"/>
  <c r="AT56" i="10"/>
  <c r="AS56" i="10"/>
  <c r="AU56" i="10" s="1"/>
  <c r="AX55" i="10"/>
  <c r="AT55" i="10"/>
  <c r="AS55" i="10"/>
  <c r="AU55" i="10" s="1"/>
  <c r="AX54" i="10"/>
  <c r="AT54" i="10"/>
  <c r="AS54" i="10"/>
  <c r="AU54" i="10" s="1"/>
  <c r="AX53" i="10"/>
  <c r="AT53" i="10"/>
  <c r="AS53" i="10"/>
  <c r="AU53" i="10" s="1"/>
  <c r="AX52" i="10"/>
  <c r="AT52" i="10"/>
  <c r="AS52" i="10"/>
  <c r="AU52" i="10" s="1"/>
  <c r="AX51" i="10"/>
  <c r="AT51" i="10"/>
  <c r="AS51" i="10"/>
  <c r="AU51" i="10" s="1"/>
  <c r="AX50" i="10"/>
  <c r="AT50" i="10"/>
  <c r="AS50" i="10"/>
  <c r="AU50" i="10" s="1"/>
  <c r="AX49" i="10"/>
  <c r="AT49" i="10"/>
  <c r="AS49" i="10"/>
  <c r="AS58" i="10" s="1"/>
  <c r="AX48" i="10"/>
  <c r="AT48" i="10"/>
  <c r="AS48" i="10"/>
  <c r="AU48" i="10" s="1"/>
  <c r="AW47" i="10"/>
  <c r="AV47" i="10"/>
  <c r="AT46" i="10"/>
  <c r="AS46" i="10"/>
  <c r="AT45" i="10"/>
  <c r="AS45" i="10"/>
  <c r="AX44" i="10"/>
  <c r="AT44" i="10"/>
  <c r="AS44" i="10"/>
  <c r="AX43" i="10"/>
  <c r="AT43" i="10"/>
  <c r="AU43" i="10" s="1"/>
  <c r="AS43" i="10"/>
  <c r="AX42" i="10"/>
  <c r="AT42" i="10"/>
  <c r="AU42" i="10" s="1"/>
  <c r="AS42" i="10"/>
  <c r="AX41" i="10"/>
  <c r="AT41" i="10"/>
  <c r="AS41" i="10"/>
  <c r="AX40" i="10"/>
  <c r="AT40" i="10"/>
  <c r="AU40" i="10" s="1"/>
  <c r="AS40" i="10"/>
  <c r="AX39" i="10"/>
  <c r="AT39" i="10"/>
  <c r="AS39" i="10"/>
  <c r="AX38" i="10"/>
  <c r="AT38" i="10"/>
  <c r="AS38" i="10"/>
  <c r="AX37" i="10"/>
  <c r="AT37" i="10"/>
  <c r="AS37" i="10"/>
  <c r="AX36" i="10"/>
  <c r="AT36" i="10"/>
  <c r="AU36" i="10" s="1"/>
  <c r="AS36" i="10"/>
  <c r="AX35" i="10"/>
  <c r="AT35" i="10"/>
  <c r="AS35" i="10"/>
  <c r="AX34" i="10"/>
  <c r="AT34" i="10"/>
  <c r="AU34" i="10" s="1"/>
  <c r="AS34" i="10"/>
  <c r="AX33" i="10"/>
  <c r="AT33" i="10"/>
  <c r="AS33" i="10"/>
  <c r="AX32" i="10"/>
  <c r="AT32" i="10"/>
  <c r="AU32" i="10" s="1"/>
  <c r="AS32" i="10"/>
  <c r="AX31" i="10"/>
  <c r="AT31" i="10"/>
  <c r="AS31" i="10"/>
  <c r="AX30" i="10"/>
  <c r="AT30" i="10"/>
  <c r="AU30" i="10" s="1"/>
  <c r="AS30" i="10"/>
  <c r="AX29" i="10"/>
  <c r="AT29" i="10"/>
  <c r="AS29" i="10"/>
  <c r="AX28" i="10"/>
  <c r="AT28" i="10"/>
  <c r="AU28" i="10" s="1"/>
  <c r="AS28" i="10"/>
  <c r="AW27" i="10"/>
  <c r="AX27" i="10" s="1"/>
  <c r="AV27" i="10"/>
  <c r="AT26" i="10"/>
  <c r="AS26" i="10"/>
  <c r="AX25" i="10"/>
  <c r="AT25" i="10"/>
  <c r="AS25" i="10"/>
  <c r="AX24" i="10"/>
  <c r="AT24" i="10"/>
  <c r="AS24" i="10"/>
  <c r="AX23" i="10"/>
  <c r="AT23" i="10"/>
  <c r="AS23" i="10"/>
  <c r="AX22" i="10"/>
  <c r="AT22" i="10"/>
  <c r="AS22" i="10"/>
  <c r="AX21" i="10"/>
  <c r="AT21" i="10"/>
  <c r="AS21" i="10"/>
  <c r="AX20" i="10"/>
  <c r="AT20" i="10"/>
  <c r="AU20" i="10" s="1"/>
  <c r="AS20" i="10"/>
  <c r="AX19" i="10"/>
  <c r="AT19" i="10"/>
  <c r="AS19" i="10"/>
  <c r="AX18" i="10"/>
  <c r="AT18" i="10"/>
  <c r="AS18" i="10"/>
  <c r="AX17" i="10"/>
  <c r="AT17" i="10"/>
  <c r="AS17" i="10"/>
  <c r="AX16" i="10"/>
  <c r="AT16" i="10"/>
  <c r="AU16" i="10" s="1"/>
  <c r="AS16" i="10"/>
  <c r="AX15" i="10"/>
  <c r="AT15" i="10"/>
  <c r="AS15" i="10"/>
  <c r="AX14" i="10"/>
  <c r="AT14" i="10"/>
  <c r="AU14" i="10" s="1"/>
  <c r="AS14" i="10"/>
  <c r="AX13" i="10"/>
  <c r="AT13" i="10"/>
  <c r="AS13" i="10"/>
  <c r="AX12" i="10"/>
  <c r="AT12" i="10"/>
  <c r="AU12" i="10" s="1"/>
  <c r="AS12" i="10"/>
  <c r="AW11" i="10"/>
  <c r="AX11" i="10" s="1"/>
  <c r="AV11" i="10"/>
  <c r="AT10" i="10"/>
  <c r="AS10" i="10"/>
  <c r="AX9" i="10"/>
  <c r="AT9" i="10"/>
  <c r="AS9" i="10"/>
  <c r="AT8" i="10"/>
  <c r="AS8" i="10"/>
  <c r="AX7" i="10"/>
  <c r="AT7" i="10"/>
  <c r="AS7" i="10"/>
  <c r="AX6" i="10"/>
  <c r="AT6" i="10"/>
  <c r="AS6" i="10"/>
  <c r="AX5" i="10"/>
  <c r="AT5" i="10"/>
  <c r="AU5" i="10" s="1"/>
  <c r="AS5" i="10"/>
  <c r="AW49" i="9"/>
  <c r="AS49" i="9"/>
  <c r="AR49" i="9"/>
  <c r="AT49" i="9" s="1"/>
  <c r="AV48" i="9"/>
  <c r="AU48" i="9"/>
  <c r="AS47" i="9"/>
  <c r="AR47" i="9"/>
  <c r="AS46" i="9"/>
  <c r="AR46" i="9"/>
  <c r="AS45" i="9"/>
  <c r="AR45" i="9"/>
  <c r="AS44" i="9"/>
  <c r="AR44" i="9"/>
  <c r="AS43" i="9"/>
  <c r="AR43" i="9"/>
  <c r="AS42" i="9"/>
  <c r="AR42" i="9"/>
  <c r="AS41" i="9"/>
  <c r="AR41" i="9"/>
  <c r="AW40" i="9"/>
  <c r="AS40" i="9"/>
  <c r="AR40" i="9"/>
  <c r="AW39" i="9"/>
  <c r="AS39" i="9"/>
  <c r="AR39" i="9"/>
  <c r="AW38" i="9"/>
  <c r="AS38" i="9"/>
  <c r="AR38" i="9"/>
  <c r="AW37" i="9"/>
  <c r="AS37" i="9"/>
  <c r="AR37" i="9"/>
  <c r="AW36" i="9"/>
  <c r="AS36" i="9"/>
  <c r="AT36" i="9" s="1"/>
  <c r="AR36" i="9"/>
  <c r="AW35" i="9"/>
  <c r="AS35" i="9"/>
  <c r="AR35" i="9"/>
  <c r="AW34" i="9"/>
  <c r="AS34" i="9"/>
  <c r="AT34" i="9" s="1"/>
  <c r="AR34" i="9"/>
  <c r="AW33" i="9"/>
  <c r="AS33" i="9"/>
  <c r="AR33" i="9"/>
  <c r="AV32" i="9"/>
  <c r="AU32" i="9"/>
  <c r="AW32" i="9" s="1"/>
  <c r="AW31" i="9"/>
  <c r="AS31" i="9"/>
  <c r="AR31" i="9"/>
  <c r="AW30" i="9"/>
  <c r="AS30" i="9"/>
  <c r="AR30" i="9"/>
  <c r="AW29" i="9"/>
  <c r="AS29" i="9"/>
  <c r="AR29" i="9"/>
  <c r="AW28" i="9"/>
  <c r="AS28" i="9"/>
  <c r="AR28" i="9"/>
  <c r="AW27" i="9"/>
  <c r="AS27" i="9"/>
  <c r="AR27" i="9"/>
  <c r="AW26" i="9"/>
  <c r="AS26" i="9"/>
  <c r="AT26" i="9" s="1"/>
  <c r="AR26" i="9"/>
  <c r="AW25" i="9"/>
  <c r="AS25" i="9"/>
  <c r="AR25" i="9"/>
  <c r="AW24" i="9"/>
  <c r="AT24" i="9"/>
  <c r="AS24" i="9"/>
  <c r="AR24" i="9"/>
  <c r="AW23" i="9"/>
  <c r="AT23" i="9"/>
  <c r="AS23" i="9"/>
  <c r="AR23" i="9"/>
  <c r="AW22" i="9"/>
  <c r="AT22" i="9"/>
  <c r="AS22" i="9"/>
  <c r="AR22" i="9"/>
  <c r="AW21" i="9"/>
  <c r="AT21" i="9"/>
  <c r="AS21" i="9"/>
  <c r="AR21" i="9"/>
  <c r="AW20" i="9"/>
  <c r="AT20" i="9"/>
  <c r="AS20" i="9"/>
  <c r="AR20" i="9"/>
  <c r="AW19" i="9"/>
  <c r="AT19" i="9"/>
  <c r="AS19" i="9"/>
  <c r="AR19" i="9"/>
  <c r="AS18" i="9"/>
  <c r="AR18" i="9"/>
  <c r="AW17" i="9"/>
  <c r="AS17" i="9"/>
  <c r="AR17" i="9"/>
  <c r="AW16" i="9"/>
  <c r="AS16" i="9"/>
  <c r="AR16" i="9"/>
  <c r="AT16" i="9" s="1"/>
  <c r="AW15" i="9"/>
  <c r="AS15" i="9"/>
  <c r="AR15" i="9"/>
  <c r="AW14" i="9"/>
  <c r="AS14" i="9"/>
  <c r="AR14" i="9"/>
  <c r="AT14" i="9" s="1"/>
  <c r="AW13" i="9"/>
  <c r="AS13" i="9"/>
  <c r="AR13" i="9"/>
  <c r="AW12" i="9"/>
  <c r="AS12" i="9"/>
  <c r="AR12" i="9"/>
  <c r="AT12" i="9" s="1"/>
  <c r="AW11" i="9"/>
  <c r="AS11" i="9"/>
  <c r="AR11" i="9"/>
  <c r="AW10" i="9"/>
  <c r="AS10" i="9"/>
  <c r="AR10" i="9"/>
  <c r="AT10" i="9" s="1"/>
  <c r="AW9" i="9"/>
  <c r="AS9" i="9"/>
  <c r="AR9" i="9"/>
  <c r="AW8" i="9"/>
  <c r="AS8" i="9"/>
  <c r="AR8" i="9"/>
  <c r="AT8" i="9" s="1"/>
  <c r="AW7" i="9"/>
  <c r="AS7" i="9"/>
  <c r="AR7" i="9"/>
  <c r="AW6" i="9"/>
  <c r="AS6" i="9"/>
  <c r="AR6" i="9"/>
  <c r="AT6" i="9" s="1"/>
  <c r="AW5" i="9"/>
  <c r="AS5" i="9"/>
  <c r="AR5" i="9"/>
  <c r="AW98" i="8"/>
  <c r="AX98" i="8" s="1"/>
  <c r="AV98" i="8"/>
  <c r="AX97" i="8"/>
  <c r="AT97" i="8"/>
  <c r="AS97" i="8"/>
  <c r="AU97" i="8" s="1"/>
  <c r="AW96" i="8"/>
  <c r="AV96" i="8"/>
  <c r="AT95" i="8"/>
  <c r="AS95" i="8"/>
  <c r="AT94" i="8"/>
  <c r="AS94" i="8"/>
  <c r="AT93" i="8"/>
  <c r="AS93" i="8"/>
  <c r="AT92" i="8"/>
  <c r="AS92" i="8"/>
  <c r="AX91" i="8"/>
  <c r="AT91" i="8"/>
  <c r="AS91" i="8"/>
  <c r="AT90" i="8"/>
  <c r="AS90" i="8"/>
  <c r="AT89" i="8"/>
  <c r="AS89" i="8"/>
  <c r="AX88" i="8"/>
  <c r="AT88" i="8"/>
  <c r="AS88" i="8"/>
  <c r="AX87" i="8"/>
  <c r="AT87" i="8"/>
  <c r="AS87" i="8"/>
  <c r="AX86" i="8"/>
  <c r="AT86" i="8"/>
  <c r="AS86" i="8"/>
  <c r="AX85" i="8"/>
  <c r="AT85" i="8"/>
  <c r="AS85" i="8"/>
  <c r="AX84" i="8"/>
  <c r="AT84" i="8"/>
  <c r="AS84" i="8"/>
  <c r="AX83" i="8"/>
  <c r="AT83" i="8"/>
  <c r="AU83" i="8" s="1"/>
  <c r="AS83" i="8"/>
  <c r="AX82" i="8"/>
  <c r="AT82" i="8"/>
  <c r="AS82" i="8"/>
  <c r="AX81" i="8"/>
  <c r="AT81" i="8"/>
  <c r="AU81" i="8" s="1"/>
  <c r="AS81" i="8"/>
  <c r="AX80" i="8"/>
  <c r="AT80" i="8"/>
  <c r="AS80" i="8"/>
  <c r="AX79" i="8"/>
  <c r="AT79" i="8"/>
  <c r="AU79" i="8" s="1"/>
  <c r="AS79" i="8"/>
  <c r="AX78" i="8"/>
  <c r="AT78" i="8"/>
  <c r="AS78" i="8"/>
  <c r="AX77" i="8"/>
  <c r="AT77" i="8"/>
  <c r="AS77" i="8"/>
  <c r="AX76" i="8"/>
  <c r="AT76" i="8"/>
  <c r="AS76" i="8"/>
  <c r="AX75" i="8"/>
  <c r="AT75" i="8"/>
  <c r="AU75" i="8" s="1"/>
  <c r="AS75" i="8"/>
  <c r="AX74" i="8"/>
  <c r="AT74" i="8"/>
  <c r="AS74" i="8"/>
  <c r="AX73" i="8"/>
  <c r="AT73" i="8"/>
  <c r="AU73" i="8" s="1"/>
  <c r="AS73" i="8"/>
  <c r="AX72" i="8"/>
  <c r="AT72" i="8"/>
  <c r="AS72" i="8"/>
  <c r="AX71" i="8"/>
  <c r="AT71" i="8"/>
  <c r="AU71" i="8" s="1"/>
  <c r="AS71" i="8"/>
  <c r="AX70" i="8"/>
  <c r="AW70" i="8"/>
  <c r="AV70" i="8"/>
  <c r="AT69" i="8"/>
  <c r="AS69" i="8"/>
  <c r="AT68" i="8"/>
  <c r="AS68" i="8"/>
  <c r="AT67" i="8"/>
  <c r="AS67" i="8"/>
  <c r="AX66" i="8"/>
  <c r="AT66" i="8"/>
  <c r="AU66" i="8" s="1"/>
  <c r="AS66" i="8"/>
  <c r="AX65" i="8"/>
  <c r="AT65" i="8"/>
  <c r="AS65" i="8"/>
  <c r="AX64" i="8"/>
  <c r="AT64" i="8"/>
  <c r="AS64" i="8"/>
  <c r="AX63" i="8"/>
  <c r="AT63" i="8"/>
  <c r="AS63" i="8"/>
  <c r="AX62" i="8"/>
  <c r="AT62" i="8"/>
  <c r="AU62" i="8" s="1"/>
  <c r="AS62" i="8"/>
  <c r="AT61" i="8"/>
  <c r="AS61" i="8"/>
  <c r="AX60" i="8"/>
  <c r="AT60" i="8"/>
  <c r="AS60" i="8"/>
  <c r="AX59" i="8"/>
  <c r="AT59" i="8"/>
  <c r="AU59" i="8" s="1"/>
  <c r="AS59" i="8"/>
  <c r="AX58" i="8"/>
  <c r="AT58" i="8"/>
  <c r="AS58" i="8"/>
  <c r="AX57" i="8"/>
  <c r="AT57" i="8"/>
  <c r="AS57" i="8"/>
  <c r="AX56" i="8"/>
  <c r="AT56" i="8"/>
  <c r="AS56" i="8"/>
  <c r="AX55" i="8"/>
  <c r="AT55" i="8"/>
  <c r="AU55" i="8" s="1"/>
  <c r="AS55" i="8"/>
  <c r="AX54" i="8"/>
  <c r="AT54" i="8"/>
  <c r="AS54" i="8"/>
  <c r="AX53" i="8"/>
  <c r="AT53" i="8"/>
  <c r="AU53" i="8" s="1"/>
  <c r="AS53" i="8"/>
  <c r="AX52" i="8"/>
  <c r="AT52" i="8"/>
  <c r="AS52" i="8"/>
  <c r="AX51" i="8"/>
  <c r="AT51" i="8"/>
  <c r="AU51" i="8" s="1"/>
  <c r="AS51" i="8"/>
  <c r="AX50" i="8"/>
  <c r="AT50" i="8"/>
  <c r="AS50" i="8"/>
  <c r="AW49" i="8"/>
  <c r="AV49" i="8"/>
  <c r="AX49" i="8" s="1"/>
  <c r="AX48" i="8"/>
  <c r="AT48" i="8"/>
  <c r="AU48" i="8" s="1"/>
  <c r="AS48" i="8"/>
  <c r="AW47" i="8"/>
  <c r="AV47" i="8"/>
  <c r="AT46" i="8"/>
  <c r="AS46" i="8"/>
  <c r="AT45" i="8"/>
  <c r="AS45" i="8"/>
  <c r="AT44" i="8"/>
  <c r="AS44" i="8"/>
  <c r="AT43" i="8"/>
  <c r="AS43" i="8"/>
  <c r="AT42" i="8"/>
  <c r="AS42" i="8"/>
  <c r="AT41" i="8"/>
  <c r="AS41" i="8"/>
  <c r="AT40" i="8"/>
  <c r="AS40" i="8"/>
  <c r="AX39" i="8"/>
  <c r="AT39" i="8"/>
  <c r="AS39" i="8"/>
  <c r="AT38" i="8"/>
  <c r="AS38" i="8"/>
  <c r="AX37" i="8"/>
  <c r="AT37" i="8"/>
  <c r="AU37" i="8" s="1"/>
  <c r="AS37" i="8"/>
  <c r="AX36" i="8"/>
  <c r="AT36" i="8"/>
  <c r="AS36" i="8"/>
  <c r="AX35" i="8"/>
  <c r="AT35" i="8"/>
  <c r="AS35" i="8"/>
  <c r="AX34" i="8"/>
  <c r="AT34" i="8"/>
  <c r="AS34" i="8"/>
  <c r="AX33" i="8"/>
  <c r="AT33" i="8"/>
  <c r="AU33" i="8" s="1"/>
  <c r="AS33" i="8"/>
  <c r="AX32" i="8"/>
  <c r="AT32" i="8"/>
  <c r="AS32" i="8"/>
  <c r="AX31" i="8"/>
  <c r="AT31" i="8"/>
  <c r="AU31" i="8" s="1"/>
  <c r="AS31" i="8"/>
  <c r="AX30" i="8"/>
  <c r="AT30" i="8"/>
  <c r="AS30" i="8"/>
  <c r="AS47" i="8" s="1"/>
  <c r="AX29" i="8"/>
  <c r="AT29" i="8"/>
  <c r="AT49" i="8" s="1"/>
  <c r="AS29" i="8"/>
  <c r="AS49" i="8" s="1"/>
  <c r="AW28" i="8"/>
  <c r="AV28" i="8"/>
  <c r="AT27" i="8"/>
  <c r="AS27" i="8"/>
  <c r="AT26" i="8"/>
  <c r="AS26" i="8"/>
  <c r="AT25" i="8"/>
  <c r="AS25" i="8"/>
  <c r="AT24" i="8"/>
  <c r="AS24" i="8"/>
  <c r="AT23" i="8"/>
  <c r="AS23" i="8"/>
  <c r="AT22" i="8"/>
  <c r="AS22" i="8"/>
  <c r="AT21" i="8"/>
  <c r="AS21" i="8"/>
  <c r="AT20" i="8"/>
  <c r="AS20" i="8"/>
  <c r="AX19" i="8"/>
  <c r="AT19" i="8"/>
  <c r="AS19" i="8"/>
  <c r="AX18" i="8"/>
  <c r="AT18" i="8"/>
  <c r="AU18" i="8" s="1"/>
  <c r="AS18" i="8"/>
  <c r="AX17" i="8"/>
  <c r="AT17" i="8"/>
  <c r="AS17" i="8"/>
  <c r="AX16" i="8"/>
  <c r="AT16" i="8"/>
  <c r="AU16" i="8" s="1"/>
  <c r="AS16" i="8"/>
  <c r="AX15" i="8"/>
  <c r="AT15" i="8"/>
  <c r="AU15" i="8" s="1"/>
  <c r="AS15" i="8"/>
  <c r="AX14" i="8"/>
  <c r="AT14" i="8"/>
  <c r="AS14" i="8"/>
  <c r="AX13" i="8"/>
  <c r="AT13" i="8"/>
  <c r="AS13" i="8"/>
  <c r="AU13" i="8" s="1"/>
  <c r="AX12" i="8"/>
  <c r="AT12" i="8"/>
  <c r="AS12" i="8"/>
  <c r="AU12" i="8" s="1"/>
  <c r="AX11" i="8"/>
  <c r="AT11" i="8"/>
  <c r="AU11" i="8" s="1"/>
  <c r="AS11" i="8"/>
  <c r="AX10" i="8"/>
  <c r="AT10" i="8"/>
  <c r="AU10" i="8" s="1"/>
  <c r="AS10" i="8"/>
  <c r="AX9" i="8"/>
  <c r="AT9" i="8"/>
  <c r="AU9" i="8" s="1"/>
  <c r="AS9" i="8"/>
  <c r="AX8" i="8"/>
  <c r="AT8" i="8"/>
  <c r="AS8" i="8"/>
  <c r="AX7" i="8"/>
  <c r="AU7" i="8"/>
  <c r="AT7" i="8"/>
  <c r="AS7" i="8"/>
  <c r="AX6" i="8"/>
  <c r="AT6" i="8"/>
  <c r="AU6" i="8" s="1"/>
  <c r="AS6" i="8"/>
  <c r="AW266" i="7"/>
  <c r="AS266" i="7"/>
  <c r="AR266" i="7"/>
  <c r="AT266" i="7" s="1"/>
  <c r="AV265" i="7"/>
  <c r="AU265" i="7"/>
  <c r="AS264" i="7"/>
  <c r="AR264" i="7"/>
  <c r="AW263" i="7"/>
  <c r="AS263" i="7"/>
  <c r="AR263" i="7"/>
  <c r="AT263" i="7" s="1"/>
  <c r="AS262" i="7"/>
  <c r="AR262" i="7"/>
  <c r="AW261" i="7"/>
  <c r="AS261" i="7"/>
  <c r="AR261" i="7"/>
  <c r="AW260" i="7"/>
  <c r="AS260" i="7"/>
  <c r="AR260" i="7"/>
  <c r="AT260" i="7" s="1"/>
  <c r="AS259" i="7"/>
  <c r="AR259" i="7"/>
  <c r="AW258" i="7"/>
  <c r="AT258" i="7"/>
  <c r="AS258" i="7"/>
  <c r="AR258" i="7"/>
  <c r="AW257" i="7"/>
  <c r="AT257" i="7"/>
  <c r="AS257" i="7"/>
  <c r="AR257" i="7"/>
  <c r="AW256" i="7"/>
  <c r="AT256" i="7"/>
  <c r="AS256" i="7"/>
  <c r="AR256" i="7"/>
  <c r="AW255" i="7"/>
  <c r="AT255" i="7"/>
  <c r="AS255" i="7"/>
  <c r="AR255" i="7"/>
  <c r="AW254" i="7"/>
  <c r="AT254" i="7"/>
  <c r="AS254" i="7"/>
  <c r="AR254" i="7"/>
  <c r="AW253" i="7"/>
  <c r="AT253" i="7"/>
  <c r="AS253" i="7"/>
  <c r="AR253" i="7"/>
  <c r="AW252" i="7"/>
  <c r="AT252" i="7"/>
  <c r="AS252" i="7"/>
  <c r="AR252" i="7"/>
  <c r="AW251" i="7"/>
  <c r="AT251" i="7"/>
  <c r="AS251" i="7"/>
  <c r="AR251" i="7"/>
  <c r="AW250" i="7"/>
  <c r="AT250" i="7"/>
  <c r="AS250" i="7"/>
  <c r="AR250" i="7"/>
  <c r="AR249" i="7" s="1"/>
  <c r="AV249" i="7"/>
  <c r="AU249" i="7"/>
  <c r="AW248" i="7"/>
  <c r="AS248" i="7"/>
  <c r="AR248" i="7"/>
  <c r="AW247" i="7"/>
  <c r="AS247" i="7"/>
  <c r="AT247" i="7" s="1"/>
  <c r="AR247" i="7"/>
  <c r="AW246" i="7"/>
  <c r="AS246" i="7"/>
  <c r="AR246" i="7"/>
  <c r="AW245" i="7"/>
  <c r="AS245" i="7"/>
  <c r="AT245" i="7" s="1"/>
  <c r="AR245" i="7"/>
  <c r="AW244" i="7"/>
  <c r="AS244" i="7"/>
  <c r="AR244" i="7"/>
  <c r="AW243" i="7"/>
  <c r="AS243" i="7"/>
  <c r="AT243" i="7" s="1"/>
  <c r="AR243" i="7"/>
  <c r="AW242" i="7"/>
  <c r="AS242" i="7"/>
  <c r="AR242" i="7"/>
  <c r="AW241" i="7"/>
  <c r="AS241" i="7"/>
  <c r="AT241" i="7" s="1"/>
  <c r="AR241" i="7"/>
  <c r="AW240" i="7"/>
  <c r="AS240" i="7"/>
  <c r="AR240" i="7"/>
  <c r="AW239" i="7"/>
  <c r="AS239" i="7"/>
  <c r="AT239" i="7" s="1"/>
  <c r="AR239" i="7"/>
  <c r="AW238" i="7"/>
  <c r="AS238" i="7"/>
  <c r="AR238" i="7"/>
  <c r="AW237" i="7"/>
  <c r="AS237" i="7"/>
  <c r="AT237" i="7" s="1"/>
  <c r="AR237" i="7"/>
  <c r="AW236" i="7"/>
  <c r="AS236" i="7"/>
  <c r="AR236" i="7"/>
  <c r="AW235" i="7"/>
  <c r="AS235" i="7"/>
  <c r="AT235" i="7" s="1"/>
  <c r="AR235" i="7"/>
  <c r="AW234" i="7"/>
  <c r="AS234" i="7"/>
  <c r="AR234" i="7"/>
  <c r="AW233" i="7"/>
  <c r="AS233" i="7"/>
  <c r="AT233" i="7" s="1"/>
  <c r="AR233" i="7"/>
  <c r="AW232" i="7"/>
  <c r="AS232" i="7"/>
  <c r="AR232" i="7"/>
  <c r="AW231" i="7"/>
  <c r="AS231" i="7"/>
  <c r="AT231" i="7" s="1"/>
  <c r="AR231" i="7"/>
  <c r="AW230" i="7"/>
  <c r="AS230" i="7"/>
  <c r="AR230" i="7"/>
  <c r="AW229" i="7"/>
  <c r="AS229" i="7"/>
  <c r="AT229" i="7" s="1"/>
  <c r="AR229" i="7"/>
  <c r="AW228" i="7"/>
  <c r="AS228" i="7"/>
  <c r="AR228" i="7"/>
  <c r="AW227" i="7"/>
  <c r="AS227" i="7"/>
  <c r="AT227" i="7" s="1"/>
  <c r="AR227" i="7"/>
  <c r="AW226" i="7"/>
  <c r="AS226" i="7"/>
  <c r="AR226" i="7"/>
  <c r="AW225" i="7"/>
  <c r="AS225" i="7"/>
  <c r="AT225" i="7" s="1"/>
  <c r="AR225" i="7"/>
  <c r="AW224" i="7"/>
  <c r="AS224" i="7"/>
  <c r="AR224" i="7"/>
  <c r="AW217" i="7"/>
  <c r="AS217" i="7"/>
  <c r="AT217" i="7" s="1"/>
  <c r="AR217" i="7"/>
  <c r="AW216" i="7"/>
  <c r="AV216" i="7"/>
  <c r="AU216" i="7"/>
  <c r="AW215" i="7"/>
  <c r="AS215" i="7"/>
  <c r="AT215" i="7" s="1"/>
  <c r="AR215" i="7"/>
  <c r="AW214" i="7"/>
  <c r="AS214" i="7"/>
  <c r="AR214" i="7"/>
  <c r="AW213" i="7"/>
  <c r="AS213" i="7"/>
  <c r="AT213" i="7" s="1"/>
  <c r="AR213" i="7"/>
  <c r="AW212" i="7"/>
  <c r="AS212" i="7"/>
  <c r="AR212" i="7"/>
  <c r="AW211" i="7"/>
  <c r="AS211" i="7"/>
  <c r="AT211" i="7" s="1"/>
  <c r="AR211" i="7"/>
  <c r="AW210" i="7"/>
  <c r="AS210" i="7"/>
  <c r="AR210" i="7"/>
  <c r="AW209" i="7"/>
  <c r="AS209" i="7"/>
  <c r="AR209" i="7"/>
  <c r="AW208" i="7"/>
  <c r="AS208" i="7"/>
  <c r="AR208" i="7"/>
  <c r="AW207" i="7"/>
  <c r="AS207" i="7"/>
  <c r="AT207" i="7" s="1"/>
  <c r="AR207" i="7"/>
  <c r="AW206" i="7"/>
  <c r="AS206" i="7"/>
  <c r="AR206" i="7"/>
  <c r="AW205" i="7"/>
  <c r="AS205" i="7"/>
  <c r="AT205" i="7" s="1"/>
  <c r="AR205" i="7"/>
  <c r="AW204" i="7"/>
  <c r="AS204" i="7"/>
  <c r="AR204" i="7"/>
  <c r="AW203" i="7"/>
  <c r="AS203" i="7"/>
  <c r="AS216" i="7" s="1"/>
  <c r="AR203" i="7"/>
  <c r="AW202" i="7"/>
  <c r="AS202" i="7"/>
  <c r="AR202" i="7"/>
  <c r="AV201" i="7"/>
  <c r="AU201" i="7"/>
  <c r="AW201" i="7" s="1"/>
  <c r="AS200" i="7"/>
  <c r="AR200" i="7"/>
  <c r="AW199" i="7"/>
  <c r="AS199" i="7"/>
  <c r="AR199" i="7"/>
  <c r="AS198" i="7"/>
  <c r="AR198" i="7"/>
  <c r="AW197" i="7"/>
  <c r="AS197" i="7"/>
  <c r="AR197" i="7"/>
  <c r="AW196" i="7"/>
  <c r="AS196" i="7"/>
  <c r="AT196" i="7" s="1"/>
  <c r="AR196" i="7"/>
  <c r="AW195" i="7"/>
  <c r="AS195" i="7"/>
  <c r="AR195" i="7"/>
  <c r="AW194" i="7"/>
  <c r="AS194" i="7"/>
  <c r="AT194" i="7" s="1"/>
  <c r="AR194" i="7"/>
  <c r="AW193" i="7"/>
  <c r="AS193" i="7"/>
  <c r="AR193" i="7"/>
  <c r="AW192" i="7"/>
  <c r="AS192" i="7"/>
  <c r="AT192" i="7" s="1"/>
  <c r="AR192" i="7"/>
  <c r="AW191" i="7"/>
  <c r="AS191" i="7"/>
  <c r="AR191" i="7"/>
  <c r="AW190" i="7"/>
  <c r="AS190" i="7"/>
  <c r="AT190" i="7" s="1"/>
  <c r="AR190" i="7"/>
  <c r="AW189" i="7"/>
  <c r="AS189" i="7"/>
  <c r="AR189" i="7"/>
  <c r="AW188" i="7"/>
  <c r="AS188" i="7"/>
  <c r="AT188" i="7" s="1"/>
  <c r="AR188" i="7"/>
  <c r="AW187" i="7"/>
  <c r="AS187" i="7"/>
  <c r="AR187" i="7"/>
  <c r="AW186" i="7"/>
  <c r="AS186" i="7"/>
  <c r="AT186" i="7" s="1"/>
  <c r="AR186" i="7"/>
  <c r="AW185" i="7"/>
  <c r="AS185" i="7"/>
  <c r="AR185" i="7"/>
  <c r="AW184" i="7"/>
  <c r="AS184" i="7"/>
  <c r="AT184" i="7" s="1"/>
  <c r="AR184" i="7"/>
  <c r="AW183" i="7"/>
  <c r="AS183" i="7"/>
  <c r="AR183" i="7"/>
  <c r="AW182" i="7"/>
  <c r="AS182" i="7"/>
  <c r="AT182" i="7" s="1"/>
  <c r="AR182" i="7"/>
  <c r="AW181" i="7"/>
  <c r="AS181" i="7"/>
  <c r="AR181" i="7"/>
  <c r="AR201" i="7" s="1"/>
  <c r="AW174" i="7"/>
  <c r="AS174" i="7"/>
  <c r="AR174" i="7"/>
  <c r="AV173" i="7"/>
  <c r="AU173" i="7"/>
  <c r="AS172" i="7"/>
  <c r="AR172" i="7"/>
  <c r="AS171" i="7"/>
  <c r="AR171" i="7"/>
  <c r="AS170" i="7"/>
  <c r="AR170" i="7"/>
  <c r="AW169" i="7"/>
  <c r="AS169" i="7"/>
  <c r="AR169" i="7"/>
  <c r="AW168" i="7"/>
  <c r="AS168" i="7"/>
  <c r="AR168" i="7"/>
  <c r="AW167" i="7"/>
  <c r="AS167" i="7"/>
  <c r="AR167" i="7"/>
  <c r="AW166" i="7"/>
  <c r="AS166" i="7"/>
  <c r="AR166" i="7"/>
  <c r="AW165" i="7"/>
  <c r="AS165" i="7"/>
  <c r="AR165" i="7"/>
  <c r="AT165" i="7" s="1"/>
  <c r="AW164" i="7"/>
  <c r="AS164" i="7"/>
  <c r="AR164" i="7"/>
  <c r="AW163" i="7"/>
  <c r="AS163" i="7"/>
  <c r="AR163" i="7"/>
  <c r="AW162" i="7"/>
  <c r="AS162" i="7"/>
  <c r="AR162" i="7"/>
  <c r="AW161" i="7"/>
  <c r="AS161" i="7"/>
  <c r="AR161" i="7"/>
  <c r="AT161" i="7" s="1"/>
  <c r="AW160" i="7"/>
  <c r="AS160" i="7"/>
  <c r="AR160" i="7"/>
  <c r="AW159" i="7"/>
  <c r="AS159" i="7"/>
  <c r="AR159" i="7"/>
  <c r="AT159" i="7" s="1"/>
  <c r="AW158" i="7"/>
  <c r="AS158" i="7"/>
  <c r="AR158" i="7"/>
  <c r="AW157" i="7"/>
  <c r="AS157" i="7"/>
  <c r="AR157" i="7"/>
  <c r="AT157" i="7" s="1"/>
  <c r="AW156" i="7"/>
  <c r="AS156" i="7"/>
  <c r="AR156" i="7"/>
  <c r="AV155" i="7"/>
  <c r="AW155" i="7" s="1"/>
  <c r="AU155" i="7"/>
  <c r="AW154" i="7"/>
  <c r="AS154" i="7"/>
  <c r="AT154" i="7" s="1"/>
  <c r="AR154" i="7"/>
  <c r="AW153" i="7"/>
  <c r="AS153" i="7"/>
  <c r="AT153" i="7" s="1"/>
  <c r="AR153" i="7"/>
  <c r="AW152" i="7"/>
  <c r="AS152" i="7"/>
  <c r="AT152" i="7" s="1"/>
  <c r="AR152" i="7"/>
  <c r="AW151" i="7"/>
  <c r="AS151" i="7"/>
  <c r="AT151" i="7" s="1"/>
  <c r="AR151" i="7"/>
  <c r="AW150" i="7"/>
  <c r="AS150" i="7"/>
  <c r="AT150" i="7" s="1"/>
  <c r="AR150" i="7"/>
  <c r="AS149" i="7"/>
  <c r="AR149" i="7"/>
  <c r="AW148" i="7"/>
  <c r="AS148" i="7"/>
  <c r="AR148" i="7"/>
  <c r="AT148" i="7" s="1"/>
  <c r="AW147" i="7"/>
  <c r="AS147" i="7"/>
  <c r="AR147" i="7"/>
  <c r="AW146" i="7"/>
  <c r="AS146" i="7"/>
  <c r="AR146" i="7"/>
  <c r="AT146" i="7" s="1"/>
  <c r="AW145" i="7"/>
  <c r="AS145" i="7"/>
  <c r="AR145" i="7"/>
  <c r="AW144" i="7"/>
  <c r="AS144" i="7"/>
  <c r="AR144" i="7"/>
  <c r="AT144" i="7" s="1"/>
  <c r="AW143" i="7"/>
  <c r="AS143" i="7"/>
  <c r="AR143" i="7"/>
  <c r="AW142" i="7"/>
  <c r="AS142" i="7"/>
  <c r="AR142" i="7"/>
  <c r="AT142" i="7" s="1"/>
  <c r="AW141" i="7"/>
  <c r="AS141" i="7"/>
  <c r="AR141" i="7"/>
  <c r="AW140" i="7"/>
  <c r="AS140" i="7"/>
  <c r="AR140" i="7"/>
  <c r="AT140" i="7" s="1"/>
  <c r="AW139" i="7"/>
  <c r="AS139" i="7"/>
  <c r="AR139" i="7"/>
  <c r="AW138" i="7"/>
  <c r="AS138" i="7"/>
  <c r="AR138" i="7"/>
  <c r="AT138" i="7" s="1"/>
  <c r="AW131" i="7"/>
  <c r="AS131" i="7"/>
  <c r="AR131" i="7"/>
  <c r="AV130" i="7"/>
  <c r="AW130" i="7" s="1"/>
  <c r="AU130" i="7"/>
  <c r="AS129" i="7"/>
  <c r="AR129" i="7"/>
  <c r="AS128" i="7"/>
  <c r="AR128" i="7"/>
  <c r="AW127" i="7"/>
  <c r="AS127" i="7"/>
  <c r="AT127" i="7" s="1"/>
  <c r="AR127" i="7"/>
  <c r="AW126" i="7"/>
  <c r="AS126" i="7"/>
  <c r="AT126" i="7" s="1"/>
  <c r="AR126" i="7"/>
  <c r="AW125" i="7"/>
  <c r="AS125" i="7"/>
  <c r="AT125" i="7" s="1"/>
  <c r="AR125" i="7"/>
  <c r="AW124" i="7"/>
  <c r="AS124" i="7"/>
  <c r="AR124" i="7"/>
  <c r="AW123" i="7"/>
  <c r="AT123" i="7"/>
  <c r="AS123" i="7"/>
  <c r="AR123" i="7"/>
  <c r="AW122" i="7"/>
  <c r="AT122" i="7"/>
  <c r="AS122" i="7"/>
  <c r="AR122" i="7"/>
  <c r="AW121" i="7"/>
  <c r="AT121" i="7"/>
  <c r="AS121" i="7"/>
  <c r="AR121" i="7"/>
  <c r="AW120" i="7"/>
  <c r="AT120" i="7"/>
  <c r="AS120" i="7"/>
  <c r="AR120" i="7"/>
  <c r="AW119" i="7"/>
  <c r="AT119" i="7"/>
  <c r="AS119" i="7"/>
  <c r="AR119" i="7"/>
  <c r="AW118" i="7"/>
  <c r="AT118" i="7"/>
  <c r="AS118" i="7"/>
  <c r="AR118" i="7"/>
  <c r="AW117" i="7"/>
  <c r="AT117" i="7"/>
  <c r="AS117" i="7"/>
  <c r="AR117" i="7"/>
  <c r="AW116" i="7"/>
  <c r="AT116" i="7"/>
  <c r="AS116" i="7"/>
  <c r="AR116" i="7"/>
  <c r="AW115" i="7"/>
  <c r="AT115" i="7"/>
  <c r="AS115" i="7"/>
  <c r="AR115" i="7"/>
  <c r="AV114" i="7"/>
  <c r="AU114" i="7"/>
  <c r="AS113" i="7"/>
  <c r="AR113" i="7"/>
  <c r="AS112" i="7"/>
  <c r="AR112" i="7"/>
  <c r="AW111" i="7"/>
  <c r="AS111" i="7"/>
  <c r="AR111" i="7"/>
  <c r="AW110" i="7"/>
  <c r="AS110" i="7"/>
  <c r="AR110" i="7"/>
  <c r="AW109" i="7"/>
  <c r="AT109" i="7"/>
  <c r="AS109" i="7"/>
  <c r="AR109" i="7"/>
  <c r="AW108" i="7"/>
  <c r="AS108" i="7"/>
  <c r="AR108" i="7"/>
  <c r="AW107" i="7"/>
  <c r="AS107" i="7"/>
  <c r="AT107" i="7" s="1"/>
  <c r="AR107" i="7"/>
  <c r="AW106" i="7"/>
  <c r="AS106" i="7"/>
  <c r="AT106" i="7" s="1"/>
  <c r="AR106" i="7"/>
  <c r="AW105" i="7"/>
  <c r="AS105" i="7"/>
  <c r="AT105" i="7" s="1"/>
  <c r="AR105" i="7"/>
  <c r="AS104" i="7"/>
  <c r="AR104" i="7"/>
  <c r="AW103" i="7"/>
  <c r="AS103" i="7"/>
  <c r="AR103" i="7"/>
  <c r="AW102" i="7"/>
  <c r="AS102" i="7"/>
  <c r="AT102" i="7" s="1"/>
  <c r="AR102" i="7"/>
  <c r="AW101" i="7"/>
  <c r="AS101" i="7"/>
  <c r="AR101" i="7"/>
  <c r="AW100" i="7"/>
  <c r="AS100" i="7"/>
  <c r="AT100" i="7" s="1"/>
  <c r="AR100" i="7"/>
  <c r="AW99" i="7"/>
  <c r="AS99" i="7"/>
  <c r="AR99" i="7"/>
  <c r="AW98" i="7"/>
  <c r="AS98" i="7"/>
  <c r="AT98" i="7" s="1"/>
  <c r="AR98" i="7"/>
  <c r="AW97" i="7"/>
  <c r="AS97" i="7"/>
  <c r="AR97" i="7"/>
  <c r="AW96" i="7"/>
  <c r="AS96" i="7"/>
  <c r="AT96" i="7" s="1"/>
  <c r="AR96" i="7"/>
  <c r="AW95" i="7"/>
  <c r="AS95" i="7"/>
  <c r="AR95" i="7"/>
  <c r="AW94" i="7"/>
  <c r="AS94" i="7"/>
  <c r="AT94" i="7" s="1"/>
  <c r="AR94" i="7"/>
  <c r="AW93" i="7"/>
  <c r="AS93" i="7"/>
  <c r="AR93" i="7"/>
  <c r="AW92" i="7"/>
  <c r="AS92" i="7"/>
  <c r="AT92" i="7" s="1"/>
  <c r="AR92" i="7"/>
  <c r="AW91" i="7"/>
  <c r="AS91" i="7"/>
  <c r="AR91" i="7"/>
  <c r="AW90" i="7"/>
  <c r="AS90" i="7"/>
  <c r="AT90" i="7" s="1"/>
  <c r="AR90" i="7"/>
  <c r="AW89" i="7"/>
  <c r="AS89" i="7"/>
  <c r="AR89" i="7"/>
  <c r="AW82" i="7"/>
  <c r="AS82" i="7"/>
  <c r="AT82" i="7" s="1"/>
  <c r="AR82" i="7"/>
  <c r="AV81" i="7"/>
  <c r="AU81" i="7"/>
  <c r="AW81" i="7" s="1"/>
  <c r="AS80" i="7"/>
  <c r="AR80" i="7"/>
  <c r="AS79" i="7"/>
  <c r="AR79" i="7"/>
  <c r="AS78" i="7"/>
  <c r="AR78" i="7"/>
  <c r="AW77" i="7"/>
  <c r="AS77" i="7"/>
  <c r="AT77" i="7" s="1"/>
  <c r="AR77" i="7"/>
  <c r="AW76" i="7"/>
  <c r="AS76" i="7"/>
  <c r="AR76" i="7"/>
  <c r="AS75" i="7"/>
  <c r="AR75" i="7"/>
  <c r="AW74" i="7"/>
  <c r="AS74" i="7"/>
  <c r="AR74" i="7"/>
  <c r="AW73" i="7"/>
  <c r="AS73" i="7"/>
  <c r="AR73" i="7"/>
  <c r="AT73" i="7" s="1"/>
  <c r="AW72" i="7"/>
  <c r="AS72" i="7"/>
  <c r="AR72" i="7"/>
  <c r="AW71" i="7"/>
  <c r="AS71" i="7"/>
  <c r="AR71" i="7"/>
  <c r="AT71" i="7" s="1"/>
  <c r="AW70" i="7"/>
  <c r="AS70" i="7"/>
  <c r="AR70" i="7"/>
  <c r="AW69" i="7"/>
  <c r="AS69" i="7"/>
  <c r="AR69" i="7"/>
  <c r="AW68" i="7"/>
  <c r="AS68" i="7"/>
  <c r="AT68" i="7" s="1"/>
  <c r="AR68" i="7"/>
  <c r="AW67" i="7"/>
  <c r="AS67" i="7"/>
  <c r="AR67" i="7"/>
  <c r="AW66" i="7"/>
  <c r="AS66" i="7"/>
  <c r="AT66" i="7" s="1"/>
  <c r="AR66" i="7"/>
  <c r="AW65" i="7"/>
  <c r="AS65" i="7"/>
  <c r="AR65" i="7"/>
  <c r="AW64" i="7"/>
  <c r="AS64" i="7"/>
  <c r="AT64" i="7" s="1"/>
  <c r="AR64" i="7"/>
  <c r="AW63" i="7"/>
  <c r="AS63" i="7"/>
  <c r="AR63" i="7"/>
  <c r="AV62" i="7"/>
  <c r="AW62" i="7" s="1"/>
  <c r="AU62" i="7"/>
  <c r="AS61" i="7"/>
  <c r="AR61" i="7"/>
  <c r="AS60" i="7"/>
  <c r="AR60" i="7"/>
  <c r="AW59" i="7"/>
  <c r="AS59" i="7"/>
  <c r="AR59" i="7"/>
  <c r="AW58" i="7"/>
  <c r="AS58" i="7"/>
  <c r="AT58" i="7" s="1"/>
  <c r="AR58" i="7"/>
  <c r="AW57" i="7"/>
  <c r="AS57" i="7"/>
  <c r="AR57" i="7"/>
  <c r="AW56" i="7"/>
  <c r="AS56" i="7"/>
  <c r="AT56" i="7" s="1"/>
  <c r="AR56" i="7"/>
  <c r="AW55" i="7"/>
  <c r="AS55" i="7"/>
  <c r="AR55" i="7"/>
  <c r="AW54" i="7"/>
  <c r="AS54" i="7"/>
  <c r="AT54" i="7" s="1"/>
  <c r="AR54" i="7"/>
  <c r="AW53" i="7"/>
  <c r="AS53" i="7"/>
  <c r="AR53" i="7"/>
  <c r="AW52" i="7"/>
  <c r="AS52" i="7"/>
  <c r="AT52" i="7" s="1"/>
  <c r="AR52" i="7"/>
  <c r="AW51" i="7"/>
  <c r="AS51" i="7"/>
  <c r="AR51" i="7"/>
  <c r="AW50" i="7"/>
  <c r="AS50" i="7"/>
  <c r="AT50" i="7" s="1"/>
  <c r="AR50" i="7"/>
  <c r="AW49" i="7"/>
  <c r="AS49" i="7"/>
  <c r="AR49" i="7"/>
  <c r="AW48" i="7"/>
  <c r="AS48" i="7"/>
  <c r="AT48" i="7" s="1"/>
  <c r="AR48" i="7"/>
  <c r="AW47" i="7"/>
  <c r="AS47" i="7"/>
  <c r="AR47" i="7"/>
  <c r="AW46" i="7"/>
  <c r="AS46" i="7"/>
  <c r="AT46" i="7" s="1"/>
  <c r="AR46" i="7"/>
  <c r="AW45" i="7"/>
  <c r="AS45" i="7"/>
  <c r="AR45" i="7"/>
  <c r="AW44" i="7"/>
  <c r="AS44" i="7"/>
  <c r="AT44" i="7" s="1"/>
  <c r="AR44" i="7"/>
  <c r="AW43" i="7"/>
  <c r="AS43" i="7"/>
  <c r="AR43" i="7"/>
  <c r="AW42" i="7"/>
  <c r="AS42" i="7"/>
  <c r="AS62" i="7" s="1"/>
  <c r="AR42" i="7"/>
  <c r="AW35" i="7"/>
  <c r="AS35" i="7"/>
  <c r="AR35" i="7"/>
  <c r="AR34" i="7" s="1"/>
  <c r="AV34" i="7"/>
  <c r="AU34" i="7"/>
  <c r="AS33" i="7"/>
  <c r="AS32" i="7"/>
  <c r="AS31" i="7"/>
  <c r="AS30" i="7"/>
  <c r="AS29" i="7"/>
  <c r="AW28" i="7"/>
  <c r="AS28" i="7"/>
  <c r="AW27" i="7"/>
  <c r="AS27" i="7"/>
  <c r="AW26" i="7"/>
  <c r="AS26" i="7"/>
  <c r="AW25" i="7"/>
  <c r="AS25" i="7"/>
  <c r="AT25" i="7" s="1"/>
  <c r="AW24" i="7"/>
  <c r="AT24" i="7"/>
  <c r="AS24" i="7"/>
  <c r="AW23" i="7"/>
  <c r="AS23" i="7"/>
  <c r="AT23" i="7" s="1"/>
  <c r="AR23" i="7"/>
  <c r="AW22" i="7"/>
  <c r="AS22" i="7"/>
  <c r="AT22" i="7" s="1"/>
  <c r="AR22" i="7"/>
  <c r="AW21" i="7"/>
  <c r="AS21" i="7"/>
  <c r="AT21" i="7" s="1"/>
  <c r="AR21" i="7"/>
  <c r="AW20" i="7"/>
  <c r="AS20" i="7"/>
  <c r="AT20" i="7" s="1"/>
  <c r="AR20" i="7"/>
  <c r="AW19" i="7"/>
  <c r="AS19" i="7"/>
  <c r="AT19" i="7" s="1"/>
  <c r="AR19" i="7"/>
  <c r="AW18" i="7"/>
  <c r="AS18" i="7"/>
  <c r="AT18" i="7" s="1"/>
  <c r="AR18" i="7"/>
  <c r="AV17" i="7"/>
  <c r="AU17" i="7"/>
  <c r="AS16" i="7"/>
  <c r="AR16" i="7"/>
  <c r="AS15" i="7"/>
  <c r="AR15" i="7"/>
  <c r="AS14" i="7"/>
  <c r="AR14" i="7"/>
  <c r="AS13" i="7"/>
  <c r="AR13" i="7"/>
  <c r="AS12" i="7"/>
  <c r="AR12" i="7"/>
  <c r="AW11" i="7"/>
  <c r="AS11" i="7"/>
  <c r="AR11" i="7"/>
  <c r="AW10" i="7"/>
  <c r="AS10" i="7"/>
  <c r="AR10" i="7"/>
  <c r="AW9" i="7"/>
  <c r="AS9" i="7"/>
  <c r="AT9" i="7" s="1"/>
  <c r="AR9" i="7"/>
  <c r="AW8" i="7"/>
  <c r="AS8" i="7"/>
  <c r="AT8" i="7" s="1"/>
  <c r="AR8" i="7"/>
  <c r="AW7" i="7"/>
  <c r="AS7" i="7"/>
  <c r="AT7" i="7" s="1"/>
  <c r="AR7" i="7"/>
  <c r="AW6" i="7"/>
  <c r="AS6" i="7"/>
  <c r="AR6" i="7"/>
  <c r="AW5" i="7"/>
  <c r="AT5" i="7"/>
  <c r="AS5" i="7"/>
  <c r="AR5" i="7"/>
  <c r="AC278" i="24"/>
  <c r="AB278" i="24"/>
  <c r="AA278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B278" i="24"/>
  <c r="AH279" i="24"/>
  <c r="AF279" i="24"/>
  <c r="AE279" i="24"/>
  <c r="C279" i="23" s="1"/>
  <c r="AD279" i="24"/>
  <c r="B279" i="23" s="1"/>
  <c r="AH277" i="24"/>
  <c r="AF277" i="24"/>
  <c r="AE277" i="24"/>
  <c r="C277" i="23" s="1"/>
  <c r="AD277" i="24"/>
  <c r="B277" i="23" s="1"/>
  <c r="AH276" i="24"/>
  <c r="AF276" i="24"/>
  <c r="AE276" i="24"/>
  <c r="C276" i="23" s="1"/>
  <c r="AD276" i="24"/>
  <c r="B276" i="23" s="1"/>
  <c r="AH275" i="24"/>
  <c r="AF275" i="24"/>
  <c r="AE275" i="24"/>
  <c r="C275" i="23" s="1"/>
  <c r="AD275" i="24"/>
  <c r="B275" i="23" s="1"/>
  <c r="AH274" i="24"/>
  <c r="AF274" i="24"/>
  <c r="AE274" i="24"/>
  <c r="C274" i="23" s="1"/>
  <c r="AD274" i="24"/>
  <c r="B274" i="23" s="1"/>
  <c r="AH273" i="24"/>
  <c r="AF273" i="24"/>
  <c r="AE273" i="24"/>
  <c r="C273" i="23" s="1"/>
  <c r="AD273" i="24"/>
  <c r="B273" i="23" s="1"/>
  <c r="AH272" i="24"/>
  <c r="AF272" i="24"/>
  <c r="AE272" i="24"/>
  <c r="C272" i="23" s="1"/>
  <c r="AD272" i="24"/>
  <c r="B272" i="23" s="1"/>
  <c r="AH271" i="24"/>
  <c r="AF271" i="24"/>
  <c r="D271" i="23" s="1"/>
  <c r="AE271" i="24"/>
  <c r="C271" i="23" s="1"/>
  <c r="AD271" i="24"/>
  <c r="B271" i="23" s="1"/>
  <c r="AH270" i="24"/>
  <c r="AF270" i="24"/>
  <c r="D270" i="23" s="1"/>
  <c r="AE270" i="24"/>
  <c r="C270" i="23" s="1"/>
  <c r="AD270" i="24"/>
  <c r="B270" i="23" s="1"/>
  <c r="AH269" i="24"/>
  <c r="AF269" i="24"/>
  <c r="AE269" i="24"/>
  <c r="C269" i="23" s="1"/>
  <c r="AD269" i="24"/>
  <c r="B269" i="23" s="1"/>
  <c r="AH268" i="24"/>
  <c r="AF268" i="24"/>
  <c r="AE268" i="24"/>
  <c r="C268" i="23" s="1"/>
  <c r="AD268" i="24"/>
  <c r="B268" i="23" s="1"/>
  <c r="AH267" i="24"/>
  <c r="AF267" i="24"/>
  <c r="AE267" i="24"/>
  <c r="C267" i="23" s="1"/>
  <c r="AD267" i="24"/>
  <c r="B267" i="23" s="1"/>
  <c r="AH266" i="24"/>
  <c r="AF266" i="24"/>
  <c r="AE266" i="24"/>
  <c r="C266" i="23" s="1"/>
  <c r="AD266" i="24"/>
  <c r="B266" i="23" s="1"/>
  <c r="AH265" i="24"/>
  <c r="AF265" i="24"/>
  <c r="AE265" i="24"/>
  <c r="C265" i="23" s="1"/>
  <c r="AD265" i="24"/>
  <c r="B265" i="23" s="1"/>
  <c r="AH264" i="24"/>
  <c r="AF264" i="24"/>
  <c r="AE264" i="24"/>
  <c r="C264" i="23" s="1"/>
  <c r="AD264" i="24"/>
  <c r="B264" i="23" s="1"/>
  <c r="AH263" i="24"/>
  <c r="AF263" i="24"/>
  <c r="AE263" i="24"/>
  <c r="C263" i="23" s="1"/>
  <c r="AD263" i="24"/>
  <c r="B263" i="23" s="1"/>
  <c r="AH262" i="24"/>
  <c r="AF262" i="24"/>
  <c r="D262" i="23" s="1"/>
  <c r="AE262" i="24"/>
  <c r="C262" i="23" s="1"/>
  <c r="AD262" i="24"/>
  <c r="B262" i="23" s="1"/>
  <c r="AH261" i="24"/>
  <c r="AF261" i="24"/>
  <c r="AE261" i="24"/>
  <c r="C261" i="23" s="1"/>
  <c r="AD261" i="24"/>
  <c r="B261" i="23" s="1"/>
  <c r="AH260" i="24"/>
  <c r="AF260" i="24"/>
  <c r="AE260" i="24"/>
  <c r="C260" i="23" s="1"/>
  <c r="AD260" i="24"/>
  <c r="B260" i="23" s="1"/>
  <c r="AH259" i="24"/>
  <c r="AF259" i="24"/>
  <c r="D259" i="23" s="1"/>
  <c r="AE259" i="24"/>
  <c r="C259" i="23" s="1"/>
  <c r="AD259" i="24"/>
  <c r="B259" i="23" s="1"/>
  <c r="AH258" i="24"/>
  <c r="AF258" i="24"/>
  <c r="D258" i="23" s="1"/>
  <c r="AE258" i="24"/>
  <c r="C258" i="23" s="1"/>
  <c r="AD258" i="24"/>
  <c r="B258" i="23" s="1"/>
  <c r="AH257" i="24"/>
  <c r="AF257" i="24"/>
  <c r="AE257" i="24"/>
  <c r="C257" i="23" s="1"/>
  <c r="AD257" i="24"/>
  <c r="B257" i="23" s="1"/>
  <c r="AH256" i="24"/>
  <c r="AF256" i="24"/>
  <c r="AE256" i="24"/>
  <c r="C256" i="23" s="1"/>
  <c r="AD256" i="24"/>
  <c r="B256" i="23" s="1"/>
  <c r="AH255" i="24"/>
  <c r="AF255" i="24"/>
  <c r="AE255" i="24"/>
  <c r="C255" i="23" s="1"/>
  <c r="AD255" i="24"/>
  <c r="B255" i="23" s="1"/>
  <c r="AH254" i="24"/>
  <c r="AF254" i="24"/>
  <c r="AE254" i="24"/>
  <c r="C254" i="23" s="1"/>
  <c r="AD254" i="24"/>
  <c r="B254" i="23" s="1"/>
  <c r="AH253" i="24"/>
  <c r="AF253" i="24"/>
  <c r="AE253" i="24"/>
  <c r="C253" i="23" s="1"/>
  <c r="AD253" i="24"/>
  <c r="B253" i="23" s="1"/>
  <c r="AH252" i="24"/>
  <c r="AF252" i="24"/>
  <c r="AE252" i="24"/>
  <c r="C252" i="23" s="1"/>
  <c r="AD252" i="24"/>
  <c r="B252" i="23" s="1"/>
  <c r="AH251" i="24"/>
  <c r="AF251" i="24"/>
  <c r="D251" i="23" s="1"/>
  <c r="AE251" i="24"/>
  <c r="C251" i="23" s="1"/>
  <c r="AD251" i="24"/>
  <c r="B251" i="23" s="1"/>
  <c r="AH250" i="24"/>
  <c r="AF250" i="24"/>
  <c r="D250" i="23" s="1"/>
  <c r="AE250" i="24"/>
  <c r="C250" i="23" s="1"/>
  <c r="AD250" i="24"/>
  <c r="B250" i="23" s="1"/>
  <c r="AH249" i="24"/>
  <c r="AF249" i="24"/>
  <c r="AE249" i="24"/>
  <c r="C249" i="23" s="1"/>
  <c r="AD249" i="24"/>
  <c r="B249" i="23" s="1"/>
  <c r="AH248" i="24"/>
  <c r="AF248" i="24"/>
  <c r="AE248" i="24"/>
  <c r="C248" i="23" s="1"/>
  <c r="AD248" i="24"/>
  <c r="AC278" i="22"/>
  <c r="AB278" i="22"/>
  <c r="AA278" i="22"/>
  <c r="Z278" i="22"/>
  <c r="Y278" i="22"/>
  <c r="X278" i="22"/>
  <c r="W278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C278" i="22"/>
  <c r="B278" i="22"/>
  <c r="AH279" i="22"/>
  <c r="AF279" i="22"/>
  <c r="AE279" i="22"/>
  <c r="C279" i="20" s="1"/>
  <c r="AD279" i="22"/>
  <c r="B279" i="20" s="1"/>
  <c r="AH277" i="22"/>
  <c r="AF277" i="22"/>
  <c r="AE277" i="22"/>
  <c r="C277" i="20" s="1"/>
  <c r="AD277" i="22"/>
  <c r="B277" i="20" s="1"/>
  <c r="AH276" i="22"/>
  <c r="F276" i="20" s="1"/>
  <c r="AF276" i="22"/>
  <c r="AE276" i="22"/>
  <c r="C276" i="20" s="1"/>
  <c r="AD276" i="22"/>
  <c r="B276" i="20" s="1"/>
  <c r="AH275" i="22"/>
  <c r="F275" i="20" s="1"/>
  <c r="AF275" i="22"/>
  <c r="AE275" i="22"/>
  <c r="C275" i="20" s="1"/>
  <c r="AD275" i="22"/>
  <c r="B275" i="20" s="1"/>
  <c r="AH274" i="22"/>
  <c r="F274" i="20" s="1"/>
  <c r="AF274" i="22"/>
  <c r="AE274" i="22"/>
  <c r="C274" i="20" s="1"/>
  <c r="AD274" i="22"/>
  <c r="B274" i="20" s="1"/>
  <c r="AH273" i="22"/>
  <c r="AF273" i="22"/>
  <c r="AE273" i="22"/>
  <c r="C273" i="20" s="1"/>
  <c r="AD273" i="22"/>
  <c r="B273" i="20" s="1"/>
  <c r="AH272" i="22"/>
  <c r="F272" i="20" s="1"/>
  <c r="AF272" i="22"/>
  <c r="AE272" i="22"/>
  <c r="C272" i="20" s="1"/>
  <c r="AD272" i="22"/>
  <c r="B272" i="20" s="1"/>
  <c r="AH271" i="22"/>
  <c r="F271" i="20" s="1"/>
  <c r="AF271" i="22"/>
  <c r="AE271" i="22"/>
  <c r="C271" i="20" s="1"/>
  <c r="AD271" i="22"/>
  <c r="B271" i="20" s="1"/>
  <c r="AH270" i="22"/>
  <c r="F270" i="20" s="1"/>
  <c r="AF270" i="22"/>
  <c r="AE270" i="22"/>
  <c r="C270" i="20" s="1"/>
  <c r="AD270" i="22"/>
  <c r="B270" i="20" s="1"/>
  <c r="AH269" i="22"/>
  <c r="AF269" i="22"/>
  <c r="AE269" i="22"/>
  <c r="C269" i="20" s="1"/>
  <c r="AD269" i="22"/>
  <c r="B269" i="20" s="1"/>
  <c r="AH268" i="22"/>
  <c r="F268" i="20" s="1"/>
  <c r="AF268" i="22"/>
  <c r="AE268" i="22"/>
  <c r="C268" i="20" s="1"/>
  <c r="AD268" i="22"/>
  <c r="B268" i="20" s="1"/>
  <c r="AH267" i="22"/>
  <c r="F267" i="20" s="1"/>
  <c r="AF267" i="22"/>
  <c r="AE267" i="22"/>
  <c r="C267" i="20" s="1"/>
  <c r="AD267" i="22"/>
  <c r="B267" i="20" s="1"/>
  <c r="AH266" i="22"/>
  <c r="F266" i="20" s="1"/>
  <c r="AF266" i="22"/>
  <c r="D266" i="20" s="1"/>
  <c r="AE266" i="22"/>
  <c r="C266" i="20" s="1"/>
  <c r="AD266" i="22"/>
  <c r="B266" i="20" s="1"/>
  <c r="AH265" i="22"/>
  <c r="F265" i="20" s="1"/>
  <c r="AF265" i="22"/>
  <c r="AE265" i="22"/>
  <c r="C265" i="20" s="1"/>
  <c r="AD265" i="22"/>
  <c r="B265" i="20" s="1"/>
  <c r="AH264" i="22"/>
  <c r="F264" i="20" s="1"/>
  <c r="AF264" i="22"/>
  <c r="AE264" i="22"/>
  <c r="C264" i="20" s="1"/>
  <c r="AD264" i="22"/>
  <c r="B264" i="20" s="1"/>
  <c r="AH263" i="22"/>
  <c r="F263" i="20" s="1"/>
  <c r="AF263" i="22"/>
  <c r="AE263" i="22"/>
  <c r="C263" i="20" s="1"/>
  <c r="AD263" i="22"/>
  <c r="B263" i="20" s="1"/>
  <c r="AH262" i="22"/>
  <c r="F262" i="20" s="1"/>
  <c r="AF262" i="22"/>
  <c r="AE262" i="22"/>
  <c r="C262" i="20" s="1"/>
  <c r="AD262" i="22"/>
  <c r="B262" i="20" s="1"/>
  <c r="AH261" i="22"/>
  <c r="AF261" i="22"/>
  <c r="AE261" i="22"/>
  <c r="C261" i="20" s="1"/>
  <c r="AD261" i="22"/>
  <c r="B261" i="20" s="1"/>
  <c r="AH260" i="22"/>
  <c r="F260" i="20" s="1"/>
  <c r="AF260" i="22"/>
  <c r="AE260" i="22"/>
  <c r="C260" i="20" s="1"/>
  <c r="AD260" i="22"/>
  <c r="B260" i="20" s="1"/>
  <c r="AH259" i="22"/>
  <c r="F259" i="20" s="1"/>
  <c r="AF259" i="22"/>
  <c r="AE259" i="22"/>
  <c r="C259" i="20" s="1"/>
  <c r="AD259" i="22"/>
  <c r="B259" i="20" s="1"/>
  <c r="AH258" i="22"/>
  <c r="AF258" i="22"/>
  <c r="AE258" i="22"/>
  <c r="C258" i="20" s="1"/>
  <c r="AD258" i="22"/>
  <c r="B258" i="20" s="1"/>
  <c r="AH257" i="22"/>
  <c r="F257" i="20" s="1"/>
  <c r="AF257" i="22"/>
  <c r="AE257" i="22"/>
  <c r="C257" i="20" s="1"/>
  <c r="AD257" i="22"/>
  <c r="B257" i="20" s="1"/>
  <c r="AH256" i="22"/>
  <c r="F256" i="20" s="1"/>
  <c r="AF256" i="22"/>
  <c r="AE256" i="22"/>
  <c r="C256" i="20" s="1"/>
  <c r="AD256" i="22"/>
  <c r="B256" i="20" s="1"/>
  <c r="AH255" i="22"/>
  <c r="F255" i="20" s="1"/>
  <c r="AF255" i="22"/>
  <c r="AE255" i="22"/>
  <c r="C255" i="20" s="1"/>
  <c r="AD255" i="22"/>
  <c r="B255" i="20" s="1"/>
  <c r="AH254" i="22"/>
  <c r="F254" i="20" s="1"/>
  <c r="AF254" i="22"/>
  <c r="AE254" i="22"/>
  <c r="C254" i="20" s="1"/>
  <c r="AD254" i="22"/>
  <c r="B254" i="20" s="1"/>
  <c r="AH253" i="22"/>
  <c r="AF253" i="22"/>
  <c r="AE253" i="22"/>
  <c r="C253" i="20" s="1"/>
  <c r="AD253" i="22"/>
  <c r="B253" i="20" s="1"/>
  <c r="AH252" i="22"/>
  <c r="F252" i="20" s="1"/>
  <c r="AF252" i="22"/>
  <c r="AE252" i="22"/>
  <c r="C252" i="20" s="1"/>
  <c r="AD252" i="22"/>
  <c r="B252" i="20" s="1"/>
  <c r="AH251" i="22"/>
  <c r="F251" i="20" s="1"/>
  <c r="AF251" i="22"/>
  <c r="AE251" i="22"/>
  <c r="C251" i="20" s="1"/>
  <c r="AD251" i="22"/>
  <c r="B251" i="20" s="1"/>
  <c r="AH250" i="22"/>
  <c r="AF250" i="22"/>
  <c r="AE250" i="22"/>
  <c r="C250" i="20" s="1"/>
  <c r="AD250" i="22"/>
  <c r="B250" i="20" s="1"/>
  <c r="AH249" i="22"/>
  <c r="AF249" i="22"/>
  <c r="AE249" i="22"/>
  <c r="C249" i="20" s="1"/>
  <c r="AD249" i="22"/>
  <c r="B249" i="20" s="1"/>
  <c r="AH248" i="22"/>
  <c r="AH278" i="22" s="1"/>
  <c r="AF248" i="22"/>
  <c r="AE248" i="22"/>
  <c r="C248" i="20" s="1"/>
  <c r="AD248" i="22"/>
  <c r="AD278" i="22" s="1"/>
  <c r="CS65" i="12"/>
  <c r="CS64" i="12"/>
  <c r="CS55" i="12"/>
  <c r="CS54" i="12"/>
  <c r="CT53" i="12"/>
  <c r="CS53" i="12"/>
  <c r="CR53" i="12"/>
  <c r="CQ53" i="12"/>
  <c r="CU53" i="12" s="1"/>
  <c r="CP53" i="12"/>
  <c r="CT52" i="12"/>
  <c r="CR52" i="12"/>
  <c r="CQ52" i="12"/>
  <c r="CP52" i="12"/>
  <c r="CS51" i="12"/>
  <c r="CS50" i="12"/>
  <c r="CS49" i="12"/>
  <c r="CS48" i="12"/>
  <c r="CS47" i="12"/>
  <c r="CS46" i="12"/>
  <c r="CT45" i="12"/>
  <c r="CR45" i="12"/>
  <c r="CS45" i="12" s="1"/>
  <c r="CQ45" i="12"/>
  <c r="CP45" i="12"/>
  <c r="CT44" i="12"/>
  <c r="CR44" i="12"/>
  <c r="CS44" i="12" s="1"/>
  <c r="CQ44" i="12"/>
  <c r="CP44" i="12"/>
  <c r="CS43" i="12"/>
  <c r="CS42" i="12"/>
  <c r="CS41" i="12"/>
  <c r="CS40" i="12"/>
  <c r="CS39" i="12"/>
  <c r="CS38" i="12"/>
  <c r="CT37" i="12"/>
  <c r="CR37" i="12"/>
  <c r="CS37" i="12" s="1"/>
  <c r="CQ37" i="12"/>
  <c r="CU37" i="12" s="1"/>
  <c r="CP37" i="12"/>
  <c r="CT36" i="12"/>
  <c r="CR36" i="12"/>
  <c r="CS36" i="12" s="1"/>
  <c r="CQ36" i="12"/>
  <c r="CQ60" i="12" s="1"/>
  <c r="CP36" i="12"/>
  <c r="CS35" i="12"/>
  <c r="CS34" i="12"/>
  <c r="CS33" i="12"/>
  <c r="CS32" i="12"/>
  <c r="CS31" i="12"/>
  <c r="CS30" i="12"/>
  <c r="CT29" i="12"/>
  <c r="CT61" i="12" s="1"/>
  <c r="CR29" i="12"/>
  <c r="CQ29" i="12"/>
  <c r="CP29" i="12"/>
  <c r="CT28" i="12"/>
  <c r="CR28" i="12"/>
  <c r="CQ28" i="12"/>
  <c r="CP28" i="12"/>
  <c r="CS27" i="12"/>
  <c r="CS26" i="12"/>
  <c r="CS25" i="12"/>
  <c r="CS24" i="12"/>
  <c r="CS23" i="12"/>
  <c r="CS22" i="12"/>
  <c r="CT21" i="12"/>
  <c r="CS21" i="12"/>
  <c r="CR21" i="12"/>
  <c r="CQ21" i="12"/>
  <c r="CU21" i="12" s="1"/>
  <c r="CP21" i="12"/>
  <c r="CT20" i="12"/>
  <c r="CU20" i="12" s="1"/>
  <c r="CR20" i="12"/>
  <c r="CQ20" i="12"/>
  <c r="CP20" i="12"/>
  <c r="CS19" i="12"/>
  <c r="CS18" i="12"/>
  <c r="CS17" i="12"/>
  <c r="CS16" i="12"/>
  <c r="CS15" i="12"/>
  <c r="CS14" i="12"/>
  <c r="CT13" i="12"/>
  <c r="CR13" i="12"/>
  <c r="CQ13" i="12"/>
  <c r="CP13" i="12"/>
  <c r="CP61" i="12" s="1"/>
  <c r="CT12" i="12"/>
  <c r="CR12" i="12"/>
  <c r="CQ12" i="12"/>
  <c r="CP12" i="12"/>
  <c r="CP60" i="12" s="1"/>
  <c r="CS11" i="12"/>
  <c r="CS10" i="12"/>
  <c r="CS9" i="12"/>
  <c r="CS8" i="12"/>
  <c r="CU65" i="12"/>
  <c r="CN65" i="12"/>
  <c r="CL65" i="12"/>
  <c r="CK65" i="12"/>
  <c r="CJ65" i="12"/>
  <c r="CU64" i="12"/>
  <c r="CN64" i="12"/>
  <c r="CL64" i="12"/>
  <c r="CK64" i="12"/>
  <c r="CJ64" i="12"/>
  <c r="CT59" i="12"/>
  <c r="CR59" i="12"/>
  <c r="CS59" i="12" s="1"/>
  <c r="CQ59" i="12"/>
  <c r="CP59" i="12"/>
  <c r="CT58" i="12"/>
  <c r="CR58" i="12"/>
  <c r="CS58" i="12" s="1"/>
  <c r="CQ58" i="12"/>
  <c r="CP58" i="12"/>
  <c r="CT57" i="12"/>
  <c r="CR57" i="12"/>
  <c r="CQ57" i="12"/>
  <c r="CP57" i="12"/>
  <c r="CT56" i="12"/>
  <c r="CR56" i="12"/>
  <c r="CQ56" i="12"/>
  <c r="CP56" i="12"/>
  <c r="CU55" i="12"/>
  <c r="CN55" i="12"/>
  <c r="CO55" i="12" s="1"/>
  <c r="CL55" i="12"/>
  <c r="CK55" i="12"/>
  <c r="CJ55" i="12"/>
  <c r="CU54" i="12"/>
  <c r="CN54" i="12"/>
  <c r="CL54" i="12"/>
  <c r="CK54" i="12"/>
  <c r="CJ54" i="12"/>
  <c r="CU51" i="12"/>
  <c r="CN51" i="12"/>
  <c r="CL51" i="12"/>
  <c r="CK51" i="12"/>
  <c r="CJ51" i="12"/>
  <c r="CU50" i="12"/>
  <c r="CN50" i="12"/>
  <c r="CL50" i="12"/>
  <c r="CK50" i="12"/>
  <c r="CJ50" i="12"/>
  <c r="CU49" i="12"/>
  <c r="CN49" i="12"/>
  <c r="CL49" i="12"/>
  <c r="CK49" i="12"/>
  <c r="CJ49" i="12"/>
  <c r="CJ53" i="12" s="1"/>
  <c r="CU48" i="12"/>
  <c r="CN48" i="12"/>
  <c r="CL48" i="12"/>
  <c r="CK48" i="12"/>
  <c r="CK52" i="12" s="1"/>
  <c r="CJ48" i="12"/>
  <c r="CU47" i="12"/>
  <c r="CN47" i="12"/>
  <c r="CL47" i="12"/>
  <c r="CK47" i="12"/>
  <c r="CJ47" i="12"/>
  <c r="CU46" i="12"/>
  <c r="CN46" i="12"/>
  <c r="CL46" i="12"/>
  <c r="CK46" i="12"/>
  <c r="CJ46" i="12"/>
  <c r="CU44" i="12"/>
  <c r="CU43" i="12"/>
  <c r="CN43" i="12"/>
  <c r="CL43" i="12"/>
  <c r="CK43" i="12"/>
  <c r="CJ43" i="12"/>
  <c r="CU42" i="12"/>
  <c r="CN42" i="12"/>
  <c r="CL42" i="12"/>
  <c r="CK42" i="12"/>
  <c r="CJ42" i="12"/>
  <c r="CU41" i="12"/>
  <c r="CN41" i="12"/>
  <c r="CL41" i="12"/>
  <c r="CK41" i="12"/>
  <c r="CJ41" i="12"/>
  <c r="CU40" i="12"/>
  <c r="CN40" i="12"/>
  <c r="CL40" i="12"/>
  <c r="CK40" i="12"/>
  <c r="CJ40" i="12"/>
  <c r="CU39" i="12"/>
  <c r="CN39" i="12"/>
  <c r="CL39" i="12"/>
  <c r="CK39" i="12"/>
  <c r="CJ39" i="12"/>
  <c r="CU38" i="12"/>
  <c r="CN38" i="12"/>
  <c r="CL38" i="12"/>
  <c r="CK38" i="12"/>
  <c r="CJ38" i="12"/>
  <c r="CU35" i="12"/>
  <c r="CN35" i="12"/>
  <c r="CO35" i="12" s="1"/>
  <c r="CL35" i="12"/>
  <c r="CK35" i="12"/>
  <c r="CJ35" i="12"/>
  <c r="CU34" i="12"/>
  <c r="CN34" i="12"/>
  <c r="CL34" i="12"/>
  <c r="CK34" i="12"/>
  <c r="CJ34" i="12"/>
  <c r="CU33" i="12"/>
  <c r="CN33" i="12"/>
  <c r="CL33" i="12"/>
  <c r="CK33" i="12"/>
  <c r="CJ33" i="12"/>
  <c r="CJ37" i="12" s="1"/>
  <c r="CU32" i="12"/>
  <c r="CN32" i="12"/>
  <c r="CL32" i="12"/>
  <c r="CK32" i="12"/>
  <c r="CK36" i="12" s="1"/>
  <c r="CJ32" i="12"/>
  <c r="CU31" i="12"/>
  <c r="CN31" i="12"/>
  <c r="CO31" i="12" s="1"/>
  <c r="CL31" i="12"/>
  <c r="CK31" i="12"/>
  <c r="CJ31" i="12"/>
  <c r="CU30" i="12"/>
  <c r="CN30" i="12"/>
  <c r="CL30" i="12"/>
  <c r="CK30" i="12"/>
  <c r="CJ30" i="12"/>
  <c r="CU28" i="12"/>
  <c r="CU27" i="12"/>
  <c r="CN27" i="12"/>
  <c r="CL27" i="12"/>
  <c r="CK27" i="12"/>
  <c r="CJ27" i="12"/>
  <c r="CU26" i="12"/>
  <c r="CN26" i="12"/>
  <c r="CL26" i="12"/>
  <c r="CK26" i="12"/>
  <c r="CJ26" i="12"/>
  <c r="CU25" i="12"/>
  <c r="CN25" i="12"/>
  <c r="CL25" i="12"/>
  <c r="CK25" i="12"/>
  <c r="CJ25" i="12"/>
  <c r="CU24" i="12"/>
  <c r="CN24" i="12"/>
  <c r="CL24" i="12"/>
  <c r="CK24" i="12"/>
  <c r="CJ24" i="12"/>
  <c r="CU23" i="12"/>
  <c r="CN23" i="12"/>
  <c r="CL23" i="12"/>
  <c r="CK23" i="12"/>
  <c r="CJ23" i="12"/>
  <c r="CU22" i="12"/>
  <c r="CN22" i="12"/>
  <c r="CL22" i="12"/>
  <c r="CK22" i="12"/>
  <c r="CJ22" i="12"/>
  <c r="CU19" i="12"/>
  <c r="CN19" i="12"/>
  <c r="CL19" i="12"/>
  <c r="CK19" i="12"/>
  <c r="CJ19" i="12"/>
  <c r="CU18" i="12"/>
  <c r="CN18" i="12"/>
  <c r="CL18" i="12"/>
  <c r="CK18" i="12"/>
  <c r="CJ18" i="12"/>
  <c r="CU17" i="12"/>
  <c r="CN17" i="12"/>
  <c r="CL17" i="12"/>
  <c r="CL21" i="12" s="1"/>
  <c r="CK17" i="12"/>
  <c r="CJ17" i="12"/>
  <c r="CU16" i="12"/>
  <c r="CN16" i="12"/>
  <c r="CN20" i="12" s="1"/>
  <c r="CL16" i="12"/>
  <c r="CK16" i="12"/>
  <c r="CJ16" i="12"/>
  <c r="CU15" i="12"/>
  <c r="CN15" i="12"/>
  <c r="CL15" i="12"/>
  <c r="CK15" i="12"/>
  <c r="CJ15" i="12"/>
  <c r="CU14" i="12"/>
  <c r="CN14" i="12"/>
  <c r="CL14" i="12"/>
  <c r="CK14" i="12"/>
  <c r="CJ14" i="12"/>
  <c r="CU11" i="12"/>
  <c r="CN11" i="12"/>
  <c r="CL11" i="12"/>
  <c r="CK11" i="12"/>
  <c r="CJ11" i="12"/>
  <c r="CJ59" i="12" s="1"/>
  <c r="CU10" i="12"/>
  <c r="CN10" i="12"/>
  <c r="CL10" i="12"/>
  <c r="CK10" i="12"/>
  <c r="CK58" i="12" s="1"/>
  <c r="CJ10" i="12"/>
  <c r="CU9" i="12"/>
  <c r="CN9" i="12"/>
  <c r="CL9" i="12"/>
  <c r="CL57" i="12" s="1"/>
  <c r="CK9" i="12"/>
  <c r="CJ9" i="12"/>
  <c r="CU8" i="12"/>
  <c r="CN8" i="12"/>
  <c r="CN56" i="12" s="1"/>
  <c r="CL8" i="12"/>
  <c r="CK8" i="12"/>
  <c r="CJ8" i="12"/>
  <c r="AY101" i="2"/>
  <c r="AZ101" i="2" s="1"/>
  <c r="AX101" i="2"/>
  <c r="AY97" i="2"/>
  <c r="AX97" i="2"/>
  <c r="AX98" i="2" s="1"/>
  <c r="AY96" i="2"/>
  <c r="AZ96" i="2" s="1"/>
  <c r="AX96" i="2"/>
  <c r="AY95" i="2"/>
  <c r="AX95" i="2"/>
  <c r="AY92" i="2"/>
  <c r="AZ92" i="2" s="1"/>
  <c r="AX92" i="2"/>
  <c r="AY88" i="2"/>
  <c r="AX88" i="2"/>
  <c r="AX89" i="2" s="1"/>
  <c r="AY87" i="2"/>
  <c r="AZ87" i="2" s="1"/>
  <c r="AX87" i="2"/>
  <c r="AY86" i="2"/>
  <c r="AZ86" i="2" s="1"/>
  <c r="AX86" i="2"/>
  <c r="AY83" i="2"/>
  <c r="AX83" i="2"/>
  <c r="AY79" i="2"/>
  <c r="AX79" i="2"/>
  <c r="AX80" i="2" s="1"/>
  <c r="AY78" i="2"/>
  <c r="AX78" i="2"/>
  <c r="AY77" i="2"/>
  <c r="AX77" i="2"/>
  <c r="AY74" i="2"/>
  <c r="AX74" i="2"/>
  <c r="AY70" i="2"/>
  <c r="AX70" i="2"/>
  <c r="AY69" i="2"/>
  <c r="AX69" i="2"/>
  <c r="AY68" i="2"/>
  <c r="AX68" i="2"/>
  <c r="AY65" i="2"/>
  <c r="AZ65" i="2" s="1"/>
  <c r="AX65" i="2"/>
  <c r="AY59" i="2"/>
  <c r="AX59" i="2"/>
  <c r="AY56" i="2"/>
  <c r="AX56" i="2"/>
  <c r="AY53" i="2"/>
  <c r="AX53" i="2"/>
  <c r="AY50" i="2"/>
  <c r="AZ50" i="2" s="1"/>
  <c r="AX50" i="2"/>
  <c r="AY47" i="2"/>
  <c r="AX47" i="2"/>
  <c r="AY44" i="2"/>
  <c r="AZ44" i="2" s="1"/>
  <c r="AX44" i="2"/>
  <c r="AY40" i="2"/>
  <c r="AX40" i="2"/>
  <c r="AY39" i="2"/>
  <c r="AX39" i="2"/>
  <c r="AY38" i="2"/>
  <c r="AX38" i="2"/>
  <c r="AY35" i="2"/>
  <c r="AZ35" i="2" s="1"/>
  <c r="AX35" i="2"/>
  <c r="AY29" i="2"/>
  <c r="AX29" i="2"/>
  <c r="AY26" i="2"/>
  <c r="AZ26" i="2" s="1"/>
  <c r="AX26" i="2"/>
  <c r="AY23" i="2"/>
  <c r="AX23" i="2"/>
  <c r="AY20" i="2"/>
  <c r="AX20" i="2"/>
  <c r="AY17" i="2"/>
  <c r="AX17" i="2"/>
  <c r="AY14" i="2"/>
  <c r="AZ14" i="2" s="1"/>
  <c r="AX14" i="2"/>
  <c r="AY10" i="2"/>
  <c r="AX10" i="2"/>
  <c r="AY9" i="2"/>
  <c r="AX9" i="2"/>
  <c r="AY8" i="2"/>
  <c r="AX8" i="2"/>
  <c r="AY104" i="1"/>
  <c r="AZ104" i="1" s="1"/>
  <c r="AX104" i="1"/>
  <c r="AY101" i="1"/>
  <c r="AX101" i="1"/>
  <c r="AY97" i="1"/>
  <c r="AY98" i="1" s="1"/>
  <c r="AX97" i="1"/>
  <c r="AY96" i="1"/>
  <c r="AX96" i="1"/>
  <c r="AY95" i="1"/>
  <c r="AX95" i="1"/>
  <c r="AY92" i="1"/>
  <c r="AX92" i="1"/>
  <c r="AY88" i="1"/>
  <c r="AY89" i="1" s="1"/>
  <c r="AX88" i="1"/>
  <c r="AY87" i="1"/>
  <c r="AX87" i="1"/>
  <c r="AY86" i="1"/>
  <c r="AX86" i="1"/>
  <c r="AY83" i="1"/>
  <c r="AX83" i="1"/>
  <c r="AY79" i="1"/>
  <c r="AY80" i="1" s="1"/>
  <c r="AX79" i="1"/>
  <c r="AY78" i="1"/>
  <c r="AX78" i="1"/>
  <c r="AY77" i="1"/>
  <c r="AZ77" i="1" s="1"/>
  <c r="AX77" i="1"/>
  <c r="AY74" i="1"/>
  <c r="AX74" i="1"/>
  <c r="AY70" i="1"/>
  <c r="AX70" i="1"/>
  <c r="AY69" i="1"/>
  <c r="AX69" i="1"/>
  <c r="AY68" i="1"/>
  <c r="AZ68" i="1" s="1"/>
  <c r="AX68" i="1"/>
  <c r="AY65" i="1"/>
  <c r="AX65" i="1"/>
  <c r="AY59" i="1"/>
  <c r="AZ59" i="1" s="1"/>
  <c r="AX59" i="1"/>
  <c r="AY56" i="1"/>
  <c r="AX56" i="1"/>
  <c r="AY53" i="1"/>
  <c r="AZ53" i="1" s="1"/>
  <c r="AX53" i="1"/>
  <c r="AY50" i="1"/>
  <c r="AX50" i="1"/>
  <c r="AY47" i="1"/>
  <c r="AZ47" i="1" s="1"/>
  <c r="AX47" i="1"/>
  <c r="AY44" i="1"/>
  <c r="AX44" i="1"/>
  <c r="AZ40" i="1"/>
  <c r="AX40" i="1"/>
  <c r="AX39" i="1"/>
  <c r="AY38" i="1"/>
  <c r="AZ38" i="1" s="1"/>
  <c r="AX38" i="1"/>
  <c r="AY35" i="1"/>
  <c r="AX35" i="1"/>
  <c r="AY29" i="1"/>
  <c r="AZ29" i="1" s="1"/>
  <c r="AX29" i="1"/>
  <c r="AY26" i="1"/>
  <c r="AX26" i="1"/>
  <c r="AY23" i="1"/>
  <c r="AX23" i="1"/>
  <c r="AY20" i="1"/>
  <c r="AX20" i="1"/>
  <c r="AY17" i="1"/>
  <c r="AZ17" i="1" s="1"/>
  <c r="AX17" i="1"/>
  <c r="AY14" i="1"/>
  <c r="AX14" i="1"/>
  <c r="AY10" i="1"/>
  <c r="AX10" i="1"/>
  <c r="AY9" i="1"/>
  <c r="AX9" i="1"/>
  <c r="AY8" i="1"/>
  <c r="AZ8" i="1" s="1"/>
  <c r="AX8" i="1"/>
  <c r="AY106" i="2"/>
  <c r="AX106" i="2"/>
  <c r="AX107" i="2" s="1"/>
  <c r="AY105" i="2"/>
  <c r="AZ105" i="2" s="1"/>
  <c r="AX105" i="2"/>
  <c r="AY104" i="2"/>
  <c r="AZ104" i="2" s="1"/>
  <c r="AX104" i="2"/>
  <c r="AZ103" i="2"/>
  <c r="AV103" i="2"/>
  <c r="AU103" i="2"/>
  <c r="AU104" i="2" s="1"/>
  <c r="AZ102" i="2"/>
  <c r="AV102" i="2"/>
  <c r="AW102" i="2" s="1"/>
  <c r="AU102" i="2"/>
  <c r="AZ100" i="2"/>
  <c r="AV100" i="2"/>
  <c r="AW100" i="2" s="1"/>
  <c r="AU100" i="2"/>
  <c r="AZ99" i="2"/>
  <c r="AV99" i="2"/>
  <c r="AU99" i="2"/>
  <c r="AZ94" i="2"/>
  <c r="AV94" i="2"/>
  <c r="AU94" i="2"/>
  <c r="AU97" i="2" s="1"/>
  <c r="AZ93" i="2"/>
  <c r="AV93" i="2"/>
  <c r="AW93" i="2" s="1"/>
  <c r="AU93" i="2"/>
  <c r="AZ91" i="2"/>
  <c r="AV91" i="2"/>
  <c r="AV92" i="2" s="1"/>
  <c r="AU91" i="2"/>
  <c r="AZ90" i="2"/>
  <c r="AV90" i="2"/>
  <c r="AU90" i="2"/>
  <c r="AZ85" i="2"/>
  <c r="AV85" i="2"/>
  <c r="AU85" i="2"/>
  <c r="AU88" i="2" s="1"/>
  <c r="AZ84" i="2"/>
  <c r="AV84" i="2"/>
  <c r="AV87" i="2" s="1"/>
  <c r="AU84" i="2"/>
  <c r="AU87" i="2" s="1"/>
  <c r="AZ82" i="2"/>
  <c r="AV82" i="2"/>
  <c r="AU82" i="2"/>
  <c r="AU83" i="2" s="1"/>
  <c r="AZ81" i="2"/>
  <c r="AV81" i="2"/>
  <c r="AW81" i="2" s="1"/>
  <c r="AU81" i="2"/>
  <c r="AZ79" i="2"/>
  <c r="AZ77" i="2"/>
  <c r="AZ76" i="2"/>
  <c r="AV76" i="2"/>
  <c r="AU76" i="2"/>
  <c r="AZ75" i="2"/>
  <c r="AV75" i="2"/>
  <c r="AU75" i="2"/>
  <c r="AU78" i="2" s="1"/>
  <c r="AZ73" i="2"/>
  <c r="AV73" i="2"/>
  <c r="AU73" i="2"/>
  <c r="AZ72" i="2"/>
  <c r="AV72" i="2"/>
  <c r="AU72" i="2"/>
  <c r="AZ67" i="2"/>
  <c r="AV67" i="2"/>
  <c r="AU67" i="2"/>
  <c r="AU70" i="2" s="1"/>
  <c r="AZ66" i="2"/>
  <c r="AV66" i="2"/>
  <c r="AW66" i="2" s="1"/>
  <c r="AU66" i="2"/>
  <c r="AZ64" i="2"/>
  <c r="AV64" i="2"/>
  <c r="AW64" i="2" s="1"/>
  <c r="AU64" i="2"/>
  <c r="AZ63" i="2"/>
  <c r="AV63" i="2"/>
  <c r="AU63" i="2"/>
  <c r="AZ58" i="2"/>
  <c r="AV58" i="2"/>
  <c r="AU58" i="2"/>
  <c r="AU59" i="2" s="1"/>
  <c r="AZ57" i="2"/>
  <c r="AV57" i="2"/>
  <c r="AU57" i="2"/>
  <c r="AZ56" i="2"/>
  <c r="AZ55" i="2"/>
  <c r="AV55" i="2"/>
  <c r="AU55" i="2"/>
  <c r="AZ54" i="2"/>
  <c r="AV54" i="2"/>
  <c r="AU54" i="2"/>
  <c r="AZ52" i="2"/>
  <c r="AV52" i="2"/>
  <c r="AU52" i="2"/>
  <c r="AZ51" i="2"/>
  <c r="AV51" i="2"/>
  <c r="AU51" i="2"/>
  <c r="AZ49" i="2"/>
  <c r="AV49" i="2"/>
  <c r="AV50" i="2" s="1"/>
  <c r="AU49" i="2"/>
  <c r="AZ48" i="2"/>
  <c r="AV48" i="2"/>
  <c r="AU48" i="2"/>
  <c r="AZ46" i="2"/>
  <c r="AV46" i="2"/>
  <c r="AU46" i="2"/>
  <c r="AZ45" i="2"/>
  <c r="AV45" i="2"/>
  <c r="AW45" i="2" s="1"/>
  <c r="AU45" i="2"/>
  <c r="AZ43" i="2"/>
  <c r="AV43" i="2"/>
  <c r="AV44" i="2" s="1"/>
  <c r="AU43" i="2"/>
  <c r="AZ42" i="2"/>
  <c r="AV42" i="2"/>
  <c r="AU42" i="2"/>
  <c r="AZ37" i="2"/>
  <c r="AV37" i="2"/>
  <c r="AU37" i="2"/>
  <c r="AU38" i="2" s="1"/>
  <c r="AZ36" i="2"/>
  <c r="AV36" i="2"/>
  <c r="AW36" i="2" s="1"/>
  <c r="AU36" i="2"/>
  <c r="AZ34" i="2"/>
  <c r="AV34" i="2"/>
  <c r="AW34" i="2" s="1"/>
  <c r="AU34" i="2"/>
  <c r="AZ33" i="2"/>
  <c r="AV33" i="2"/>
  <c r="AU33" i="2"/>
  <c r="AZ28" i="2"/>
  <c r="AV28" i="2"/>
  <c r="AU28" i="2"/>
  <c r="AZ27" i="2"/>
  <c r="AV27" i="2"/>
  <c r="AU27" i="2"/>
  <c r="AZ25" i="2"/>
  <c r="AV25" i="2"/>
  <c r="AU25" i="2"/>
  <c r="AZ24" i="2"/>
  <c r="AV24" i="2"/>
  <c r="AU24" i="2"/>
  <c r="AZ22" i="2"/>
  <c r="AV22" i="2"/>
  <c r="AU22" i="2"/>
  <c r="AU23" i="2" s="1"/>
  <c r="AZ21" i="2"/>
  <c r="AV21" i="2"/>
  <c r="AW21" i="2" s="1"/>
  <c r="AU21" i="2"/>
  <c r="AZ20" i="2"/>
  <c r="AZ19" i="2"/>
  <c r="AV19" i="2"/>
  <c r="AU19" i="2"/>
  <c r="AZ18" i="2"/>
  <c r="AV18" i="2"/>
  <c r="AU18" i="2"/>
  <c r="AZ16" i="2"/>
  <c r="AV16" i="2"/>
  <c r="AU16" i="2"/>
  <c r="AZ15" i="2"/>
  <c r="AV15" i="2"/>
  <c r="AU15" i="2"/>
  <c r="AZ13" i="2"/>
  <c r="AV13" i="2"/>
  <c r="AU13" i="2"/>
  <c r="AZ12" i="2"/>
  <c r="AV12" i="2"/>
  <c r="AU12" i="2"/>
  <c r="AZ8" i="2"/>
  <c r="AZ7" i="2"/>
  <c r="AV7" i="2"/>
  <c r="AU7" i="2"/>
  <c r="AZ6" i="2"/>
  <c r="AV6" i="2"/>
  <c r="AW6" i="2" s="1"/>
  <c r="AU6" i="2"/>
  <c r="AY106" i="1"/>
  <c r="AX106" i="1"/>
  <c r="AX107" i="1" s="1"/>
  <c r="AY105" i="1"/>
  <c r="AZ105" i="1" s="1"/>
  <c r="AX105" i="1"/>
  <c r="AZ103" i="1"/>
  <c r="AV103" i="1"/>
  <c r="AV104" i="1" s="1"/>
  <c r="AU103" i="1"/>
  <c r="AZ102" i="1"/>
  <c r="AV102" i="1"/>
  <c r="AU102" i="1"/>
  <c r="AW102" i="1" s="1"/>
  <c r="AZ101" i="1"/>
  <c r="AZ100" i="1"/>
  <c r="AV100" i="1"/>
  <c r="AU100" i="1"/>
  <c r="AW100" i="1" s="1"/>
  <c r="AZ99" i="1"/>
  <c r="AV99" i="1"/>
  <c r="AU99" i="1"/>
  <c r="AZ96" i="1"/>
  <c r="AZ95" i="1"/>
  <c r="AZ94" i="1"/>
  <c r="AV94" i="1"/>
  <c r="AV97" i="1" s="1"/>
  <c r="AU94" i="1"/>
  <c r="AZ93" i="1"/>
  <c r="AV93" i="1"/>
  <c r="AV96" i="1" s="1"/>
  <c r="AU93" i="1"/>
  <c r="AU96" i="1" s="1"/>
  <c r="AZ92" i="1"/>
  <c r="AZ91" i="1"/>
  <c r="AV91" i="1"/>
  <c r="AU91" i="1"/>
  <c r="AU92" i="1" s="1"/>
  <c r="AZ90" i="1"/>
  <c r="AV90" i="1"/>
  <c r="AU90" i="1"/>
  <c r="AZ87" i="1"/>
  <c r="AZ86" i="1"/>
  <c r="AZ85" i="1"/>
  <c r="AV85" i="1"/>
  <c r="AV88" i="1" s="1"/>
  <c r="AU85" i="1"/>
  <c r="AU88" i="1" s="1"/>
  <c r="AZ84" i="1"/>
  <c r="AV84" i="1"/>
  <c r="AU84" i="1"/>
  <c r="AU87" i="1" s="1"/>
  <c r="AZ83" i="1"/>
  <c r="AZ82" i="1"/>
  <c r="AV82" i="1"/>
  <c r="AU82" i="1"/>
  <c r="AZ81" i="1"/>
  <c r="AV81" i="1"/>
  <c r="AU81" i="1"/>
  <c r="AZ78" i="1"/>
  <c r="AZ76" i="1"/>
  <c r="AV76" i="1"/>
  <c r="AV79" i="1" s="1"/>
  <c r="AU76" i="1"/>
  <c r="AW76" i="1" s="1"/>
  <c r="AZ75" i="1"/>
  <c r="AV75" i="1"/>
  <c r="AV78" i="1" s="1"/>
  <c r="AU75" i="1"/>
  <c r="AU78" i="1" s="1"/>
  <c r="AZ74" i="1"/>
  <c r="AZ73" i="1"/>
  <c r="AV73" i="1"/>
  <c r="AU73" i="1"/>
  <c r="AZ72" i="1"/>
  <c r="AV72" i="1"/>
  <c r="AU72" i="1"/>
  <c r="AU69" i="1" s="1"/>
  <c r="AZ67" i="1"/>
  <c r="AV67" i="1"/>
  <c r="AU67" i="1"/>
  <c r="AU70" i="1" s="1"/>
  <c r="AZ66" i="1"/>
  <c r="AV66" i="1"/>
  <c r="AU66" i="1"/>
  <c r="AZ65" i="1"/>
  <c r="AZ64" i="1"/>
  <c r="AV64" i="1"/>
  <c r="AU64" i="1"/>
  <c r="AW64" i="1" s="1"/>
  <c r="AZ63" i="1"/>
  <c r="AV63" i="1"/>
  <c r="AU63" i="1"/>
  <c r="AZ58" i="1"/>
  <c r="AV58" i="1"/>
  <c r="AU58" i="1"/>
  <c r="AZ57" i="1"/>
  <c r="AV57" i="1"/>
  <c r="AU57" i="1"/>
  <c r="AZ56" i="1"/>
  <c r="AZ55" i="1"/>
  <c r="AW55" i="1"/>
  <c r="AV55" i="1"/>
  <c r="AU55" i="1"/>
  <c r="AZ54" i="1"/>
  <c r="AW54" i="1"/>
  <c r="AV54" i="1"/>
  <c r="AU54" i="1"/>
  <c r="AZ52" i="1"/>
  <c r="AV52" i="1"/>
  <c r="AU52" i="1"/>
  <c r="AZ51" i="1"/>
  <c r="AV51" i="1"/>
  <c r="AU51" i="1"/>
  <c r="AZ50" i="1"/>
  <c r="AZ49" i="1"/>
  <c r="AW49" i="1"/>
  <c r="AV49" i="1"/>
  <c r="AU49" i="1"/>
  <c r="AZ48" i="1"/>
  <c r="AW48" i="1"/>
  <c r="AV48" i="1"/>
  <c r="AU48" i="1"/>
  <c r="AZ46" i="1"/>
  <c r="AV46" i="1"/>
  <c r="AU46" i="1"/>
  <c r="AZ45" i="1"/>
  <c r="AV45" i="1"/>
  <c r="AU45" i="1"/>
  <c r="AZ44" i="1"/>
  <c r="AZ43" i="1"/>
  <c r="AW43" i="1"/>
  <c r="AV43" i="1"/>
  <c r="AU43" i="1"/>
  <c r="AZ42" i="1"/>
  <c r="AW42" i="1"/>
  <c r="AV42" i="1"/>
  <c r="AU42" i="1"/>
  <c r="AZ37" i="1"/>
  <c r="AW37" i="1"/>
  <c r="AV37" i="1"/>
  <c r="AU37" i="1"/>
  <c r="AZ36" i="1"/>
  <c r="AW36" i="1"/>
  <c r="AV36" i="1"/>
  <c r="AU36" i="1"/>
  <c r="AZ35" i="1"/>
  <c r="AZ34" i="1"/>
  <c r="AV34" i="1"/>
  <c r="AU34" i="1"/>
  <c r="AZ33" i="1"/>
  <c r="AV33" i="1"/>
  <c r="AV105" i="1" s="1"/>
  <c r="AU33" i="1"/>
  <c r="AZ28" i="1"/>
  <c r="AV28" i="1"/>
  <c r="AV29" i="1" s="1"/>
  <c r="AU28" i="1"/>
  <c r="AZ27" i="1"/>
  <c r="AV27" i="1"/>
  <c r="AU27" i="1"/>
  <c r="AW27" i="1" s="1"/>
  <c r="AZ26" i="1"/>
  <c r="AZ25" i="1"/>
  <c r="AV25" i="1"/>
  <c r="AU25" i="1"/>
  <c r="AZ24" i="1"/>
  <c r="AV24" i="1"/>
  <c r="AU24" i="1"/>
  <c r="AZ23" i="1"/>
  <c r="AZ22" i="1"/>
  <c r="AV22" i="1"/>
  <c r="AU22" i="1"/>
  <c r="AZ21" i="1"/>
  <c r="AV21" i="1"/>
  <c r="AU21" i="1"/>
  <c r="AZ20" i="1"/>
  <c r="AZ19" i="1"/>
  <c r="AV19" i="1"/>
  <c r="AW19" i="1" s="1"/>
  <c r="AU19" i="1"/>
  <c r="AZ18" i="1"/>
  <c r="AV18" i="1"/>
  <c r="AW18" i="1" s="1"/>
  <c r="AU18" i="1"/>
  <c r="AZ16" i="1"/>
  <c r="AV16" i="1"/>
  <c r="AV17" i="1" s="1"/>
  <c r="AU16" i="1"/>
  <c r="AZ15" i="1"/>
  <c r="AV15" i="1"/>
  <c r="AU15" i="1"/>
  <c r="AW15" i="1" s="1"/>
  <c r="AZ14" i="1"/>
  <c r="AZ13" i="1"/>
  <c r="AV13" i="1"/>
  <c r="AU13" i="1"/>
  <c r="AZ12" i="1"/>
  <c r="AV12" i="1"/>
  <c r="AU12" i="1"/>
  <c r="AZ10" i="1"/>
  <c r="AZ7" i="1"/>
  <c r="AV7" i="1"/>
  <c r="AU7" i="1"/>
  <c r="AW7" i="1" s="1"/>
  <c r="AZ6" i="1"/>
  <c r="AV6" i="1"/>
  <c r="AU6" i="1"/>
  <c r="AW6" i="1" s="1"/>
  <c r="AW55" i="13"/>
  <c r="AV55" i="13"/>
  <c r="AY55" i="13" s="1"/>
  <c r="AW54" i="13"/>
  <c r="AZ54" i="13" s="1"/>
  <c r="AV54" i="13"/>
  <c r="AY54" i="13" s="1"/>
  <c r="AW52" i="13"/>
  <c r="AZ52" i="13" s="1"/>
  <c r="AV52" i="13"/>
  <c r="AY52" i="13" s="1"/>
  <c r="AW51" i="13"/>
  <c r="AZ51" i="13" s="1"/>
  <c r="AV51" i="13"/>
  <c r="AY51" i="13" s="1"/>
  <c r="AY53" i="13" s="1"/>
  <c r="AW49" i="13"/>
  <c r="AV49" i="13"/>
  <c r="AY49" i="13" s="1"/>
  <c r="AW48" i="13"/>
  <c r="AZ48" i="13" s="1"/>
  <c r="AV48" i="13"/>
  <c r="AY48" i="13" s="1"/>
  <c r="AW46" i="13"/>
  <c r="AZ46" i="13" s="1"/>
  <c r="BA46" i="13" s="1"/>
  <c r="AV46" i="13"/>
  <c r="AY46" i="13" s="1"/>
  <c r="AW45" i="13"/>
  <c r="AZ45" i="13" s="1"/>
  <c r="AV45" i="13"/>
  <c r="AY45" i="13" s="1"/>
  <c r="AW43" i="13"/>
  <c r="AZ43" i="13" s="1"/>
  <c r="AV43" i="13"/>
  <c r="AY43" i="13" s="1"/>
  <c r="AW42" i="13"/>
  <c r="AZ42" i="13" s="1"/>
  <c r="AV42" i="13"/>
  <c r="AY42" i="13" s="1"/>
  <c r="AW40" i="13"/>
  <c r="AZ40" i="13" s="1"/>
  <c r="BA40" i="13" s="1"/>
  <c r="AV40" i="13"/>
  <c r="AY40" i="13" s="1"/>
  <c r="AW39" i="13"/>
  <c r="AZ39" i="13" s="1"/>
  <c r="AV39" i="13"/>
  <c r="AY39" i="13" s="1"/>
  <c r="AY41" i="13" s="1"/>
  <c r="AW37" i="13"/>
  <c r="AZ37" i="13" s="1"/>
  <c r="BA37" i="13" s="1"/>
  <c r="AV37" i="13"/>
  <c r="AY37" i="13" s="1"/>
  <c r="AW36" i="13"/>
  <c r="AZ36" i="13" s="1"/>
  <c r="AV36" i="13"/>
  <c r="AY36" i="13" s="1"/>
  <c r="AW25" i="13"/>
  <c r="AZ25" i="13" s="1"/>
  <c r="AV25" i="13"/>
  <c r="AW24" i="13"/>
  <c r="AV24" i="13"/>
  <c r="AY24" i="13" s="1"/>
  <c r="AW22" i="13"/>
  <c r="AZ22" i="13" s="1"/>
  <c r="AV22" i="13"/>
  <c r="AW21" i="13"/>
  <c r="AZ21" i="13" s="1"/>
  <c r="AV21" i="13"/>
  <c r="AY21" i="13" s="1"/>
  <c r="AW19" i="13"/>
  <c r="AZ19" i="13" s="1"/>
  <c r="AV19" i="13"/>
  <c r="AY19" i="13" s="1"/>
  <c r="AW18" i="13"/>
  <c r="AV18" i="13"/>
  <c r="AY18" i="13" s="1"/>
  <c r="AW16" i="13"/>
  <c r="AZ16" i="13" s="1"/>
  <c r="BA16" i="13" s="1"/>
  <c r="AV16" i="13"/>
  <c r="AY16" i="13" s="1"/>
  <c r="AW15" i="13"/>
  <c r="AZ15" i="13" s="1"/>
  <c r="AV15" i="13"/>
  <c r="AY15" i="13" s="1"/>
  <c r="AW13" i="13"/>
  <c r="AZ13" i="13" s="1"/>
  <c r="AV13" i="13"/>
  <c r="AY13" i="13" s="1"/>
  <c r="AW12" i="13"/>
  <c r="AZ12" i="13" s="1"/>
  <c r="AV12" i="13"/>
  <c r="AY12" i="13" s="1"/>
  <c r="AW10" i="13"/>
  <c r="AZ10" i="13" s="1"/>
  <c r="BA10" i="13" s="1"/>
  <c r="AV10" i="13"/>
  <c r="AY10" i="13" s="1"/>
  <c r="AW9" i="13"/>
  <c r="AV9" i="13"/>
  <c r="AY9" i="13" s="1"/>
  <c r="AY11" i="13" s="1"/>
  <c r="AW7" i="13"/>
  <c r="AZ7" i="13" s="1"/>
  <c r="AV7" i="13"/>
  <c r="AY7" i="13" s="1"/>
  <c r="AW6" i="13"/>
  <c r="AZ6" i="13" s="1"/>
  <c r="AV6" i="13"/>
  <c r="AY6" i="13" s="1"/>
  <c r="BF61" i="1" l="1"/>
  <c r="BA58" i="10"/>
  <c r="AY31" i="1"/>
  <c r="BB10" i="1"/>
  <c r="AY71" i="1"/>
  <c r="AZ70" i="1"/>
  <c r="AW25" i="1"/>
  <c r="AW51" i="2"/>
  <c r="AW72" i="2"/>
  <c r="AR17" i="7"/>
  <c r="AY30" i="2"/>
  <c r="BB9" i="2"/>
  <c r="BC9" i="2" s="1"/>
  <c r="AW72" i="1"/>
  <c r="BA48" i="13"/>
  <c r="BA54" i="13"/>
  <c r="AW12" i="1"/>
  <c r="AW21" i="1"/>
  <c r="AV23" i="1"/>
  <c r="AW24" i="1"/>
  <c r="AU106" i="1"/>
  <c r="AW46" i="1"/>
  <c r="AW52" i="1"/>
  <c r="AW58" i="1"/>
  <c r="AW63" i="1"/>
  <c r="AV69" i="1"/>
  <c r="AZ88" i="1"/>
  <c r="AV20" i="2"/>
  <c r="AW27" i="2"/>
  <c r="AY30" i="1"/>
  <c r="BB9" i="1"/>
  <c r="AY60" i="1"/>
  <c r="AZ60" i="1" s="1"/>
  <c r="BB39" i="1"/>
  <c r="BB60" i="1" s="1"/>
  <c r="BC60" i="1" s="1"/>
  <c r="AY31" i="2"/>
  <c r="BB10" i="2"/>
  <c r="AY61" i="2"/>
  <c r="AY62" i="2" s="1"/>
  <c r="BB40" i="2"/>
  <c r="BB61" i="2" s="1"/>
  <c r="AY71" i="2"/>
  <c r="AY80" i="2"/>
  <c r="AY89" i="2"/>
  <c r="AZ89" i="2" s="1"/>
  <c r="AY98" i="2"/>
  <c r="CK56" i="12"/>
  <c r="CJ57" i="12"/>
  <c r="CN58" i="12"/>
  <c r="CO58" i="12" s="1"/>
  <c r="CL59" i="12"/>
  <c r="CM59" i="12" s="1"/>
  <c r="CO23" i="12"/>
  <c r="CL28" i="12"/>
  <c r="CK29" i="12"/>
  <c r="CO27" i="12"/>
  <c r="CN36" i="12"/>
  <c r="CO36" i="12" s="1"/>
  <c r="CL37" i="12"/>
  <c r="CO65" i="12"/>
  <c r="CS12" i="12"/>
  <c r="CR60" i="12"/>
  <c r="CS13" i="12"/>
  <c r="CR61" i="12"/>
  <c r="CR63" i="12" s="1"/>
  <c r="CU36" i="12"/>
  <c r="AW13" i="1"/>
  <c r="AV70" i="1"/>
  <c r="AY50" i="13"/>
  <c r="AY56" i="13"/>
  <c r="AV106" i="1"/>
  <c r="AZ9" i="2"/>
  <c r="AU17" i="2"/>
  <c r="AV26" i="2"/>
  <c r="AU105" i="2"/>
  <c r="AU53" i="2"/>
  <c r="AU74" i="2"/>
  <c r="CK20" i="12"/>
  <c r="CJ21" i="12"/>
  <c r="CO39" i="12"/>
  <c r="CL44" i="12"/>
  <c r="CK45" i="12"/>
  <c r="CO43" i="12"/>
  <c r="CN52" i="12"/>
  <c r="CO52" i="12" s="1"/>
  <c r="CL53" i="12"/>
  <c r="CM53" i="12" s="1"/>
  <c r="CS28" i="12"/>
  <c r="CS29" i="12"/>
  <c r="CU52" i="12"/>
  <c r="AY61" i="1"/>
  <c r="AY62" i="1" s="1"/>
  <c r="BB40" i="1"/>
  <c r="BC40" i="1" s="1"/>
  <c r="AY60" i="2"/>
  <c r="BB39" i="2"/>
  <c r="AS173" i="7"/>
  <c r="AR265" i="7"/>
  <c r="AS96" i="8"/>
  <c r="AS27" i="10"/>
  <c r="AS47" i="10"/>
  <c r="AU49" i="10"/>
  <c r="AT90" i="10"/>
  <c r="AU90" i="10" s="1"/>
  <c r="AT154" i="10"/>
  <c r="AT104" i="10"/>
  <c r="AV88" i="2"/>
  <c r="AX30" i="1"/>
  <c r="BA9" i="1"/>
  <c r="BA30" i="1" s="1"/>
  <c r="AX60" i="1"/>
  <c r="BA39" i="1"/>
  <c r="BA60" i="1" s="1"/>
  <c r="AX31" i="2"/>
  <c r="AX32" i="2" s="1"/>
  <c r="BA10" i="2"/>
  <c r="AZ17" i="2"/>
  <c r="AZ23" i="2"/>
  <c r="AZ29" i="2"/>
  <c r="AZ38" i="2"/>
  <c r="BA40" i="2"/>
  <c r="AZ47" i="2"/>
  <c r="AZ53" i="2"/>
  <c r="AZ59" i="2"/>
  <c r="AZ68" i="2"/>
  <c r="AZ95" i="2"/>
  <c r="CJ56" i="12"/>
  <c r="CN57" i="12"/>
  <c r="CL58" i="12"/>
  <c r="CK59" i="12"/>
  <c r="CK28" i="12"/>
  <c r="CJ29" i="12"/>
  <c r="CL36" i="12"/>
  <c r="CK37" i="12"/>
  <c r="CO37" i="12" s="1"/>
  <c r="CN44" i="12"/>
  <c r="CL45" i="12"/>
  <c r="CT60" i="12"/>
  <c r="CU60" i="12" s="1"/>
  <c r="CU29" i="12"/>
  <c r="AR62" i="7"/>
  <c r="AT43" i="7"/>
  <c r="AT47" i="7"/>
  <c r="AT51" i="7"/>
  <c r="AT55" i="7"/>
  <c r="AR81" i="7"/>
  <c r="AT65" i="7"/>
  <c r="AT69" i="7"/>
  <c r="AT72" i="7"/>
  <c r="AS81" i="7"/>
  <c r="AT91" i="7"/>
  <c r="AT95" i="7"/>
  <c r="AT99" i="7"/>
  <c r="AS130" i="7"/>
  <c r="AT131" i="7"/>
  <c r="AS155" i="7"/>
  <c r="AT141" i="7"/>
  <c r="AT145" i="7"/>
  <c r="AT156" i="7"/>
  <c r="AT160" i="7"/>
  <c r="AT164" i="7"/>
  <c r="AT168" i="7"/>
  <c r="AW173" i="7"/>
  <c r="AT183" i="7"/>
  <c r="AT187" i="7"/>
  <c r="AT191" i="7"/>
  <c r="AT195" i="7"/>
  <c r="AT204" i="7"/>
  <c r="AT208" i="7"/>
  <c r="AT226" i="7"/>
  <c r="AT230" i="7"/>
  <c r="AT234" i="7"/>
  <c r="AT238" i="7"/>
  <c r="AT242" i="7"/>
  <c r="AS265" i="7"/>
  <c r="AT265" i="7" s="1"/>
  <c r="AW265" i="7"/>
  <c r="AS28" i="8"/>
  <c r="AU8" i="8"/>
  <c r="AX28" i="8"/>
  <c r="AU32" i="8"/>
  <c r="AU36" i="8"/>
  <c r="AU50" i="8"/>
  <c r="AU58" i="8"/>
  <c r="AS70" i="8"/>
  <c r="AU74" i="8"/>
  <c r="AU78" i="8"/>
  <c r="AU82" i="8"/>
  <c r="AX96" i="8"/>
  <c r="AT7" i="9"/>
  <c r="AT11" i="9"/>
  <c r="AT15" i="9"/>
  <c r="AT33" i="9"/>
  <c r="AU13" i="10"/>
  <c r="AU17" i="10"/>
  <c r="AU21" i="10"/>
  <c r="AU31" i="10"/>
  <c r="AU35" i="10"/>
  <c r="AU39" i="10"/>
  <c r="AX47" i="10"/>
  <c r="AU58" i="10"/>
  <c r="AY60" i="10"/>
  <c r="AU69" i="10"/>
  <c r="AU73" i="10"/>
  <c r="AU77" i="10"/>
  <c r="AU91" i="10"/>
  <c r="AU111" i="10"/>
  <c r="AU115" i="10"/>
  <c r="AU119" i="10"/>
  <c r="AU123" i="10"/>
  <c r="AS152" i="10"/>
  <c r="AU132" i="10"/>
  <c r="AU136" i="10"/>
  <c r="AU140" i="10"/>
  <c r="AX154" i="10"/>
  <c r="AU165" i="10"/>
  <c r="AU169" i="10"/>
  <c r="AU180" i="10"/>
  <c r="AU184" i="10"/>
  <c r="AS245" i="10"/>
  <c r="AU227" i="10"/>
  <c r="AU231" i="10"/>
  <c r="AU235" i="10"/>
  <c r="AU239" i="10"/>
  <c r="AU243" i="10"/>
  <c r="AX245" i="10"/>
  <c r="AU255" i="10"/>
  <c r="AT322" i="10"/>
  <c r="AU322" i="10" s="1"/>
  <c r="AT22" i="11"/>
  <c r="AW26" i="11"/>
  <c r="AR46" i="11"/>
  <c r="AT33" i="11"/>
  <c r="AT37" i="11"/>
  <c r="AW90" i="11"/>
  <c r="AT166" i="11"/>
  <c r="AT172" i="11"/>
  <c r="AT176" i="11"/>
  <c r="AS11" i="10"/>
  <c r="BA60" i="10"/>
  <c r="AS129" i="10"/>
  <c r="AU214" i="10"/>
  <c r="AU218" i="10"/>
  <c r="AU226" i="10"/>
  <c r="AU230" i="10"/>
  <c r="AU234" i="10"/>
  <c r="AU238" i="10"/>
  <c r="AU258" i="10"/>
  <c r="AU262" i="10"/>
  <c r="AU266" i="10"/>
  <c r="AS344" i="10"/>
  <c r="AU323" i="10"/>
  <c r="AU332" i="10"/>
  <c r="AT61" i="11"/>
  <c r="AT65" i="11"/>
  <c r="AW70" i="11"/>
  <c r="AT77" i="11"/>
  <c r="AT81" i="11"/>
  <c r="AR139" i="11"/>
  <c r="AT124" i="11"/>
  <c r="AT149" i="11"/>
  <c r="AT153" i="11"/>
  <c r="AT157" i="11"/>
  <c r="AT165" i="11"/>
  <c r="AR183" i="11"/>
  <c r="AT171" i="11"/>
  <c r="AT175" i="11"/>
  <c r="AS34" i="14"/>
  <c r="AT34" i="14" s="1"/>
  <c r="AT19" i="14"/>
  <c r="AT7" i="16"/>
  <c r="AW81" i="1"/>
  <c r="AV87" i="1"/>
  <c r="AW87" i="1" s="1"/>
  <c r="AW90" i="1"/>
  <c r="AZ106" i="1"/>
  <c r="AU8" i="2"/>
  <c r="AV14" i="2"/>
  <c r="AW14" i="2" s="1"/>
  <c r="AW15" i="2"/>
  <c r="AU29" i="2"/>
  <c r="AU47" i="2"/>
  <c r="AV56" i="2"/>
  <c r="AW57" i="2"/>
  <c r="AU69" i="2"/>
  <c r="AV70" i="2"/>
  <c r="AW76" i="2"/>
  <c r="AX31" i="1"/>
  <c r="BA10" i="1"/>
  <c r="AX61" i="1"/>
  <c r="AX62" i="1" s="1"/>
  <c r="BA40" i="1"/>
  <c r="AX71" i="1"/>
  <c r="AX80" i="1"/>
  <c r="AZ80" i="1" s="1"/>
  <c r="AX89" i="1"/>
  <c r="AX98" i="1"/>
  <c r="AZ98" i="1" s="1"/>
  <c r="AX30" i="2"/>
  <c r="BA9" i="2"/>
  <c r="BA30" i="2" s="1"/>
  <c r="AX60" i="2"/>
  <c r="BA39" i="2"/>
  <c r="BA60" i="2" s="1"/>
  <c r="AX71" i="2"/>
  <c r="AZ74" i="2"/>
  <c r="AZ78" i="2"/>
  <c r="AZ83" i="2"/>
  <c r="CO15" i="12"/>
  <c r="CL20" i="12"/>
  <c r="CK21" i="12"/>
  <c r="CO19" i="12"/>
  <c r="CN28" i="12"/>
  <c r="CL29" i="12"/>
  <c r="CO47" i="12"/>
  <c r="CL52" i="12"/>
  <c r="CM52" i="12" s="1"/>
  <c r="CK53" i="12"/>
  <c r="CO51" i="12"/>
  <c r="CU58" i="12"/>
  <c r="CU59" i="12"/>
  <c r="CQ61" i="12"/>
  <c r="CS20" i="12"/>
  <c r="CU45" i="12"/>
  <c r="CS52" i="12"/>
  <c r="AS17" i="7"/>
  <c r="AT6" i="7"/>
  <c r="AS34" i="7"/>
  <c r="AT45" i="7"/>
  <c r="AT49" i="7"/>
  <c r="AT53" i="7"/>
  <c r="AT57" i="7"/>
  <c r="AT63" i="7"/>
  <c r="AT67" i="7"/>
  <c r="AT74" i="7"/>
  <c r="AT89" i="7"/>
  <c r="AT93" i="7"/>
  <c r="AT97" i="7"/>
  <c r="AT101" i="7"/>
  <c r="AR114" i="7"/>
  <c r="AW114" i="7"/>
  <c r="AT139" i="7"/>
  <c r="AT143" i="7"/>
  <c r="AT147" i="7"/>
  <c r="AT158" i="7"/>
  <c r="AT162" i="7"/>
  <c r="AT166" i="7"/>
  <c r="AT181" i="7"/>
  <c r="AT185" i="7"/>
  <c r="AT189" i="7"/>
  <c r="AT193" i="7"/>
  <c r="AS201" i="7"/>
  <c r="AT206" i="7"/>
  <c r="AT210" i="7"/>
  <c r="AT214" i="7"/>
  <c r="AR216" i="7"/>
  <c r="AT216" i="7" s="1"/>
  <c r="AT224" i="7"/>
  <c r="AT228" i="7"/>
  <c r="AT232" i="7"/>
  <c r="AT236" i="7"/>
  <c r="AT240" i="7"/>
  <c r="AT244" i="7"/>
  <c r="AW249" i="7"/>
  <c r="AU14" i="8"/>
  <c r="AU19" i="8"/>
  <c r="AT47" i="8"/>
  <c r="AU34" i="8"/>
  <c r="AU56" i="8"/>
  <c r="AU63" i="8"/>
  <c r="AT96" i="8"/>
  <c r="AU76" i="8"/>
  <c r="AU80" i="8"/>
  <c r="AU84" i="8"/>
  <c r="AR32" i="9"/>
  <c r="AT9" i="9"/>
  <c r="AT13" i="9"/>
  <c r="AT17" i="9"/>
  <c r="AS32" i="9"/>
  <c r="AT35" i="9"/>
  <c r="AR48" i="9"/>
  <c r="AW48" i="9"/>
  <c r="AU6" i="10"/>
  <c r="AU15" i="10"/>
  <c r="AU19" i="10"/>
  <c r="AU29" i="10"/>
  <c r="AU33" i="10"/>
  <c r="AU37" i="10"/>
  <c r="AT47" i="10"/>
  <c r="AX58" i="10"/>
  <c r="AS90" i="10"/>
  <c r="AU67" i="10"/>
  <c r="AU71" i="10"/>
  <c r="AU75" i="10"/>
  <c r="AS154" i="10"/>
  <c r="AS104" i="10"/>
  <c r="AU113" i="10"/>
  <c r="AU117" i="10"/>
  <c r="AU121" i="10"/>
  <c r="AU125" i="10"/>
  <c r="AU130" i="10"/>
  <c r="AU138" i="10"/>
  <c r="AU142" i="10"/>
  <c r="AU163" i="10"/>
  <c r="AU167" i="10"/>
  <c r="AU171" i="10"/>
  <c r="AT206" i="10"/>
  <c r="AU206" i="10" s="1"/>
  <c r="AU182" i="10"/>
  <c r="AU186" i="10"/>
  <c r="AU190" i="10"/>
  <c r="AU194" i="10"/>
  <c r="AU198" i="10"/>
  <c r="AU202" i="10"/>
  <c r="AU213" i="10"/>
  <c r="AU217" i="10"/>
  <c r="AU225" i="10"/>
  <c r="AU229" i="10"/>
  <c r="AU233" i="10"/>
  <c r="AU237" i="10"/>
  <c r="AU241" i="10"/>
  <c r="AT247" i="10"/>
  <c r="AU257" i="10"/>
  <c r="AU261" i="10"/>
  <c r="AU265" i="10"/>
  <c r="AU269" i="10"/>
  <c r="AU273" i="10"/>
  <c r="AT276" i="10"/>
  <c r="AU278" i="10"/>
  <c r="AU282" i="10"/>
  <c r="AU286" i="10"/>
  <c r="AX296" i="10"/>
  <c r="AT123" i="11"/>
  <c r="AR122" i="11"/>
  <c r="AT128" i="11"/>
  <c r="AW139" i="11"/>
  <c r="AS183" i="11"/>
  <c r="AT170" i="11"/>
  <c r="AT174" i="11"/>
  <c r="AS17" i="14"/>
  <c r="AR15" i="16"/>
  <c r="AT6" i="16"/>
  <c r="DE63" i="12"/>
  <c r="AG318" i="24"/>
  <c r="C318" i="23"/>
  <c r="BG41" i="2"/>
  <c r="BG61" i="2"/>
  <c r="BG62" i="2" s="1"/>
  <c r="BI10" i="1"/>
  <c r="BH31" i="1"/>
  <c r="BH11" i="1"/>
  <c r="BD32" i="1"/>
  <c r="BF32" i="1" s="1"/>
  <c r="BD62" i="1"/>
  <c r="BF62" i="1" s="1"/>
  <c r="BI9" i="2"/>
  <c r="BH30" i="2"/>
  <c r="BI30" i="2" s="1"/>
  <c r="AU256" i="10"/>
  <c r="AU260" i="10"/>
  <c r="AU264" i="10"/>
  <c r="AU272" i="10"/>
  <c r="AU277" i="10"/>
  <c r="AU281" i="10"/>
  <c r="AU285" i="10"/>
  <c r="AU289" i="10"/>
  <c r="AU306" i="10"/>
  <c r="AU344" i="10"/>
  <c r="AT342" i="10"/>
  <c r="AU335" i="10"/>
  <c r="AS342" i="10"/>
  <c r="AX344" i="10"/>
  <c r="AT21" i="11"/>
  <c r="AT32" i="11"/>
  <c r="AT36" i="11"/>
  <c r="AT40" i="11"/>
  <c r="AT44" i="11"/>
  <c r="AT71" i="11"/>
  <c r="AT76" i="11"/>
  <c r="AT85" i="11"/>
  <c r="AT88" i="11"/>
  <c r="AT99" i="11"/>
  <c r="AT103" i="11"/>
  <c r="AT107" i="11"/>
  <c r="AT111" i="11"/>
  <c r="AT115" i="11"/>
  <c r="AR168" i="11"/>
  <c r="AT148" i="11"/>
  <c r="AT152" i="11"/>
  <c r="AT156" i="11"/>
  <c r="AT160" i="11"/>
  <c r="AT184" i="11"/>
  <c r="AT8" i="14"/>
  <c r="AS15" i="16"/>
  <c r="AR23" i="16"/>
  <c r="BB71" i="1"/>
  <c r="BC71" i="1" s="1"/>
  <c r="BD8" i="13"/>
  <c r="BC80" i="2"/>
  <c r="BC65" i="2"/>
  <c r="CV60" i="12"/>
  <c r="CV62" i="12" s="1"/>
  <c r="AZ173" i="7"/>
  <c r="AZ168" i="11"/>
  <c r="BG53" i="13"/>
  <c r="DE60" i="12"/>
  <c r="BI40" i="2"/>
  <c r="BH41" i="2"/>
  <c r="BI41" i="2" s="1"/>
  <c r="BH61" i="2"/>
  <c r="BH60" i="1"/>
  <c r="BI60" i="1" s="1"/>
  <c r="BI39" i="1"/>
  <c r="AT298" i="10"/>
  <c r="AU305" i="10"/>
  <c r="AU309" i="10"/>
  <c r="AR26" i="11"/>
  <c r="AS46" i="11"/>
  <c r="AT46" i="11" s="1"/>
  <c r="AS70" i="11"/>
  <c r="AS122" i="11"/>
  <c r="AS139" i="11"/>
  <c r="AS168" i="11"/>
  <c r="AW168" i="11"/>
  <c r="AT7" i="14"/>
  <c r="AT5" i="16"/>
  <c r="AT16" i="16"/>
  <c r="AS23" i="16"/>
  <c r="BC65" i="1"/>
  <c r="AI318" i="22"/>
  <c r="BG27" i="13"/>
  <c r="B318" i="23"/>
  <c r="BG11" i="2"/>
  <c r="BG31" i="2"/>
  <c r="BG32" i="2" s="1"/>
  <c r="BE62" i="2"/>
  <c r="BF60" i="1"/>
  <c r="AR17" i="14"/>
  <c r="BI39" i="2"/>
  <c r="BH60" i="2"/>
  <c r="BI60" i="2" s="1"/>
  <c r="BG11" i="1"/>
  <c r="BG31" i="1"/>
  <c r="BG32" i="1" s="1"/>
  <c r="BG41" i="1"/>
  <c r="BG61" i="1"/>
  <c r="BG62" i="1" s="1"/>
  <c r="BH31" i="2"/>
  <c r="BH11" i="2"/>
  <c r="BI11" i="2" s="1"/>
  <c r="BI10" i="2"/>
  <c r="BI9" i="1"/>
  <c r="BH30" i="1"/>
  <c r="BI30" i="1" s="1"/>
  <c r="BI40" i="1"/>
  <c r="BH41" i="1"/>
  <c r="BI41" i="1" s="1"/>
  <c r="BH61" i="1"/>
  <c r="E293" i="23"/>
  <c r="D318" i="23"/>
  <c r="F318" i="23"/>
  <c r="G318" i="23" s="1"/>
  <c r="BC59" i="13"/>
  <c r="BF57" i="13"/>
  <c r="BG57" i="13" s="1"/>
  <c r="BG28" i="13"/>
  <c r="BF29" i="13"/>
  <c r="BG29" i="13" s="1"/>
  <c r="BF23" i="13"/>
  <c r="BG23" i="13" s="1"/>
  <c r="BG22" i="13"/>
  <c r="BF17" i="13"/>
  <c r="BG17" i="13" s="1"/>
  <c r="BG16" i="13"/>
  <c r="BG40" i="13"/>
  <c r="BF41" i="13"/>
  <c r="BG41" i="13" s="1"/>
  <c r="BG25" i="13"/>
  <c r="BF26" i="13"/>
  <c r="BG26" i="13" s="1"/>
  <c r="BG47" i="13"/>
  <c r="BG9" i="13"/>
  <c r="BG10" i="13"/>
  <c r="BF11" i="13"/>
  <c r="BG11" i="13" s="1"/>
  <c r="BG58" i="13"/>
  <c r="BF59" i="13"/>
  <c r="BG59" i="13" s="1"/>
  <c r="BG7" i="13"/>
  <c r="BF8" i="13"/>
  <c r="BG8" i="13" s="1"/>
  <c r="AY14" i="13"/>
  <c r="AY20" i="13"/>
  <c r="AV26" i="13"/>
  <c r="AY38" i="13"/>
  <c r="AX9" i="13"/>
  <c r="BA12" i="13"/>
  <c r="AZ23" i="13"/>
  <c r="AX24" i="13"/>
  <c r="BD26" i="13"/>
  <c r="BD11" i="13"/>
  <c r="BG42" i="13"/>
  <c r="BG56" i="13"/>
  <c r="BG44" i="13"/>
  <c r="BF20" i="13"/>
  <c r="BG20" i="13" s="1"/>
  <c r="BG19" i="13"/>
  <c r="BF14" i="13"/>
  <c r="BG14" i="13" s="1"/>
  <c r="BG13" i="13"/>
  <c r="BG45" i="13"/>
  <c r="BF50" i="13"/>
  <c r="BG50" i="13" s="1"/>
  <c r="BG38" i="13"/>
  <c r="AG250" i="22"/>
  <c r="AG251" i="22"/>
  <c r="AG252" i="22"/>
  <c r="AG253" i="22"/>
  <c r="AG254" i="22"/>
  <c r="AG255" i="22"/>
  <c r="AG256" i="22"/>
  <c r="AG258" i="22"/>
  <c r="AG259" i="22"/>
  <c r="AG260" i="22"/>
  <c r="AG261" i="22"/>
  <c r="AG262" i="22"/>
  <c r="AG263" i="22"/>
  <c r="AG264" i="22"/>
  <c r="AG265" i="22"/>
  <c r="AG267" i="22"/>
  <c r="AG269" i="22"/>
  <c r="AG271" i="22"/>
  <c r="AG272" i="22"/>
  <c r="AG273" i="22"/>
  <c r="AG274" i="22"/>
  <c r="AG275" i="22"/>
  <c r="AG277" i="22"/>
  <c r="AG279" i="22"/>
  <c r="G251" i="20"/>
  <c r="G252" i="20"/>
  <c r="G254" i="20"/>
  <c r="G255" i="20"/>
  <c r="G256" i="20"/>
  <c r="G257" i="20"/>
  <c r="G259" i="20"/>
  <c r="G260" i="20"/>
  <c r="G262" i="20"/>
  <c r="G263" i="20"/>
  <c r="G264" i="20"/>
  <c r="G265" i="20"/>
  <c r="G266" i="20"/>
  <c r="G267" i="20"/>
  <c r="G268" i="20"/>
  <c r="G270" i="20"/>
  <c r="G271" i="20"/>
  <c r="G272" i="20"/>
  <c r="G274" i="20"/>
  <c r="G275" i="20"/>
  <c r="G276" i="20"/>
  <c r="AY17" i="13"/>
  <c r="BA42" i="13"/>
  <c r="BA45" i="13"/>
  <c r="BA52" i="13"/>
  <c r="AZ53" i="13"/>
  <c r="BA53" i="13" s="1"/>
  <c r="AZ38" i="13"/>
  <c r="BA38" i="13" s="1"/>
  <c r="BA36" i="13"/>
  <c r="AY8" i="13"/>
  <c r="E266" i="20"/>
  <c r="AY25" i="13"/>
  <c r="AY26" i="13" s="1"/>
  <c r="AX18" i="13"/>
  <c r="AZ18" i="13"/>
  <c r="BA18" i="13" s="1"/>
  <c r="AZ24" i="13"/>
  <c r="BA24" i="13" s="1"/>
  <c r="C278" i="20"/>
  <c r="C278" i="23"/>
  <c r="AZ47" i="13"/>
  <c r="AZ9" i="13"/>
  <c r="AZ11" i="13" s="1"/>
  <c r="BA11" i="13" s="1"/>
  <c r="AV23" i="13"/>
  <c r="AY22" i="13"/>
  <c r="AY23" i="13" s="1"/>
  <c r="BA23" i="13" s="1"/>
  <c r="BA6" i="13"/>
  <c r="BA22" i="13"/>
  <c r="AW50" i="13"/>
  <c r="AW56" i="13"/>
  <c r="AZ55" i="13"/>
  <c r="AZ49" i="13"/>
  <c r="BA49" i="13" s="1"/>
  <c r="AZ17" i="13"/>
  <c r="AZ122" i="11"/>
  <c r="BA342" i="10"/>
  <c r="BA247" i="10"/>
  <c r="BA204" i="10"/>
  <c r="AZ62" i="7"/>
  <c r="AZ81" i="7"/>
  <c r="E250" i="23"/>
  <c r="E251" i="23"/>
  <c r="E258" i="23"/>
  <c r="E259" i="23"/>
  <c r="E262" i="23"/>
  <c r="E271" i="23"/>
  <c r="E270" i="23"/>
  <c r="AD278" i="24"/>
  <c r="B248" i="23"/>
  <c r="B278" i="23" s="1"/>
  <c r="AH278" i="24"/>
  <c r="F248" i="23"/>
  <c r="AI249" i="24"/>
  <c r="F249" i="23"/>
  <c r="G249" i="23" s="1"/>
  <c r="AI250" i="24"/>
  <c r="F250" i="23"/>
  <c r="G250" i="23" s="1"/>
  <c r="AI251" i="24"/>
  <c r="F251" i="23"/>
  <c r="G251" i="23" s="1"/>
  <c r="AI252" i="24"/>
  <c r="F252" i="23"/>
  <c r="G252" i="23" s="1"/>
  <c r="AI253" i="24"/>
  <c r="F253" i="23"/>
  <c r="G253" i="23" s="1"/>
  <c r="AI254" i="24"/>
  <c r="F254" i="23"/>
  <c r="G254" i="23" s="1"/>
  <c r="AI255" i="24"/>
  <c r="F255" i="23"/>
  <c r="G255" i="23" s="1"/>
  <c r="AI256" i="24"/>
  <c r="F256" i="23"/>
  <c r="G256" i="23" s="1"/>
  <c r="AI257" i="24"/>
  <c r="F257" i="23"/>
  <c r="G257" i="23" s="1"/>
  <c r="AI258" i="24"/>
  <c r="F258" i="23"/>
  <c r="G258" i="23" s="1"/>
  <c r="AI259" i="24"/>
  <c r="F259" i="23"/>
  <c r="G259" i="23" s="1"/>
  <c r="AI260" i="24"/>
  <c r="F260" i="23"/>
  <c r="G260" i="23" s="1"/>
  <c r="AI261" i="24"/>
  <c r="F261" i="23"/>
  <c r="G261" i="23" s="1"/>
  <c r="AI262" i="24"/>
  <c r="F262" i="23"/>
  <c r="G262" i="23" s="1"/>
  <c r="AI263" i="24"/>
  <c r="F263" i="23"/>
  <c r="G263" i="23" s="1"/>
  <c r="AI264" i="24"/>
  <c r="F264" i="23"/>
  <c r="G264" i="23" s="1"/>
  <c r="AI265" i="24"/>
  <c r="F265" i="23"/>
  <c r="G265" i="23" s="1"/>
  <c r="AI266" i="24"/>
  <c r="F266" i="23"/>
  <c r="G266" i="23" s="1"/>
  <c r="AI267" i="24"/>
  <c r="F267" i="23"/>
  <c r="G267" i="23" s="1"/>
  <c r="AI268" i="24"/>
  <c r="F268" i="23"/>
  <c r="G268" i="23" s="1"/>
  <c r="AI269" i="24"/>
  <c r="F269" i="23"/>
  <c r="G269" i="23" s="1"/>
  <c r="AI270" i="24"/>
  <c r="F270" i="23"/>
  <c r="G270" i="23" s="1"/>
  <c r="AI271" i="24"/>
  <c r="F271" i="23"/>
  <c r="G271" i="23" s="1"/>
  <c r="AI272" i="24"/>
  <c r="F272" i="23"/>
  <c r="G272" i="23" s="1"/>
  <c r="AI273" i="24"/>
  <c r="F273" i="23"/>
  <c r="G273" i="23" s="1"/>
  <c r="AI274" i="24"/>
  <c r="F274" i="23"/>
  <c r="G274" i="23" s="1"/>
  <c r="AI275" i="24"/>
  <c r="F275" i="23"/>
  <c r="G275" i="23" s="1"/>
  <c r="AI276" i="24"/>
  <c r="F276" i="23"/>
  <c r="G276" i="23" s="1"/>
  <c r="AI277" i="24"/>
  <c r="F277" i="23"/>
  <c r="G277" i="23" s="1"/>
  <c r="AI279" i="24"/>
  <c r="F279" i="23"/>
  <c r="G279" i="23" s="1"/>
  <c r="AF278" i="24"/>
  <c r="AG278" i="24" s="1"/>
  <c r="D248" i="23"/>
  <c r="E248" i="23" s="1"/>
  <c r="AG249" i="24"/>
  <c r="D249" i="23"/>
  <c r="E249" i="23" s="1"/>
  <c r="AG252" i="24"/>
  <c r="D252" i="23"/>
  <c r="E252" i="23" s="1"/>
  <c r="AG253" i="24"/>
  <c r="D253" i="23"/>
  <c r="E253" i="23" s="1"/>
  <c r="AG256" i="24"/>
  <c r="D256" i="23"/>
  <c r="E256" i="23" s="1"/>
  <c r="AG257" i="24"/>
  <c r="D257" i="23"/>
  <c r="E257" i="23" s="1"/>
  <c r="AG260" i="24"/>
  <c r="D260" i="23"/>
  <c r="E260" i="23" s="1"/>
  <c r="AG261" i="24"/>
  <c r="D261" i="23"/>
  <c r="E261" i="23" s="1"/>
  <c r="AG264" i="24"/>
  <c r="D264" i="23"/>
  <c r="E264" i="23" s="1"/>
  <c r="AG265" i="24"/>
  <c r="D265" i="23"/>
  <c r="E265" i="23" s="1"/>
  <c r="AG268" i="24"/>
  <c r="D268" i="23"/>
  <c r="E268" i="23" s="1"/>
  <c r="AG269" i="24"/>
  <c r="D269" i="23"/>
  <c r="E269" i="23" s="1"/>
  <c r="AG272" i="24"/>
  <c r="D272" i="23"/>
  <c r="E272" i="23" s="1"/>
  <c r="AG273" i="24"/>
  <c r="D273" i="23"/>
  <c r="E273" i="23" s="1"/>
  <c r="AG276" i="24"/>
  <c r="D276" i="23"/>
  <c r="E276" i="23" s="1"/>
  <c r="AG277" i="24"/>
  <c r="D277" i="23"/>
  <c r="E277" i="23" s="1"/>
  <c r="AG250" i="24"/>
  <c r="AG251" i="24"/>
  <c r="AG254" i="24"/>
  <c r="AG255" i="24"/>
  <c r="AG258" i="24"/>
  <c r="AG259" i="24"/>
  <c r="AG262" i="24"/>
  <c r="AG263" i="24"/>
  <c r="AG266" i="24"/>
  <c r="AG267" i="24"/>
  <c r="AG270" i="24"/>
  <c r="AG271" i="24"/>
  <c r="AG274" i="24"/>
  <c r="AG275" i="24"/>
  <c r="AG279" i="24"/>
  <c r="D279" i="23"/>
  <c r="D263" i="23"/>
  <c r="E263" i="23" s="1"/>
  <c r="D254" i="23"/>
  <c r="E254" i="23" s="1"/>
  <c r="D275" i="23"/>
  <c r="E275" i="23" s="1"/>
  <c r="D267" i="23"/>
  <c r="E267" i="23" s="1"/>
  <c r="D255" i="23"/>
  <c r="E255" i="23" s="1"/>
  <c r="D274" i="23"/>
  <c r="E274" i="23" s="1"/>
  <c r="D266" i="23"/>
  <c r="E266" i="23" s="1"/>
  <c r="AF278" i="22"/>
  <c r="AG278" i="22" s="1"/>
  <c r="D248" i="20"/>
  <c r="AG249" i="22"/>
  <c r="D249" i="20"/>
  <c r="E249" i="20" s="1"/>
  <c r="AG257" i="22"/>
  <c r="D257" i="20"/>
  <c r="E257" i="20" s="1"/>
  <c r="AG268" i="22"/>
  <c r="D268" i="20"/>
  <c r="E268" i="20" s="1"/>
  <c r="AG270" i="22"/>
  <c r="D270" i="20"/>
  <c r="E270" i="20" s="1"/>
  <c r="AG276" i="22"/>
  <c r="D276" i="20"/>
  <c r="E276" i="20" s="1"/>
  <c r="D279" i="20"/>
  <c r="E279" i="20" s="1"/>
  <c r="D269" i="20"/>
  <c r="E269" i="20" s="1"/>
  <c r="D263" i="20"/>
  <c r="E263" i="20" s="1"/>
  <c r="D255" i="20"/>
  <c r="E255" i="20" s="1"/>
  <c r="D265" i="20"/>
  <c r="E265" i="20" s="1"/>
  <c r="D252" i="20"/>
  <c r="E252" i="20" s="1"/>
  <c r="D264" i="20"/>
  <c r="E264" i="20" s="1"/>
  <c r="D250" i="20"/>
  <c r="E250" i="20" s="1"/>
  <c r="D259" i="20"/>
  <c r="E259" i="20" s="1"/>
  <c r="D275" i="20"/>
  <c r="E275" i="20" s="1"/>
  <c r="D261" i="20"/>
  <c r="E261" i="20" s="1"/>
  <c r="D253" i="20"/>
  <c r="E253" i="20" s="1"/>
  <c r="D272" i="20"/>
  <c r="E272" i="20" s="1"/>
  <c r="D256" i="20"/>
  <c r="E256" i="20" s="1"/>
  <c r="D258" i="20"/>
  <c r="E258" i="20" s="1"/>
  <c r="F248" i="20"/>
  <c r="G248" i="20" s="1"/>
  <c r="D271" i="20"/>
  <c r="E271" i="20" s="1"/>
  <c r="B248" i="20"/>
  <c r="B278" i="20" s="1"/>
  <c r="D274" i="20"/>
  <c r="E274" i="20" s="1"/>
  <c r="AI249" i="22"/>
  <c r="F249" i="20"/>
  <c r="G249" i="20" s="1"/>
  <c r="AI253" i="22"/>
  <c r="F253" i="20"/>
  <c r="G253" i="20" s="1"/>
  <c r="AI279" i="22"/>
  <c r="F279" i="20"/>
  <c r="G279" i="20" s="1"/>
  <c r="AI250" i="22"/>
  <c r="AI252" i="22"/>
  <c r="AI254" i="22"/>
  <c r="AI256" i="22"/>
  <c r="AI257" i="22"/>
  <c r="AI258" i="22"/>
  <c r="AI260" i="22"/>
  <c r="AI261" i="22"/>
  <c r="AI262" i="22"/>
  <c r="AI264" i="22"/>
  <c r="AI265" i="22"/>
  <c r="AI266" i="22"/>
  <c r="AI267" i="22"/>
  <c r="AI268" i="22"/>
  <c r="AI269" i="22"/>
  <c r="AI270" i="22"/>
  <c r="AI271" i="22"/>
  <c r="AI272" i="22"/>
  <c r="AI273" i="22"/>
  <c r="AI274" i="22"/>
  <c r="AI275" i="22"/>
  <c r="AI276" i="22"/>
  <c r="AI277" i="22"/>
  <c r="D267" i="20"/>
  <c r="E267" i="20" s="1"/>
  <c r="D251" i="20"/>
  <c r="E251" i="20" s="1"/>
  <c r="D277" i="20"/>
  <c r="E277" i="20" s="1"/>
  <c r="D273" i="20"/>
  <c r="E273" i="20" s="1"/>
  <c r="F258" i="20"/>
  <c r="G258" i="20" s="1"/>
  <c r="F250" i="20"/>
  <c r="G250" i="20" s="1"/>
  <c r="F277" i="20"/>
  <c r="G277" i="20" s="1"/>
  <c r="F273" i="20"/>
  <c r="G273" i="20" s="1"/>
  <c r="F269" i="20"/>
  <c r="G269" i="20" s="1"/>
  <c r="D262" i="20"/>
  <c r="E262" i="20" s="1"/>
  <c r="D254" i="20"/>
  <c r="E254" i="20" s="1"/>
  <c r="F261" i="20"/>
  <c r="G261" i="20" s="1"/>
  <c r="D260" i="20"/>
  <c r="E260" i="20" s="1"/>
  <c r="E248" i="20"/>
  <c r="DG63" i="12"/>
  <c r="CZ60" i="12"/>
  <c r="DA12" i="12"/>
  <c r="CX60" i="12"/>
  <c r="CY12" i="12"/>
  <c r="CZ61" i="12"/>
  <c r="DA13" i="12"/>
  <c r="CX61" i="12"/>
  <c r="CY13" i="12"/>
  <c r="DG62" i="12"/>
  <c r="AZ41" i="13"/>
  <c r="BC98" i="2"/>
  <c r="BF60" i="2"/>
  <c r="BC53" i="2"/>
  <c r="BC96" i="2"/>
  <c r="BD57" i="13"/>
  <c r="BA89" i="2"/>
  <c r="BB60" i="2"/>
  <c r="BC101" i="2"/>
  <c r="BC29" i="2"/>
  <c r="BC10" i="2"/>
  <c r="BD50" i="13"/>
  <c r="BC68" i="2"/>
  <c r="BD56" i="13"/>
  <c r="AY44" i="13"/>
  <c r="BC107" i="2"/>
  <c r="BB62" i="2"/>
  <c r="BF11" i="2"/>
  <c r="BC40" i="2"/>
  <c r="BB41" i="2"/>
  <c r="BF32" i="2"/>
  <c r="BF31" i="2"/>
  <c r="BC86" i="2"/>
  <c r="BF41" i="2"/>
  <c r="BC77" i="2"/>
  <c r="BB31" i="2"/>
  <c r="BA71" i="2"/>
  <c r="BC71" i="2" s="1"/>
  <c r="BF62" i="2"/>
  <c r="BF61" i="2"/>
  <c r="BC95" i="2"/>
  <c r="BC35" i="2"/>
  <c r="BC89" i="2"/>
  <c r="BB29" i="13"/>
  <c r="BA19" i="13"/>
  <c r="AZ20" i="13"/>
  <c r="BA41" i="13"/>
  <c r="AY47" i="13"/>
  <c r="BA47" i="13" s="1"/>
  <c r="BA39" i="13"/>
  <c r="BD28" i="13"/>
  <c r="BA55" i="13"/>
  <c r="AZ56" i="13"/>
  <c r="BA56" i="13" s="1"/>
  <c r="BA43" i="13"/>
  <c r="AZ44" i="13"/>
  <c r="BA44" i="13" s="1"/>
  <c r="BA25" i="13"/>
  <c r="BA9" i="13"/>
  <c r="BA51" i="13"/>
  <c r="BA15" i="13"/>
  <c r="BA7" i="13"/>
  <c r="AZ8" i="13"/>
  <c r="BA8" i="13" s="1"/>
  <c r="BD29" i="13"/>
  <c r="BB59" i="13"/>
  <c r="BD59" i="13" s="1"/>
  <c r="BA13" i="13"/>
  <c r="AZ14" i="13"/>
  <c r="BA14" i="13" s="1"/>
  <c r="BA21" i="13"/>
  <c r="BD58" i="13"/>
  <c r="BC44" i="1"/>
  <c r="BC86" i="1"/>
  <c r="BA98" i="1"/>
  <c r="BC92" i="1"/>
  <c r="BC23" i="1"/>
  <c r="BC26" i="1"/>
  <c r="BC104" i="1"/>
  <c r="BC50" i="1"/>
  <c r="BF41" i="1"/>
  <c r="BC77" i="1"/>
  <c r="BC107" i="1"/>
  <c r="BC105" i="1"/>
  <c r="BC35" i="1"/>
  <c r="BC97" i="1"/>
  <c r="BC68" i="1"/>
  <c r="BA80" i="1"/>
  <c r="BC80" i="1" s="1"/>
  <c r="BF11" i="1"/>
  <c r="BC95" i="1"/>
  <c r="BC79" i="1"/>
  <c r="BC98" i="1"/>
  <c r="BF31" i="1"/>
  <c r="AW44" i="13"/>
  <c r="AV14" i="13"/>
  <c r="AW28" i="13"/>
  <c r="AZ28" i="13" s="1"/>
  <c r="AV11" i="13"/>
  <c r="AX12" i="13"/>
  <c r="AW34" i="7"/>
  <c r="AT17" i="16"/>
  <c r="AT5" i="14"/>
  <c r="AT139" i="11"/>
  <c r="AT168" i="11"/>
  <c r="AS26" i="11"/>
  <c r="AT26" i="11" s="1"/>
  <c r="AS90" i="11"/>
  <c r="AR90" i="11"/>
  <c r="AT98" i="11"/>
  <c r="AT134" i="11"/>
  <c r="AR70" i="11"/>
  <c r="AT147" i="11"/>
  <c r="AU247" i="10"/>
  <c r="AU152" i="10"/>
  <c r="AU298" i="10"/>
  <c r="AU342" i="10"/>
  <c r="AT178" i="10"/>
  <c r="AS204" i="10"/>
  <c r="AU204" i="10" s="1"/>
  <c r="AS224" i="10"/>
  <c r="AS276" i="10"/>
  <c r="AU276" i="10" s="1"/>
  <c r="AU304" i="10"/>
  <c r="AT11" i="10"/>
  <c r="AT27" i="10"/>
  <c r="AX60" i="10"/>
  <c r="AT129" i="10"/>
  <c r="AS178" i="10"/>
  <c r="AU179" i="10"/>
  <c r="AT245" i="10"/>
  <c r="AU245" i="10" s="1"/>
  <c r="AT296" i="10"/>
  <c r="AU296" i="10" s="1"/>
  <c r="AU66" i="10"/>
  <c r="AU131" i="10"/>
  <c r="AU212" i="10"/>
  <c r="AU246" i="10"/>
  <c r="AU297" i="10"/>
  <c r="AT32" i="9"/>
  <c r="AT28" i="9"/>
  <c r="AS48" i="9"/>
  <c r="AT48" i="9" s="1"/>
  <c r="AT5" i="9"/>
  <c r="AU96" i="8"/>
  <c r="AU49" i="8"/>
  <c r="AU29" i="8"/>
  <c r="AU30" i="8"/>
  <c r="AT70" i="8"/>
  <c r="AT98" i="8"/>
  <c r="AU98" i="8" s="1"/>
  <c r="AS98" i="8"/>
  <c r="AU72" i="8"/>
  <c r="AT28" i="8"/>
  <c r="AT62" i="7"/>
  <c r="AT81" i="7"/>
  <c r="AT34" i="7"/>
  <c r="AT35" i="7"/>
  <c r="AT42" i="7"/>
  <c r="AS114" i="7"/>
  <c r="AT114" i="7" s="1"/>
  <c r="AR173" i="7"/>
  <c r="AT173" i="7" s="1"/>
  <c r="AT174" i="7"/>
  <c r="AT202" i="7"/>
  <c r="AT203" i="7"/>
  <c r="AS249" i="7"/>
  <c r="AT249" i="7" s="1"/>
  <c r="AR130" i="7"/>
  <c r="AT130" i="7" s="1"/>
  <c r="AR155" i="7"/>
  <c r="AT155" i="7" s="1"/>
  <c r="AE278" i="24"/>
  <c r="AI278" i="24" s="1"/>
  <c r="AG248" i="24"/>
  <c r="AI248" i="24"/>
  <c r="AE278" i="22"/>
  <c r="AI278" i="22" s="1"/>
  <c r="AG248" i="22"/>
  <c r="AI251" i="22"/>
  <c r="AI255" i="22"/>
  <c r="AI259" i="22"/>
  <c r="AI263" i="22"/>
  <c r="AG266" i="22"/>
  <c r="AI248" i="22"/>
  <c r="CO64" i="12"/>
  <c r="CM65" i="12"/>
  <c r="CM64" i="12"/>
  <c r="CO20" i="12"/>
  <c r="CO28" i="12"/>
  <c r="CM58" i="12"/>
  <c r="CM44" i="12"/>
  <c r="CU61" i="12"/>
  <c r="CO14" i="12"/>
  <c r="CM15" i="12"/>
  <c r="CO18" i="12"/>
  <c r="CM19" i="12"/>
  <c r="CO22" i="12"/>
  <c r="CM23" i="12"/>
  <c r="CO26" i="12"/>
  <c r="CM27" i="12"/>
  <c r="CO30" i="12"/>
  <c r="CM31" i="12"/>
  <c r="CO34" i="12"/>
  <c r="CM35" i="12"/>
  <c r="CO38" i="12"/>
  <c r="CM39" i="12"/>
  <c r="CK44" i="12"/>
  <c r="CO44" i="12" s="1"/>
  <c r="CJ45" i="12"/>
  <c r="CM45" i="12" s="1"/>
  <c r="CO42" i="12"/>
  <c r="CM43" i="12"/>
  <c r="CO46" i="12"/>
  <c r="CM47" i="12"/>
  <c r="CO50" i="12"/>
  <c r="CM51" i="12"/>
  <c r="CO54" i="12"/>
  <c r="CM55" i="12"/>
  <c r="CL56" i="12"/>
  <c r="CM56" i="12" s="1"/>
  <c r="CK57" i="12"/>
  <c r="CO57" i="12" s="1"/>
  <c r="CJ58" i="12"/>
  <c r="CN59" i="12"/>
  <c r="CS60" i="12"/>
  <c r="CS61" i="12"/>
  <c r="CM14" i="12"/>
  <c r="CJ20" i="12"/>
  <c r="CM20" i="12" s="1"/>
  <c r="CN21" i="12"/>
  <c r="CO21" i="12" s="1"/>
  <c r="CM18" i="12"/>
  <c r="CM22" i="12"/>
  <c r="CJ28" i="12"/>
  <c r="CM28" i="12" s="1"/>
  <c r="CN29" i="12"/>
  <c r="CO29" i="12" s="1"/>
  <c r="CM26" i="12"/>
  <c r="CM30" i="12"/>
  <c r="CJ36" i="12"/>
  <c r="CM36" i="12" s="1"/>
  <c r="CN37" i="12"/>
  <c r="CM34" i="12"/>
  <c r="CM38" i="12"/>
  <c r="CJ44" i="12"/>
  <c r="CN45" i="12"/>
  <c r="CM42" i="12"/>
  <c r="CM46" i="12"/>
  <c r="CJ52" i="12"/>
  <c r="CN53" i="12"/>
  <c r="CO53" i="12" s="1"/>
  <c r="CM50" i="12"/>
  <c r="CM54" i="12"/>
  <c r="CO56" i="12"/>
  <c r="CT62" i="12"/>
  <c r="CT63" i="12"/>
  <c r="CR62" i="12"/>
  <c r="CO59" i="12"/>
  <c r="CO45" i="12"/>
  <c r="CQ62" i="12"/>
  <c r="CQ63" i="12"/>
  <c r="CM57" i="12"/>
  <c r="CM21" i="12"/>
  <c r="CM29" i="12"/>
  <c r="CM37" i="12"/>
  <c r="CP62" i="12"/>
  <c r="CP63" i="12"/>
  <c r="CM8" i="12"/>
  <c r="CM9" i="12"/>
  <c r="CM10" i="12"/>
  <c r="CM11" i="12"/>
  <c r="CU12" i="12"/>
  <c r="CU13" i="12"/>
  <c r="CM16" i="12"/>
  <c r="CM17" i="12"/>
  <c r="CM24" i="12"/>
  <c r="CM25" i="12"/>
  <c r="CM32" i="12"/>
  <c r="CM33" i="12"/>
  <c r="CM40" i="12"/>
  <c r="CM41" i="12"/>
  <c r="CM48" i="12"/>
  <c r="CM49" i="12"/>
  <c r="CU56" i="12"/>
  <c r="CU57" i="12"/>
  <c r="CL12" i="12"/>
  <c r="CL13" i="12"/>
  <c r="CO8" i="12"/>
  <c r="CO9" i="12"/>
  <c r="CO10" i="12"/>
  <c r="CO11" i="12"/>
  <c r="CK12" i="12"/>
  <c r="CK60" i="12" s="1"/>
  <c r="CK62" i="12" s="1"/>
  <c r="CK13" i="12"/>
  <c r="CO16" i="12"/>
  <c r="CO17" i="12"/>
  <c r="CO24" i="12"/>
  <c r="CO25" i="12"/>
  <c r="CO32" i="12"/>
  <c r="CO33" i="12"/>
  <c r="CO40" i="12"/>
  <c r="CO41" i="12"/>
  <c r="CO48" i="12"/>
  <c r="CO49" i="12"/>
  <c r="CS56" i="12"/>
  <c r="CS57" i="12"/>
  <c r="CJ12" i="12"/>
  <c r="CJ60" i="12" s="1"/>
  <c r="CN12" i="12"/>
  <c r="CJ13" i="12"/>
  <c r="CN13" i="12"/>
  <c r="AZ30" i="2"/>
  <c r="AZ60" i="2"/>
  <c r="AZ71" i="2"/>
  <c r="AV58" i="13"/>
  <c r="AY58" i="13" s="1"/>
  <c r="AX46" i="13"/>
  <c r="AV8" i="2"/>
  <c r="AW8" i="2" s="1"/>
  <c r="AU14" i="2"/>
  <c r="AW16" i="2"/>
  <c r="AW18" i="2"/>
  <c r="AU26" i="2"/>
  <c r="AW26" i="2" s="1"/>
  <c r="AW28" i="2"/>
  <c r="AW33" i="2"/>
  <c r="AZ39" i="2"/>
  <c r="AW42" i="2"/>
  <c r="AU50" i="2"/>
  <c r="AW50" i="2" s="1"/>
  <c r="AW52" i="2"/>
  <c r="AW54" i="2"/>
  <c r="AU65" i="2"/>
  <c r="AZ69" i="2"/>
  <c r="AU79" i="2"/>
  <c r="AW90" i="2"/>
  <c r="AW99" i="2"/>
  <c r="AY11" i="2"/>
  <c r="AZ11" i="2" s="1"/>
  <c r="AY41" i="2"/>
  <c r="AV69" i="2"/>
  <c r="AV71" i="2" s="1"/>
  <c r="AX11" i="2"/>
  <c r="AX41" i="2"/>
  <c r="AX61" i="2"/>
  <c r="AX62" i="2" s="1"/>
  <c r="AX40" i="13"/>
  <c r="AX52" i="13"/>
  <c r="AW12" i="2"/>
  <c r="AU20" i="2"/>
  <c r="AW22" i="2"/>
  <c r="AW24" i="2"/>
  <c r="AU106" i="2"/>
  <c r="AU107" i="2" s="1"/>
  <c r="AV38" i="2"/>
  <c r="AW38" i="2" s="1"/>
  <c r="AU44" i="2"/>
  <c r="AW44" i="2" s="1"/>
  <c r="AW46" i="2"/>
  <c r="AW48" i="2"/>
  <c r="AU56" i="2"/>
  <c r="AW58" i="2"/>
  <c r="AW63" i="2"/>
  <c r="AV74" i="2"/>
  <c r="AW75" i="2"/>
  <c r="AW82" i="2"/>
  <c r="AW84" i="2"/>
  <c r="AU92" i="2"/>
  <c r="AW92" i="2" s="1"/>
  <c r="AU96" i="2"/>
  <c r="AU98" i="2" s="1"/>
  <c r="AW94" i="2"/>
  <c r="AZ97" i="2"/>
  <c r="AU101" i="2"/>
  <c r="AV104" i="2"/>
  <c r="AW104" i="2" s="1"/>
  <c r="AZ106" i="2"/>
  <c r="AV27" i="13"/>
  <c r="AY27" i="13" s="1"/>
  <c r="AX15" i="13"/>
  <c r="AU71" i="1"/>
  <c r="AU74" i="1"/>
  <c r="AU89" i="1"/>
  <c r="AW94" i="1"/>
  <c r="AU104" i="1"/>
  <c r="AW104" i="1" s="1"/>
  <c r="AV14" i="1"/>
  <c r="AV20" i="1"/>
  <c r="AV26" i="1"/>
  <c r="AV20" i="13"/>
  <c r="AX21" i="13"/>
  <c r="AV8" i="1"/>
  <c r="AU14" i="1"/>
  <c r="AW16" i="1"/>
  <c r="AU20" i="1"/>
  <c r="AW22" i="1"/>
  <c r="AU26" i="1"/>
  <c r="AW28" i="1"/>
  <c r="AW33" i="1"/>
  <c r="AV38" i="1"/>
  <c r="AV44" i="1"/>
  <c r="AW45" i="1"/>
  <c r="AV47" i="1"/>
  <c r="AV50" i="1"/>
  <c r="AW50" i="1" s="1"/>
  <c r="AW51" i="1"/>
  <c r="AV53" i="1"/>
  <c r="AV56" i="1"/>
  <c r="AW57" i="1"/>
  <c r="AV59" i="1"/>
  <c r="AW66" i="1"/>
  <c r="AW67" i="1"/>
  <c r="AW73" i="1"/>
  <c r="AV83" i="1"/>
  <c r="AV92" i="1"/>
  <c r="AW99" i="1"/>
  <c r="AV101" i="1"/>
  <c r="AY11" i="1"/>
  <c r="AY41" i="1"/>
  <c r="AX6" i="13"/>
  <c r="AV17" i="13"/>
  <c r="AU8" i="1"/>
  <c r="AU38" i="1"/>
  <c r="AU44" i="1"/>
  <c r="AU50" i="1"/>
  <c r="AU56" i="1"/>
  <c r="AV65" i="1"/>
  <c r="AW69" i="1"/>
  <c r="AV74" i="1"/>
  <c r="AW74" i="1" s="1"/>
  <c r="AW82" i="1"/>
  <c r="AX11" i="1"/>
  <c r="AX41" i="1"/>
  <c r="AZ80" i="2"/>
  <c r="AW88" i="2"/>
  <c r="AV89" i="2"/>
  <c r="AU80" i="2"/>
  <c r="AW87" i="2"/>
  <c r="AW70" i="2"/>
  <c r="AW69" i="2"/>
  <c r="AU89" i="2"/>
  <c r="AU71" i="2"/>
  <c r="AV17" i="2"/>
  <c r="AV23" i="2"/>
  <c r="AW23" i="2" s="1"/>
  <c r="AV29" i="2"/>
  <c r="AW29" i="2" s="1"/>
  <c r="AV35" i="2"/>
  <c r="AV47" i="2"/>
  <c r="AW47" i="2" s="1"/>
  <c r="AV53" i="2"/>
  <c r="AW53" i="2" s="1"/>
  <c r="AV59" i="2"/>
  <c r="AW59" i="2" s="1"/>
  <c r="AV65" i="2"/>
  <c r="AV77" i="2"/>
  <c r="AV79" i="2"/>
  <c r="AV83" i="2"/>
  <c r="AW83" i="2" s="1"/>
  <c r="AV95" i="2"/>
  <c r="AV97" i="2"/>
  <c r="AZ98" i="2"/>
  <c r="AV101" i="2"/>
  <c r="AW101" i="2" s="1"/>
  <c r="AV105" i="2"/>
  <c r="AW105" i="2" s="1"/>
  <c r="AX36" i="13"/>
  <c r="AV41" i="13"/>
  <c r="AX42" i="13"/>
  <c r="AV47" i="13"/>
  <c r="AX48" i="13"/>
  <c r="AV53" i="13"/>
  <c r="AX54" i="13"/>
  <c r="AW7" i="2"/>
  <c r="AW13" i="2"/>
  <c r="AW19" i="2"/>
  <c r="AW25" i="2"/>
  <c r="AU35" i="2"/>
  <c r="AW37" i="2"/>
  <c r="AW43" i="2"/>
  <c r="AW49" i="2"/>
  <c r="AW55" i="2"/>
  <c r="AW67" i="2"/>
  <c r="AW73" i="2"/>
  <c r="AU77" i="2"/>
  <c r="AW85" i="2"/>
  <c r="AW91" i="2"/>
  <c r="AU95" i="2"/>
  <c r="AW103" i="2"/>
  <c r="AY107" i="2"/>
  <c r="AZ107" i="2" s="1"/>
  <c r="AV57" i="13"/>
  <c r="AY57" i="13" s="1"/>
  <c r="AW58" i="13"/>
  <c r="AZ10" i="2"/>
  <c r="AZ40" i="2"/>
  <c r="AV68" i="2"/>
  <c r="AZ70" i="2"/>
  <c r="AV78" i="2"/>
  <c r="AW78" i="2" s="1"/>
  <c r="AV86" i="2"/>
  <c r="AZ88" i="2"/>
  <c r="AV96" i="2"/>
  <c r="AW96" i="2" s="1"/>
  <c r="AV106" i="2"/>
  <c r="AX39" i="13"/>
  <c r="AV44" i="13"/>
  <c r="AX45" i="13"/>
  <c r="AV50" i="13"/>
  <c r="AX50" i="13" s="1"/>
  <c r="AX51" i="13"/>
  <c r="AV56" i="13"/>
  <c r="AX56" i="13" s="1"/>
  <c r="AU68" i="2"/>
  <c r="AU86" i="2"/>
  <c r="AW106" i="1"/>
  <c r="AV107" i="1"/>
  <c r="AW20" i="1"/>
  <c r="AW78" i="1"/>
  <c r="AW96" i="1"/>
  <c r="AW70" i="1"/>
  <c r="AV71" i="1"/>
  <c r="AV80" i="1"/>
  <c r="AW88" i="1"/>
  <c r="AV89" i="1"/>
  <c r="AW89" i="1" s="1"/>
  <c r="AV98" i="1"/>
  <c r="AW92" i="1"/>
  <c r="AX10" i="13"/>
  <c r="AX16" i="13"/>
  <c r="AX22" i="13"/>
  <c r="AZ9" i="1"/>
  <c r="AZ31" i="1"/>
  <c r="AV35" i="1"/>
  <c r="AZ39" i="1"/>
  <c r="AZ69" i="1"/>
  <c r="AV77" i="1"/>
  <c r="AZ79" i="1"/>
  <c r="AV95" i="1"/>
  <c r="AZ97" i="1"/>
  <c r="AZ11" i="1"/>
  <c r="AU17" i="1"/>
  <c r="AW17" i="1" s="1"/>
  <c r="AU23" i="1"/>
  <c r="AW23" i="1" s="1"/>
  <c r="AU29" i="1"/>
  <c r="AW29" i="1" s="1"/>
  <c r="AU35" i="1"/>
  <c r="AZ41" i="1"/>
  <c r="AU47" i="1"/>
  <c r="AW47" i="1" s="1"/>
  <c r="AU53" i="1"/>
  <c r="AW53" i="1" s="1"/>
  <c r="AU59" i="1"/>
  <c r="AW59" i="1" s="1"/>
  <c r="AU65" i="1"/>
  <c r="AW65" i="1" s="1"/>
  <c r="AU77" i="1"/>
  <c r="AU79" i="1"/>
  <c r="AU80" i="1" s="1"/>
  <c r="AU83" i="1"/>
  <c r="AW83" i="1" s="1"/>
  <c r="AW84" i="1"/>
  <c r="AW85" i="1"/>
  <c r="AZ89" i="1"/>
  <c r="AW91" i="1"/>
  <c r="AU95" i="1"/>
  <c r="AU97" i="1"/>
  <c r="AU98" i="1" s="1"/>
  <c r="AU101" i="1"/>
  <c r="AW103" i="1"/>
  <c r="AU105" i="1"/>
  <c r="AU107" i="1" s="1"/>
  <c r="AY107" i="1"/>
  <c r="AZ107" i="1" s="1"/>
  <c r="AW14" i="13"/>
  <c r="AX14" i="13" s="1"/>
  <c r="AW20" i="13"/>
  <c r="AW26" i="13"/>
  <c r="AX26" i="13" s="1"/>
  <c r="AV68" i="1"/>
  <c r="AV86" i="1"/>
  <c r="AV28" i="13"/>
  <c r="AV29" i="13" s="1"/>
  <c r="AW34" i="1"/>
  <c r="AU68" i="1"/>
  <c r="AW75" i="1"/>
  <c r="AU86" i="1"/>
  <c r="AW93" i="1"/>
  <c r="AX7" i="13"/>
  <c r="AV8" i="13"/>
  <c r="AX13" i="13"/>
  <c r="AX19" i="13"/>
  <c r="AX25" i="13"/>
  <c r="AX37" i="13"/>
  <c r="AV38" i="13"/>
  <c r="AX43" i="13"/>
  <c r="AX49" i="13"/>
  <c r="AX55" i="13"/>
  <c r="AW11" i="13"/>
  <c r="AW17" i="13"/>
  <c r="AW23" i="13"/>
  <c r="AX23" i="13" s="1"/>
  <c r="AW27" i="13"/>
  <c r="AZ27" i="13" s="1"/>
  <c r="BA27" i="13" s="1"/>
  <c r="AW41" i="13"/>
  <c r="AX41" i="13" s="1"/>
  <c r="AW47" i="13"/>
  <c r="AW53" i="13"/>
  <c r="AX53" i="13" s="1"/>
  <c r="AW57" i="13"/>
  <c r="AZ57" i="13" s="1"/>
  <c r="AW8" i="13"/>
  <c r="AW38" i="13"/>
  <c r="BB61" i="1" l="1"/>
  <c r="BB41" i="1"/>
  <c r="BC41" i="1" s="1"/>
  <c r="BA61" i="1"/>
  <c r="BA62" i="1" s="1"/>
  <c r="BA41" i="1"/>
  <c r="AW17" i="2"/>
  <c r="AW26" i="1"/>
  <c r="AW56" i="2"/>
  <c r="AZ26" i="13"/>
  <c r="BA26" i="13" s="1"/>
  <c r="AZ50" i="13"/>
  <c r="BA50" i="13" s="1"/>
  <c r="BA20" i="13"/>
  <c r="BH62" i="1"/>
  <c r="BI62" i="1" s="1"/>
  <c r="BI61" i="1"/>
  <c r="BI11" i="1"/>
  <c r="BA41" i="2"/>
  <c r="BC41" i="2" s="1"/>
  <c r="BA61" i="2"/>
  <c r="BC39" i="2"/>
  <c r="BC9" i="1"/>
  <c r="BB30" i="1"/>
  <c r="AZ71" i="1"/>
  <c r="BI61" i="2"/>
  <c r="BH62" i="2"/>
  <c r="BI62" i="2" s="1"/>
  <c r="AW74" i="2"/>
  <c r="AW20" i="2"/>
  <c r="CK61" i="12"/>
  <c r="AT70" i="11"/>
  <c r="AT90" i="11"/>
  <c r="BB30" i="2"/>
  <c r="BC30" i="2" s="1"/>
  <c r="BI31" i="1"/>
  <c r="BH32" i="1"/>
  <c r="BI32" i="1" s="1"/>
  <c r="BA11" i="1"/>
  <c r="BA31" i="1"/>
  <c r="BA32" i="1" s="1"/>
  <c r="AY32" i="2"/>
  <c r="AZ32" i="2" s="1"/>
  <c r="AZ30" i="1"/>
  <c r="BC10" i="1"/>
  <c r="BB11" i="1"/>
  <c r="BC11" i="1" s="1"/>
  <c r="BB31" i="1"/>
  <c r="BI31" i="2"/>
  <c r="BH32" i="2"/>
  <c r="BI32" i="2" s="1"/>
  <c r="BA57" i="13"/>
  <c r="AW101" i="1"/>
  <c r="AW71" i="1"/>
  <c r="AW65" i="2"/>
  <c r="CJ61" i="12"/>
  <c r="CJ63" i="12" s="1"/>
  <c r="CJ62" i="12"/>
  <c r="BB11" i="2"/>
  <c r="BC11" i="2" s="1"/>
  <c r="BC60" i="2"/>
  <c r="E318" i="23"/>
  <c r="AT122" i="11"/>
  <c r="AX32" i="1"/>
  <c r="BA11" i="2"/>
  <c r="BA31" i="2"/>
  <c r="BA32" i="2" s="1"/>
  <c r="BC30" i="1"/>
  <c r="AU154" i="10"/>
  <c r="BC39" i="1"/>
  <c r="AY32" i="1"/>
  <c r="AZ32" i="1" s="1"/>
  <c r="AX58" i="13"/>
  <c r="BA17" i="13"/>
  <c r="AZ29" i="13"/>
  <c r="AY59" i="13"/>
  <c r="AX11" i="13"/>
  <c r="AX20" i="13"/>
  <c r="AY28" i="13"/>
  <c r="AY29" i="13" s="1"/>
  <c r="BA29" i="13" s="1"/>
  <c r="AX8" i="13"/>
  <c r="AX17" i="13"/>
  <c r="D278" i="20"/>
  <c r="E278" i="20" s="1"/>
  <c r="AZ58" i="13"/>
  <c r="AZ59" i="13" s="1"/>
  <c r="E279" i="23"/>
  <c r="D278" i="23"/>
  <c r="E278" i="23" s="1"/>
  <c r="F278" i="23"/>
  <c r="G278" i="23" s="1"/>
  <c r="G248" i="23"/>
  <c r="F278" i="20"/>
  <c r="G278" i="20" s="1"/>
  <c r="CY61" i="12"/>
  <c r="CX63" i="12"/>
  <c r="CY63" i="12" s="1"/>
  <c r="CY60" i="12"/>
  <c r="CX62" i="12"/>
  <c r="CY62" i="12" s="1"/>
  <c r="DA60" i="12"/>
  <c r="CZ62" i="12"/>
  <c r="DA62" i="12" s="1"/>
  <c r="DA61" i="12"/>
  <c r="CZ63" i="12"/>
  <c r="DA63" i="12" s="1"/>
  <c r="BB32" i="2"/>
  <c r="BC32" i="2" s="1"/>
  <c r="BA59" i="13"/>
  <c r="BA58" i="13"/>
  <c r="BC61" i="1"/>
  <c r="BB62" i="1"/>
  <c r="BC62" i="1" s="1"/>
  <c r="AX44" i="13"/>
  <c r="AX28" i="13"/>
  <c r="AU178" i="10"/>
  <c r="CK63" i="12"/>
  <c r="CS62" i="12"/>
  <c r="CU63" i="12"/>
  <c r="CN60" i="12"/>
  <c r="CO12" i="12"/>
  <c r="CS63" i="12"/>
  <c r="CL60" i="12"/>
  <c r="CM12" i="12"/>
  <c r="CN61" i="12"/>
  <c r="CO13" i="12"/>
  <c r="CL61" i="12"/>
  <c r="CM13" i="12"/>
  <c r="CU62" i="12"/>
  <c r="AX47" i="13"/>
  <c r="AW68" i="2"/>
  <c r="AW35" i="2"/>
  <c r="AW44" i="1"/>
  <c r="AW77" i="1"/>
  <c r="AW97" i="1"/>
  <c r="AW8" i="1"/>
  <c r="AW56" i="1"/>
  <c r="AW38" i="1"/>
  <c r="AW14" i="1"/>
  <c r="AW97" i="2"/>
  <c r="AV98" i="2"/>
  <c r="AW98" i="2" s="1"/>
  <c r="AW79" i="2"/>
  <c r="AV80" i="2"/>
  <c r="AW80" i="2" s="1"/>
  <c r="AX38" i="13"/>
  <c r="AW71" i="2"/>
  <c r="AZ31" i="2"/>
  <c r="AW106" i="2"/>
  <c r="AV107" i="2"/>
  <c r="AW107" i="2" s="1"/>
  <c r="AV59" i="13"/>
  <c r="AW89" i="2"/>
  <c r="AZ62" i="2"/>
  <c r="AW86" i="2"/>
  <c r="AZ41" i="2"/>
  <c r="AW95" i="2"/>
  <c r="AW77" i="2"/>
  <c r="AZ61" i="2"/>
  <c r="AW86" i="1"/>
  <c r="AW107" i="1"/>
  <c r="AW95" i="1"/>
  <c r="AW79" i="1"/>
  <c r="AW105" i="1"/>
  <c r="AZ62" i="1"/>
  <c r="AZ61" i="1"/>
  <c r="AW35" i="1"/>
  <c r="AW98" i="1"/>
  <c r="AW80" i="1"/>
  <c r="AW68" i="1"/>
  <c r="AX57" i="13"/>
  <c r="AX27" i="13"/>
  <c r="AW59" i="13"/>
  <c r="AW29" i="13"/>
  <c r="AX29" i="13" s="1"/>
  <c r="BC31" i="1" l="1"/>
  <c r="BB32" i="1"/>
  <c r="BC32" i="1" s="1"/>
  <c r="BA62" i="2"/>
  <c r="BC62" i="2" s="1"/>
  <c r="BC61" i="2"/>
  <c r="BC31" i="2"/>
  <c r="BA28" i="13"/>
  <c r="CM61" i="12"/>
  <c r="CL63" i="12"/>
  <c r="CM63" i="12" s="1"/>
  <c r="CM60" i="12"/>
  <c r="CL62" i="12"/>
  <c r="CM62" i="12" s="1"/>
  <c r="CO60" i="12"/>
  <c r="CN62" i="12"/>
  <c r="CO62" i="12" s="1"/>
  <c r="CO61" i="12"/>
  <c r="CN63" i="12"/>
  <c r="CO63" i="12" s="1"/>
  <c r="AX59" i="13"/>
  <c r="AL248" i="7" l="1"/>
  <c r="AM248" i="7"/>
  <c r="AQ86" i="11" l="1"/>
  <c r="AR316" i="10"/>
  <c r="AR95" i="10"/>
  <c r="AR76" i="10"/>
  <c r="AR53" i="10"/>
  <c r="AR24" i="10"/>
  <c r="AR7" i="10"/>
  <c r="AQ31" i="9"/>
  <c r="AR91" i="8"/>
  <c r="AR58" i="8"/>
  <c r="AR64" i="8"/>
  <c r="AR65" i="8"/>
  <c r="AQ212" i="7"/>
  <c r="AQ131" i="7"/>
  <c r="AM181" i="7"/>
  <c r="AM7" i="16"/>
  <c r="AQ9" i="16"/>
  <c r="AM13" i="16"/>
  <c r="AQ7" i="16"/>
  <c r="AM11" i="16"/>
  <c r="AQ21" i="14"/>
  <c r="AQ23" i="14"/>
  <c r="AQ25" i="14"/>
  <c r="AQ27" i="14"/>
  <c r="AQ29" i="14"/>
  <c r="AM9" i="14"/>
  <c r="AP17" i="14"/>
  <c r="AM13" i="14"/>
  <c r="AM15" i="14"/>
  <c r="AQ11" i="14"/>
  <c r="AM172" i="11"/>
  <c r="AM174" i="11"/>
  <c r="AM176" i="11"/>
  <c r="AM178" i="11"/>
  <c r="AQ180" i="11"/>
  <c r="AQ182" i="11"/>
  <c r="AM170" i="11"/>
  <c r="AM88" i="11"/>
  <c r="AQ25" i="11"/>
  <c r="AQ68" i="7"/>
  <c r="AQ72" i="7"/>
  <c r="AM80" i="7"/>
  <c r="AH229" i="24"/>
  <c r="F229" i="23" s="1"/>
  <c r="AH231" i="24"/>
  <c r="F231" i="23" s="1"/>
  <c r="AH235" i="24"/>
  <c r="F235" i="23" s="1"/>
  <c r="AH237" i="24"/>
  <c r="F237" i="23" s="1"/>
  <c r="AC238" i="22"/>
  <c r="AH235" i="22"/>
  <c r="F235" i="20" s="1"/>
  <c r="AH236" i="22"/>
  <c r="F236" i="20" s="1"/>
  <c r="AH236" i="24"/>
  <c r="F236" i="23" s="1"/>
  <c r="Y238" i="22"/>
  <c r="U238" i="22"/>
  <c r="AH230" i="24"/>
  <c r="F230" i="23" s="1"/>
  <c r="AH220" i="22"/>
  <c r="F220" i="20" s="1"/>
  <c r="AH224" i="22"/>
  <c r="F224" i="20" s="1"/>
  <c r="AH228" i="22"/>
  <c r="F228" i="20" s="1"/>
  <c r="AH232" i="22"/>
  <c r="F232" i="20" s="1"/>
  <c r="AH228" i="24"/>
  <c r="F228" i="23" s="1"/>
  <c r="AH232" i="24"/>
  <c r="F232" i="23" s="1"/>
  <c r="I238" i="22"/>
  <c r="AH218" i="22"/>
  <c r="F218" i="20" s="1"/>
  <c r="AH222" i="22"/>
  <c r="F222" i="20" s="1"/>
  <c r="AH226" i="22"/>
  <c r="F226" i="20" s="1"/>
  <c r="AH230" i="22"/>
  <c r="F230" i="20" s="1"/>
  <c r="AH234" i="22"/>
  <c r="F234" i="20" s="1"/>
  <c r="E238" i="22"/>
  <c r="AF229" i="24"/>
  <c r="D229" i="23" s="1"/>
  <c r="AF232" i="24"/>
  <c r="D232" i="23" s="1"/>
  <c r="AF233" i="24"/>
  <c r="D233" i="23" s="1"/>
  <c r="AF236" i="24"/>
  <c r="D236" i="23" s="1"/>
  <c r="AF237" i="24"/>
  <c r="D237" i="23" s="1"/>
  <c r="AF232" i="22"/>
  <c r="D232" i="20" s="1"/>
  <c r="AF234" i="22"/>
  <c r="D234" i="20" s="1"/>
  <c r="AF236" i="22"/>
  <c r="D236" i="20" s="1"/>
  <c r="X238" i="24"/>
  <c r="Z238" i="22"/>
  <c r="AA238" i="22"/>
  <c r="AF230" i="24"/>
  <c r="D230" i="23" s="1"/>
  <c r="T238" i="24"/>
  <c r="T238" i="22"/>
  <c r="AF235" i="24"/>
  <c r="D235" i="23" s="1"/>
  <c r="H238" i="22"/>
  <c r="AF235" i="22"/>
  <c r="D235" i="20" s="1"/>
  <c r="AF231" i="24"/>
  <c r="D231" i="23" s="1"/>
  <c r="D238" i="24"/>
  <c r="D238" i="22"/>
  <c r="AF231" i="22"/>
  <c r="D231" i="20" s="1"/>
  <c r="AS40" i="2"/>
  <c r="AV40" i="2" s="1"/>
  <c r="AS39" i="2"/>
  <c r="AV39" i="2" s="1"/>
  <c r="AS40" i="1"/>
  <c r="AV40" i="1" s="1"/>
  <c r="AS39" i="1"/>
  <c r="AV39" i="1" s="1"/>
  <c r="AS10" i="2"/>
  <c r="AV10" i="2" s="1"/>
  <c r="AS9" i="2"/>
  <c r="AV9" i="2" s="1"/>
  <c r="AS10" i="1"/>
  <c r="AV10" i="1" s="1"/>
  <c r="AS9" i="1"/>
  <c r="AV9" i="1" s="1"/>
  <c r="AH239" i="24"/>
  <c r="F239" i="23" s="1"/>
  <c r="AF239" i="24"/>
  <c r="AE239" i="24"/>
  <c r="C239" i="23" s="1"/>
  <c r="AD239" i="24"/>
  <c r="B239" i="23" s="1"/>
  <c r="AA238" i="24"/>
  <c r="Z238" i="24"/>
  <c r="Y238" i="24"/>
  <c r="W238" i="24"/>
  <c r="V238" i="24"/>
  <c r="U238" i="24"/>
  <c r="S238" i="24"/>
  <c r="R238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C238" i="24"/>
  <c r="B238" i="24"/>
  <c r="AE237" i="24"/>
  <c r="C237" i="23" s="1"/>
  <c r="AD237" i="24"/>
  <c r="B237" i="23" s="1"/>
  <c r="AE236" i="24"/>
  <c r="C236" i="23" s="1"/>
  <c r="AD236" i="24"/>
  <c r="B236" i="23" s="1"/>
  <c r="AE235" i="24"/>
  <c r="C235" i="23" s="1"/>
  <c r="AD235" i="24"/>
  <c r="B235" i="23" s="1"/>
  <c r="AH234" i="24"/>
  <c r="F234" i="23" s="1"/>
  <c r="AF234" i="24"/>
  <c r="D234" i="23" s="1"/>
  <c r="AE234" i="24"/>
  <c r="C234" i="23" s="1"/>
  <c r="AD234" i="24"/>
  <c r="B234" i="23" s="1"/>
  <c r="AH233" i="24"/>
  <c r="F233" i="23" s="1"/>
  <c r="AE233" i="24"/>
  <c r="C233" i="23" s="1"/>
  <c r="AD233" i="24"/>
  <c r="B233" i="23" s="1"/>
  <c r="AE232" i="24"/>
  <c r="C232" i="23" s="1"/>
  <c r="AD232" i="24"/>
  <c r="B232" i="23" s="1"/>
  <c r="AE231" i="24"/>
  <c r="C231" i="23" s="1"/>
  <c r="AD231" i="24"/>
  <c r="B231" i="23" s="1"/>
  <c r="AE230" i="24"/>
  <c r="C230" i="23" s="1"/>
  <c r="AD230" i="24"/>
  <c r="B230" i="23" s="1"/>
  <c r="AE229" i="24"/>
  <c r="C229" i="23" s="1"/>
  <c r="AD229" i="24"/>
  <c r="B229" i="23" s="1"/>
  <c r="AF228" i="24"/>
  <c r="D228" i="23" s="1"/>
  <c r="AE228" i="24"/>
  <c r="C228" i="23" s="1"/>
  <c r="AD228" i="24"/>
  <c r="B228" i="23" s="1"/>
  <c r="AH227" i="24"/>
  <c r="F227" i="23" s="1"/>
  <c r="AF227" i="24"/>
  <c r="D227" i="23" s="1"/>
  <c r="AE227" i="24"/>
  <c r="C227" i="23" s="1"/>
  <c r="AD227" i="24"/>
  <c r="B227" i="23" s="1"/>
  <c r="AH226" i="24"/>
  <c r="F226" i="23" s="1"/>
  <c r="AF226" i="24"/>
  <c r="D226" i="23" s="1"/>
  <c r="AE226" i="24"/>
  <c r="C226" i="23" s="1"/>
  <c r="AD226" i="24"/>
  <c r="B226" i="23" s="1"/>
  <c r="AH225" i="24"/>
  <c r="F225" i="23" s="1"/>
  <c r="AF225" i="24"/>
  <c r="D225" i="23" s="1"/>
  <c r="AE225" i="24"/>
  <c r="C225" i="23" s="1"/>
  <c r="AD225" i="24"/>
  <c r="B225" i="23" s="1"/>
  <c r="AH224" i="24"/>
  <c r="F224" i="23" s="1"/>
  <c r="AF224" i="24"/>
  <c r="D224" i="23" s="1"/>
  <c r="AE224" i="24"/>
  <c r="C224" i="23" s="1"/>
  <c r="AD224" i="24"/>
  <c r="B224" i="23" s="1"/>
  <c r="AH223" i="24"/>
  <c r="F223" i="23" s="1"/>
  <c r="AF223" i="24"/>
  <c r="D223" i="23" s="1"/>
  <c r="AE223" i="24"/>
  <c r="C223" i="23" s="1"/>
  <c r="AD223" i="24"/>
  <c r="B223" i="23" s="1"/>
  <c r="AH222" i="24"/>
  <c r="F222" i="23" s="1"/>
  <c r="AF222" i="24"/>
  <c r="D222" i="23" s="1"/>
  <c r="AE222" i="24"/>
  <c r="C222" i="23" s="1"/>
  <c r="AD222" i="24"/>
  <c r="B222" i="23" s="1"/>
  <c r="AH221" i="24"/>
  <c r="F221" i="23" s="1"/>
  <c r="AF221" i="24"/>
  <c r="D221" i="23" s="1"/>
  <c r="AE221" i="24"/>
  <c r="C221" i="23" s="1"/>
  <c r="AD221" i="24"/>
  <c r="B221" i="23" s="1"/>
  <c r="AH220" i="24"/>
  <c r="F220" i="23" s="1"/>
  <c r="AF220" i="24"/>
  <c r="D220" i="23" s="1"/>
  <c r="AE220" i="24"/>
  <c r="C220" i="23" s="1"/>
  <c r="AD220" i="24"/>
  <c r="B220" i="23" s="1"/>
  <c r="AH219" i="24"/>
  <c r="F219" i="23" s="1"/>
  <c r="AF219" i="24"/>
  <c r="D219" i="23" s="1"/>
  <c r="AE219" i="24"/>
  <c r="C219" i="23" s="1"/>
  <c r="AD219" i="24"/>
  <c r="B219" i="23" s="1"/>
  <c r="AH218" i="24"/>
  <c r="F218" i="23" s="1"/>
  <c r="AF218" i="24"/>
  <c r="D218" i="23" s="1"/>
  <c r="AE218" i="24"/>
  <c r="C218" i="23" s="1"/>
  <c r="AD218" i="24"/>
  <c r="B218" i="23" s="1"/>
  <c r="AH217" i="24"/>
  <c r="F217" i="23" s="1"/>
  <c r="AF217" i="24"/>
  <c r="D217" i="23" s="1"/>
  <c r="AE217" i="24"/>
  <c r="C217" i="23" s="1"/>
  <c r="AD217" i="24"/>
  <c r="B217" i="23" s="1"/>
  <c r="AH216" i="24"/>
  <c r="F216" i="23" s="1"/>
  <c r="AF216" i="24"/>
  <c r="D216" i="23" s="1"/>
  <c r="AE216" i="24"/>
  <c r="C216" i="23" s="1"/>
  <c r="AD216" i="24"/>
  <c r="B216" i="23" s="1"/>
  <c r="AH215" i="24"/>
  <c r="F215" i="23" s="1"/>
  <c r="AF215" i="24"/>
  <c r="D215" i="23" s="1"/>
  <c r="AE215" i="24"/>
  <c r="C215" i="23" s="1"/>
  <c r="AD215" i="24"/>
  <c r="B215" i="23" s="1"/>
  <c r="AH214" i="24"/>
  <c r="F214" i="23" s="1"/>
  <c r="AF214" i="24"/>
  <c r="D214" i="23" s="1"/>
  <c r="AE214" i="24"/>
  <c r="C214" i="23" s="1"/>
  <c r="AD214" i="24"/>
  <c r="B214" i="23" s="1"/>
  <c r="AH213" i="24"/>
  <c r="F213" i="23" s="1"/>
  <c r="AF213" i="24"/>
  <c r="D213" i="23" s="1"/>
  <c r="AE213" i="24"/>
  <c r="C213" i="23" s="1"/>
  <c r="AD213" i="24"/>
  <c r="B213" i="23" s="1"/>
  <c r="AH212" i="24"/>
  <c r="F212" i="23" s="1"/>
  <c r="AF212" i="24"/>
  <c r="D212" i="23" s="1"/>
  <c r="AE212" i="24"/>
  <c r="C212" i="23" s="1"/>
  <c r="AD212" i="24"/>
  <c r="B212" i="23" s="1"/>
  <c r="AH211" i="24"/>
  <c r="F211" i="23" s="1"/>
  <c r="AF211" i="24"/>
  <c r="D211" i="23" s="1"/>
  <c r="AE211" i="24"/>
  <c r="C211" i="23" s="1"/>
  <c r="AD211" i="24"/>
  <c r="B211" i="23" s="1"/>
  <c r="AH210" i="24"/>
  <c r="F210" i="23" s="1"/>
  <c r="AF210" i="24"/>
  <c r="D210" i="23" s="1"/>
  <c r="AE210" i="24"/>
  <c r="C210" i="23" s="1"/>
  <c r="AD210" i="24"/>
  <c r="B210" i="23" s="1"/>
  <c r="AH209" i="24"/>
  <c r="F209" i="23" s="1"/>
  <c r="AF209" i="24"/>
  <c r="D209" i="23" s="1"/>
  <c r="AE209" i="24"/>
  <c r="C209" i="23" s="1"/>
  <c r="AD209" i="24"/>
  <c r="B209" i="23" s="1"/>
  <c r="AE208" i="24"/>
  <c r="C208" i="23" s="1"/>
  <c r="AD208" i="24"/>
  <c r="B208" i="23" s="1"/>
  <c r="AH239" i="22"/>
  <c r="F239" i="20" s="1"/>
  <c r="AF239" i="22"/>
  <c r="D239" i="20" s="1"/>
  <c r="AE239" i="22"/>
  <c r="C239" i="20" s="1"/>
  <c r="AD239" i="22"/>
  <c r="B239" i="20" s="1"/>
  <c r="X238" i="22"/>
  <c r="W238" i="22"/>
  <c r="V238" i="22"/>
  <c r="S238" i="22"/>
  <c r="R238" i="22"/>
  <c r="Q238" i="22"/>
  <c r="O238" i="22"/>
  <c r="N238" i="22"/>
  <c r="K238" i="22"/>
  <c r="J238" i="22"/>
  <c r="G238" i="22"/>
  <c r="F238" i="22"/>
  <c r="C238" i="22"/>
  <c r="B238" i="22"/>
  <c r="AH237" i="22"/>
  <c r="F237" i="20" s="1"/>
  <c r="AF237" i="22"/>
  <c r="D237" i="20" s="1"/>
  <c r="AE237" i="22"/>
  <c r="C237" i="20" s="1"/>
  <c r="AD237" i="22"/>
  <c r="B237" i="20" s="1"/>
  <c r="AE236" i="22"/>
  <c r="C236" i="20" s="1"/>
  <c r="AD236" i="22"/>
  <c r="B236" i="20" s="1"/>
  <c r="AE235" i="22"/>
  <c r="C235" i="20" s="1"/>
  <c r="AD235" i="22"/>
  <c r="B235" i="20" s="1"/>
  <c r="AE234" i="22"/>
  <c r="C234" i="20" s="1"/>
  <c r="AD234" i="22"/>
  <c r="B234" i="20" s="1"/>
  <c r="AH233" i="22"/>
  <c r="F233" i="20" s="1"/>
  <c r="AF233" i="22"/>
  <c r="D233" i="20" s="1"/>
  <c r="AE233" i="22"/>
  <c r="C233" i="20" s="1"/>
  <c r="AD233" i="22"/>
  <c r="B233" i="20" s="1"/>
  <c r="AE232" i="22"/>
  <c r="C232" i="20" s="1"/>
  <c r="AD232" i="22"/>
  <c r="B232" i="20" s="1"/>
  <c r="AH231" i="22"/>
  <c r="F231" i="20" s="1"/>
  <c r="AE231" i="22"/>
  <c r="C231" i="20" s="1"/>
  <c r="AD231" i="22"/>
  <c r="B231" i="20" s="1"/>
  <c r="AF230" i="22"/>
  <c r="D230" i="20" s="1"/>
  <c r="AE230" i="22"/>
  <c r="C230" i="20" s="1"/>
  <c r="AD230" i="22"/>
  <c r="B230" i="20" s="1"/>
  <c r="AH229" i="22"/>
  <c r="F229" i="20" s="1"/>
  <c r="AF229" i="22"/>
  <c r="D229" i="20" s="1"/>
  <c r="AE229" i="22"/>
  <c r="C229" i="20" s="1"/>
  <c r="AD229" i="22"/>
  <c r="B229" i="20" s="1"/>
  <c r="AF228" i="22"/>
  <c r="D228" i="20" s="1"/>
  <c r="AE228" i="22"/>
  <c r="C228" i="20" s="1"/>
  <c r="AD228" i="22"/>
  <c r="B228" i="20" s="1"/>
  <c r="AH227" i="22"/>
  <c r="F227" i="20" s="1"/>
  <c r="AF227" i="22"/>
  <c r="D227" i="20" s="1"/>
  <c r="AE227" i="22"/>
  <c r="C227" i="20" s="1"/>
  <c r="AD227" i="22"/>
  <c r="B227" i="20" s="1"/>
  <c r="AF226" i="22"/>
  <c r="D226" i="20" s="1"/>
  <c r="AE226" i="22"/>
  <c r="C226" i="20" s="1"/>
  <c r="AD226" i="22"/>
  <c r="B226" i="20" s="1"/>
  <c r="AH225" i="22"/>
  <c r="F225" i="20" s="1"/>
  <c r="AF225" i="22"/>
  <c r="D225" i="20" s="1"/>
  <c r="AE225" i="22"/>
  <c r="C225" i="20" s="1"/>
  <c r="AD225" i="22"/>
  <c r="B225" i="20" s="1"/>
  <c r="AF224" i="22"/>
  <c r="D224" i="20" s="1"/>
  <c r="AE224" i="22"/>
  <c r="C224" i="20" s="1"/>
  <c r="AD224" i="22"/>
  <c r="B224" i="20" s="1"/>
  <c r="AH223" i="22"/>
  <c r="F223" i="20" s="1"/>
  <c r="AF223" i="22"/>
  <c r="D223" i="20" s="1"/>
  <c r="AE223" i="22"/>
  <c r="C223" i="20" s="1"/>
  <c r="AD223" i="22"/>
  <c r="B223" i="20" s="1"/>
  <c r="AF222" i="22"/>
  <c r="D222" i="20" s="1"/>
  <c r="AE222" i="22"/>
  <c r="C222" i="20" s="1"/>
  <c r="AD222" i="22"/>
  <c r="B222" i="20" s="1"/>
  <c r="AH221" i="22"/>
  <c r="F221" i="20" s="1"/>
  <c r="AF221" i="22"/>
  <c r="D221" i="20" s="1"/>
  <c r="AE221" i="22"/>
  <c r="C221" i="20" s="1"/>
  <c r="AD221" i="22"/>
  <c r="B221" i="20" s="1"/>
  <c r="AF220" i="22"/>
  <c r="D220" i="20" s="1"/>
  <c r="AE220" i="22"/>
  <c r="C220" i="20" s="1"/>
  <c r="AD220" i="22"/>
  <c r="B220" i="20" s="1"/>
  <c r="AH219" i="22"/>
  <c r="F219" i="20" s="1"/>
  <c r="AF219" i="22"/>
  <c r="D219" i="20" s="1"/>
  <c r="AE219" i="22"/>
  <c r="C219" i="20" s="1"/>
  <c r="AD219" i="22"/>
  <c r="B219" i="20" s="1"/>
  <c r="AF218" i="22"/>
  <c r="D218" i="20" s="1"/>
  <c r="AE218" i="22"/>
  <c r="C218" i="20" s="1"/>
  <c r="AD218" i="22"/>
  <c r="B218" i="20" s="1"/>
  <c r="AH217" i="22"/>
  <c r="F217" i="20" s="1"/>
  <c r="AF217" i="22"/>
  <c r="D217" i="20" s="1"/>
  <c r="AE217" i="22"/>
  <c r="C217" i="20" s="1"/>
  <c r="AD217" i="22"/>
  <c r="B217" i="20" s="1"/>
  <c r="AH216" i="22"/>
  <c r="F216" i="20" s="1"/>
  <c r="AF216" i="22"/>
  <c r="D216" i="20" s="1"/>
  <c r="AE216" i="22"/>
  <c r="C216" i="20" s="1"/>
  <c r="AD216" i="22"/>
  <c r="B216" i="20" s="1"/>
  <c r="AH215" i="22"/>
  <c r="F215" i="20" s="1"/>
  <c r="AF215" i="22"/>
  <c r="D215" i="20" s="1"/>
  <c r="AE215" i="22"/>
  <c r="C215" i="20" s="1"/>
  <c r="AD215" i="22"/>
  <c r="B215" i="20" s="1"/>
  <c r="AH214" i="22"/>
  <c r="F214" i="20" s="1"/>
  <c r="AF214" i="22"/>
  <c r="D214" i="20" s="1"/>
  <c r="AE214" i="22"/>
  <c r="C214" i="20" s="1"/>
  <c r="AD214" i="22"/>
  <c r="B214" i="20" s="1"/>
  <c r="AH213" i="22"/>
  <c r="F213" i="20" s="1"/>
  <c r="AF213" i="22"/>
  <c r="D213" i="20" s="1"/>
  <c r="AE213" i="22"/>
  <c r="C213" i="20" s="1"/>
  <c r="AD213" i="22"/>
  <c r="B213" i="20" s="1"/>
  <c r="AH212" i="22"/>
  <c r="F212" i="20" s="1"/>
  <c r="AF212" i="22"/>
  <c r="D212" i="20" s="1"/>
  <c r="AE212" i="22"/>
  <c r="C212" i="20" s="1"/>
  <c r="AD212" i="22"/>
  <c r="B212" i="20" s="1"/>
  <c r="AH211" i="22"/>
  <c r="F211" i="20" s="1"/>
  <c r="AF211" i="22"/>
  <c r="D211" i="20" s="1"/>
  <c r="AE211" i="22"/>
  <c r="C211" i="20" s="1"/>
  <c r="AD211" i="22"/>
  <c r="B211" i="20" s="1"/>
  <c r="AH210" i="22"/>
  <c r="F210" i="20" s="1"/>
  <c r="AF210" i="22"/>
  <c r="D210" i="20" s="1"/>
  <c r="AE210" i="22"/>
  <c r="C210" i="20" s="1"/>
  <c r="AD210" i="22"/>
  <c r="B210" i="20" s="1"/>
  <c r="AH209" i="22"/>
  <c r="F209" i="20" s="1"/>
  <c r="AF209" i="22"/>
  <c r="D209" i="20" s="1"/>
  <c r="AE209" i="22"/>
  <c r="C209" i="20" s="1"/>
  <c r="AD209" i="22"/>
  <c r="B209" i="20" s="1"/>
  <c r="AE208" i="22"/>
  <c r="C208" i="20" s="1"/>
  <c r="AD208" i="22"/>
  <c r="B208" i="20" s="1"/>
  <c r="CI65" i="12"/>
  <c r="CG65" i="12"/>
  <c r="CB65" i="12"/>
  <c r="BZ65" i="12"/>
  <c r="BY65" i="12"/>
  <c r="BX65" i="12"/>
  <c r="CI64" i="12"/>
  <c r="CG64" i="12"/>
  <c r="CB64" i="12"/>
  <c r="CC64" i="12" s="1"/>
  <c r="BZ64" i="12"/>
  <c r="BY64" i="12"/>
  <c r="BX64" i="12"/>
  <c r="CH59" i="12"/>
  <c r="CF59" i="12"/>
  <c r="CE59" i="12"/>
  <c r="CD59" i="12"/>
  <c r="CH58" i="12"/>
  <c r="CF58" i="12"/>
  <c r="CE58" i="12"/>
  <c r="CD58" i="12"/>
  <c r="CH57" i="12"/>
  <c r="CF57" i="12"/>
  <c r="CE57" i="12"/>
  <c r="CD57" i="12"/>
  <c r="CH56" i="12"/>
  <c r="CF56" i="12"/>
  <c r="CE56" i="12"/>
  <c r="CD56" i="12"/>
  <c r="CI55" i="12"/>
  <c r="CG55" i="12"/>
  <c r="CB55" i="12"/>
  <c r="BZ55" i="12"/>
  <c r="BY55" i="12"/>
  <c r="BX55" i="12"/>
  <c r="CI54" i="12"/>
  <c r="CG54" i="12"/>
  <c r="CB54" i="12"/>
  <c r="BZ54" i="12"/>
  <c r="BY54" i="12"/>
  <c r="BX54" i="12"/>
  <c r="CH53" i="12"/>
  <c r="CF53" i="12"/>
  <c r="CE53" i="12"/>
  <c r="CD53" i="12"/>
  <c r="CH52" i="12"/>
  <c r="CF52" i="12"/>
  <c r="CE52" i="12"/>
  <c r="CD52" i="12"/>
  <c r="CI51" i="12"/>
  <c r="CG51" i="12"/>
  <c r="CB51" i="12"/>
  <c r="BZ51" i="12"/>
  <c r="BY51" i="12"/>
  <c r="BX51" i="12"/>
  <c r="CI50" i="12"/>
  <c r="CG50" i="12"/>
  <c r="CB50" i="12"/>
  <c r="CC50" i="12" s="1"/>
  <c r="BZ50" i="12"/>
  <c r="BY50" i="12"/>
  <c r="BX50" i="12"/>
  <c r="CI49" i="12"/>
  <c r="CG49" i="12"/>
  <c r="CB49" i="12"/>
  <c r="BZ49" i="12"/>
  <c r="BZ53" i="12" s="1"/>
  <c r="BY49" i="12"/>
  <c r="BX49" i="12"/>
  <c r="BX53" i="12" s="1"/>
  <c r="CI48" i="12"/>
  <c r="CG48" i="12"/>
  <c r="CB48" i="12"/>
  <c r="CB52" i="12" s="1"/>
  <c r="BZ48" i="12"/>
  <c r="BZ52" i="12" s="1"/>
  <c r="BY48" i="12"/>
  <c r="BX48" i="12"/>
  <c r="CI47" i="12"/>
  <c r="CG47" i="12"/>
  <c r="CB47" i="12"/>
  <c r="BZ47" i="12"/>
  <c r="BY47" i="12"/>
  <c r="BX47" i="12"/>
  <c r="CI46" i="12"/>
  <c r="CG46" i="12"/>
  <c r="CB46" i="12"/>
  <c r="BZ46" i="12"/>
  <c r="BY46" i="12"/>
  <c r="BX46" i="12"/>
  <c r="CH45" i="12"/>
  <c r="CF45" i="12"/>
  <c r="CE45" i="12"/>
  <c r="CD45" i="12"/>
  <c r="CH44" i="12"/>
  <c r="CF44" i="12"/>
  <c r="CE44" i="12"/>
  <c r="CD44" i="12"/>
  <c r="CI43" i="12"/>
  <c r="CG43" i="12"/>
  <c r="CB43" i="12"/>
  <c r="BZ43" i="12"/>
  <c r="BY43" i="12"/>
  <c r="BX43" i="12"/>
  <c r="CI42" i="12"/>
  <c r="CG42" i="12"/>
  <c r="CB42" i="12"/>
  <c r="CC42" i="12" s="1"/>
  <c r="BZ42" i="12"/>
  <c r="BY42" i="12"/>
  <c r="BX42" i="12"/>
  <c r="CI41" i="12"/>
  <c r="CG41" i="12"/>
  <c r="CB41" i="12"/>
  <c r="CB45" i="12" s="1"/>
  <c r="BZ41" i="12"/>
  <c r="BZ45" i="12" s="1"/>
  <c r="BY41" i="12"/>
  <c r="BX41" i="12"/>
  <c r="CI40" i="12"/>
  <c r="CG40" i="12"/>
  <c r="CB40" i="12"/>
  <c r="CB44" i="12" s="1"/>
  <c r="BZ40" i="12"/>
  <c r="BZ44" i="12" s="1"/>
  <c r="BY40" i="12"/>
  <c r="BY44" i="12" s="1"/>
  <c r="BX40" i="12"/>
  <c r="CI39" i="12"/>
  <c r="CG39" i="12"/>
  <c r="CB39" i="12"/>
  <c r="BZ39" i="12"/>
  <c r="BY39" i="12"/>
  <c r="BX39" i="12"/>
  <c r="CI38" i="12"/>
  <c r="CG38" i="12"/>
  <c r="CB38" i="12"/>
  <c r="BZ38" i="12"/>
  <c r="BY38" i="12"/>
  <c r="BX38" i="12"/>
  <c r="CH37" i="12"/>
  <c r="CF37" i="12"/>
  <c r="CE37" i="12"/>
  <c r="CD37" i="12"/>
  <c r="CH36" i="12"/>
  <c r="CF36" i="12"/>
  <c r="CE36" i="12"/>
  <c r="CD36" i="12"/>
  <c r="CI35" i="12"/>
  <c r="CG35" i="12"/>
  <c r="CB35" i="12"/>
  <c r="BZ35" i="12"/>
  <c r="BY35" i="12"/>
  <c r="BX35" i="12"/>
  <c r="CI34" i="12"/>
  <c r="CG34" i="12"/>
  <c r="CB34" i="12"/>
  <c r="BZ34" i="12"/>
  <c r="BY34" i="12"/>
  <c r="BX34" i="12"/>
  <c r="CI33" i="12"/>
  <c r="CG33" i="12"/>
  <c r="CB33" i="12"/>
  <c r="BZ33" i="12"/>
  <c r="BY33" i="12"/>
  <c r="BX33" i="12"/>
  <c r="CI32" i="12"/>
  <c r="CG32" i="12"/>
  <c r="CB32" i="12"/>
  <c r="BZ32" i="12"/>
  <c r="BZ36" i="12" s="1"/>
  <c r="BY32" i="12"/>
  <c r="BY36" i="12" s="1"/>
  <c r="BX32" i="12"/>
  <c r="BX36" i="12" s="1"/>
  <c r="CI31" i="12"/>
  <c r="CG31" i="12"/>
  <c r="CB31" i="12"/>
  <c r="BZ31" i="12"/>
  <c r="BY31" i="12"/>
  <c r="BX31" i="12"/>
  <c r="CI30" i="12"/>
  <c r="CG30" i="12"/>
  <c r="CB30" i="12"/>
  <c r="BZ30" i="12"/>
  <c r="BY30" i="12"/>
  <c r="BX30" i="12"/>
  <c r="CH29" i="12"/>
  <c r="CF29" i="12"/>
  <c r="CE29" i="12"/>
  <c r="CD29" i="12"/>
  <c r="CH28" i="12"/>
  <c r="CF28" i="12"/>
  <c r="CE28" i="12"/>
  <c r="CD28" i="12"/>
  <c r="CI27" i="12"/>
  <c r="CG27" i="12"/>
  <c r="CB27" i="12"/>
  <c r="BZ27" i="12"/>
  <c r="BY27" i="12"/>
  <c r="BX27" i="12"/>
  <c r="CI26" i="12"/>
  <c r="CG26" i="12"/>
  <c r="CB26" i="12"/>
  <c r="BZ26" i="12"/>
  <c r="BY26" i="12"/>
  <c r="BX26" i="12"/>
  <c r="CI25" i="12"/>
  <c r="CG25" i="12"/>
  <c r="CB25" i="12"/>
  <c r="CB29" i="12" s="1"/>
  <c r="BZ25" i="12"/>
  <c r="BY25" i="12"/>
  <c r="BX25" i="12"/>
  <c r="CI24" i="12"/>
  <c r="CG24" i="12"/>
  <c r="CB24" i="12"/>
  <c r="BZ24" i="12"/>
  <c r="BY24" i="12"/>
  <c r="BX24" i="12"/>
  <c r="CI23" i="12"/>
  <c r="CG23" i="12"/>
  <c r="CB23" i="12"/>
  <c r="BZ23" i="12"/>
  <c r="BY23" i="12"/>
  <c r="BX23" i="12"/>
  <c r="CI22" i="12"/>
  <c r="CG22" i="12"/>
  <c r="CB22" i="12"/>
  <c r="BZ22" i="12"/>
  <c r="BY22" i="12"/>
  <c r="BX22" i="12"/>
  <c r="CH21" i="12"/>
  <c r="CF21" i="12"/>
  <c r="CE21" i="12"/>
  <c r="CD21" i="12"/>
  <c r="CH20" i="12"/>
  <c r="CF20" i="12"/>
  <c r="CE20" i="12"/>
  <c r="CD20" i="12"/>
  <c r="CI19" i="12"/>
  <c r="CG19" i="12"/>
  <c r="CB19" i="12"/>
  <c r="BZ19" i="12"/>
  <c r="BY19" i="12"/>
  <c r="BX19" i="12"/>
  <c r="CI18" i="12"/>
  <c r="CG18" i="12"/>
  <c r="CB18" i="12"/>
  <c r="BZ18" i="12"/>
  <c r="BY18" i="12"/>
  <c r="BX18" i="12"/>
  <c r="CI17" i="12"/>
  <c r="CG17" i="12"/>
  <c r="CB17" i="12"/>
  <c r="CB21" i="12" s="1"/>
  <c r="BZ17" i="12"/>
  <c r="BZ21" i="12" s="1"/>
  <c r="BY17" i="12"/>
  <c r="BY21" i="12" s="1"/>
  <c r="BX17" i="12"/>
  <c r="CI16" i="12"/>
  <c r="CG16" i="12"/>
  <c r="CB16" i="12"/>
  <c r="CB20" i="12" s="1"/>
  <c r="BZ16" i="12"/>
  <c r="BZ20" i="12" s="1"/>
  <c r="BY16" i="12"/>
  <c r="BX16" i="12"/>
  <c r="CI15" i="12"/>
  <c r="CG15" i="12"/>
  <c r="CB15" i="12"/>
  <c r="BZ15" i="12"/>
  <c r="BY15" i="12"/>
  <c r="BX15" i="12"/>
  <c r="CI14" i="12"/>
  <c r="CG14" i="12"/>
  <c r="CB14" i="12"/>
  <c r="BZ14" i="12"/>
  <c r="BY14" i="12"/>
  <c r="BX14" i="12"/>
  <c r="CH13" i="12"/>
  <c r="CF13" i="12"/>
  <c r="CE13" i="12"/>
  <c r="CD13" i="12"/>
  <c r="CH12" i="12"/>
  <c r="CF12" i="12"/>
  <c r="CE12" i="12"/>
  <c r="CD12" i="12"/>
  <c r="CI11" i="12"/>
  <c r="CG11" i="12"/>
  <c r="CB11" i="12"/>
  <c r="CB59" i="12" s="1"/>
  <c r="BZ11" i="12"/>
  <c r="BY11" i="12"/>
  <c r="BX11" i="12"/>
  <c r="CI10" i="12"/>
  <c r="CG10" i="12"/>
  <c r="CB10" i="12"/>
  <c r="BZ10" i="12"/>
  <c r="BY10" i="12"/>
  <c r="BY58" i="12" s="1"/>
  <c r="BX10" i="12"/>
  <c r="CI9" i="12"/>
  <c r="CG9" i="12"/>
  <c r="CB9" i="12"/>
  <c r="CB57" i="12" s="1"/>
  <c r="BZ9" i="12"/>
  <c r="BY9" i="12"/>
  <c r="BY57" i="12" s="1"/>
  <c r="BX9" i="12"/>
  <c r="BX57" i="12" s="1"/>
  <c r="CI8" i="12"/>
  <c r="CG8" i="12"/>
  <c r="CB8" i="12"/>
  <c r="CB56" i="12" s="1"/>
  <c r="BZ8" i="12"/>
  <c r="BY8" i="12"/>
  <c r="BY56" i="12" s="1"/>
  <c r="BX8" i="12"/>
  <c r="AQ24" i="16"/>
  <c r="AM24" i="16"/>
  <c r="AL24" i="16"/>
  <c r="AP23" i="16"/>
  <c r="AO23" i="16"/>
  <c r="AM22" i="16"/>
  <c r="AL22" i="16"/>
  <c r="AM21" i="16"/>
  <c r="AL21" i="16"/>
  <c r="AM20" i="16"/>
  <c r="AL20" i="16"/>
  <c r="AM19" i="16"/>
  <c r="AL19" i="16"/>
  <c r="AM18" i="16"/>
  <c r="AL18" i="16"/>
  <c r="AQ17" i="16"/>
  <c r="AM17" i="16"/>
  <c r="AL17" i="16"/>
  <c r="AQ16" i="16"/>
  <c r="AM16" i="16"/>
  <c r="AN16" i="16" s="1"/>
  <c r="AL16" i="16"/>
  <c r="AO15" i="16"/>
  <c r="AM14" i="16"/>
  <c r="AL14" i="16"/>
  <c r="AL13" i="16"/>
  <c r="AM12" i="16"/>
  <c r="AL12" i="16"/>
  <c r="AL11" i="16"/>
  <c r="AM10" i="16"/>
  <c r="AL10" i="16"/>
  <c r="AM9" i="16"/>
  <c r="AL9" i="16"/>
  <c r="AQ8" i="16"/>
  <c r="AM8" i="16"/>
  <c r="AL8" i="16"/>
  <c r="AL7" i="16"/>
  <c r="AQ6" i="16"/>
  <c r="AM6" i="16"/>
  <c r="AL6" i="16"/>
  <c r="AM5" i="16"/>
  <c r="AL5" i="16"/>
  <c r="AQ35" i="14"/>
  <c r="AM35" i="14"/>
  <c r="AL35" i="14"/>
  <c r="AP34" i="14"/>
  <c r="AO34" i="14"/>
  <c r="AM33" i="14"/>
  <c r="AL33" i="14"/>
  <c r="AM32" i="14"/>
  <c r="AL32" i="14"/>
  <c r="AM31" i="14"/>
  <c r="AL31" i="14"/>
  <c r="AQ30" i="14"/>
  <c r="AM30" i="14"/>
  <c r="AL30" i="14"/>
  <c r="AM29" i="14"/>
  <c r="AN29" i="14" s="1"/>
  <c r="AL29" i="14"/>
  <c r="AQ28" i="14"/>
  <c r="AM28" i="14"/>
  <c r="AL28" i="14"/>
  <c r="AM27" i="14"/>
  <c r="AL27" i="14"/>
  <c r="AQ26" i="14"/>
  <c r="AM26" i="14"/>
  <c r="AN26" i="14" s="1"/>
  <c r="AL26" i="14"/>
  <c r="AM25" i="14"/>
  <c r="AL25" i="14"/>
  <c r="AQ24" i="14"/>
  <c r="AM24" i="14"/>
  <c r="AL24" i="14"/>
  <c r="AM23" i="14"/>
  <c r="AL23" i="14"/>
  <c r="AQ22" i="14"/>
  <c r="AM22" i="14"/>
  <c r="AL22" i="14"/>
  <c r="AM21" i="14"/>
  <c r="AL21" i="14"/>
  <c r="AQ20" i="14"/>
  <c r="AM20" i="14"/>
  <c r="AL20" i="14"/>
  <c r="AQ19" i="14"/>
  <c r="AM19" i="14"/>
  <c r="AL19" i="14"/>
  <c r="AQ18" i="14"/>
  <c r="AM18" i="14"/>
  <c r="AL18" i="14"/>
  <c r="AO17" i="14"/>
  <c r="AM16" i="14"/>
  <c r="AL16" i="14"/>
  <c r="AL15" i="14"/>
  <c r="AM14" i="14"/>
  <c r="AL14" i="14"/>
  <c r="AL13" i="14"/>
  <c r="AM12" i="14"/>
  <c r="AL12" i="14"/>
  <c r="AM11" i="14"/>
  <c r="AL11" i="14"/>
  <c r="AM10" i="14"/>
  <c r="AL10" i="14"/>
  <c r="AQ9" i="14"/>
  <c r="AL9" i="14"/>
  <c r="AQ8" i="14"/>
  <c r="AM8" i="14"/>
  <c r="AL8" i="14"/>
  <c r="AQ7" i="14"/>
  <c r="AL7" i="14"/>
  <c r="AQ6" i="14"/>
  <c r="AM6" i="14"/>
  <c r="AL6" i="14"/>
  <c r="AQ5" i="14"/>
  <c r="AM5" i="14"/>
  <c r="AL5" i="14"/>
  <c r="AQ184" i="11"/>
  <c r="AM184" i="11"/>
  <c r="AL184" i="11"/>
  <c r="AO183" i="11"/>
  <c r="AM182" i="11"/>
  <c r="AL182" i="11"/>
  <c r="AQ181" i="11"/>
  <c r="AM181" i="11"/>
  <c r="AN181" i="11" s="1"/>
  <c r="AL181" i="11"/>
  <c r="AM180" i="11"/>
  <c r="AL180" i="11"/>
  <c r="AQ179" i="11"/>
  <c r="AM179" i="11"/>
  <c r="AN179" i="11" s="1"/>
  <c r="AL179" i="11"/>
  <c r="AL178" i="11"/>
  <c r="AQ177" i="11"/>
  <c r="AM177" i="11"/>
  <c r="AL177" i="11"/>
  <c r="AQ176" i="11"/>
  <c r="AL176" i="11"/>
  <c r="AQ175" i="11"/>
  <c r="AM175" i="11"/>
  <c r="AL175" i="11"/>
  <c r="AQ174" i="11"/>
  <c r="AL174" i="11"/>
  <c r="AQ173" i="11"/>
  <c r="AM173" i="11"/>
  <c r="AL173" i="11"/>
  <c r="AQ172" i="11"/>
  <c r="AL172" i="11"/>
  <c r="AQ171" i="11"/>
  <c r="AM171" i="11"/>
  <c r="AL171" i="11"/>
  <c r="AL170" i="11"/>
  <c r="AQ169" i="11"/>
  <c r="AM169" i="11"/>
  <c r="AL169" i="11"/>
  <c r="AP168" i="11"/>
  <c r="AO168" i="11"/>
  <c r="AM167" i="11"/>
  <c r="AL167" i="11"/>
  <c r="AQ166" i="11"/>
  <c r="AM166" i="11"/>
  <c r="AL166" i="11"/>
  <c r="AQ165" i="11"/>
  <c r="AM165" i="11"/>
  <c r="AL165" i="11"/>
  <c r="AQ164" i="11"/>
  <c r="AM164" i="11"/>
  <c r="AL164" i="11"/>
  <c r="AQ163" i="11"/>
  <c r="AM163" i="11"/>
  <c r="AL163" i="11"/>
  <c r="AQ162" i="11"/>
  <c r="AM162" i="11"/>
  <c r="AL162" i="11"/>
  <c r="AQ161" i="11"/>
  <c r="AM161" i="11"/>
  <c r="AL161" i="11"/>
  <c r="AQ160" i="11"/>
  <c r="AM160" i="11"/>
  <c r="AL160" i="11"/>
  <c r="AQ159" i="11"/>
  <c r="AM159" i="11"/>
  <c r="AL159" i="11"/>
  <c r="AQ158" i="11"/>
  <c r="AM158" i="11"/>
  <c r="AL158" i="11"/>
  <c r="AQ157" i="11"/>
  <c r="AM157" i="11"/>
  <c r="AL157" i="11"/>
  <c r="AQ156" i="11"/>
  <c r="AM156" i="11"/>
  <c r="AL156" i="11"/>
  <c r="AQ155" i="11"/>
  <c r="AM155" i="11"/>
  <c r="AL155" i="11"/>
  <c r="AQ154" i="11"/>
  <c r="AM154" i="11"/>
  <c r="AL154" i="11"/>
  <c r="AQ153" i="11"/>
  <c r="AM153" i="11"/>
  <c r="AL153" i="11"/>
  <c r="AQ152" i="11"/>
  <c r="AM152" i="11"/>
  <c r="AL152" i="11"/>
  <c r="AQ151" i="11"/>
  <c r="AM151" i="11"/>
  <c r="AL151" i="11"/>
  <c r="AQ150" i="11"/>
  <c r="AM150" i="11"/>
  <c r="AL150" i="11"/>
  <c r="AQ149" i="11"/>
  <c r="AM149" i="11"/>
  <c r="AL149" i="11"/>
  <c r="AQ148" i="11"/>
  <c r="AM148" i="11"/>
  <c r="AL148" i="11"/>
  <c r="AQ147" i="11"/>
  <c r="AM147" i="11"/>
  <c r="AL147" i="11"/>
  <c r="AQ140" i="11"/>
  <c r="AM140" i="11"/>
  <c r="AL140" i="11"/>
  <c r="AP139" i="11"/>
  <c r="AO139" i="11"/>
  <c r="AM138" i="11"/>
  <c r="AL138" i="11"/>
  <c r="AQ137" i="11"/>
  <c r="AM137" i="11"/>
  <c r="AL137" i="11"/>
  <c r="AQ136" i="11"/>
  <c r="AM136" i="11"/>
  <c r="AL136" i="11"/>
  <c r="AQ135" i="11"/>
  <c r="AM135" i="11"/>
  <c r="AN135" i="11" s="1"/>
  <c r="AL135" i="11"/>
  <c r="AQ134" i="11"/>
  <c r="AM134" i="11"/>
  <c r="AL134" i="11"/>
  <c r="AQ133" i="11"/>
  <c r="AM133" i="11"/>
  <c r="AL133" i="11"/>
  <c r="AQ132" i="11"/>
  <c r="AM132" i="11"/>
  <c r="AL132" i="11"/>
  <c r="AQ131" i="11"/>
  <c r="AM131" i="11"/>
  <c r="AL131" i="11"/>
  <c r="AQ130" i="11"/>
  <c r="AM130" i="11"/>
  <c r="AL130" i="11"/>
  <c r="AQ129" i="11"/>
  <c r="AM129" i="11"/>
  <c r="AL129" i="11"/>
  <c r="AQ128" i="11"/>
  <c r="AM128" i="11"/>
  <c r="AL128" i="11"/>
  <c r="AM127" i="11"/>
  <c r="AL127" i="11"/>
  <c r="AQ126" i="11"/>
  <c r="AM126" i="11"/>
  <c r="AL126" i="11"/>
  <c r="AQ125" i="11"/>
  <c r="AM125" i="11"/>
  <c r="AL125" i="11"/>
  <c r="AQ124" i="11"/>
  <c r="AM124" i="11"/>
  <c r="AL124" i="11"/>
  <c r="AQ123" i="11"/>
  <c r="AM123" i="11"/>
  <c r="AL123" i="11"/>
  <c r="AP122" i="11"/>
  <c r="AO122" i="11"/>
  <c r="AQ121" i="11"/>
  <c r="AM121" i="11"/>
  <c r="AL121" i="11"/>
  <c r="AQ120" i="11"/>
  <c r="AM120" i="11"/>
  <c r="AL120" i="11"/>
  <c r="AQ119" i="11"/>
  <c r="AM119" i="11"/>
  <c r="AL119" i="11"/>
  <c r="AQ118" i="11"/>
  <c r="AM118" i="11"/>
  <c r="AL118" i="11"/>
  <c r="AQ117" i="11"/>
  <c r="AM117" i="11"/>
  <c r="AN117" i="11" s="1"/>
  <c r="AL117" i="11"/>
  <c r="AQ116" i="11"/>
  <c r="AM116" i="11"/>
  <c r="AL116" i="11"/>
  <c r="AQ115" i="11"/>
  <c r="AM115" i="11"/>
  <c r="AL115" i="11"/>
  <c r="AQ114" i="11"/>
  <c r="AM114" i="11"/>
  <c r="AL114" i="11"/>
  <c r="AQ113" i="11"/>
  <c r="AM113" i="11"/>
  <c r="AL113" i="11"/>
  <c r="AQ112" i="11"/>
  <c r="AM112" i="11"/>
  <c r="AL112" i="11"/>
  <c r="AQ111" i="11"/>
  <c r="AM111" i="11"/>
  <c r="AL111" i="11"/>
  <c r="AQ110" i="11"/>
  <c r="AM110" i="11"/>
  <c r="AL110" i="11"/>
  <c r="AQ109" i="11"/>
  <c r="AM109" i="11"/>
  <c r="AN109" i="11" s="1"/>
  <c r="AL109" i="11"/>
  <c r="AQ108" i="11"/>
  <c r="AM108" i="11"/>
  <c r="AL108" i="11"/>
  <c r="AQ107" i="11"/>
  <c r="AM107" i="11"/>
  <c r="AL107" i="11"/>
  <c r="AQ106" i="11"/>
  <c r="AM106" i="11"/>
  <c r="AL106" i="11"/>
  <c r="AQ105" i="11"/>
  <c r="AM105" i="11"/>
  <c r="AN105" i="11" s="1"/>
  <c r="AL105" i="11"/>
  <c r="AQ104" i="11"/>
  <c r="AM104" i="11"/>
  <c r="AL104" i="11"/>
  <c r="AQ103" i="11"/>
  <c r="AM103" i="11"/>
  <c r="AL103" i="11"/>
  <c r="AQ102" i="11"/>
  <c r="AM102" i="11"/>
  <c r="AL102" i="11"/>
  <c r="AQ101" i="11"/>
  <c r="AM101" i="11"/>
  <c r="AN101" i="11" s="1"/>
  <c r="AL101" i="11"/>
  <c r="AQ100" i="11"/>
  <c r="AM100" i="11"/>
  <c r="AL100" i="11"/>
  <c r="AQ99" i="11"/>
  <c r="AM99" i="11"/>
  <c r="AL99" i="11"/>
  <c r="AQ98" i="11"/>
  <c r="AM98" i="11"/>
  <c r="AL98" i="11"/>
  <c r="AQ91" i="11"/>
  <c r="AM91" i="11"/>
  <c r="AL91" i="11"/>
  <c r="AP90" i="11"/>
  <c r="AO90" i="11"/>
  <c r="AQ89" i="11"/>
  <c r="AM89" i="11"/>
  <c r="AL89" i="11"/>
  <c r="AL88" i="11"/>
  <c r="AQ87" i="11"/>
  <c r="AM87" i="11"/>
  <c r="AL87" i="11"/>
  <c r="AM86" i="11"/>
  <c r="AL86" i="11"/>
  <c r="AQ85" i="11"/>
  <c r="AM85" i="11"/>
  <c r="AL85" i="11"/>
  <c r="AQ84" i="11"/>
  <c r="AM84" i="11"/>
  <c r="AL84" i="11"/>
  <c r="AQ83" i="11"/>
  <c r="AM83" i="11"/>
  <c r="AL83" i="11"/>
  <c r="AQ82" i="11"/>
  <c r="AM82" i="11"/>
  <c r="AL82" i="11"/>
  <c r="AQ81" i="11"/>
  <c r="AM81" i="11"/>
  <c r="AN81" i="11" s="1"/>
  <c r="AL81" i="11"/>
  <c r="AQ80" i="11"/>
  <c r="AM80" i="11"/>
  <c r="AL80" i="11"/>
  <c r="AQ79" i="11"/>
  <c r="AM79" i="11"/>
  <c r="AL79" i="11"/>
  <c r="AQ78" i="11"/>
  <c r="AM78" i="11"/>
  <c r="AL78" i="11"/>
  <c r="AM77" i="11"/>
  <c r="AL77" i="11"/>
  <c r="AQ76" i="11"/>
  <c r="AM76" i="11"/>
  <c r="AN76" i="11" s="1"/>
  <c r="AL76" i="11"/>
  <c r="AQ75" i="11"/>
  <c r="AM75" i="11"/>
  <c r="AL75" i="11"/>
  <c r="AQ74" i="11"/>
  <c r="AM74" i="11"/>
  <c r="AL74" i="11"/>
  <c r="AQ73" i="11"/>
  <c r="AM73" i="11"/>
  <c r="AL73" i="11"/>
  <c r="AQ72" i="11"/>
  <c r="AM72" i="11"/>
  <c r="AL72" i="11"/>
  <c r="AQ71" i="11"/>
  <c r="AM71" i="11"/>
  <c r="AL71" i="11"/>
  <c r="AP70" i="11"/>
  <c r="AO70" i="11"/>
  <c r="AM69" i="11"/>
  <c r="AL69" i="11"/>
  <c r="AM68" i="11"/>
  <c r="AL68" i="11"/>
  <c r="AQ67" i="11"/>
  <c r="AM67" i="11"/>
  <c r="AL67" i="11"/>
  <c r="AM66" i="11"/>
  <c r="AL66" i="11"/>
  <c r="AQ65" i="11"/>
  <c r="AM65" i="11"/>
  <c r="AL65" i="11"/>
  <c r="AQ64" i="11"/>
  <c r="AM64" i="11"/>
  <c r="AL64" i="11"/>
  <c r="AQ63" i="11"/>
  <c r="AM63" i="11"/>
  <c r="AL63" i="11"/>
  <c r="AQ62" i="11"/>
  <c r="AM62" i="11"/>
  <c r="AL62" i="11"/>
  <c r="AQ61" i="11"/>
  <c r="AM61" i="11"/>
  <c r="AL61" i="11"/>
  <c r="AQ60" i="11"/>
  <c r="AM60" i="11"/>
  <c r="AL60" i="11"/>
  <c r="AQ59" i="11"/>
  <c r="AM59" i="11"/>
  <c r="AL59" i="11"/>
  <c r="AQ58" i="11"/>
  <c r="AM58" i="11"/>
  <c r="AL58" i="11"/>
  <c r="AQ57" i="11"/>
  <c r="AM57" i="11"/>
  <c r="AL57" i="11"/>
  <c r="AQ56" i="11"/>
  <c r="AM56" i="11"/>
  <c r="AL56" i="11"/>
  <c r="AQ55" i="11"/>
  <c r="AM55" i="11"/>
  <c r="AL55" i="11"/>
  <c r="AQ54" i="11"/>
  <c r="AM54" i="11"/>
  <c r="AL54" i="11"/>
  <c r="AQ47" i="11"/>
  <c r="AM47" i="11"/>
  <c r="AL47" i="11"/>
  <c r="AP46" i="11"/>
  <c r="AO46" i="11"/>
  <c r="AQ45" i="11"/>
  <c r="AM45" i="11"/>
  <c r="AL45" i="11"/>
  <c r="AQ44" i="11"/>
  <c r="AM44" i="11"/>
  <c r="AL44" i="11"/>
  <c r="AQ43" i="11"/>
  <c r="AM43" i="11"/>
  <c r="AN43" i="11" s="1"/>
  <c r="AL43" i="11"/>
  <c r="AQ42" i="11"/>
  <c r="AM42" i="11"/>
  <c r="AL42" i="11"/>
  <c r="AQ41" i="11"/>
  <c r="AM41" i="11"/>
  <c r="AL41" i="11"/>
  <c r="AQ40" i="11"/>
  <c r="AM40" i="11"/>
  <c r="AL40" i="11"/>
  <c r="AQ39" i="11"/>
  <c r="AM39" i="11"/>
  <c r="AL39" i="11"/>
  <c r="AQ38" i="11"/>
  <c r="AM38" i="11"/>
  <c r="AL38" i="11"/>
  <c r="AQ37" i="11"/>
  <c r="AM37" i="11"/>
  <c r="AN37" i="11" s="1"/>
  <c r="AL37" i="11"/>
  <c r="AQ36" i="11"/>
  <c r="AM36" i="11"/>
  <c r="AL36" i="11"/>
  <c r="AQ35" i="11"/>
  <c r="AM35" i="11"/>
  <c r="AL35" i="11"/>
  <c r="AQ34" i="11"/>
  <c r="AM34" i="11"/>
  <c r="AL34" i="11"/>
  <c r="AQ33" i="11"/>
  <c r="AM33" i="11"/>
  <c r="AL33" i="11"/>
  <c r="AQ32" i="11"/>
  <c r="AM32" i="11"/>
  <c r="AL32" i="11"/>
  <c r="AQ31" i="11"/>
  <c r="AM31" i="11"/>
  <c r="AL31" i="11"/>
  <c r="AQ30" i="11"/>
  <c r="AM30" i="11"/>
  <c r="AL30" i="11"/>
  <c r="AQ29" i="11"/>
  <c r="AM29" i="11"/>
  <c r="AL29" i="11"/>
  <c r="AQ28" i="11"/>
  <c r="AM28" i="11"/>
  <c r="AL28" i="11"/>
  <c r="AQ27" i="11"/>
  <c r="AM27" i="11"/>
  <c r="AL27" i="11"/>
  <c r="AO26" i="11"/>
  <c r="AM25" i="11"/>
  <c r="AL25" i="11"/>
  <c r="AQ24" i="11"/>
  <c r="AM24" i="11"/>
  <c r="AL24" i="11"/>
  <c r="AQ23" i="11"/>
  <c r="AM23" i="11"/>
  <c r="AL23" i="11"/>
  <c r="AQ22" i="11"/>
  <c r="AM22" i="11"/>
  <c r="AL22" i="11"/>
  <c r="AQ21" i="11"/>
  <c r="AM21" i="11"/>
  <c r="AL21" i="11"/>
  <c r="AM20" i="11"/>
  <c r="AL20" i="11"/>
  <c r="AQ19" i="11"/>
  <c r="AM19" i="11"/>
  <c r="AN19" i="11" s="1"/>
  <c r="AL19" i="11"/>
  <c r="AQ18" i="11"/>
  <c r="AM18" i="11"/>
  <c r="AL18" i="11"/>
  <c r="AQ17" i="11"/>
  <c r="AM17" i="11"/>
  <c r="AL17" i="11"/>
  <c r="AQ16" i="11"/>
  <c r="AM16" i="11"/>
  <c r="AL16" i="11"/>
  <c r="AQ15" i="11"/>
  <c r="AM15" i="11"/>
  <c r="AN15" i="11" s="1"/>
  <c r="AL15" i="11"/>
  <c r="AQ14" i="11"/>
  <c r="AM14" i="11"/>
  <c r="AL14" i="11"/>
  <c r="AQ13" i="11"/>
  <c r="AM13" i="11"/>
  <c r="AN13" i="11" s="1"/>
  <c r="AL13" i="11"/>
  <c r="AQ12" i="11"/>
  <c r="AM12" i="11"/>
  <c r="AL12" i="11"/>
  <c r="AQ11" i="11"/>
  <c r="AM11" i="11"/>
  <c r="AN11" i="11" s="1"/>
  <c r="AL11" i="11"/>
  <c r="AQ10" i="11"/>
  <c r="AM10" i="11"/>
  <c r="AL10" i="11"/>
  <c r="AQ9" i="11"/>
  <c r="AM9" i="11"/>
  <c r="AN9" i="11" s="1"/>
  <c r="AL9" i="11"/>
  <c r="AQ8" i="11"/>
  <c r="AM8" i="11"/>
  <c r="AL8" i="11"/>
  <c r="AQ7" i="11"/>
  <c r="AM7" i="11"/>
  <c r="AN7" i="11" s="1"/>
  <c r="AL7" i="11"/>
  <c r="AQ6" i="11"/>
  <c r="AM6" i="11"/>
  <c r="AL6" i="11"/>
  <c r="AQ5" i="11"/>
  <c r="AM5" i="11"/>
  <c r="AN5" i="11" s="1"/>
  <c r="AL5" i="11"/>
  <c r="AM339" i="10"/>
  <c r="AM341" i="10"/>
  <c r="AQ344" i="10"/>
  <c r="AP344" i="10"/>
  <c r="AR343" i="10"/>
  <c r="AN343" i="10"/>
  <c r="AM343" i="10"/>
  <c r="AQ342" i="10"/>
  <c r="AN341" i="10"/>
  <c r="AN340" i="10"/>
  <c r="AM340" i="10"/>
  <c r="AN339" i="10"/>
  <c r="AN338" i="10"/>
  <c r="AM338" i="10"/>
  <c r="AR337" i="10"/>
  <c r="AN337" i="10"/>
  <c r="AM337" i="10"/>
  <c r="AR336" i="10"/>
  <c r="AN336" i="10"/>
  <c r="AO336" i="10" s="1"/>
  <c r="AM336" i="10"/>
  <c r="AR335" i="10"/>
  <c r="AN335" i="10"/>
  <c r="AM335" i="10"/>
  <c r="AR334" i="10"/>
  <c r="AN334" i="10"/>
  <c r="AM334" i="10"/>
  <c r="AR333" i="10"/>
  <c r="AN333" i="10"/>
  <c r="AM333" i="10"/>
  <c r="AR332" i="10"/>
  <c r="AN332" i="10"/>
  <c r="AM332" i="10"/>
  <c r="AR331" i="10"/>
  <c r="AN331" i="10"/>
  <c r="AM331" i="10"/>
  <c r="AR330" i="10"/>
  <c r="AN330" i="10"/>
  <c r="AM330" i="10"/>
  <c r="AR329" i="10"/>
  <c r="AN329" i="10"/>
  <c r="AM329" i="10"/>
  <c r="AR328" i="10"/>
  <c r="AN328" i="10"/>
  <c r="AM328" i="10"/>
  <c r="AR327" i="10"/>
  <c r="AN327" i="10"/>
  <c r="AM327" i="10"/>
  <c r="AO327" i="10" s="1"/>
  <c r="AR326" i="10"/>
  <c r="AN326" i="10"/>
  <c r="AM326" i="10"/>
  <c r="AR325" i="10"/>
  <c r="AN325" i="10"/>
  <c r="AM325" i="10"/>
  <c r="AN324" i="10"/>
  <c r="AR323" i="10"/>
  <c r="AN323" i="10"/>
  <c r="AM323" i="10"/>
  <c r="AQ322" i="10"/>
  <c r="AP322" i="10"/>
  <c r="AN321" i="10"/>
  <c r="AM321" i="10"/>
  <c r="AN320" i="10"/>
  <c r="AM320" i="10"/>
  <c r="AN319" i="10"/>
  <c r="AM319" i="10"/>
  <c r="AN318" i="10"/>
  <c r="AM318" i="10"/>
  <c r="AN317" i="10"/>
  <c r="AM317" i="10"/>
  <c r="AN316" i="10"/>
  <c r="AM316" i="10"/>
  <c r="AN315" i="10"/>
  <c r="AM315" i="10"/>
  <c r="AR314" i="10"/>
  <c r="AN314" i="10"/>
  <c r="AM314" i="10"/>
  <c r="AN313" i="10"/>
  <c r="AM313" i="10"/>
  <c r="AN312" i="10"/>
  <c r="AM312" i="10"/>
  <c r="AR311" i="10"/>
  <c r="AN311" i="10"/>
  <c r="AM311" i="10"/>
  <c r="AR310" i="10"/>
  <c r="AN310" i="10"/>
  <c r="AO310" i="10" s="1"/>
  <c r="AM310" i="10"/>
  <c r="AR309" i="10"/>
  <c r="AN309" i="10"/>
  <c r="AM309" i="10"/>
  <c r="AR308" i="10"/>
  <c r="AN308" i="10"/>
  <c r="AM308" i="10"/>
  <c r="AR307" i="10"/>
  <c r="AN307" i="10"/>
  <c r="AM307" i="10"/>
  <c r="AR306" i="10"/>
  <c r="AN306" i="10"/>
  <c r="AM306" i="10"/>
  <c r="AR305" i="10"/>
  <c r="AN305" i="10"/>
  <c r="AM305" i="10"/>
  <c r="AR304" i="10"/>
  <c r="AN304" i="10"/>
  <c r="AM304" i="10"/>
  <c r="AQ298" i="10"/>
  <c r="AP298" i="10"/>
  <c r="AR297" i="10"/>
  <c r="AN297" i="10"/>
  <c r="AM297" i="10"/>
  <c r="AQ296" i="10"/>
  <c r="AN295" i="10"/>
  <c r="AM295" i="10"/>
  <c r="AN294" i="10"/>
  <c r="AM294" i="10"/>
  <c r="AN293" i="10"/>
  <c r="AM293" i="10"/>
  <c r="AR292" i="10"/>
  <c r="AN292" i="10"/>
  <c r="AM292" i="10"/>
  <c r="AR291" i="10"/>
  <c r="AN291" i="10"/>
  <c r="AM291" i="10"/>
  <c r="AR290" i="10"/>
  <c r="AN290" i="10"/>
  <c r="AM290" i="10"/>
  <c r="AR289" i="10"/>
  <c r="AN289" i="10"/>
  <c r="AM289" i="10"/>
  <c r="AR288" i="10"/>
  <c r="AN288" i="10"/>
  <c r="AM288" i="10"/>
  <c r="AR287" i="10"/>
  <c r="AN287" i="10"/>
  <c r="AM287" i="10"/>
  <c r="AR286" i="10"/>
  <c r="AN286" i="10"/>
  <c r="AM286" i="10"/>
  <c r="AR285" i="10"/>
  <c r="AN285" i="10"/>
  <c r="AO285" i="10" s="1"/>
  <c r="AM285" i="10"/>
  <c r="AR284" i="10"/>
  <c r="AN284" i="10"/>
  <c r="AM284" i="10"/>
  <c r="AR283" i="10"/>
  <c r="AN283" i="10"/>
  <c r="AM283" i="10"/>
  <c r="AR282" i="10"/>
  <c r="AN282" i="10"/>
  <c r="AM282" i="10"/>
  <c r="AR281" i="10"/>
  <c r="AN281" i="10"/>
  <c r="AM281" i="10"/>
  <c r="AR280" i="10"/>
  <c r="AN280" i="10"/>
  <c r="AM280" i="10"/>
  <c r="AR279" i="10"/>
  <c r="AN279" i="10"/>
  <c r="AM279" i="10"/>
  <c r="AR278" i="10"/>
  <c r="AN278" i="10"/>
  <c r="AM278" i="10"/>
  <c r="AR277" i="10"/>
  <c r="AN277" i="10"/>
  <c r="AM277" i="10"/>
  <c r="AQ276" i="10"/>
  <c r="AP276" i="10"/>
  <c r="AR275" i="10"/>
  <c r="AN275" i="10"/>
  <c r="AM275" i="10"/>
  <c r="AR274" i="10"/>
  <c r="AN274" i="10"/>
  <c r="AM274" i="10"/>
  <c r="AR273" i="10"/>
  <c r="AN273" i="10"/>
  <c r="AM273" i="10"/>
  <c r="AR272" i="10"/>
  <c r="AN272" i="10"/>
  <c r="AM272" i="10"/>
  <c r="AR271" i="10"/>
  <c r="AN271" i="10"/>
  <c r="AM271" i="10"/>
  <c r="AR270" i="10"/>
  <c r="AN270" i="10"/>
  <c r="AM270" i="10"/>
  <c r="AR269" i="10"/>
  <c r="AN269" i="10"/>
  <c r="AM269" i="10"/>
  <c r="AR268" i="10"/>
  <c r="AN268" i="10"/>
  <c r="AO268" i="10" s="1"/>
  <c r="AM268" i="10"/>
  <c r="AR267" i="10"/>
  <c r="AN267" i="10"/>
  <c r="AM267" i="10"/>
  <c r="AR266" i="10"/>
  <c r="AN266" i="10"/>
  <c r="AM266" i="10"/>
  <c r="AR265" i="10"/>
  <c r="AN265" i="10"/>
  <c r="AM265" i="10"/>
  <c r="AR264" i="10"/>
  <c r="AN264" i="10"/>
  <c r="AM264" i="10"/>
  <c r="AR263" i="10"/>
  <c r="AN263" i="10"/>
  <c r="AM263" i="10"/>
  <c r="AR262" i="10"/>
  <c r="AN262" i="10"/>
  <c r="AM262" i="10"/>
  <c r="AR261" i="10"/>
  <c r="AN261" i="10"/>
  <c r="AM261" i="10"/>
  <c r="AR260" i="10"/>
  <c r="AN260" i="10"/>
  <c r="AM260" i="10"/>
  <c r="AR259" i="10"/>
  <c r="AN259" i="10"/>
  <c r="AM259" i="10"/>
  <c r="AR258" i="10"/>
  <c r="AN258" i="10"/>
  <c r="AM258" i="10"/>
  <c r="AR257" i="10"/>
  <c r="AN257" i="10"/>
  <c r="AM257" i="10"/>
  <c r="AR256" i="10"/>
  <c r="AN256" i="10"/>
  <c r="AM256" i="10"/>
  <c r="AR255" i="10"/>
  <c r="AN255" i="10"/>
  <c r="AM255" i="10"/>
  <c r="AQ247" i="10"/>
  <c r="AP247" i="10"/>
  <c r="AR246" i="10"/>
  <c r="AN246" i="10"/>
  <c r="AM246" i="10"/>
  <c r="AQ245" i="10"/>
  <c r="AP245" i="10"/>
  <c r="AR244" i="10"/>
  <c r="AR243" i="10"/>
  <c r="AN243" i="10"/>
  <c r="AM243" i="10"/>
  <c r="AR242" i="10"/>
  <c r="AN242" i="10"/>
  <c r="AM242" i="10"/>
  <c r="AR241" i="10"/>
  <c r="AN241" i="10"/>
  <c r="AM241" i="10"/>
  <c r="AR240" i="10"/>
  <c r="AN240" i="10"/>
  <c r="AM240" i="10"/>
  <c r="AR239" i="10"/>
  <c r="AN239" i="10"/>
  <c r="AM239" i="10"/>
  <c r="AR238" i="10"/>
  <c r="AN238" i="10"/>
  <c r="AM238" i="10"/>
  <c r="AR237" i="10"/>
  <c r="AN237" i="10"/>
  <c r="AM237" i="10"/>
  <c r="AR236" i="10"/>
  <c r="AN236" i="10"/>
  <c r="AM236" i="10"/>
  <c r="AR235" i="10"/>
  <c r="AN235" i="10"/>
  <c r="AM235" i="10"/>
  <c r="AR234" i="10"/>
  <c r="AN234" i="10"/>
  <c r="AM234" i="10"/>
  <c r="AR233" i="10"/>
  <c r="AN233" i="10"/>
  <c r="AM233" i="10"/>
  <c r="AR232" i="10"/>
  <c r="AN232" i="10"/>
  <c r="AM232" i="10"/>
  <c r="AR231" i="10"/>
  <c r="AN231" i="10"/>
  <c r="AM231" i="10"/>
  <c r="AR230" i="10"/>
  <c r="AN230" i="10"/>
  <c r="AM230" i="10"/>
  <c r="AR229" i="10"/>
  <c r="AN229" i="10"/>
  <c r="AM229" i="10"/>
  <c r="AR228" i="10"/>
  <c r="AN228" i="10"/>
  <c r="AM228" i="10"/>
  <c r="AR227" i="10"/>
  <c r="AN227" i="10"/>
  <c r="AM227" i="10"/>
  <c r="AR226" i="10"/>
  <c r="AN226" i="10"/>
  <c r="AM226" i="10"/>
  <c r="AR225" i="10"/>
  <c r="AN225" i="10"/>
  <c r="AM225" i="10"/>
  <c r="AQ224" i="10"/>
  <c r="AP224" i="10"/>
  <c r="AN223" i="10"/>
  <c r="AM223" i="10"/>
  <c r="AR222" i="10"/>
  <c r="AN222" i="10"/>
  <c r="AM222" i="10"/>
  <c r="AR221" i="10"/>
  <c r="AN221" i="10"/>
  <c r="AM221" i="10"/>
  <c r="AR220" i="10"/>
  <c r="AN220" i="10"/>
  <c r="AM220" i="10"/>
  <c r="AR219" i="10"/>
  <c r="AN219" i="10"/>
  <c r="AM219" i="10"/>
  <c r="AR218" i="10"/>
  <c r="AN218" i="10"/>
  <c r="AM218" i="10"/>
  <c r="AR217" i="10"/>
  <c r="AN217" i="10"/>
  <c r="AM217" i="10"/>
  <c r="AR216" i="10"/>
  <c r="AN216" i="10"/>
  <c r="AM216" i="10"/>
  <c r="AR215" i="10"/>
  <c r="AN215" i="10"/>
  <c r="AM215" i="10"/>
  <c r="AR214" i="10"/>
  <c r="AN214" i="10"/>
  <c r="AM214" i="10"/>
  <c r="AR213" i="10"/>
  <c r="AN213" i="10"/>
  <c r="AM213" i="10"/>
  <c r="AR212" i="10"/>
  <c r="AN212" i="10"/>
  <c r="AM212" i="10"/>
  <c r="AQ206" i="10"/>
  <c r="AP206" i="10"/>
  <c r="AR205" i="10"/>
  <c r="AN205" i="10"/>
  <c r="AM205" i="10"/>
  <c r="AQ204" i="10"/>
  <c r="AP204" i="10"/>
  <c r="AR203" i="10"/>
  <c r="AN203" i="10"/>
  <c r="AM203" i="10"/>
  <c r="AR202" i="10"/>
  <c r="AN202" i="10"/>
  <c r="AM202" i="10"/>
  <c r="AR201" i="10"/>
  <c r="AN201" i="10"/>
  <c r="AM201" i="10"/>
  <c r="AR200" i="10"/>
  <c r="AN200" i="10"/>
  <c r="AM200" i="10"/>
  <c r="AR199" i="10"/>
  <c r="AN199" i="10"/>
  <c r="AM199" i="10"/>
  <c r="AR198" i="10"/>
  <c r="AN198" i="10"/>
  <c r="AM198" i="10"/>
  <c r="AR197" i="10"/>
  <c r="AN197" i="10"/>
  <c r="AM197" i="10"/>
  <c r="AR196" i="10"/>
  <c r="AN196" i="10"/>
  <c r="AM196" i="10"/>
  <c r="AR195" i="10"/>
  <c r="AN195" i="10"/>
  <c r="AM195" i="10"/>
  <c r="AR194" i="10"/>
  <c r="AN194" i="10"/>
  <c r="AM194" i="10"/>
  <c r="AR193" i="10"/>
  <c r="AN193" i="10"/>
  <c r="AM193" i="10"/>
  <c r="AR192" i="10"/>
  <c r="AN192" i="10"/>
  <c r="AM192" i="10"/>
  <c r="AR191" i="10"/>
  <c r="AN191" i="10"/>
  <c r="AM191" i="10"/>
  <c r="AR190" i="10"/>
  <c r="AN190" i="10"/>
  <c r="AM190" i="10"/>
  <c r="AR189" i="10"/>
  <c r="AN189" i="10"/>
  <c r="AM189" i="10"/>
  <c r="AR188" i="10"/>
  <c r="AN188" i="10"/>
  <c r="AM188" i="10"/>
  <c r="AR187" i="10"/>
  <c r="AN187" i="10"/>
  <c r="AM187" i="10"/>
  <c r="AR186" i="10"/>
  <c r="AN186" i="10"/>
  <c r="AM186" i="10"/>
  <c r="AR185" i="10"/>
  <c r="AN185" i="10"/>
  <c r="AM185" i="10"/>
  <c r="AR184" i="10"/>
  <c r="AN184" i="10"/>
  <c r="AM184" i="10"/>
  <c r="AR183" i="10"/>
  <c r="AN183" i="10"/>
  <c r="AM183" i="10"/>
  <c r="AR182" i="10"/>
  <c r="AN182" i="10"/>
  <c r="AM182" i="10"/>
  <c r="AR181" i="10"/>
  <c r="AN181" i="10"/>
  <c r="AM181" i="10"/>
  <c r="AR180" i="10"/>
  <c r="AN180" i="10"/>
  <c r="AM180" i="10"/>
  <c r="AR179" i="10"/>
  <c r="AN179" i="10"/>
  <c r="AM179" i="10"/>
  <c r="AQ178" i="10"/>
  <c r="AP178" i="10"/>
  <c r="AR177" i="10"/>
  <c r="AN177" i="10"/>
  <c r="AO177" i="10" s="1"/>
  <c r="AM177" i="10"/>
  <c r="AR176" i="10"/>
  <c r="AN176" i="10"/>
  <c r="AM176" i="10"/>
  <c r="AR175" i="10"/>
  <c r="AN175" i="10"/>
  <c r="AM175" i="10"/>
  <c r="AR174" i="10"/>
  <c r="AN174" i="10"/>
  <c r="AM174" i="10"/>
  <c r="AR173" i="10"/>
  <c r="AN173" i="10"/>
  <c r="AM173" i="10"/>
  <c r="AR172" i="10"/>
  <c r="AN172" i="10"/>
  <c r="AM172" i="10"/>
  <c r="AR171" i="10"/>
  <c r="AN171" i="10"/>
  <c r="AM171" i="10"/>
  <c r="AR170" i="10"/>
  <c r="AN170" i="10"/>
  <c r="AM170" i="10"/>
  <c r="AR169" i="10"/>
  <c r="AN169" i="10"/>
  <c r="AM169" i="10"/>
  <c r="AR168" i="10"/>
  <c r="AN168" i="10"/>
  <c r="AM168" i="10"/>
  <c r="AR167" i="10"/>
  <c r="AN167" i="10"/>
  <c r="AM167" i="10"/>
  <c r="AR166" i="10"/>
  <c r="AN166" i="10"/>
  <c r="AM166" i="10"/>
  <c r="AR165" i="10"/>
  <c r="AN165" i="10"/>
  <c r="AM165" i="10"/>
  <c r="AR164" i="10"/>
  <c r="AN164" i="10"/>
  <c r="AM164" i="10"/>
  <c r="AR163" i="10"/>
  <c r="AN163" i="10"/>
  <c r="AM163" i="10"/>
  <c r="AR162" i="10"/>
  <c r="AN162" i="10"/>
  <c r="AM162" i="10"/>
  <c r="AQ154" i="10"/>
  <c r="AP154" i="10"/>
  <c r="AR153" i="10"/>
  <c r="AN153" i="10"/>
  <c r="AM153" i="10"/>
  <c r="AQ152" i="10"/>
  <c r="AP152" i="10"/>
  <c r="AN151" i="10"/>
  <c r="AM151" i="10"/>
  <c r="AR150" i="10"/>
  <c r="AN150" i="10"/>
  <c r="AM150" i="10"/>
  <c r="AR149" i="10"/>
  <c r="AN149" i="10"/>
  <c r="AO149" i="10" s="1"/>
  <c r="AM149" i="10"/>
  <c r="AN148" i="10"/>
  <c r="AM148" i="10"/>
  <c r="AR147" i="10"/>
  <c r="AN147" i="10"/>
  <c r="AM147" i="10"/>
  <c r="AR146" i="10"/>
  <c r="AN146" i="10"/>
  <c r="AM146" i="10"/>
  <c r="AR145" i="10"/>
  <c r="AN145" i="10"/>
  <c r="AM145" i="10"/>
  <c r="AR144" i="10"/>
  <c r="AN144" i="10"/>
  <c r="AM144" i="10"/>
  <c r="AR143" i="10"/>
  <c r="AN143" i="10"/>
  <c r="AM143" i="10"/>
  <c r="AR142" i="10"/>
  <c r="AN142" i="10"/>
  <c r="AM142" i="10"/>
  <c r="AR141" i="10"/>
  <c r="AN141" i="10"/>
  <c r="AM141" i="10"/>
  <c r="AR140" i="10"/>
  <c r="AN140" i="10"/>
  <c r="AM140" i="10"/>
  <c r="AR139" i="10"/>
  <c r="AN139" i="10"/>
  <c r="AM139" i="10"/>
  <c r="AR138" i="10"/>
  <c r="AN138" i="10"/>
  <c r="AM138" i="10"/>
  <c r="AR137" i="10"/>
  <c r="AN137" i="10"/>
  <c r="AM137" i="10"/>
  <c r="AR136" i="10"/>
  <c r="AN136" i="10"/>
  <c r="AM136" i="10"/>
  <c r="AR135" i="10"/>
  <c r="AN135" i="10"/>
  <c r="AM135" i="10"/>
  <c r="AR134" i="10"/>
  <c r="AN134" i="10"/>
  <c r="AM134" i="10"/>
  <c r="AR133" i="10"/>
  <c r="AN133" i="10"/>
  <c r="AM133" i="10"/>
  <c r="AR132" i="10"/>
  <c r="AN132" i="10"/>
  <c r="AM132" i="10"/>
  <c r="AR131" i="10"/>
  <c r="AN131" i="10"/>
  <c r="AM131" i="10"/>
  <c r="AR130" i="10"/>
  <c r="AN130" i="10"/>
  <c r="AM130" i="10"/>
  <c r="AQ129" i="10"/>
  <c r="AP129" i="10"/>
  <c r="AN128" i="10"/>
  <c r="AM128" i="10"/>
  <c r="AN127" i="10"/>
  <c r="AM127" i="10"/>
  <c r="AR126" i="10"/>
  <c r="AN126" i="10"/>
  <c r="AM126" i="10"/>
  <c r="AR125" i="10"/>
  <c r="AN125" i="10"/>
  <c r="AM125" i="10"/>
  <c r="AR124" i="10"/>
  <c r="AN124" i="10"/>
  <c r="AM124" i="10"/>
  <c r="AR123" i="10"/>
  <c r="AN123" i="10"/>
  <c r="AO123" i="10" s="1"/>
  <c r="AM123" i="10"/>
  <c r="AN122" i="10"/>
  <c r="AM122" i="10"/>
  <c r="AR121" i="10"/>
  <c r="AN121" i="10"/>
  <c r="AM121" i="10"/>
  <c r="AR120" i="10"/>
  <c r="AN120" i="10"/>
  <c r="AO120" i="10" s="1"/>
  <c r="AM120" i="10"/>
  <c r="AR119" i="10"/>
  <c r="AN119" i="10"/>
  <c r="AM119" i="10"/>
  <c r="AR118" i="10"/>
  <c r="AN118" i="10"/>
  <c r="AO118" i="10" s="1"/>
  <c r="AM118" i="10"/>
  <c r="AR117" i="10"/>
  <c r="AN117" i="10"/>
  <c r="AM117" i="10"/>
  <c r="AR116" i="10"/>
  <c r="AN116" i="10"/>
  <c r="AO116" i="10" s="1"/>
  <c r="AM116" i="10"/>
  <c r="AR115" i="10"/>
  <c r="AN115" i="10"/>
  <c r="AM115" i="10"/>
  <c r="AR114" i="10"/>
  <c r="AN114" i="10"/>
  <c r="AM114" i="10"/>
  <c r="AR113" i="10"/>
  <c r="AN113" i="10"/>
  <c r="AM113" i="10"/>
  <c r="AR112" i="10"/>
  <c r="AN112" i="10"/>
  <c r="AM112" i="10"/>
  <c r="AR111" i="10"/>
  <c r="AN111" i="10"/>
  <c r="AM111" i="10"/>
  <c r="AR105" i="10"/>
  <c r="AN105" i="10"/>
  <c r="AM105" i="10"/>
  <c r="AQ104" i="10"/>
  <c r="AP104" i="10"/>
  <c r="AN103" i="10"/>
  <c r="AM103" i="10"/>
  <c r="AN102" i="10"/>
  <c r="AM102" i="10"/>
  <c r="AR101" i="10"/>
  <c r="AN101" i="10"/>
  <c r="AM101" i="10"/>
  <c r="AR100" i="10"/>
  <c r="AN100" i="10"/>
  <c r="AM100" i="10"/>
  <c r="AR99" i="10"/>
  <c r="AN99" i="10"/>
  <c r="AM99" i="10"/>
  <c r="AR98" i="10"/>
  <c r="AN98" i="10"/>
  <c r="AM98" i="10"/>
  <c r="AR97" i="10"/>
  <c r="AN97" i="10"/>
  <c r="AM97" i="10"/>
  <c r="AR96" i="10"/>
  <c r="AN96" i="10"/>
  <c r="AM96" i="10"/>
  <c r="AN95" i="10"/>
  <c r="AO95" i="10" s="1"/>
  <c r="AM95" i="10"/>
  <c r="AR94" i="10"/>
  <c r="AN94" i="10"/>
  <c r="AM94" i="10"/>
  <c r="AR93" i="10"/>
  <c r="AN93" i="10"/>
  <c r="AM93" i="10"/>
  <c r="AR92" i="10"/>
  <c r="AN92" i="10"/>
  <c r="AM92" i="10"/>
  <c r="AR91" i="10"/>
  <c r="AN91" i="10"/>
  <c r="AN154" i="10" s="1"/>
  <c r="AM91" i="10"/>
  <c r="AQ90" i="10"/>
  <c r="AP90" i="10"/>
  <c r="AN89" i="10"/>
  <c r="AM89" i="10"/>
  <c r="AN88" i="10"/>
  <c r="AM88" i="10"/>
  <c r="AN87" i="10"/>
  <c r="AM87" i="10"/>
  <c r="AN86" i="10"/>
  <c r="AM86" i="10"/>
  <c r="AN85" i="10"/>
  <c r="AM85" i="10"/>
  <c r="AR84" i="10"/>
  <c r="AN84" i="10"/>
  <c r="AM84" i="10"/>
  <c r="AR83" i="10"/>
  <c r="AN83" i="10"/>
  <c r="AM83" i="10"/>
  <c r="AN82" i="10"/>
  <c r="AM82" i="10"/>
  <c r="AR81" i="10"/>
  <c r="AN81" i="10"/>
  <c r="AM81" i="10"/>
  <c r="AR80" i="10"/>
  <c r="AN80" i="10"/>
  <c r="AM80" i="10"/>
  <c r="AR79" i="10"/>
  <c r="AN79" i="10"/>
  <c r="AM79" i="10"/>
  <c r="AR78" i="10"/>
  <c r="AN78" i="10"/>
  <c r="AO78" i="10" s="1"/>
  <c r="AM78" i="10"/>
  <c r="AR77" i="10"/>
  <c r="AN77" i="10"/>
  <c r="AM77" i="10"/>
  <c r="AN76" i="10"/>
  <c r="AM76" i="10"/>
  <c r="AR75" i="10"/>
  <c r="AN75" i="10"/>
  <c r="AM75" i="10"/>
  <c r="AR74" i="10"/>
  <c r="AN74" i="10"/>
  <c r="AM74" i="10"/>
  <c r="AR73" i="10"/>
  <c r="AN73" i="10"/>
  <c r="AM73" i="10"/>
  <c r="AR72" i="10"/>
  <c r="AN72" i="10"/>
  <c r="AM72" i="10"/>
  <c r="AR71" i="10"/>
  <c r="AN71" i="10"/>
  <c r="AM71" i="10"/>
  <c r="AR70" i="10"/>
  <c r="AN70" i="10"/>
  <c r="AM70" i="10"/>
  <c r="AR69" i="10"/>
  <c r="AN69" i="10"/>
  <c r="AM69" i="10"/>
  <c r="AR68" i="10"/>
  <c r="AN68" i="10"/>
  <c r="AM68" i="10"/>
  <c r="AR67" i="10"/>
  <c r="AN67" i="10"/>
  <c r="AM67" i="10"/>
  <c r="AR66" i="10"/>
  <c r="AN66" i="10"/>
  <c r="AM66" i="10"/>
  <c r="AQ60" i="10"/>
  <c r="AT60" i="10" s="1"/>
  <c r="AP60" i="10"/>
  <c r="AS60" i="10" s="1"/>
  <c r="AR59" i="10"/>
  <c r="AN59" i="10"/>
  <c r="AM59" i="10"/>
  <c r="AQ58" i="10"/>
  <c r="AP58" i="10"/>
  <c r="AN57" i="10"/>
  <c r="AM57" i="10"/>
  <c r="AR56" i="10"/>
  <c r="AN56" i="10"/>
  <c r="AM56" i="10"/>
  <c r="AN55" i="10"/>
  <c r="AM55" i="10"/>
  <c r="AR54" i="10"/>
  <c r="AN54" i="10"/>
  <c r="AM54" i="10"/>
  <c r="AN53" i="10"/>
  <c r="AM53" i="10"/>
  <c r="AR52" i="10"/>
  <c r="AN52" i="10"/>
  <c r="AM52" i="10"/>
  <c r="AR51" i="10"/>
  <c r="AN51" i="10"/>
  <c r="AM51" i="10"/>
  <c r="AR50" i="10"/>
  <c r="AN50" i="10"/>
  <c r="AM50" i="10"/>
  <c r="AR49" i="10"/>
  <c r="AN49" i="10"/>
  <c r="AM49" i="10"/>
  <c r="AR48" i="10"/>
  <c r="AN48" i="10"/>
  <c r="AM48" i="10"/>
  <c r="AQ47" i="10"/>
  <c r="AP47" i="10"/>
  <c r="AN46" i="10"/>
  <c r="AM46" i="10"/>
  <c r="AN45" i="10"/>
  <c r="AM45" i="10"/>
  <c r="AR44" i="10"/>
  <c r="AN44" i="10"/>
  <c r="AM44" i="10"/>
  <c r="AR43" i="10"/>
  <c r="AN43" i="10"/>
  <c r="AM43" i="10"/>
  <c r="AR42" i="10"/>
  <c r="AN42" i="10"/>
  <c r="AO42" i="10" s="1"/>
  <c r="AM42" i="10"/>
  <c r="AR41" i="10"/>
  <c r="AN41" i="10"/>
  <c r="AM41" i="10"/>
  <c r="AR40" i="10"/>
  <c r="AN40" i="10"/>
  <c r="AM40" i="10"/>
  <c r="AR39" i="10"/>
  <c r="AN39" i="10"/>
  <c r="AM39" i="10"/>
  <c r="AR38" i="10"/>
  <c r="AN38" i="10"/>
  <c r="AO38" i="10" s="1"/>
  <c r="AM38" i="10"/>
  <c r="AR37" i="10"/>
  <c r="AN37" i="10"/>
  <c r="AM37" i="10"/>
  <c r="AR36" i="10"/>
  <c r="AN36" i="10"/>
  <c r="AM36" i="10"/>
  <c r="AR35" i="10"/>
  <c r="AN35" i="10"/>
  <c r="AM35" i="10"/>
  <c r="AR34" i="10"/>
  <c r="AN34" i="10"/>
  <c r="AO34" i="10" s="1"/>
  <c r="AM34" i="10"/>
  <c r="AR33" i="10"/>
  <c r="AN33" i="10"/>
  <c r="AM33" i="10"/>
  <c r="AR32" i="10"/>
  <c r="AN32" i="10"/>
  <c r="AO32" i="10" s="1"/>
  <c r="AM32" i="10"/>
  <c r="AR31" i="10"/>
  <c r="AN31" i="10"/>
  <c r="AM31" i="10"/>
  <c r="AR30" i="10"/>
  <c r="AN30" i="10"/>
  <c r="AO30" i="10" s="1"/>
  <c r="AM30" i="10"/>
  <c r="AR29" i="10"/>
  <c r="AN29" i="10"/>
  <c r="AM29" i="10"/>
  <c r="AR28" i="10"/>
  <c r="AN28" i="10"/>
  <c r="AM28" i="10"/>
  <c r="AQ27" i="10"/>
  <c r="AP27" i="10"/>
  <c r="AN26" i="10"/>
  <c r="AM26" i="10"/>
  <c r="AR25" i="10"/>
  <c r="AN25" i="10"/>
  <c r="AM25" i="10"/>
  <c r="AN24" i="10"/>
  <c r="AM24" i="10"/>
  <c r="AR23" i="10"/>
  <c r="AN23" i="10"/>
  <c r="AM23" i="10"/>
  <c r="AR22" i="10"/>
  <c r="AN22" i="10"/>
  <c r="AM22" i="10"/>
  <c r="AR21" i="10"/>
  <c r="AN21" i="10"/>
  <c r="AM21" i="10"/>
  <c r="AR20" i="10"/>
  <c r="AN20" i="10"/>
  <c r="AM20" i="10"/>
  <c r="AR19" i="10"/>
  <c r="AN19" i="10"/>
  <c r="AM19" i="10"/>
  <c r="AR18" i="10"/>
  <c r="AN18" i="10"/>
  <c r="AM18" i="10"/>
  <c r="AR17" i="10"/>
  <c r="AN17" i="10"/>
  <c r="AM17" i="10"/>
  <c r="AR16" i="10"/>
  <c r="AN16" i="10"/>
  <c r="AM16" i="10"/>
  <c r="AR15" i="10"/>
  <c r="AN15" i="10"/>
  <c r="AM15" i="10"/>
  <c r="AR14" i="10"/>
  <c r="AN14" i="10"/>
  <c r="AM14" i="10"/>
  <c r="AR13" i="10"/>
  <c r="AN13" i="10"/>
  <c r="AM13" i="10"/>
  <c r="AR12" i="10"/>
  <c r="AN12" i="10"/>
  <c r="AM12" i="10"/>
  <c r="AQ11" i="10"/>
  <c r="AP11" i="10"/>
  <c r="AN10" i="10"/>
  <c r="AM10" i="10"/>
  <c r="AR9" i="10"/>
  <c r="AN9" i="10"/>
  <c r="AM9" i="10"/>
  <c r="AN8" i="10"/>
  <c r="AM8" i="10"/>
  <c r="AN7" i="10"/>
  <c r="AO7" i="10" s="1"/>
  <c r="AM7" i="10"/>
  <c r="AR6" i="10"/>
  <c r="AN6" i="10"/>
  <c r="AM6" i="10"/>
  <c r="AR5" i="10"/>
  <c r="AN5" i="10"/>
  <c r="AM5" i="10"/>
  <c r="AQ49" i="9"/>
  <c r="AM49" i="9"/>
  <c r="AL49" i="9"/>
  <c r="AP48" i="9"/>
  <c r="AO48" i="9"/>
  <c r="AM47" i="9"/>
  <c r="AL47" i="9"/>
  <c r="AM46" i="9"/>
  <c r="AL46" i="9"/>
  <c r="AM45" i="9"/>
  <c r="AL45" i="9"/>
  <c r="AM44" i="9"/>
  <c r="AL44" i="9"/>
  <c r="AM43" i="9"/>
  <c r="AL43" i="9"/>
  <c r="AM42" i="9"/>
  <c r="AL42" i="9"/>
  <c r="AM41" i="9"/>
  <c r="AL41" i="9"/>
  <c r="AQ40" i="9"/>
  <c r="AM40" i="9"/>
  <c r="AL40" i="9"/>
  <c r="AQ39" i="9"/>
  <c r="AM39" i="9"/>
  <c r="AL39" i="9"/>
  <c r="AQ38" i="9"/>
  <c r="AM38" i="9"/>
  <c r="AL38" i="9"/>
  <c r="AQ37" i="9"/>
  <c r="AM37" i="9"/>
  <c r="AL37" i="9"/>
  <c r="AQ36" i="9"/>
  <c r="AM36" i="9"/>
  <c r="AL36" i="9"/>
  <c r="AQ35" i="9"/>
  <c r="AM35" i="9"/>
  <c r="AL35" i="9"/>
  <c r="AQ34" i="9"/>
  <c r="AM34" i="9"/>
  <c r="AL34" i="9"/>
  <c r="AQ33" i="9"/>
  <c r="AM33" i="9"/>
  <c r="AL33" i="9"/>
  <c r="AP32" i="9"/>
  <c r="AO32" i="9"/>
  <c r="AM31" i="9"/>
  <c r="AL31" i="9"/>
  <c r="AQ30" i="9"/>
  <c r="AM30" i="9"/>
  <c r="AN30" i="9" s="1"/>
  <c r="AL30" i="9"/>
  <c r="AQ29" i="9"/>
  <c r="AM29" i="9"/>
  <c r="AL29" i="9"/>
  <c r="AQ28" i="9"/>
  <c r="AM28" i="9"/>
  <c r="AL28" i="9"/>
  <c r="AQ27" i="9"/>
  <c r="AM27" i="9"/>
  <c r="AL27" i="9"/>
  <c r="AQ26" i="9"/>
  <c r="AM26" i="9"/>
  <c r="AL26" i="9"/>
  <c r="AQ25" i="9"/>
  <c r="AM25" i="9"/>
  <c r="AL25" i="9"/>
  <c r="AQ24" i="9"/>
  <c r="AM24" i="9"/>
  <c r="AN24" i="9" s="1"/>
  <c r="AL24" i="9"/>
  <c r="AQ23" i="9"/>
  <c r="AM23" i="9"/>
  <c r="AL23" i="9"/>
  <c r="AQ22" i="9"/>
  <c r="AM22" i="9"/>
  <c r="AL22" i="9"/>
  <c r="AQ21" i="9"/>
  <c r="AM21" i="9"/>
  <c r="AL21" i="9"/>
  <c r="AN21" i="9" s="1"/>
  <c r="AQ20" i="9"/>
  <c r="AM20" i="9"/>
  <c r="AL20" i="9"/>
  <c r="AQ19" i="9"/>
  <c r="AM19" i="9"/>
  <c r="AL19" i="9"/>
  <c r="AN19" i="9" s="1"/>
  <c r="AM18" i="9"/>
  <c r="AL18" i="9"/>
  <c r="AQ17" i="9"/>
  <c r="AM17" i="9"/>
  <c r="AL17" i="9"/>
  <c r="AQ16" i="9"/>
  <c r="AM16" i="9"/>
  <c r="AL16" i="9"/>
  <c r="AQ15" i="9"/>
  <c r="AM15" i="9"/>
  <c r="AN15" i="9" s="1"/>
  <c r="AL15" i="9"/>
  <c r="AQ14" i="9"/>
  <c r="AM14" i="9"/>
  <c r="AL14" i="9"/>
  <c r="AQ13" i="9"/>
  <c r="AM13" i="9"/>
  <c r="AL13" i="9"/>
  <c r="AQ12" i="9"/>
  <c r="AM12" i="9"/>
  <c r="AL12" i="9"/>
  <c r="AQ11" i="9"/>
  <c r="AM11" i="9"/>
  <c r="AN11" i="9" s="1"/>
  <c r="AL11" i="9"/>
  <c r="AQ10" i="9"/>
  <c r="AM10" i="9"/>
  <c r="AL10" i="9"/>
  <c r="AQ9" i="9"/>
  <c r="AM9" i="9"/>
  <c r="AL9" i="9"/>
  <c r="AQ8" i="9"/>
  <c r="AM8" i="9"/>
  <c r="AL8" i="9"/>
  <c r="AQ7" i="9"/>
  <c r="AM7" i="9"/>
  <c r="AN7" i="9" s="1"/>
  <c r="AL7" i="9"/>
  <c r="AQ6" i="9"/>
  <c r="AM6" i="9"/>
  <c r="AL6" i="9"/>
  <c r="AQ5" i="9"/>
  <c r="AM5" i="9"/>
  <c r="AL5" i="9"/>
  <c r="AQ98" i="8"/>
  <c r="AP98" i="8"/>
  <c r="AR97" i="8"/>
  <c r="AN97" i="8"/>
  <c r="AM97" i="8"/>
  <c r="AQ96" i="8"/>
  <c r="AP96" i="8"/>
  <c r="AN95" i="8"/>
  <c r="AM95" i="8"/>
  <c r="AN94" i="8"/>
  <c r="AM94" i="8"/>
  <c r="AN93" i="8"/>
  <c r="AM93" i="8"/>
  <c r="AN92" i="8"/>
  <c r="AM92" i="8"/>
  <c r="AN91" i="8"/>
  <c r="AM91" i="8"/>
  <c r="AN90" i="8"/>
  <c r="AM90" i="8"/>
  <c r="AN89" i="8"/>
  <c r="AM89" i="8"/>
  <c r="AR88" i="8"/>
  <c r="AN88" i="8"/>
  <c r="AM88" i="8"/>
  <c r="AR87" i="8"/>
  <c r="AN87" i="8"/>
  <c r="AM87" i="8"/>
  <c r="AR86" i="8"/>
  <c r="AN86" i="8"/>
  <c r="AO86" i="8" s="1"/>
  <c r="AM86" i="8"/>
  <c r="AR85" i="8"/>
  <c r="AN85" i="8"/>
  <c r="AM85" i="8"/>
  <c r="AR84" i="8"/>
  <c r="AN84" i="8"/>
  <c r="AM84" i="8"/>
  <c r="AR83" i="8"/>
  <c r="AN83" i="8"/>
  <c r="AM83" i="8"/>
  <c r="AR82" i="8"/>
  <c r="AN82" i="8"/>
  <c r="AM82" i="8"/>
  <c r="AR81" i="8"/>
  <c r="AN81" i="8"/>
  <c r="AM81" i="8"/>
  <c r="AR80" i="8"/>
  <c r="AN80" i="8"/>
  <c r="AM80" i="8"/>
  <c r="AR79" i="8"/>
  <c r="AN79" i="8"/>
  <c r="AM79" i="8"/>
  <c r="AR78" i="8"/>
  <c r="AN78" i="8"/>
  <c r="AO78" i="8" s="1"/>
  <c r="AM78" i="8"/>
  <c r="AR77" i="8"/>
  <c r="AN77" i="8"/>
  <c r="AM77" i="8"/>
  <c r="AR76" i="8"/>
  <c r="AN76" i="8"/>
  <c r="AM76" i="8"/>
  <c r="AR75" i="8"/>
  <c r="AN75" i="8"/>
  <c r="AM75" i="8"/>
  <c r="AR74" i="8"/>
  <c r="AN74" i="8"/>
  <c r="AM74" i="8"/>
  <c r="AR73" i="8"/>
  <c r="AN73" i="8"/>
  <c r="AM73" i="8"/>
  <c r="AR72" i="8"/>
  <c r="AN72" i="8"/>
  <c r="AM72" i="8"/>
  <c r="AR71" i="8"/>
  <c r="AN71" i="8"/>
  <c r="AM71" i="8"/>
  <c r="AM98" i="8" s="1"/>
  <c r="AQ70" i="8"/>
  <c r="AP70" i="8"/>
  <c r="AN69" i="8"/>
  <c r="AM69" i="8"/>
  <c r="AN68" i="8"/>
  <c r="AM68" i="8"/>
  <c r="AN67" i="8"/>
  <c r="AM67" i="8"/>
  <c r="AN66" i="8"/>
  <c r="AM66" i="8"/>
  <c r="AN65" i="8"/>
  <c r="AM65" i="8"/>
  <c r="AN64" i="8"/>
  <c r="AM64" i="8"/>
  <c r="AN63" i="8"/>
  <c r="AM63" i="8"/>
  <c r="AN62" i="8"/>
  <c r="AM62" i="8"/>
  <c r="AN61" i="8"/>
  <c r="AM61" i="8"/>
  <c r="AR60" i="8"/>
  <c r="AN60" i="8"/>
  <c r="AM60" i="8"/>
  <c r="AR59" i="8"/>
  <c r="AN59" i="8"/>
  <c r="AM59" i="8"/>
  <c r="AN58" i="8"/>
  <c r="AM58" i="8"/>
  <c r="AR57" i="8"/>
  <c r="AN57" i="8"/>
  <c r="AM57" i="8"/>
  <c r="AR56" i="8"/>
  <c r="AN56" i="8"/>
  <c r="AM56" i="8"/>
  <c r="AR55" i="8"/>
  <c r="AN55" i="8"/>
  <c r="AM55" i="8"/>
  <c r="AR54" i="8"/>
  <c r="AN54" i="8"/>
  <c r="AM54" i="8"/>
  <c r="AR53" i="8"/>
  <c r="AN53" i="8"/>
  <c r="AM53" i="8"/>
  <c r="AR52" i="8"/>
  <c r="AN52" i="8"/>
  <c r="AM52" i="8"/>
  <c r="AR51" i="8"/>
  <c r="AN51" i="8"/>
  <c r="AM51" i="8"/>
  <c r="AR50" i="8"/>
  <c r="AN50" i="8"/>
  <c r="AM50" i="8"/>
  <c r="AQ49" i="8"/>
  <c r="AP49" i="8"/>
  <c r="AR48" i="8"/>
  <c r="AN48" i="8"/>
  <c r="AM48" i="8"/>
  <c r="AQ47" i="8"/>
  <c r="AP47" i="8"/>
  <c r="AN46" i="8"/>
  <c r="AM46" i="8"/>
  <c r="AN45" i="8"/>
  <c r="AM45" i="8"/>
  <c r="AN44" i="8"/>
  <c r="AM44" i="8"/>
  <c r="AN43" i="8"/>
  <c r="AM43" i="8"/>
  <c r="AN42" i="8"/>
  <c r="AM42" i="8"/>
  <c r="AN41" i="8"/>
  <c r="AM41" i="8"/>
  <c r="AN40" i="8"/>
  <c r="AM40" i="8"/>
  <c r="AR39" i="8"/>
  <c r="AN39" i="8"/>
  <c r="AM39" i="8"/>
  <c r="AN38" i="8"/>
  <c r="AM38" i="8"/>
  <c r="AR37" i="8"/>
  <c r="AN37" i="8"/>
  <c r="AM37" i="8"/>
  <c r="AR36" i="8"/>
  <c r="AN36" i="8"/>
  <c r="AM36" i="8"/>
  <c r="AR35" i="8"/>
  <c r="AN35" i="8"/>
  <c r="AM35" i="8"/>
  <c r="AR34" i="8"/>
  <c r="AN34" i="8"/>
  <c r="AM34" i="8"/>
  <c r="AR33" i="8"/>
  <c r="AN33" i="8"/>
  <c r="AM33" i="8"/>
  <c r="AR32" i="8"/>
  <c r="AN32" i="8"/>
  <c r="AM32" i="8"/>
  <c r="AR31" i="8"/>
  <c r="AN31" i="8"/>
  <c r="AM31" i="8"/>
  <c r="AR30" i="8"/>
  <c r="AN30" i="8"/>
  <c r="AM30" i="8"/>
  <c r="AR29" i="8"/>
  <c r="AN29" i="8"/>
  <c r="AM29" i="8"/>
  <c r="AQ28" i="8"/>
  <c r="AP28" i="8"/>
  <c r="AN27" i="8"/>
  <c r="AM27" i="8"/>
  <c r="AN26" i="8"/>
  <c r="AM26" i="8"/>
  <c r="AN25" i="8"/>
  <c r="AM25" i="8"/>
  <c r="AN24" i="8"/>
  <c r="AM24" i="8"/>
  <c r="AN23" i="8"/>
  <c r="AM23" i="8"/>
  <c r="AN22" i="8"/>
  <c r="AM22" i="8"/>
  <c r="AN21" i="8"/>
  <c r="AM21" i="8"/>
  <c r="AN20" i="8"/>
  <c r="AM20" i="8"/>
  <c r="AR19" i="8"/>
  <c r="AN19" i="8"/>
  <c r="AM19" i="8"/>
  <c r="AN18" i="8"/>
  <c r="AM18" i="8"/>
  <c r="AR17" i="8"/>
  <c r="AN17" i="8"/>
  <c r="AM17" i="8"/>
  <c r="AR16" i="8"/>
  <c r="AN16" i="8"/>
  <c r="AM16" i="8"/>
  <c r="AR15" i="8"/>
  <c r="AN15" i="8"/>
  <c r="AM15" i="8"/>
  <c r="AR14" i="8"/>
  <c r="AN14" i="8"/>
  <c r="AM14" i="8"/>
  <c r="AR13" i="8"/>
  <c r="AN13" i="8"/>
  <c r="AM13" i="8"/>
  <c r="AR12" i="8"/>
  <c r="AN12" i="8"/>
  <c r="AM12" i="8"/>
  <c r="AR11" i="8"/>
  <c r="AN11" i="8"/>
  <c r="AM11" i="8"/>
  <c r="AR10" i="8"/>
  <c r="AN10" i="8"/>
  <c r="AM10" i="8"/>
  <c r="AR9" i="8"/>
  <c r="AN9" i="8"/>
  <c r="AM9" i="8"/>
  <c r="AR8" i="8"/>
  <c r="AN8" i="8"/>
  <c r="AM8" i="8"/>
  <c r="AR7" i="8"/>
  <c r="AN7" i="8"/>
  <c r="AM7" i="8"/>
  <c r="AR6" i="8"/>
  <c r="AN6" i="8"/>
  <c r="AM6" i="8"/>
  <c r="AR40" i="2"/>
  <c r="AU40" i="2" s="1"/>
  <c r="AR39" i="2"/>
  <c r="AU39" i="2" s="1"/>
  <c r="AU60" i="2" s="1"/>
  <c r="AR10" i="2"/>
  <c r="AU10" i="2" s="1"/>
  <c r="AR9" i="2"/>
  <c r="AU9" i="2" s="1"/>
  <c r="AU30" i="2" s="1"/>
  <c r="AS106" i="2"/>
  <c r="AR106" i="2"/>
  <c r="AS105" i="2"/>
  <c r="AR105" i="2"/>
  <c r="AS104" i="2"/>
  <c r="AR104" i="2"/>
  <c r="AT103" i="2"/>
  <c r="AP103" i="2"/>
  <c r="AO103" i="2"/>
  <c r="AT102" i="2"/>
  <c r="AP102" i="2"/>
  <c r="AO102" i="2"/>
  <c r="AS101" i="2"/>
  <c r="AR101" i="2"/>
  <c r="AT100" i="2"/>
  <c r="AP100" i="2"/>
  <c r="AO100" i="2"/>
  <c r="AT99" i="2"/>
  <c r="AP99" i="2"/>
  <c r="AO99" i="2"/>
  <c r="AS97" i="2"/>
  <c r="AR97" i="2"/>
  <c r="AS96" i="2"/>
  <c r="AR96" i="2"/>
  <c r="AS95" i="2"/>
  <c r="AR95" i="2"/>
  <c r="AT94" i="2"/>
  <c r="AP94" i="2"/>
  <c r="AO94" i="2"/>
  <c r="AO97" i="2" s="1"/>
  <c r="AT93" i="2"/>
  <c r="AP93" i="2"/>
  <c r="AO93" i="2"/>
  <c r="AO96" i="2" s="1"/>
  <c r="AS92" i="2"/>
  <c r="AR92" i="2"/>
  <c r="AT91" i="2"/>
  <c r="AP91" i="2"/>
  <c r="AO91" i="2"/>
  <c r="AT90" i="2"/>
  <c r="AP90" i="2"/>
  <c r="AO90" i="2"/>
  <c r="AS88" i="2"/>
  <c r="AR88" i="2"/>
  <c r="AS87" i="2"/>
  <c r="AR87" i="2"/>
  <c r="AS86" i="2"/>
  <c r="AR86" i="2"/>
  <c r="AT85" i="2"/>
  <c r="AP85" i="2"/>
  <c r="AP88" i="2" s="1"/>
  <c r="AO85" i="2"/>
  <c r="AT84" i="2"/>
  <c r="AP84" i="2"/>
  <c r="AO84" i="2"/>
  <c r="AO87" i="2" s="1"/>
  <c r="AS83" i="2"/>
  <c r="AR83" i="2"/>
  <c r="AT82" i="2"/>
  <c r="AP82" i="2"/>
  <c r="AO82" i="2"/>
  <c r="AT81" i="2"/>
  <c r="AP81" i="2"/>
  <c r="AO81" i="2"/>
  <c r="AS79" i="2"/>
  <c r="AR79" i="2"/>
  <c r="AS78" i="2"/>
  <c r="AR78" i="2"/>
  <c r="AS77" i="2"/>
  <c r="AR77" i="2"/>
  <c r="AT76" i="2"/>
  <c r="AP76" i="2"/>
  <c r="AO76" i="2"/>
  <c r="AO79" i="2" s="1"/>
  <c r="AT75" i="2"/>
  <c r="AP75" i="2"/>
  <c r="AO75" i="2"/>
  <c r="AS74" i="2"/>
  <c r="AR74" i="2"/>
  <c r="AT73" i="2"/>
  <c r="AP73" i="2"/>
  <c r="AO73" i="2"/>
  <c r="AT72" i="2"/>
  <c r="AP72" i="2"/>
  <c r="AO72" i="2"/>
  <c r="AS70" i="2"/>
  <c r="AR70" i="2"/>
  <c r="AS69" i="2"/>
  <c r="AR69" i="2"/>
  <c r="AS68" i="2"/>
  <c r="AR68" i="2"/>
  <c r="AT67" i="2"/>
  <c r="AP67" i="2"/>
  <c r="AP70" i="2" s="1"/>
  <c r="AO67" i="2"/>
  <c r="AO70" i="2" s="1"/>
  <c r="AT66" i="2"/>
  <c r="AP66" i="2"/>
  <c r="AO66" i="2"/>
  <c r="AS65" i="2"/>
  <c r="AR65" i="2"/>
  <c r="AT64" i="2"/>
  <c r="AP64" i="2"/>
  <c r="AO64" i="2"/>
  <c r="AT63" i="2"/>
  <c r="AP63" i="2"/>
  <c r="AO63" i="2"/>
  <c r="AS59" i="2"/>
  <c r="AR59" i="2"/>
  <c r="AT58" i="2"/>
  <c r="AP58" i="2"/>
  <c r="AQ58" i="2" s="1"/>
  <c r="AO58" i="2"/>
  <c r="AT57" i="2"/>
  <c r="AP57" i="2"/>
  <c r="AO57" i="2"/>
  <c r="AS56" i="2"/>
  <c r="AR56" i="2"/>
  <c r="AT55" i="2"/>
  <c r="AP55" i="2"/>
  <c r="AO55" i="2"/>
  <c r="AT54" i="2"/>
  <c r="AP54" i="2"/>
  <c r="AO54" i="2"/>
  <c r="AS53" i="2"/>
  <c r="AR53" i="2"/>
  <c r="AT52" i="2"/>
  <c r="AP52" i="2"/>
  <c r="AO52" i="2"/>
  <c r="AT51" i="2"/>
  <c r="AP51" i="2"/>
  <c r="AO51" i="2"/>
  <c r="AS50" i="2"/>
  <c r="AR50" i="2"/>
  <c r="AT49" i="2"/>
  <c r="AP49" i="2"/>
  <c r="AO49" i="2"/>
  <c r="AT48" i="2"/>
  <c r="AP48" i="2"/>
  <c r="AO48" i="2"/>
  <c r="AS47" i="2"/>
  <c r="AR47" i="2"/>
  <c r="AT46" i="2"/>
  <c r="AP46" i="2"/>
  <c r="AO46" i="2"/>
  <c r="AT45" i="2"/>
  <c r="AP45" i="2"/>
  <c r="AO45" i="2"/>
  <c r="AS44" i="2"/>
  <c r="AR44" i="2"/>
  <c r="AT43" i="2"/>
  <c r="AP43" i="2"/>
  <c r="AO43" i="2"/>
  <c r="AT42" i="2"/>
  <c r="AP42" i="2"/>
  <c r="AO42" i="2"/>
  <c r="AS61" i="2"/>
  <c r="AS60" i="2"/>
  <c r="AS38" i="2"/>
  <c r="AR38" i="2"/>
  <c r="AT37" i="2"/>
  <c r="AP37" i="2"/>
  <c r="AO37" i="2"/>
  <c r="AT36" i="2"/>
  <c r="AP36" i="2"/>
  <c r="AO36" i="2"/>
  <c r="AS35" i="2"/>
  <c r="AR35" i="2"/>
  <c r="AT34" i="2"/>
  <c r="AP34" i="2"/>
  <c r="AO34" i="2"/>
  <c r="AT33" i="2"/>
  <c r="AP33" i="2"/>
  <c r="AO33" i="2"/>
  <c r="AS29" i="2"/>
  <c r="AR29" i="2"/>
  <c r="AT28" i="2"/>
  <c r="AP28" i="2"/>
  <c r="AO28" i="2"/>
  <c r="AT27" i="2"/>
  <c r="AP27" i="2"/>
  <c r="AO27" i="2"/>
  <c r="AS26" i="2"/>
  <c r="AR26" i="2"/>
  <c r="AT25" i="2"/>
  <c r="AP25" i="2"/>
  <c r="AO25" i="2"/>
  <c r="AT24" i="2"/>
  <c r="AP24" i="2"/>
  <c r="AO24" i="2"/>
  <c r="AS23" i="2"/>
  <c r="AR23" i="2"/>
  <c r="AT22" i="2"/>
  <c r="AP22" i="2"/>
  <c r="AO22" i="2"/>
  <c r="AT21" i="2"/>
  <c r="AP21" i="2"/>
  <c r="AO21" i="2"/>
  <c r="AS20" i="2"/>
  <c r="AR20" i="2"/>
  <c r="AT19" i="2"/>
  <c r="AP19" i="2"/>
  <c r="AO19" i="2"/>
  <c r="AT18" i="2"/>
  <c r="AP18" i="2"/>
  <c r="AO18" i="2"/>
  <c r="AS17" i="2"/>
  <c r="AR17" i="2"/>
  <c r="AT16" i="2"/>
  <c r="AP16" i="2"/>
  <c r="AO16" i="2"/>
  <c r="AT15" i="2"/>
  <c r="AP15" i="2"/>
  <c r="AO15" i="2"/>
  <c r="AS14" i="2"/>
  <c r="AR14" i="2"/>
  <c r="AT13" i="2"/>
  <c r="AP13" i="2"/>
  <c r="AO13" i="2"/>
  <c r="AT12" i="2"/>
  <c r="AP12" i="2"/>
  <c r="AO12" i="2"/>
  <c r="AS31" i="2"/>
  <c r="AS30" i="2"/>
  <c r="AS8" i="2"/>
  <c r="AR8" i="2"/>
  <c r="AT7" i="2"/>
  <c r="AP7" i="2"/>
  <c r="AO7" i="2"/>
  <c r="AT6" i="2"/>
  <c r="AP6" i="2"/>
  <c r="AO6" i="2"/>
  <c r="AR105" i="1"/>
  <c r="AR106" i="1"/>
  <c r="AR107" i="1" s="1"/>
  <c r="AR40" i="1"/>
  <c r="AU40" i="1" s="1"/>
  <c r="AR39" i="1"/>
  <c r="AU39" i="1" s="1"/>
  <c r="AU60" i="1" s="1"/>
  <c r="AR10" i="1"/>
  <c r="AU10" i="1" s="1"/>
  <c r="AR9" i="1"/>
  <c r="AU9" i="1" s="1"/>
  <c r="AU30" i="1" s="1"/>
  <c r="AS106" i="1"/>
  <c r="AS105" i="1"/>
  <c r="AS104" i="1"/>
  <c r="AR104" i="1"/>
  <c r="AT103" i="1"/>
  <c r="AP103" i="1"/>
  <c r="AO103" i="1"/>
  <c r="AT102" i="1"/>
  <c r="AP102" i="1"/>
  <c r="AO102" i="1"/>
  <c r="AS101" i="1"/>
  <c r="AR101" i="1"/>
  <c r="AT100" i="1"/>
  <c r="AP100" i="1"/>
  <c r="AO100" i="1"/>
  <c r="AT99" i="1"/>
  <c r="AP99" i="1"/>
  <c r="AO99" i="1"/>
  <c r="AS97" i="1"/>
  <c r="AR97" i="1"/>
  <c r="AS96" i="1"/>
  <c r="AR96" i="1"/>
  <c r="AS95" i="1"/>
  <c r="AR95" i="1"/>
  <c r="AT94" i="1"/>
  <c r="AP94" i="1"/>
  <c r="AO94" i="1"/>
  <c r="AO97" i="1" s="1"/>
  <c r="AT93" i="1"/>
  <c r="AP93" i="1"/>
  <c r="AO93" i="1"/>
  <c r="AO96" i="1" s="1"/>
  <c r="AS92" i="1"/>
  <c r="AR92" i="1"/>
  <c r="AT91" i="1"/>
  <c r="AP91" i="1"/>
  <c r="AO91" i="1"/>
  <c r="AT90" i="1"/>
  <c r="AP90" i="1"/>
  <c r="AO90" i="1"/>
  <c r="AS88" i="1"/>
  <c r="AR88" i="1"/>
  <c r="AS87" i="1"/>
  <c r="AR87" i="1"/>
  <c r="AS86" i="1"/>
  <c r="AR86" i="1"/>
  <c r="AT85" i="1"/>
  <c r="AP85" i="1"/>
  <c r="AP88" i="1" s="1"/>
  <c r="AO85" i="1"/>
  <c r="AO88" i="1" s="1"/>
  <c r="AT84" i="1"/>
  <c r="AP84" i="1"/>
  <c r="AP87" i="1" s="1"/>
  <c r="AO84" i="1"/>
  <c r="AO87" i="1" s="1"/>
  <c r="AS83" i="1"/>
  <c r="AR83" i="1"/>
  <c r="AT82" i="1"/>
  <c r="AP82" i="1"/>
  <c r="AO82" i="1"/>
  <c r="AT81" i="1"/>
  <c r="AP81" i="1"/>
  <c r="AO81" i="1"/>
  <c r="AS79" i="1"/>
  <c r="AR79" i="1"/>
  <c r="AS78" i="1"/>
  <c r="AR78" i="1"/>
  <c r="AS77" i="1"/>
  <c r="AR77" i="1"/>
  <c r="AT76" i="1"/>
  <c r="AP76" i="1"/>
  <c r="AO76" i="1"/>
  <c r="AO79" i="1" s="1"/>
  <c r="AT75" i="1"/>
  <c r="AP75" i="1"/>
  <c r="AO75" i="1"/>
  <c r="AS74" i="1"/>
  <c r="AR74" i="1"/>
  <c r="AT73" i="1"/>
  <c r="AP73" i="1"/>
  <c r="AO73" i="1"/>
  <c r="AT72" i="1"/>
  <c r="AP72" i="1"/>
  <c r="AO72" i="1"/>
  <c r="AS70" i="1"/>
  <c r="AR70" i="1"/>
  <c r="AS69" i="1"/>
  <c r="AR69" i="1"/>
  <c r="AS68" i="1"/>
  <c r="AR68" i="1"/>
  <c r="AT67" i="1"/>
  <c r="AP67" i="1"/>
  <c r="AP70" i="1" s="1"/>
  <c r="AO67" i="1"/>
  <c r="AT66" i="1"/>
  <c r="AP66" i="1"/>
  <c r="AP69" i="1" s="1"/>
  <c r="AO66" i="1"/>
  <c r="AO69" i="1" s="1"/>
  <c r="AS65" i="1"/>
  <c r="AR65" i="1"/>
  <c r="AT64" i="1"/>
  <c r="AP64" i="1"/>
  <c r="AO64" i="1"/>
  <c r="AT63" i="1"/>
  <c r="AP63" i="1"/>
  <c r="AO63" i="1"/>
  <c r="AS59" i="1"/>
  <c r="AR59" i="1"/>
  <c r="AT58" i="1"/>
  <c r="AP58" i="1"/>
  <c r="AO58" i="1"/>
  <c r="AT57" i="1"/>
  <c r="AP57" i="1"/>
  <c r="AO57" i="1"/>
  <c r="AS56" i="1"/>
  <c r="AR56" i="1"/>
  <c r="AT55" i="1"/>
  <c r="AP55" i="1"/>
  <c r="AO55" i="1"/>
  <c r="AT54" i="1"/>
  <c r="AP54" i="1"/>
  <c r="AO54" i="1"/>
  <c r="AS53" i="1"/>
  <c r="AR53" i="1"/>
  <c r="AT52" i="1"/>
  <c r="AP52" i="1"/>
  <c r="AO52" i="1"/>
  <c r="AT51" i="1"/>
  <c r="AP51" i="1"/>
  <c r="AO51" i="1"/>
  <c r="AS50" i="1"/>
  <c r="AR50" i="1"/>
  <c r="AT49" i="1"/>
  <c r="AP49" i="1"/>
  <c r="AO49" i="1"/>
  <c r="AT48" i="1"/>
  <c r="AP48" i="1"/>
  <c r="AO48" i="1"/>
  <c r="AS47" i="1"/>
  <c r="AR47" i="1"/>
  <c r="AT46" i="1"/>
  <c r="AP46" i="1"/>
  <c r="AO46" i="1"/>
  <c r="AT45" i="1"/>
  <c r="AP45" i="1"/>
  <c r="AO45" i="1"/>
  <c r="AS44" i="1"/>
  <c r="AR44" i="1"/>
  <c r="AT43" i="1"/>
  <c r="AP43" i="1"/>
  <c r="AO43" i="1"/>
  <c r="AT42" i="1"/>
  <c r="AP42" i="1"/>
  <c r="AO42" i="1"/>
  <c r="AS61" i="1"/>
  <c r="AS60" i="1"/>
  <c r="AS38" i="1"/>
  <c r="AR38" i="1"/>
  <c r="AT37" i="1"/>
  <c r="AP37" i="1"/>
  <c r="AO37" i="1"/>
  <c r="AT36" i="1"/>
  <c r="AP36" i="1"/>
  <c r="AO36" i="1"/>
  <c r="AS35" i="1"/>
  <c r="AR35" i="1"/>
  <c r="AT34" i="1"/>
  <c r="AP34" i="1"/>
  <c r="AO34" i="1"/>
  <c r="AT33" i="1"/>
  <c r="AP33" i="1"/>
  <c r="AO33" i="1"/>
  <c r="AS29" i="1"/>
  <c r="AR29" i="1"/>
  <c r="AT28" i="1"/>
  <c r="AP28" i="1"/>
  <c r="AO28" i="1"/>
  <c r="AT27" i="1"/>
  <c r="AP27" i="1"/>
  <c r="AO27" i="1"/>
  <c r="AS26" i="1"/>
  <c r="AR26" i="1"/>
  <c r="AT25" i="1"/>
  <c r="AP25" i="1"/>
  <c r="AO25" i="1"/>
  <c r="AT24" i="1"/>
  <c r="AP24" i="1"/>
  <c r="AO24" i="1"/>
  <c r="AS23" i="1"/>
  <c r="AR23" i="1"/>
  <c r="AT22" i="1"/>
  <c r="AP22" i="1"/>
  <c r="AO22" i="1"/>
  <c r="AT21" i="1"/>
  <c r="AP21" i="1"/>
  <c r="AO21" i="1"/>
  <c r="AS20" i="1"/>
  <c r="AR20" i="1"/>
  <c r="AT19" i="1"/>
  <c r="AP19" i="1"/>
  <c r="AO19" i="1"/>
  <c r="AT18" i="1"/>
  <c r="AP18" i="1"/>
  <c r="AO18" i="1"/>
  <c r="AS17" i="1"/>
  <c r="AR17" i="1"/>
  <c r="AT16" i="1"/>
  <c r="AP16" i="1"/>
  <c r="AO16" i="1"/>
  <c r="AT15" i="1"/>
  <c r="AP15" i="1"/>
  <c r="AO15" i="1"/>
  <c r="AS14" i="1"/>
  <c r="AR14" i="1"/>
  <c r="AT13" i="1"/>
  <c r="AP13" i="1"/>
  <c r="AO13" i="1"/>
  <c r="AT12" i="1"/>
  <c r="AP12" i="1"/>
  <c r="AO12" i="1"/>
  <c r="AS31" i="1"/>
  <c r="AS30" i="1"/>
  <c r="AS8" i="1"/>
  <c r="AR8" i="1"/>
  <c r="AT7" i="1"/>
  <c r="AP7" i="1"/>
  <c r="AO7" i="1"/>
  <c r="AT6" i="1"/>
  <c r="AP6" i="1"/>
  <c r="AO6" i="1"/>
  <c r="AQ55" i="13"/>
  <c r="AT55" i="13" s="1"/>
  <c r="AP55" i="13"/>
  <c r="AS55" i="13" s="1"/>
  <c r="AQ54" i="13"/>
  <c r="AT54" i="13" s="1"/>
  <c r="AP54" i="13"/>
  <c r="AS54" i="13" s="1"/>
  <c r="AQ52" i="13"/>
  <c r="AT52" i="13" s="1"/>
  <c r="AP52" i="13"/>
  <c r="AS52" i="13" s="1"/>
  <c r="AQ51" i="13"/>
  <c r="AT51" i="13" s="1"/>
  <c r="AP51" i="13"/>
  <c r="AS51" i="13" s="1"/>
  <c r="AQ49" i="13"/>
  <c r="AT49" i="13" s="1"/>
  <c r="AP49" i="13"/>
  <c r="AS49" i="13" s="1"/>
  <c r="AQ48" i="13"/>
  <c r="AT48" i="13" s="1"/>
  <c r="AP48" i="13"/>
  <c r="AS48" i="13" s="1"/>
  <c r="AQ46" i="13"/>
  <c r="AT46" i="13" s="1"/>
  <c r="AP46" i="13"/>
  <c r="AS46" i="13" s="1"/>
  <c r="AQ45" i="13"/>
  <c r="AT45" i="13" s="1"/>
  <c r="AP45" i="13"/>
  <c r="AS45" i="13" s="1"/>
  <c r="AQ43" i="13"/>
  <c r="AT43" i="13" s="1"/>
  <c r="AP43" i="13"/>
  <c r="AS43" i="13" s="1"/>
  <c r="AQ42" i="13"/>
  <c r="AT42" i="13" s="1"/>
  <c r="AP42" i="13"/>
  <c r="AS42" i="13" s="1"/>
  <c r="AQ40" i="13"/>
  <c r="AT40" i="13" s="1"/>
  <c r="AP40" i="13"/>
  <c r="AS40" i="13" s="1"/>
  <c r="AQ39" i="13"/>
  <c r="AT39" i="13" s="1"/>
  <c r="AP39" i="13"/>
  <c r="AS39" i="13" s="1"/>
  <c r="AQ37" i="13"/>
  <c r="AT37" i="13" s="1"/>
  <c r="AP37" i="13"/>
  <c r="AS37" i="13" s="1"/>
  <c r="AQ36" i="13"/>
  <c r="AT36" i="13" s="1"/>
  <c r="AP36" i="13"/>
  <c r="AS36" i="13" s="1"/>
  <c r="AQ25" i="13"/>
  <c r="AT25" i="13" s="1"/>
  <c r="AP25" i="13"/>
  <c r="AS25" i="13" s="1"/>
  <c r="AQ24" i="13"/>
  <c r="AT24" i="13" s="1"/>
  <c r="AP24" i="13"/>
  <c r="AS24" i="13" s="1"/>
  <c r="AQ22" i="13"/>
  <c r="AT22" i="13" s="1"/>
  <c r="AP22" i="13"/>
  <c r="AS22" i="13" s="1"/>
  <c r="AQ21" i="13"/>
  <c r="AT21" i="13" s="1"/>
  <c r="AP21" i="13"/>
  <c r="AS21" i="13" s="1"/>
  <c r="AQ19" i="13"/>
  <c r="AT19" i="13" s="1"/>
  <c r="AP19" i="13"/>
  <c r="AS19" i="13" s="1"/>
  <c r="AQ18" i="13"/>
  <c r="AT18" i="13" s="1"/>
  <c r="AP18" i="13"/>
  <c r="AS18" i="13" s="1"/>
  <c r="AQ16" i="13"/>
  <c r="AT16" i="13" s="1"/>
  <c r="AP16" i="13"/>
  <c r="AS16" i="13" s="1"/>
  <c r="AQ15" i="13"/>
  <c r="AT15" i="13" s="1"/>
  <c r="AP15" i="13"/>
  <c r="AS15" i="13" s="1"/>
  <c r="AQ13" i="13"/>
  <c r="AT13" i="13" s="1"/>
  <c r="AP13" i="13"/>
  <c r="AS13" i="13" s="1"/>
  <c r="AQ12" i="13"/>
  <c r="AT12" i="13" s="1"/>
  <c r="AP12" i="13"/>
  <c r="AS12" i="13" s="1"/>
  <c r="AQ10" i="13"/>
  <c r="AT10" i="13" s="1"/>
  <c r="AP10" i="13"/>
  <c r="AS10" i="13" s="1"/>
  <c r="AQ9" i="13"/>
  <c r="AT9" i="13" s="1"/>
  <c r="AP9" i="13"/>
  <c r="AS9" i="13" s="1"/>
  <c r="AQ7" i="13"/>
  <c r="AT7" i="13" s="1"/>
  <c r="AP7" i="13"/>
  <c r="AS7" i="13" s="1"/>
  <c r="AQ6" i="13"/>
  <c r="AT6" i="13" s="1"/>
  <c r="AP6" i="13"/>
  <c r="AS6" i="13" s="1"/>
  <c r="AQ266" i="7"/>
  <c r="AM266" i="7"/>
  <c r="AL266" i="7"/>
  <c r="AP265" i="7"/>
  <c r="AO265" i="7"/>
  <c r="AM264" i="7"/>
  <c r="AL264" i="7"/>
  <c r="AM263" i="7"/>
  <c r="AL263" i="7"/>
  <c r="AM262" i="7"/>
  <c r="AL262" i="7"/>
  <c r="AQ261" i="7"/>
  <c r="AM261" i="7"/>
  <c r="AL261" i="7"/>
  <c r="AN261" i="7" s="1"/>
  <c r="AQ260" i="7"/>
  <c r="AM260" i="7"/>
  <c r="AL260" i="7"/>
  <c r="AM259" i="7"/>
  <c r="AL259" i="7"/>
  <c r="AQ258" i="7"/>
  <c r="AM258" i="7"/>
  <c r="AL258" i="7"/>
  <c r="AQ257" i="7"/>
  <c r="AM257" i="7"/>
  <c r="AN257" i="7" s="1"/>
  <c r="AL257" i="7"/>
  <c r="AQ256" i="7"/>
  <c r="AM256" i="7"/>
  <c r="AL256" i="7"/>
  <c r="AQ255" i="7"/>
  <c r="AM255" i="7"/>
  <c r="AL255" i="7"/>
  <c r="AQ254" i="7"/>
  <c r="AM254" i="7"/>
  <c r="AL254" i="7"/>
  <c r="AN254" i="7" s="1"/>
  <c r="AQ253" i="7"/>
  <c r="AM253" i="7"/>
  <c r="AL253" i="7"/>
  <c r="AQ252" i="7"/>
  <c r="AM252" i="7"/>
  <c r="AL252" i="7"/>
  <c r="AQ251" i="7"/>
  <c r="AM251" i="7"/>
  <c r="AL251" i="7"/>
  <c r="AQ250" i="7"/>
  <c r="AM250" i="7"/>
  <c r="AL250" i="7"/>
  <c r="AP249" i="7"/>
  <c r="AO249" i="7"/>
  <c r="AQ248" i="7"/>
  <c r="AQ247" i="7"/>
  <c r="AM247" i="7"/>
  <c r="AL247" i="7"/>
  <c r="AQ246" i="7"/>
  <c r="AM246" i="7"/>
  <c r="AN246" i="7" s="1"/>
  <c r="AL246" i="7"/>
  <c r="AQ245" i="7"/>
  <c r="AM245" i="7"/>
  <c r="AL245" i="7"/>
  <c r="AQ244" i="7"/>
  <c r="AM244" i="7"/>
  <c r="AL244" i="7"/>
  <c r="AQ243" i="7"/>
  <c r="AM243" i="7"/>
  <c r="AL243" i="7"/>
  <c r="AQ242" i="7"/>
  <c r="AM242" i="7"/>
  <c r="AN242" i="7" s="1"/>
  <c r="AL242" i="7"/>
  <c r="AQ241" i="7"/>
  <c r="AM241" i="7"/>
  <c r="AL241" i="7"/>
  <c r="AQ240" i="7"/>
  <c r="AM240" i="7"/>
  <c r="AL240" i="7"/>
  <c r="AQ239" i="7"/>
  <c r="AM239" i="7"/>
  <c r="AL239" i="7"/>
  <c r="AQ238" i="7"/>
  <c r="AM238" i="7"/>
  <c r="AL238" i="7"/>
  <c r="AQ237" i="7"/>
  <c r="AM237" i="7"/>
  <c r="AL237" i="7"/>
  <c r="AQ236" i="7"/>
  <c r="AM236" i="7"/>
  <c r="AL236" i="7"/>
  <c r="AQ235" i="7"/>
  <c r="AM235" i="7"/>
  <c r="AL235" i="7"/>
  <c r="AQ234" i="7"/>
  <c r="AM234" i="7"/>
  <c r="AN234" i="7" s="1"/>
  <c r="AL234" i="7"/>
  <c r="AQ233" i="7"/>
  <c r="AM233" i="7"/>
  <c r="AL233" i="7"/>
  <c r="AQ232" i="7"/>
  <c r="AM232" i="7"/>
  <c r="AL232" i="7"/>
  <c r="AQ231" i="7"/>
  <c r="AM231" i="7"/>
  <c r="AL231" i="7"/>
  <c r="AQ230" i="7"/>
  <c r="AM230" i="7"/>
  <c r="AN230" i="7" s="1"/>
  <c r="AL230" i="7"/>
  <c r="AQ229" i="7"/>
  <c r="AM229" i="7"/>
  <c r="AL229" i="7"/>
  <c r="AQ228" i="7"/>
  <c r="AM228" i="7"/>
  <c r="AL228" i="7"/>
  <c r="AQ227" i="7"/>
  <c r="AM227" i="7"/>
  <c r="AL227" i="7"/>
  <c r="AQ226" i="7"/>
  <c r="AM226" i="7"/>
  <c r="AN226" i="7" s="1"/>
  <c r="AL226" i="7"/>
  <c r="AQ225" i="7"/>
  <c r="AM225" i="7"/>
  <c r="AL225" i="7"/>
  <c r="AQ224" i="7"/>
  <c r="AM224" i="7"/>
  <c r="AL224" i="7"/>
  <c r="AQ217" i="7"/>
  <c r="AM217" i="7"/>
  <c r="AL217" i="7"/>
  <c r="AP216" i="7"/>
  <c r="AO216" i="7"/>
  <c r="AQ215" i="7"/>
  <c r="AM215" i="7"/>
  <c r="AN215" i="7" s="1"/>
  <c r="AL215" i="7"/>
  <c r="AQ214" i="7"/>
  <c r="AM214" i="7"/>
  <c r="AL214" i="7"/>
  <c r="AQ213" i="7"/>
  <c r="AM213" i="7"/>
  <c r="AL213" i="7"/>
  <c r="AM212" i="7"/>
  <c r="AN212" i="7" s="1"/>
  <c r="AL212" i="7"/>
  <c r="AQ211" i="7"/>
  <c r="AM211" i="7"/>
  <c r="AL211" i="7"/>
  <c r="AQ210" i="7"/>
  <c r="AM210" i="7"/>
  <c r="AL210" i="7"/>
  <c r="AQ209" i="7"/>
  <c r="AM209" i="7"/>
  <c r="AL209" i="7"/>
  <c r="AQ208" i="7"/>
  <c r="AM208" i="7"/>
  <c r="AL208" i="7"/>
  <c r="AQ207" i="7"/>
  <c r="AM207" i="7"/>
  <c r="AL207" i="7"/>
  <c r="AQ206" i="7"/>
  <c r="AM206" i="7"/>
  <c r="AL206" i="7"/>
  <c r="AQ205" i="7"/>
  <c r="AM205" i="7"/>
  <c r="AL205" i="7"/>
  <c r="AQ204" i="7"/>
  <c r="AM204" i="7"/>
  <c r="AL204" i="7"/>
  <c r="AQ203" i="7"/>
  <c r="AM203" i="7"/>
  <c r="AL203" i="7"/>
  <c r="AQ202" i="7"/>
  <c r="AM202" i="7"/>
  <c r="AL202" i="7"/>
  <c r="AO201" i="7"/>
  <c r="AM200" i="7"/>
  <c r="AL200" i="7"/>
  <c r="AQ199" i="7"/>
  <c r="AM199" i="7"/>
  <c r="AL199" i="7"/>
  <c r="AM198" i="7"/>
  <c r="AL198" i="7"/>
  <c r="AQ197" i="7"/>
  <c r="AM197" i="7"/>
  <c r="AL197" i="7"/>
  <c r="AQ196" i="7"/>
  <c r="AN196" i="7"/>
  <c r="AM196" i="7"/>
  <c r="AL196" i="7"/>
  <c r="AQ195" i="7"/>
  <c r="AN195" i="7"/>
  <c r="AM195" i="7"/>
  <c r="AL195" i="7"/>
  <c r="AQ194" i="7"/>
  <c r="AN194" i="7"/>
  <c r="AM194" i="7"/>
  <c r="AL194" i="7"/>
  <c r="AQ193" i="7"/>
  <c r="AN193" i="7"/>
  <c r="AM193" i="7"/>
  <c r="AL193" i="7"/>
  <c r="AQ192" i="7"/>
  <c r="AM192" i="7"/>
  <c r="AL192" i="7"/>
  <c r="AQ191" i="7"/>
  <c r="AM191" i="7"/>
  <c r="AN191" i="7" s="1"/>
  <c r="AL191" i="7"/>
  <c r="AQ190" i="7"/>
  <c r="AM190" i="7"/>
  <c r="AN190" i="7" s="1"/>
  <c r="AL190" i="7"/>
  <c r="AQ189" i="7"/>
  <c r="AM189" i="7"/>
  <c r="AN189" i="7" s="1"/>
  <c r="AL189" i="7"/>
  <c r="AQ188" i="7"/>
  <c r="AM188" i="7"/>
  <c r="AN188" i="7" s="1"/>
  <c r="AL188" i="7"/>
  <c r="AQ187" i="7"/>
  <c r="AM187" i="7"/>
  <c r="AN187" i="7" s="1"/>
  <c r="AL187" i="7"/>
  <c r="AQ186" i="7"/>
  <c r="AM186" i="7"/>
  <c r="AN186" i="7" s="1"/>
  <c r="AL186" i="7"/>
  <c r="AQ185" i="7"/>
  <c r="AM185" i="7"/>
  <c r="AN185" i="7" s="1"/>
  <c r="AL185" i="7"/>
  <c r="AQ184" i="7"/>
  <c r="AM184" i="7"/>
  <c r="AN184" i="7" s="1"/>
  <c r="AL184" i="7"/>
  <c r="AQ183" i="7"/>
  <c r="AM183" i="7"/>
  <c r="AN183" i="7" s="1"/>
  <c r="AL183" i="7"/>
  <c r="AQ182" i="7"/>
  <c r="AM182" i="7"/>
  <c r="AN182" i="7" s="1"/>
  <c r="AL182" i="7"/>
  <c r="AL181" i="7"/>
  <c r="AQ174" i="7"/>
  <c r="AM174" i="7"/>
  <c r="AL174" i="7"/>
  <c r="AP173" i="7"/>
  <c r="AO173" i="7"/>
  <c r="AM172" i="7"/>
  <c r="AL172" i="7"/>
  <c r="AM171" i="7"/>
  <c r="AL171" i="7"/>
  <c r="AM170" i="7"/>
  <c r="AL170" i="7"/>
  <c r="AQ169" i="7"/>
  <c r="AM169" i="7"/>
  <c r="AL169" i="7"/>
  <c r="AQ168" i="7"/>
  <c r="AM168" i="7"/>
  <c r="AL168" i="7"/>
  <c r="AQ167" i="7"/>
  <c r="AM167" i="7"/>
  <c r="AL167" i="7"/>
  <c r="AQ166" i="7"/>
  <c r="AM166" i="7"/>
  <c r="AL166" i="7"/>
  <c r="AQ165" i="7"/>
  <c r="AM165" i="7"/>
  <c r="AL165" i="7"/>
  <c r="AQ164" i="7"/>
  <c r="AM164" i="7"/>
  <c r="AL164" i="7"/>
  <c r="AQ163" i="7"/>
  <c r="AM163" i="7"/>
  <c r="AL163" i="7"/>
  <c r="AQ162" i="7"/>
  <c r="AM162" i="7"/>
  <c r="AN162" i="7" s="1"/>
  <c r="AL162" i="7"/>
  <c r="AQ161" i="7"/>
  <c r="AM161" i="7"/>
  <c r="AL161" i="7"/>
  <c r="AQ160" i="7"/>
  <c r="AM160" i="7"/>
  <c r="AL160" i="7"/>
  <c r="AQ159" i="7"/>
  <c r="AM159" i="7"/>
  <c r="AL159" i="7"/>
  <c r="AQ158" i="7"/>
  <c r="AM158" i="7"/>
  <c r="AN158" i="7" s="1"/>
  <c r="AL158" i="7"/>
  <c r="AQ157" i="7"/>
  <c r="AM157" i="7"/>
  <c r="AL157" i="7"/>
  <c r="AQ156" i="7"/>
  <c r="AM156" i="7"/>
  <c r="AL156" i="7"/>
  <c r="AP155" i="7"/>
  <c r="AO155" i="7"/>
  <c r="AQ154" i="7"/>
  <c r="AM154" i="7"/>
  <c r="AL154" i="7"/>
  <c r="AQ153" i="7"/>
  <c r="AM153" i="7"/>
  <c r="AL153" i="7"/>
  <c r="AQ152" i="7"/>
  <c r="AM152" i="7"/>
  <c r="AL152" i="7"/>
  <c r="AN152" i="7" s="1"/>
  <c r="AQ151" i="7"/>
  <c r="AM151" i="7"/>
  <c r="AL151" i="7"/>
  <c r="AQ150" i="7"/>
  <c r="AM150" i="7"/>
  <c r="AL150" i="7"/>
  <c r="AM149" i="7"/>
  <c r="AL149" i="7"/>
  <c r="AQ148" i="7"/>
  <c r="AM148" i="7"/>
  <c r="AL148" i="7"/>
  <c r="AQ147" i="7"/>
  <c r="AM147" i="7"/>
  <c r="AL147" i="7"/>
  <c r="AQ146" i="7"/>
  <c r="AM146" i="7"/>
  <c r="AL146" i="7"/>
  <c r="AQ145" i="7"/>
  <c r="AM145" i="7"/>
  <c r="AL145" i="7"/>
  <c r="AQ144" i="7"/>
  <c r="AM144" i="7"/>
  <c r="AL144" i="7"/>
  <c r="AQ143" i="7"/>
  <c r="AM143" i="7"/>
  <c r="AL143" i="7"/>
  <c r="AQ142" i="7"/>
  <c r="AM142" i="7"/>
  <c r="AL142" i="7"/>
  <c r="AQ141" i="7"/>
  <c r="AM141" i="7"/>
  <c r="AL141" i="7"/>
  <c r="AQ140" i="7"/>
  <c r="AM140" i="7"/>
  <c r="AL140" i="7"/>
  <c r="AQ139" i="7"/>
  <c r="AM139" i="7"/>
  <c r="AL139" i="7"/>
  <c r="AQ138" i="7"/>
  <c r="AM138" i="7"/>
  <c r="AL138" i="7"/>
  <c r="AM131" i="7"/>
  <c r="AN131" i="7" s="1"/>
  <c r="AL131" i="7"/>
  <c r="AP130" i="7"/>
  <c r="AO130" i="7"/>
  <c r="AM129" i="7"/>
  <c r="AL129" i="7"/>
  <c r="AM128" i="7"/>
  <c r="AL128" i="7"/>
  <c r="AM127" i="7"/>
  <c r="AL127" i="7"/>
  <c r="AQ126" i="7"/>
  <c r="AM126" i="7"/>
  <c r="AL126" i="7"/>
  <c r="AQ125" i="7"/>
  <c r="AM125" i="7"/>
  <c r="AL125" i="7"/>
  <c r="AQ124" i="7"/>
  <c r="AM124" i="7"/>
  <c r="AL124" i="7"/>
  <c r="AM123" i="7"/>
  <c r="AL123" i="7"/>
  <c r="AQ122" i="7"/>
  <c r="AM122" i="7"/>
  <c r="AL122" i="7"/>
  <c r="AQ121" i="7"/>
  <c r="AM121" i="7"/>
  <c r="AL121" i="7"/>
  <c r="AQ120" i="7"/>
  <c r="AM120" i="7"/>
  <c r="AL120" i="7"/>
  <c r="AQ119" i="7"/>
  <c r="AM119" i="7"/>
  <c r="AL119" i="7"/>
  <c r="AQ118" i="7"/>
  <c r="AM118" i="7"/>
  <c r="AL118" i="7"/>
  <c r="AQ117" i="7"/>
  <c r="AM117" i="7"/>
  <c r="AL117" i="7"/>
  <c r="AQ116" i="7"/>
  <c r="AM116" i="7"/>
  <c r="AL116" i="7"/>
  <c r="AQ115" i="7"/>
  <c r="AM115" i="7"/>
  <c r="AL115" i="7"/>
  <c r="AP114" i="7"/>
  <c r="AO114" i="7"/>
  <c r="AM113" i="7"/>
  <c r="AL113" i="7"/>
  <c r="AM112" i="7"/>
  <c r="AL112" i="7"/>
  <c r="AQ111" i="7"/>
  <c r="AM111" i="7"/>
  <c r="AL111" i="7"/>
  <c r="AQ110" i="7"/>
  <c r="AM110" i="7"/>
  <c r="AL110" i="7"/>
  <c r="AQ109" i="7"/>
  <c r="AM109" i="7"/>
  <c r="AL109" i="7"/>
  <c r="AQ108" i="7"/>
  <c r="AM108" i="7"/>
  <c r="AL108" i="7"/>
  <c r="AQ107" i="7"/>
  <c r="AM107" i="7"/>
  <c r="AL107" i="7"/>
  <c r="AQ106" i="7"/>
  <c r="AM106" i="7"/>
  <c r="AL106" i="7"/>
  <c r="AQ105" i="7"/>
  <c r="AM105" i="7"/>
  <c r="AL105" i="7"/>
  <c r="AM104" i="7"/>
  <c r="AL104" i="7"/>
  <c r="AQ103" i="7"/>
  <c r="AM103" i="7"/>
  <c r="AL103" i="7"/>
  <c r="AQ102" i="7"/>
  <c r="AM102" i="7"/>
  <c r="AL102" i="7"/>
  <c r="AQ101" i="7"/>
  <c r="AM101" i="7"/>
  <c r="AL101" i="7"/>
  <c r="AQ100" i="7"/>
  <c r="AM100" i="7"/>
  <c r="AL100" i="7"/>
  <c r="AQ99" i="7"/>
  <c r="AM99" i="7"/>
  <c r="AL99" i="7"/>
  <c r="AQ98" i="7"/>
  <c r="AM98" i="7"/>
  <c r="AL98" i="7"/>
  <c r="AQ97" i="7"/>
  <c r="AM97" i="7"/>
  <c r="AL97" i="7"/>
  <c r="AQ96" i="7"/>
  <c r="AM96" i="7"/>
  <c r="AL96" i="7"/>
  <c r="AQ95" i="7"/>
  <c r="AM95" i="7"/>
  <c r="AL95" i="7"/>
  <c r="AQ94" i="7"/>
  <c r="AM94" i="7"/>
  <c r="AL94" i="7"/>
  <c r="AQ93" i="7"/>
  <c r="AM93" i="7"/>
  <c r="AL93" i="7"/>
  <c r="AQ92" i="7"/>
  <c r="AM92" i="7"/>
  <c r="AL92" i="7"/>
  <c r="AQ91" i="7"/>
  <c r="AM91" i="7"/>
  <c r="AL91" i="7"/>
  <c r="AQ90" i="7"/>
  <c r="AM90" i="7"/>
  <c r="AL90" i="7"/>
  <c r="AQ89" i="7"/>
  <c r="AM89" i="7"/>
  <c r="AL89" i="7"/>
  <c r="AQ82" i="7"/>
  <c r="AM82" i="7"/>
  <c r="AL82" i="7"/>
  <c r="AP81" i="7"/>
  <c r="AO81" i="7"/>
  <c r="AL80" i="7"/>
  <c r="AM79" i="7"/>
  <c r="AL79" i="7"/>
  <c r="AM78" i="7"/>
  <c r="AL78" i="7"/>
  <c r="AQ77" i="7"/>
  <c r="AM77" i="7"/>
  <c r="AL77" i="7"/>
  <c r="AQ76" i="7"/>
  <c r="AM76" i="7"/>
  <c r="AL76" i="7"/>
  <c r="AM75" i="7"/>
  <c r="AL75" i="7"/>
  <c r="AQ74" i="7"/>
  <c r="AM74" i="7"/>
  <c r="AL74" i="7"/>
  <c r="AQ73" i="7"/>
  <c r="AM73" i="7"/>
  <c r="AL73" i="7"/>
  <c r="AM72" i="7"/>
  <c r="AL72" i="7"/>
  <c r="AQ71" i="7"/>
  <c r="AM71" i="7"/>
  <c r="AL71" i="7"/>
  <c r="AQ70" i="7"/>
  <c r="AM70" i="7"/>
  <c r="AL70" i="7"/>
  <c r="AQ69" i="7"/>
  <c r="AM69" i="7"/>
  <c r="AL69" i="7"/>
  <c r="AM68" i="7"/>
  <c r="AL68" i="7"/>
  <c r="AQ67" i="7"/>
  <c r="AM67" i="7"/>
  <c r="AL67" i="7"/>
  <c r="AQ66" i="7"/>
  <c r="AM66" i="7"/>
  <c r="AL66" i="7"/>
  <c r="AQ65" i="7"/>
  <c r="AM65" i="7"/>
  <c r="AL65" i="7"/>
  <c r="AQ64" i="7"/>
  <c r="AM64" i="7"/>
  <c r="AL64" i="7"/>
  <c r="AQ63" i="7"/>
  <c r="AM63" i="7"/>
  <c r="AL63" i="7"/>
  <c r="AP62" i="7"/>
  <c r="AO62" i="7"/>
  <c r="AM61" i="7"/>
  <c r="AL61" i="7"/>
  <c r="AM60" i="7"/>
  <c r="AL60" i="7"/>
  <c r="AQ59" i="7"/>
  <c r="AM59" i="7"/>
  <c r="AN59" i="7" s="1"/>
  <c r="AL59" i="7"/>
  <c r="AQ58" i="7"/>
  <c r="AM58" i="7"/>
  <c r="AL58" i="7"/>
  <c r="AQ57" i="7"/>
  <c r="AM57" i="7"/>
  <c r="AN57" i="7" s="1"/>
  <c r="AL57" i="7"/>
  <c r="AQ56" i="7"/>
  <c r="AM56" i="7"/>
  <c r="AL56" i="7"/>
  <c r="AQ55" i="7"/>
  <c r="AM55" i="7"/>
  <c r="AN55" i="7" s="1"/>
  <c r="AL55" i="7"/>
  <c r="AQ54" i="7"/>
  <c r="AM54" i="7"/>
  <c r="AL54" i="7"/>
  <c r="AQ53" i="7"/>
  <c r="AM53" i="7"/>
  <c r="AN53" i="7" s="1"/>
  <c r="AL53" i="7"/>
  <c r="AQ52" i="7"/>
  <c r="AM52" i="7"/>
  <c r="AL52" i="7"/>
  <c r="AQ51" i="7"/>
  <c r="AM51" i="7"/>
  <c r="AN51" i="7" s="1"/>
  <c r="AL51" i="7"/>
  <c r="AQ50" i="7"/>
  <c r="AM50" i="7"/>
  <c r="AL50" i="7"/>
  <c r="AQ49" i="7"/>
  <c r="AM49" i="7"/>
  <c r="AN49" i="7" s="1"/>
  <c r="AL49" i="7"/>
  <c r="AQ48" i="7"/>
  <c r="AM48" i="7"/>
  <c r="AL48" i="7"/>
  <c r="AQ47" i="7"/>
  <c r="AM47" i="7"/>
  <c r="AN47" i="7" s="1"/>
  <c r="AL47" i="7"/>
  <c r="AQ46" i="7"/>
  <c r="AM46" i="7"/>
  <c r="AL46" i="7"/>
  <c r="AQ45" i="7"/>
  <c r="AM45" i="7"/>
  <c r="AN45" i="7" s="1"/>
  <c r="AL45" i="7"/>
  <c r="AQ44" i="7"/>
  <c r="AM44" i="7"/>
  <c r="AL44" i="7"/>
  <c r="AQ43" i="7"/>
  <c r="AM43" i="7"/>
  <c r="AN43" i="7" s="1"/>
  <c r="AL43" i="7"/>
  <c r="AQ42" i="7"/>
  <c r="AM42" i="7"/>
  <c r="AL42" i="7"/>
  <c r="AQ35" i="7"/>
  <c r="AM35" i="7"/>
  <c r="AL35" i="7"/>
  <c r="AP34" i="7"/>
  <c r="AO34" i="7"/>
  <c r="AM33" i="7"/>
  <c r="AL33" i="7"/>
  <c r="AM32" i="7"/>
  <c r="AL32" i="7"/>
  <c r="AM31" i="7"/>
  <c r="AL31" i="7"/>
  <c r="AM30" i="7"/>
  <c r="AL30" i="7"/>
  <c r="AM29" i="7"/>
  <c r="AL29" i="7"/>
  <c r="AQ28" i="7"/>
  <c r="AM28" i="7"/>
  <c r="AL28" i="7"/>
  <c r="AQ27" i="7"/>
  <c r="AM27" i="7"/>
  <c r="AL27" i="7"/>
  <c r="AQ26" i="7"/>
  <c r="AM26" i="7"/>
  <c r="AL26" i="7"/>
  <c r="AQ25" i="7"/>
  <c r="AM25" i="7"/>
  <c r="AN25" i="7" s="1"/>
  <c r="AL25" i="7"/>
  <c r="AQ24" i="7"/>
  <c r="AM24" i="7"/>
  <c r="AL24" i="7"/>
  <c r="AQ23" i="7"/>
  <c r="AM23" i="7"/>
  <c r="AN23" i="7" s="1"/>
  <c r="AL23" i="7"/>
  <c r="AQ22" i="7"/>
  <c r="AM22" i="7"/>
  <c r="AL22" i="7"/>
  <c r="AQ21" i="7"/>
  <c r="AM21" i="7"/>
  <c r="AN21" i="7" s="1"/>
  <c r="AL21" i="7"/>
  <c r="AQ20" i="7"/>
  <c r="AM20" i="7"/>
  <c r="AL20" i="7"/>
  <c r="AQ19" i="7"/>
  <c r="AM19" i="7"/>
  <c r="AL19" i="7"/>
  <c r="AQ18" i="7"/>
  <c r="AM18" i="7"/>
  <c r="AL18" i="7"/>
  <c r="AP17" i="7"/>
  <c r="AO17" i="7"/>
  <c r="AM16" i="7"/>
  <c r="AL16" i="7"/>
  <c r="AM15" i="7"/>
  <c r="AL15" i="7"/>
  <c r="AM14" i="7"/>
  <c r="AL14" i="7"/>
  <c r="AM13" i="7"/>
  <c r="AL13" i="7"/>
  <c r="AM12" i="7"/>
  <c r="AL12" i="7"/>
  <c r="AQ11" i="7"/>
  <c r="AM11" i="7"/>
  <c r="AL11" i="7"/>
  <c r="AQ10" i="7"/>
  <c r="AM10" i="7"/>
  <c r="AL10" i="7"/>
  <c r="AQ9" i="7"/>
  <c r="AM9" i="7"/>
  <c r="AL9" i="7"/>
  <c r="AQ8" i="7"/>
  <c r="AM8" i="7"/>
  <c r="AL8" i="7"/>
  <c r="AQ7" i="7"/>
  <c r="AM7" i="7"/>
  <c r="AL7" i="7"/>
  <c r="AQ6" i="7"/>
  <c r="AM6" i="7"/>
  <c r="AL6" i="7"/>
  <c r="AQ5" i="7"/>
  <c r="AM5" i="7"/>
  <c r="AL5" i="7"/>
  <c r="AL48" i="8"/>
  <c r="AF48" i="8"/>
  <c r="Z48" i="8"/>
  <c r="T48" i="8"/>
  <c r="N97" i="8"/>
  <c r="T97" i="8"/>
  <c r="Z97" i="8"/>
  <c r="AF97" i="8"/>
  <c r="AL97" i="8"/>
  <c r="AL71" i="8"/>
  <c r="AF71" i="8"/>
  <c r="Z71" i="8"/>
  <c r="T71" i="8"/>
  <c r="N71" i="8"/>
  <c r="AK24" i="16"/>
  <c r="AG24" i="16"/>
  <c r="AF24" i="16"/>
  <c r="AJ23" i="16"/>
  <c r="AI23" i="16"/>
  <c r="AG22" i="16"/>
  <c r="AF22" i="16"/>
  <c r="AG21" i="16"/>
  <c r="AF21" i="16"/>
  <c r="AG20" i="16"/>
  <c r="AF20" i="16"/>
  <c r="AG19" i="16"/>
  <c r="AF19" i="16"/>
  <c r="AF23" i="16" s="1"/>
  <c r="AG18" i="16"/>
  <c r="AF18" i="16"/>
  <c r="AK17" i="16"/>
  <c r="AG17" i="16"/>
  <c r="AG23" i="16" s="1"/>
  <c r="AF17" i="16"/>
  <c r="AK16" i="16"/>
  <c r="AG16" i="16"/>
  <c r="AH16" i="16" s="1"/>
  <c r="AF16" i="16"/>
  <c r="AJ15" i="16"/>
  <c r="AI15" i="16"/>
  <c r="AG14" i="16"/>
  <c r="AF14" i="16"/>
  <c r="AG13" i="16"/>
  <c r="AF13" i="16"/>
  <c r="AG12" i="16"/>
  <c r="AF12" i="16"/>
  <c r="AG11" i="16"/>
  <c r="AF11" i="16"/>
  <c r="AG10" i="16"/>
  <c r="AF10" i="16"/>
  <c r="AK9" i="16"/>
  <c r="AG9" i="16"/>
  <c r="AF9" i="16"/>
  <c r="AK8" i="16"/>
  <c r="AG8" i="16"/>
  <c r="AF8" i="16"/>
  <c r="AK7" i="16"/>
  <c r="AG7" i="16"/>
  <c r="AF7" i="16"/>
  <c r="AH7" i="16" s="1"/>
  <c r="AK6" i="16"/>
  <c r="AG6" i="16"/>
  <c r="AF6" i="16"/>
  <c r="AG5" i="16"/>
  <c r="AF5" i="16"/>
  <c r="AK35" i="14"/>
  <c r="AG35" i="14"/>
  <c r="AF35" i="14"/>
  <c r="AH35" i="14" s="1"/>
  <c r="AJ34" i="14"/>
  <c r="AI34" i="14"/>
  <c r="AG33" i="14"/>
  <c r="AF33" i="14"/>
  <c r="AG32" i="14"/>
  <c r="AF32" i="14"/>
  <c r="AG31" i="14"/>
  <c r="AF31" i="14"/>
  <c r="AK30" i="14"/>
  <c r="AG30" i="14"/>
  <c r="AF30" i="14"/>
  <c r="AK29" i="14"/>
  <c r="AG29" i="14"/>
  <c r="AF29" i="14"/>
  <c r="AK28" i="14"/>
  <c r="AG28" i="14"/>
  <c r="AF28" i="14"/>
  <c r="AK27" i="14"/>
  <c r="AG27" i="14"/>
  <c r="AF27" i="14"/>
  <c r="AK26" i="14"/>
  <c r="AG26" i="14"/>
  <c r="AF26" i="14"/>
  <c r="AK25" i="14"/>
  <c r="AG25" i="14"/>
  <c r="AF25" i="14"/>
  <c r="AK24" i="14"/>
  <c r="AG24" i="14"/>
  <c r="AF24" i="14"/>
  <c r="AK23" i="14"/>
  <c r="AG23" i="14"/>
  <c r="AF23" i="14"/>
  <c r="AK22" i="14"/>
  <c r="AG22" i="14"/>
  <c r="AH22" i="14" s="1"/>
  <c r="AF22" i="14"/>
  <c r="AK21" i="14"/>
  <c r="AG21" i="14"/>
  <c r="AF21" i="14"/>
  <c r="AK20" i="14"/>
  <c r="AG20" i="14"/>
  <c r="AF20" i="14"/>
  <c r="AK19" i="14"/>
  <c r="AG19" i="14"/>
  <c r="AF19" i="14"/>
  <c r="AK18" i="14"/>
  <c r="AG18" i="14"/>
  <c r="AH18" i="14" s="1"/>
  <c r="AF18" i="14"/>
  <c r="AJ17" i="14"/>
  <c r="AI17" i="14"/>
  <c r="AG16" i="14"/>
  <c r="AF16" i="14"/>
  <c r="AG15" i="14"/>
  <c r="AF15" i="14"/>
  <c r="AG14" i="14"/>
  <c r="AF14" i="14"/>
  <c r="AG13" i="14"/>
  <c r="AF13" i="14"/>
  <c r="AG12" i="14"/>
  <c r="AF12" i="14"/>
  <c r="AK11" i="14"/>
  <c r="AG11" i="14"/>
  <c r="AF11" i="14"/>
  <c r="AG10" i="14"/>
  <c r="AF10" i="14"/>
  <c r="AK9" i="14"/>
  <c r="AG9" i="14"/>
  <c r="AH9" i="14" s="1"/>
  <c r="AF9" i="14"/>
  <c r="AK8" i="14"/>
  <c r="AG8" i="14"/>
  <c r="AF8" i="14"/>
  <c r="AK7" i="14"/>
  <c r="AG7" i="14"/>
  <c r="AF7" i="14"/>
  <c r="AK6" i="14"/>
  <c r="AG6" i="14"/>
  <c r="AF6" i="14"/>
  <c r="AK5" i="14"/>
  <c r="AG5" i="14"/>
  <c r="AG17" i="14" s="1"/>
  <c r="AF5" i="14"/>
  <c r="AK184" i="11"/>
  <c r="AG184" i="11"/>
  <c r="AF184" i="11"/>
  <c r="AJ183" i="11"/>
  <c r="AI183" i="11"/>
  <c r="AK182" i="11"/>
  <c r="AG182" i="11"/>
  <c r="AF182" i="11"/>
  <c r="AK181" i="11"/>
  <c r="AG181" i="11"/>
  <c r="AF181" i="11"/>
  <c r="AK180" i="11"/>
  <c r="AG180" i="11"/>
  <c r="AF180" i="11"/>
  <c r="AK179" i="11"/>
  <c r="AG179" i="11"/>
  <c r="AF179" i="11"/>
  <c r="AG178" i="11"/>
  <c r="AF178" i="11"/>
  <c r="AK177" i="11"/>
  <c r="AG177" i="11"/>
  <c r="AF177" i="11"/>
  <c r="AK176" i="11"/>
  <c r="AG176" i="11"/>
  <c r="AF176" i="11"/>
  <c r="AK175" i="11"/>
  <c r="AG175" i="11"/>
  <c r="AF175" i="11"/>
  <c r="AK174" i="11"/>
  <c r="AG174" i="11"/>
  <c r="AF174" i="11"/>
  <c r="AK173" i="11"/>
  <c r="AG173" i="11"/>
  <c r="AF173" i="11"/>
  <c r="AK172" i="11"/>
  <c r="AG172" i="11"/>
  <c r="AF172" i="11"/>
  <c r="AK171" i="11"/>
  <c r="AG171" i="11"/>
  <c r="AF171" i="11"/>
  <c r="AK170" i="11"/>
  <c r="AG170" i="11"/>
  <c r="AF170" i="11"/>
  <c r="AF183" i="11" s="1"/>
  <c r="AK169" i="11"/>
  <c r="AG169" i="11"/>
  <c r="AF169" i="11"/>
  <c r="AJ168" i="11"/>
  <c r="AK168" i="11" s="1"/>
  <c r="AI168" i="11"/>
  <c r="AG167" i="11"/>
  <c r="AF167" i="11"/>
  <c r="AK166" i="11"/>
  <c r="AG166" i="11"/>
  <c r="AF166" i="11"/>
  <c r="AK165" i="11"/>
  <c r="AG165" i="11"/>
  <c r="AH165" i="11" s="1"/>
  <c r="AF165" i="11"/>
  <c r="AK164" i="11"/>
  <c r="AG164" i="11"/>
  <c r="AF164" i="11"/>
  <c r="AK163" i="11"/>
  <c r="AG163" i="11"/>
  <c r="AF163" i="11"/>
  <c r="AK162" i="11"/>
  <c r="AG162" i="11"/>
  <c r="AF162" i="11"/>
  <c r="AK161" i="11"/>
  <c r="AG161" i="11"/>
  <c r="AH161" i="11" s="1"/>
  <c r="AF161" i="11"/>
  <c r="AK160" i="11"/>
  <c r="AG160" i="11"/>
  <c r="AF160" i="11"/>
  <c r="AK159" i="11"/>
  <c r="AG159" i="11"/>
  <c r="AF159" i="11"/>
  <c r="AK158" i="11"/>
  <c r="AG158" i="11"/>
  <c r="AF158" i="11"/>
  <c r="AK157" i="11"/>
  <c r="AG157" i="11"/>
  <c r="AH157" i="11" s="1"/>
  <c r="AF157" i="11"/>
  <c r="AK156" i="11"/>
  <c r="AG156" i="11"/>
  <c r="AF156" i="11"/>
  <c r="AK155" i="11"/>
  <c r="AG155" i="11"/>
  <c r="AF155" i="11"/>
  <c r="AK154" i="11"/>
  <c r="AG154" i="11"/>
  <c r="AF154" i="11"/>
  <c r="AK153" i="11"/>
  <c r="AG153" i="11"/>
  <c r="AH153" i="11" s="1"/>
  <c r="AF153" i="11"/>
  <c r="AK152" i="11"/>
  <c r="AG152" i="11"/>
  <c r="AF152" i="11"/>
  <c r="AK151" i="11"/>
  <c r="AG151" i="11"/>
  <c r="AF151" i="11"/>
  <c r="AK150" i="11"/>
  <c r="AG150" i="11"/>
  <c r="AF150" i="11"/>
  <c r="AK149" i="11"/>
  <c r="AG149" i="11"/>
  <c r="AH149" i="11" s="1"/>
  <c r="AF149" i="11"/>
  <c r="AK148" i="11"/>
  <c r="AG148" i="11"/>
  <c r="AF148" i="11"/>
  <c r="AK147" i="11"/>
  <c r="AG147" i="11"/>
  <c r="AF147" i="11"/>
  <c r="AK140" i="11"/>
  <c r="AG140" i="11"/>
  <c r="AF140" i="11"/>
  <c r="AJ139" i="11"/>
  <c r="AI139" i="11"/>
  <c r="AG138" i="11"/>
  <c r="AF138" i="11"/>
  <c r="AK137" i="11"/>
  <c r="AG137" i="11"/>
  <c r="AF137" i="11"/>
  <c r="AK136" i="11"/>
  <c r="AG136" i="11"/>
  <c r="AF136" i="11"/>
  <c r="AK135" i="11"/>
  <c r="AG135" i="11"/>
  <c r="AF135" i="11"/>
  <c r="AK134" i="11"/>
  <c r="AG134" i="11"/>
  <c r="AF134" i="11"/>
  <c r="AK133" i="11"/>
  <c r="AG133" i="11"/>
  <c r="AF133" i="11"/>
  <c r="AK132" i="11"/>
  <c r="AG132" i="11"/>
  <c r="AF132" i="11"/>
  <c r="AK131" i="11"/>
  <c r="AG131" i="11"/>
  <c r="AF131" i="11"/>
  <c r="AK130" i="11"/>
  <c r="AG130" i="11"/>
  <c r="AF130" i="11"/>
  <c r="AK129" i="11"/>
  <c r="AG129" i="11"/>
  <c r="AF129" i="11"/>
  <c r="AK128" i="11"/>
  <c r="AG128" i="11"/>
  <c r="AF128" i="11"/>
  <c r="AG127" i="11"/>
  <c r="AF127" i="11"/>
  <c r="AK126" i="11"/>
  <c r="AG126" i="11"/>
  <c r="AH126" i="11" s="1"/>
  <c r="AF126" i="11"/>
  <c r="AK125" i="11"/>
  <c r="AG125" i="11"/>
  <c r="AF125" i="11"/>
  <c r="AK124" i="11"/>
  <c r="AG124" i="11"/>
  <c r="AF124" i="11"/>
  <c r="AK123" i="11"/>
  <c r="AG123" i="11"/>
  <c r="AF123" i="11"/>
  <c r="AJ122" i="11"/>
  <c r="AI122" i="11"/>
  <c r="AK121" i="11"/>
  <c r="AG121" i="11"/>
  <c r="AF121" i="11"/>
  <c r="AK120" i="11"/>
  <c r="AG120" i="11"/>
  <c r="AF120" i="11"/>
  <c r="AK119" i="11"/>
  <c r="AG119" i="11"/>
  <c r="AF119" i="11"/>
  <c r="AK118" i="11"/>
  <c r="AG118" i="11"/>
  <c r="AF118" i="11"/>
  <c r="AK117" i="11"/>
  <c r="AG117" i="11"/>
  <c r="AF117" i="11"/>
  <c r="AK116" i="11"/>
  <c r="AG116" i="11"/>
  <c r="AF116" i="11"/>
  <c r="AK115" i="11"/>
  <c r="AG115" i="11"/>
  <c r="AF115" i="11"/>
  <c r="AK114" i="11"/>
  <c r="AG114" i="11"/>
  <c r="AF114" i="11"/>
  <c r="AK113" i="11"/>
  <c r="AG113" i="11"/>
  <c r="AF113" i="11"/>
  <c r="AK112" i="11"/>
  <c r="AG112" i="11"/>
  <c r="AF112" i="11"/>
  <c r="AK111" i="11"/>
  <c r="AG111" i="11"/>
  <c r="AF111" i="11"/>
  <c r="AK110" i="11"/>
  <c r="AG110" i="11"/>
  <c r="AF110" i="11"/>
  <c r="AK109" i="11"/>
  <c r="AG109" i="11"/>
  <c r="AF109" i="11"/>
  <c r="AK108" i="11"/>
  <c r="AG108" i="11"/>
  <c r="AF108" i="11"/>
  <c r="AH108" i="11" s="1"/>
  <c r="AK107" i="11"/>
  <c r="AG107" i="11"/>
  <c r="AF107" i="11"/>
  <c r="AK106" i="11"/>
  <c r="AG106" i="11"/>
  <c r="AF106" i="11"/>
  <c r="AK105" i="11"/>
  <c r="AG105" i="11"/>
  <c r="AF105" i="11"/>
  <c r="AK104" i="11"/>
  <c r="AG104" i="11"/>
  <c r="AF104" i="11"/>
  <c r="AH104" i="11" s="1"/>
  <c r="AK103" i="11"/>
  <c r="AG103" i="11"/>
  <c r="AF103" i="11"/>
  <c r="AK102" i="11"/>
  <c r="AG102" i="11"/>
  <c r="AF102" i="11"/>
  <c r="AH102" i="11" s="1"/>
  <c r="AK101" i="11"/>
  <c r="AG101" i="11"/>
  <c r="AF101" i="11"/>
  <c r="AK100" i="11"/>
  <c r="AG100" i="11"/>
  <c r="AF100" i="11"/>
  <c r="AK99" i="11"/>
  <c r="AG99" i="11"/>
  <c r="AH99" i="11" s="1"/>
  <c r="AF99" i="11"/>
  <c r="AK98" i="11"/>
  <c r="AG98" i="11"/>
  <c r="AF98" i="11"/>
  <c r="AF122" i="11" s="1"/>
  <c r="AK91" i="11"/>
  <c r="AG91" i="11"/>
  <c r="AF91" i="11"/>
  <c r="AJ90" i="11"/>
  <c r="AI90" i="11"/>
  <c r="AK89" i="11"/>
  <c r="AG89" i="11"/>
  <c r="AF89" i="11"/>
  <c r="AG88" i="11"/>
  <c r="AF88" i="11"/>
  <c r="AK87" i="11"/>
  <c r="AG87" i="11"/>
  <c r="AF87" i="11"/>
  <c r="AG86" i="11"/>
  <c r="AF86" i="11"/>
  <c r="AK85" i="11"/>
  <c r="AG85" i="11"/>
  <c r="AF85" i="11"/>
  <c r="AK84" i="11"/>
  <c r="AG84" i="11"/>
  <c r="AF84" i="11"/>
  <c r="AK83" i="11"/>
  <c r="AG83" i="11"/>
  <c r="AF83" i="11"/>
  <c r="AK82" i="11"/>
  <c r="AG82" i="11"/>
  <c r="AF82" i="11"/>
  <c r="AK81" i="11"/>
  <c r="AG81" i="11"/>
  <c r="AF81" i="11"/>
  <c r="AK80" i="11"/>
  <c r="AG80" i="11"/>
  <c r="AF80" i="11"/>
  <c r="AK79" i="11"/>
  <c r="AG79" i="11"/>
  <c r="AF79" i="11"/>
  <c r="AK78" i="11"/>
  <c r="AG78" i="11"/>
  <c r="AF78" i="11"/>
  <c r="AG77" i="11"/>
  <c r="AF77" i="11"/>
  <c r="AK76" i="11"/>
  <c r="AG76" i="11"/>
  <c r="AF76" i="11"/>
  <c r="AH76" i="11" s="1"/>
  <c r="AK75" i="11"/>
  <c r="AG75" i="11"/>
  <c r="AF75" i="11"/>
  <c r="AK74" i="11"/>
  <c r="AG74" i="11"/>
  <c r="AF74" i="11"/>
  <c r="AH74" i="11" s="1"/>
  <c r="AK73" i="11"/>
  <c r="AG73" i="11"/>
  <c r="AF73" i="11"/>
  <c r="AK72" i="11"/>
  <c r="AG72" i="11"/>
  <c r="AF72" i="11"/>
  <c r="AK71" i="11"/>
  <c r="AG71" i="11"/>
  <c r="AF71" i="11"/>
  <c r="AJ70" i="11"/>
  <c r="AI70" i="11"/>
  <c r="AG69" i="11"/>
  <c r="AF69" i="11"/>
  <c r="AG68" i="11"/>
  <c r="AF68" i="11"/>
  <c r="AK67" i="11"/>
  <c r="AG67" i="11"/>
  <c r="AF67" i="11"/>
  <c r="AG66" i="11"/>
  <c r="AF66" i="11"/>
  <c r="AK65" i="11"/>
  <c r="AG65" i="11"/>
  <c r="AF65" i="11"/>
  <c r="AK64" i="11"/>
  <c r="AG64" i="11"/>
  <c r="AF64" i="11"/>
  <c r="AK63" i="11"/>
  <c r="AG63" i="11"/>
  <c r="AF63" i="11"/>
  <c r="AK62" i="11"/>
  <c r="AG62" i="11"/>
  <c r="AF62" i="11"/>
  <c r="AK61" i="11"/>
  <c r="AG61" i="11"/>
  <c r="AF61" i="11"/>
  <c r="AK60" i="11"/>
  <c r="AG60" i="11"/>
  <c r="AF60" i="11"/>
  <c r="AK59" i="11"/>
  <c r="AG59" i="11"/>
  <c r="AF59" i="11"/>
  <c r="AK58" i="11"/>
  <c r="AG58" i="11"/>
  <c r="AF58" i="11"/>
  <c r="AK57" i="11"/>
  <c r="AG57" i="11"/>
  <c r="AF57" i="11"/>
  <c r="AK56" i="11"/>
  <c r="AG56" i="11"/>
  <c r="AF56" i="11"/>
  <c r="AK55" i="11"/>
  <c r="AG55" i="11"/>
  <c r="AF55" i="11"/>
  <c r="AK54" i="11"/>
  <c r="AG54" i="11"/>
  <c r="AF54" i="11"/>
  <c r="AK47" i="11"/>
  <c r="AG47" i="11"/>
  <c r="AF47" i="11"/>
  <c r="AJ46" i="11"/>
  <c r="AI46" i="11"/>
  <c r="AK45" i="11"/>
  <c r="AG45" i="11"/>
  <c r="AF45" i="11"/>
  <c r="AK44" i="11"/>
  <c r="AG44" i="11"/>
  <c r="AF44" i="11"/>
  <c r="AK43" i="11"/>
  <c r="AG43" i="11"/>
  <c r="AF43" i="11"/>
  <c r="AK42" i="11"/>
  <c r="AG42" i="11"/>
  <c r="AF42" i="11"/>
  <c r="AK41" i="11"/>
  <c r="AG41" i="11"/>
  <c r="AF41" i="11"/>
  <c r="AK40" i="11"/>
  <c r="AG40" i="11"/>
  <c r="AF40" i="11"/>
  <c r="AK39" i="11"/>
  <c r="AG39" i="11"/>
  <c r="AF39" i="11"/>
  <c r="AK38" i="11"/>
  <c r="AG38" i="11"/>
  <c r="AF38" i="11"/>
  <c r="AK37" i="11"/>
  <c r="AG37" i="11"/>
  <c r="AF37" i="11"/>
  <c r="AK36" i="11"/>
  <c r="AG36" i="11"/>
  <c r="AF36" i="11"/>
  <c r="AK35" i="11"/>
  <c r="AG35" i="11"/>
  <c r="AF35" i="11"/>
  <c r="AK34" i="11"/>
  <c r="AG34" i="11"/>
  <c r="AF34" i="11"/>
  <c r="AK33" i="11"/>
  <c r="AG33" i="11"/>
  <c r="AF33" i="11"/>
  <c r="AK32" i="11"/>
  <c r="AG32" i="11"/>
  <c r="AF32" i="11"/>
  <c r="AK31" i="11"/>
  <c r="AG31" i="11"/>
  <c r="AF31" i="11"/>
  <c r="AK30" i="11"/>
  <c r="AG30" i="11"/>
  <c r="AF30" i="11"/>
  <c r="AK29" i="11"/>
  <c r="AG29" i="11"/>
  <c r="AF29" i="11"/>
  <c r="AK28" i="11"/>
  <c r="AG28" i="11"/>
  <c r="AF28" i="11"/>
  <c r="AK27" i="11"/>
  <c r="AG27" i="11"/>
  <c r="AF27" i="11"/>
  <c r="AJ26" i="11"/>
  <c r="AI26" i="11"/>
  <c r="AK26" i="11" s="1"/>
  <c r="AK25" i="11"/>
  <c r="AG25" i="11"/>
  <c r="AH25" i="11" s="1"/>
  <c r="AF25" i="11"/>
  <c r="AK24" i="11"/>
  <c r="AG24" i="11"/>
  <c r="AF24" i="11"/>
  <c r="AK23" i="11"/>
  <c r="AG23" i="11"/>
  <c r="AH23" i="11" s="1"/>
  <c r="AF23" i="11"/>
  <c r="AK22" i="11"/>
  <c r="AG22" i="11"/>
  <c r="AF22" i="11"/>
  <c r="AK21" i="11"/>
  <c r="AG21" i="11"/>
  <c r="AH21" i="11" s="1"/>
  <c r="AF21" i="11"/>
  <c r="AG20" i="11"/>
  <c r="AF20" i="11"/>
  <c r="AK19" i="11"/>
  <c r="AG19" i="11"/>
  <c r="AF19" i="11"/>
  <c r="AK18" i="11"/>
  <c r="AG18" i="11"/>
  <c r="AH18" i="11" s="1"/>
  <c r="AF18" i="11"/>
  <c r="AK17" i="11"/>
  <c r="AG17" i="11"/>
  <c r="AF17" i="11"/>
  <c r="AK16" i="11"/>
  <c r="AG16" i="11"/>
  <c r="AH16" i="11" s="1"/>
  <c r="AF16" i="11"/>
  <c r="AK15" i="11"/>
  <c r="AG15" i="11"/>
  <c r="AF15" i="11"/>
  <c r="AK14" i="11"/>
  <c r="AG14" i="11"/>
  <c r="AH14" i="11" s="1"/>
  <c r="AF14" i="11"/>
  <c r="AK13" i="11"/>
  <c r="AG13" i="11"/>
  <c r="AF13" i="11"/>
  <c r="AK12" i="11"/>
  <c r="AG12" i="11"/>
  <c r="AH12" i="11" s="1"/>
  <c r="AF12" i="11"/>
  <c r="AK11" i="11"/>
  <c r="AG11" i="11"/>
  <c r="AF11" i="11"/>
  <c r="AK10" i="11"/>
  <c r="AG10" i="11"/>
  <c r="AH10" i="11" s="1"/>
  <c r="AF10" i="11"/>
  <c r="AK9" i="11"/>
  <c r="AG9" i="11"/>
  <c r="AF9" i="11"/>
  <c r="AK8" i="11"/>
  <c r="AG8" i="11"/>
  <c r="AH8" i="11" s="1"/>
  <c r="AF8" i="11"/>
  <c r="AK7" i="11"/>
  <c r="AG7" i="11"/>
  <c r="AF7" i="11"/>
  <c r="AK6" i="11"/>
  <c r="AG6" i="11"/>
  <c r="AH6" i="11" s="1"/>
  <c r="AF6" i="11"/>
  <c r="AK5" i="11"/>
  <c r="AG5" i="11"/>
  <c r="AF5" i="11"/>
  <c r="AK344" i="10"/>
  <c r="AJ344" i="10"/>
  <c r="AL343" i="10"/>
  <c r="AH343" i="10"/>
  <c r="AG343" i="10"/>
  <c r="AK342" i="10"/>
  <c r="AJ342" i="10"/>
  <c r="AH341" i="10"/>
  <c r="AG341" i="10"/>
  <c r="AH340" i="10"/>
  <c r="AG340" i="10"/>
  <c r="AH339" i="10"/>
  <c r="AG339" i="10"/>
  <c r="AH338" i="10"/>
  <c r="AG338" i="10"/>
  <c r="AL337" i="10"/>
  <c r="AH337" i="10"/>
  <c r="AG337" i="10"/>
  <c r="AL336" i="10"/>
  <c r="AH336" i="10"/>
  <c r="AG336" i="10"/>
  <c r="AL335" i="10"/>
  <c r="AH335" i="10"/>
  <c r="AG335" i="10"/>
  <c r="AL334" i="10"/>
  <c r="AH334" i="10"/>
  <c r="AG334" i="10"/>
  <c r="AL333" i="10"/>
  <c r="AH333" i="10"/>
  <c r="AG333" i="10"/>
  <c r="AL332" i="10"/>
  <c r="AH332" i="10"/>
  <c r="AG332" i="10"/>
  <c r="AL331" i="10"/>
  <c r="AH331" i="10"/>
  <c r="AG331" i="10"/>
  <c r="AL330" i="10"/>
  <c r="AH330" i="10"/>
  <c r="AG330" i="10"/>
  <c r="AL329" i="10"/>
  <c r="AH329" i="10"/>
  <c r="AG329" i="10"/>
  <c r="AL328" i="10"/>
  <c r="AH328" i="10"/>
  <c r="AG328" i="10"/>
  <c r="AL327" i="10"/>
  <c r="AH327" i="10"/>
  <c r="AG327" i="10"/>
  <c r="AL326" i="10"/>
  <c r="AH326" i="10"/>
  <c r="AG326" i="10"/>
  <c r="AL325" i="10"/>
  <c r="AH325" i="10"/>
  <c r="AG325" i="10"/>
  <c r="AL324" i="10"/>
  <c r="AH324" i="10"/>
  <c r="AG324" i="10"/>
  <c r="AL323" i="10"/>
  <c r="AH323" i="10"/>
  <c r="AG323" i="10"/>
  <c r="AG344" i="10" s="1"/>
  <c r="AK322" i="10"/>
  <c r="AJ322" i="10"/>
  <c r="AL322" i="10" s="1"/>
  <c r="AH321" i="10"/>
  <c r="AG321" i="10"/>
  <c r="AH320" i="10"/>
  <c r="AG320" i="10"/>
  <c r="AH319" i="10"/>
  <c r="AG319" i="10"/>
  <c r="AH318" i="10"/>
  <c r="AG318" i="10"/>
  <c r="AH317" i="10"/>
  <c r="AG317" i="10"/>
  <c r="AH316" i="10"/>
  <c r="AG316" i="10"/>
  <c r="AH315" i="10"/>
  <c r="AG315" i="10"/>
  <c r="AL314" i="10"/>
  <c r="AH314" i="10"/>
  <c r="AG314" i="10"/>
  <c r="AH313" i="10"/>
  <c r="AG313" i="10"/>
  <c r="AH312" i="10"/>
  <c r="AG312" i="10"/>
  <c r="AL311" i="10"/>
  <c r="AH311" i="10"/>
  <c r="AG311" i="10"/>
  <c r="AL310" i="10"/>
  <c r="AH310" i="10"/>
  <c r="AG310" i="10"/>
  <c r="AL309" i="10"/>
  <c r="AH309" i="10"/>
  <c r="AG309" i="10"/>
  <c r="AL308" i="10"/>
  <c r="AH308" i="10"/>
  <c r="AI308" i="10" s="1"/>
  <c r="AG308" i="10"/>
  <c r="AL307" i="10"/>
  <c r="AH307" i="10"/>
  <c r="AG307" i="10"/>
  <c r="AL306" i="10"/>
  <c r="AH306" i="10"/>
  <c r="AG306" i="10"/>
  <c r="AL305" i="10"/>
  <c r="AH305" i="10"/>
  <c r="AG305" i="10"/>
  <c r="AL304" i="10"/>
  <c r="AH304" i="10"/>
  <c r="AI304" i="10" s="1"/>
  <c r="AG304" i="10"/>
  <c r="AK298" i="10"/>
  <c r="AJ298" i="10"/>
  <c r="AL297" i="10"/>
  <c r="AH297" i="10"/>
  <c r="AG297" i="10"/>
  <c r="AK296" i="10"/>
  <c r="AJ296" i="10"/>
  <c r="AH295" i="10"/>
  <c r="AG295" i="10"/>
  <c r="AH294" i="10"/>
  <c r="AG294" i="10"/>
  <c r="AH293" i="10"/>
  <c r="AG293" i="10"/>
  <c r="AL292" i="10"/>
  <c r="AH292" i="10"/>
  <c r="AG292" i="10"/>
  <c r="AL291" i="10"/>
  <c r="AH291" i="10"/>
  <c r="AG291" i="10"/>
  <c r="AL290" i="10"/>
  <c r="AH290" i="10"/>
  <c r="AG290" i="10"/>
  <c r="AL289" i="10"/>
  <c r="AH289" i="10"/>
  <c r="AG289" i="10"/>
  <c r="AL288" i="10"/>
  <c r="AH288" i="10"/>
  <c r="AG288" i="10"/>
  <c r="AL287" i="10"/>
  <c r="AH287" i="10"/>
  <c r="AG287" i="10"/>
  <c r="AL286" i="10"/>
  <c r="AH286" i="10"/>
  <c r="AG286" i="10"/>
  <c r="AL285" i="10"/>
  <c r="AH285" i="10"/>
  <c r="AG285" i="10"/>
  <c r="AL284" i="10"/>
  <c r="AH284" i="10"/>
  <c r="AG284" i="10"/>
  <c r="AL283" i="10"/>
  <c r="AH283" i="10"/>
  <c r="AG283" i="10"/>
  <c r="AL282" i="10"/>
  <c r="AH282" i="10"/>
  <c r="AG282" i="10"/>
  <c r="AL281" i="10"/>
  <c r="AH281" i="10"/>
  <c r="AG281" i="10"/>
  <c r="AL280" i="10"/>
  <c r="AH280" i="10"/>
  <c r="AG280" i="10"/>
  <c r="AL279" i="10"/>
  <c r="AH279" i="10"/>
  <c r="AG279" i="10"/>
  <c r="AL278" i="10"/>
  <c r="AH278" i="10"/>
  <c r="AG278" i="10"/>
  <c r="AL277" i="10"/>
  <c r="AH277" i="10"/>
  <c r="AH298" i="10" s="1"/>
  <c r="AG277" i="10"/>
  <c r="AG298" i="10" s="1"/>
  <c r="AK276" i="10"/>
  <c r="AJ276" i="10"/>
  <c r="AL275" i="10"/>
  <c r="AH275" i="10"/>
  <c r="AG275" i="10"/>
  <c r="AL274" i="10"/>
  <c r="AH274" i="10"/>
  <c r="AG274" i="10"/>
  <c r="AL273" i="10"/>
  <c r="AH273" i="10"/>
  <c r="AG273" i="10"/>
  <c r="AL272" i="10"/>
  <c r="AH272" i="10"/>
  <c r="AG272" i="10"/>
  <c r="AL271" i="10"/>
  <c r="AH271" i="10"/>
  <c r="AG271" i="10"/>
  <c r="AL270" i="10"/>
  <c r="AH270" i="10"/>
  <c r="AG270" i="10"/>
  <c r="AL269" i="10"/>
  <c r="AH269" i="10"/>
  <c r="AG269" i="10"/>
  <c r="AL268" i="10"/>
  <c r="AH268" i="10"/>
  <c r="AG268" i="10"/>
  <c r="AL267" i="10"/>
  <c r="AH267" i="10"/>
  <c r="AG267" i="10"/>
  <c r="AL266" i="10"/>
  <c r="AH266" i="10"/>
  <c r="AG266" i="10"/>
  <c r="AL265" i="10"/>
  <c r="AH265" i="10"/>
  <c r="AG265" i="10"/>
  <c r="AL264" i="10"/>
  <c r="AH264" i="10"/>
  <c r="AG264" i="10"/>
  <c r="AL263" i="10"/>
  <c r="AH263" i="10"/>
  <c r="AG263" i="10"/>
  <c r="AL262" i="10"/>
  <c r="AH262" i="10"/>
  <c r="AG262" i="10"/>
  <c r="AL261" i="10"/>
  <c r="AH261" i="10"/>
  <c r="AG261" i="10"/>
  <c r="AL260" i="10"/>
  <c r="AH260" i="10"/>
  <c r="AG260" i="10"/>
  <c r="AL259" i="10"/>
  <c r="AH259" i="10"/>
  <c r="AG259" i="10"/>
  <c r="AL258" i="10"/>
  <c r="AH258" i="10"/>
  <c r="AG258" i="10"/>
  <c r="AL257" i="10"/>
  <c r="AH257" i="10"/>
  <c r="AG257" i="10"/>
  <c r="AL256" i="10"/>
  <c r="AH256" i="10"/>
  <c r="AG256" i="10"/>
  <c r="AL255" i="10"/>
  <c r="AH255" i="10"/>
  <c r="AG255" i="10"/>
  <c r="AK247" i="10"/>
  <c r="AJ247" i="10"/>
  <c r="AL246" i="10"/>
  <c r="AH246" i="10"/>
  <c r="AG246" i="10"/>
  <c r="AK245" i="10"/>
  <c r="AJ245" i="10"/>
  <c r="AL244" i="10"/>
  <c r="AL243" i="10"/>
  <c r="AH243" i="10"/>
  <c r="AG243" i="10"/>
  <c r="AL242" i="10"/>
  <c r="AH242" i="10"/>
  <c r="AG242" i="10"/>
  <c r="AL241" i="10"/>
  <c r="AH241" i="10"/>
  <c r="AG241" i="10"/>
  <c r="AL240" i="10"/>
  <c r="AH240" i="10"/>
  <c r="AG240" i="10"/>
  <c r="AL239" i="10"/>
  <c r="AH239" i="10"/>
  <c r="AG239" i="10"/>
  <c r="AL238" i="10"/>
  <c r="AH238" i="10"/>
  <c r="AG238" i="10"/>
  <c r="AL237" i="10"/>
  <c r="AH237" i="10"/>
  <c r="AG237" i="10"/>
  <c r="AL236" i="10"/>
  <c r="AH236" i="10"/>
  <c r="AG236" i="10"/>
  <c r="AL235" i="10"/>
  <c r="AH235" i="10"/>
  <c r="AG235" i="10"/>
  <c r="AL234" i="10"/>
  <c r="AH234" i="10"/>
  <c r="AG234" i="10"/>
  <c r="AL233" i="10"/>
  <c r="AH233" i="10"/>
  <c r="AG233" i="10"/>
  <c r="AL232" i="10"/>
  <c r="AH232" i="10"/>
  <c r="AG232" i="10"/>
  <c r="AL231" i="10"/>
  <c r="AH231" i="10"/>
  <c r="AG231" i="10"/>
  <c r="AL230" i="10"/>
  <c r="AH230" i="10"/>
  <c r="AG230" i="10"/>
  <c r="AL229" i="10"/>
  <c r="AH229" i="10"/>
  <c r="AG229" i="10"/>
  <c r="AL228" i="10"/>
  <c r="AH228" i="10"/>
  <c r="AG228" i="10"/>
  <c r="AL227" i="10"/>
  <c r="AH227" i="10"/>
  <c r="AG227" i="10"/>
  <c r="AL226" i="10"/>
  <c r="AH226" i="10"/>
  <c r="AG226" i="10"/>
  <c r="AL225" i="10"/>
  <c r="AH225" i="10"/>
  <c r="AG225" i="10"/>
  <c r="AG247" i="10" s="1"/>
  <c r="AK224" i="10"/>
  <c r="AJ224" i="10"/>
  <c r="AH223" i="10"/>
  <c r="AG223" i="10"/>
  <c r="AL222" i="10"/>
  <c r="AH222" i="10"/>
  <c r="AG222" i="10"/>
  <c r="AL221" i="10"/>
  <c r="AH221" i="10"/>
  <c r="AG221" i="10"/>
  <c r="AL220" i="10"/>
  <c r="AH220" i="10"/>
  <c r="AG220" i="10"/>
  <c r="AL219" i="10"/>
  <c r="AH219" i="10"/>
  <c r="AG219" i="10"/>
  <c r="AL218" i="10"/>
  <c r="AH218" i="10"/>
  <c r="AG218" i="10"/>
  <c r="AL217" i="10"/>
  <c r="AH217" i="10"/>
  <c r="AG217" i="10"/>
  <c r="AL216" i="10"/>
  <c r="AH216" i="10"/>
  <c r="AG216" i="10"/>
  <c r="AL215" i="10"/>
  <c r="AH215" i="10"/>
  <c r="AG215" i="10"/>
  <c r="AL214" i="10"/>
  <c r="AH214" i="10"/>
  <c r="AG214" i="10"/>
  <c r="AL213" i="10"/>
  <c r="AH213" i="10"/>
  <c r="AG213" i="10"/>
  <c r="AL212" i="10"/>
  <c r="AH212" i="10"/>
  <c r="AG212" i="10"/>
  <c r="AK206" i="10"/>
  <c r="AJ206" i="10"/>
  <c r="AL205" i="10"/>
  <c r="AH205" i="10"/>
  <c r="AG205" i="10"/>
  <c r="AK204" i="10"/>
  <c r="AJ204" i="10"/>
  <c r="AL203" i="10"/>
  <c r="AH203" i="10"/>
  <c r="AG203" i="10"/>
  <c r="AL202" i="10"/>
  <c r="AH202" i="10"/>
  <c r="AG202" i="10"/>
  <c r="AL201" i="10"/>
  <c r="AH201" i="10"/>
  <c r="AG201" i="10"/>
  <c r="AL200" i="10"/>
  <c r="AH200" i="10"/>
  <c r="AG200" i="10"/>
  <c r="AL199" i="10"/>
  <c r="AH199" i="10"/>
  <c r="AG199" i="10"/>
  <c r="AL198" i="10"/>
  <c r="AH198" i="10"/>
  <c r="AG198" i="10"/>
  <c r="AL197" i="10"/>
  <c r="AH197" i="10"/>
  <c r="AG197" i="10"/>
  <c r="AL196" i="10"/>
  <c r="AH196" i="10"/>
  <c r="AG196" i="10"/>
  <c r="AL195" i="10"/>
  <c r="AH195" i="10"/>
  <c r="AG195" i="10"/>
  <c r="AL194" i="10"/>
  <c r="AH194" i="10"/>
  <c r="AG194" i="10"/>
  <c r="AL193" i="10"/>
  <c r="AH193" i="10"/>
  <c r="AG193" i="10"/>
  <c r="AL192" i="10"/>
  <c r="AH192" i="10"/>
  <c r="AG192" i="10"/>
  <c r="AL191" i="10"/>
  <c r="AH191" i="10"/>
  <c r="AG191" i="10"/>
  <c r="AL190" i="10"/>
  <c r="AH190" i="10"/>
  <c r="AG190" i="10"/>
  <c r="AL189" i="10"/>
  <c r="AH189" i="10"/>
  <c r="AG189" i="10"/>
  <c r="AL188" i="10"/>
  <c r="AH188" i="10"/>
  <c r="AG188" i="10"/>
  <c r="AL187" i="10"/>
  <c r="AH187" i="10"/>
  <c r="AG187" i="10"/>
  <c r="AL186" i="10"/>
  <c r="AH186" i="10"/>
  <c r="AG186" i="10"/>
  <c r="AL185" i="10"/>
  <c r="AH185" i="10"/>
  <c r="AG185" i="10"/>
  <c r="AL184" i="10"/>
  <c r="AH184" i="10"/>
  <c r="AG184" i="10"/>
  <c r="AL183" i="10"/>
  <c r="AH183" i="10"/>
  <c r="AG183" i="10"/>
  <c r="AL182" i="10"/>
  <c r="AH182" i="10"/>
  <c r="AG182" i="10"/>
  <c r="AL181" i="10"/>
  <c r="AH181" i="10"/>
  <c r="AG181" i="10"/>
  <c r="AL180" i="10"/>
  <c r="AH180" i="10"/>
  <c r="AG180" i="10"/>
  <c r="AL179" i="10"/>
  <c r="AH179" i="10"/>
  <c r="AG179" i="10"/>
  <c r="AK178" i="10"/>
  <c r="AJ178" i="10"/>
  <c r="AL177" i="10"/>
  <c r="AH177" i="10"/>
  <c r="AG177" i="10"/>
  <c r="AL176" i="10"/>
  <c r="AH176" i="10"/>
  <c r="AG176" i="10"/>
  <c r="AL175" i="10"/>
  <c r="AH175" i="10"/>
  <c r="AG175" i="10"/>
  <c r="AL174" i="10"/>
  <c r="AH174" i="10"/>
  <c r="AG174" i="10"/>
  <c r="AL173" i="10"/>
  <c r="AH173" i="10"/>
  <c r="AG173" i="10"/>
  <c r="AL172" i="10"/>
  <c r="AH172" i="10"/>
  <c r="AG172" i="10"/>
  <c r="AL171" i="10"/>
  <c r="AH171" i="10"/>
  <c r="AG171" i="10"/>
  <c r="AL170" i="10"/>
  <c r="AH170" i="10"/>
  <c r="AG170" i="10"/>
  <c r="AL169" i="10"/>
  <c r="AH169" i="10"/>
  <c r="AG169" i="10"/>
  <c r="AL168" i="10"/>
  <c r="AH168" i="10"/>
  <c r="AG168" i="10"/>
  <c r="AL167" i="10"/>
  <c r="AH167" i="10"/>
  <c r="AG167" i="10"/>
  <c r="AL166" i="10"/>
  <c r="AH166" i="10"/>
  <c r="AG166" i="10"/>
  <c r="AL165" i="10"/>
  <c r="AH165" i="10"/>
  <c r="AG165" i="10"/>
  <c r="AL164" i="10"/>
  <c r="AH164" i="10"/>
  <c r="AG164" i="10"/>
  <c r="AL163" i="10"/>
  <c r="AH163" i="10"/>
  <c r="AG163" i="10"/>
  <c r="AL162" i="10"/>
  <c r="AH162" i="10"/>
  <c r="AG162" i="10"/>
  <c r="AK154" i="10"/>
  <c r="AJ154" i="10"/>
  <c r="AL153" i="10"/>
  <c r="AH153" i="10"/>
  <c r="AG153" i="10"/>
  <c r="AK152" i="10"/>
  <c r="AJ152" i="10"/>
  <c r="AH151" i="10"/>
  <c r="AG151" i="10"/>
  <c r="AL150" i="10"/>
  <c r="AH150" i="10"/>
  <c r="AG150" i="10"/>
  <c r="AL149" i="10"/>
  <c r="AH149" i="10"/>
  <c r="AG149" i="10"/>
  <c r="AH148" i="10"/>
  <c r="AG148" i="10"/>
  <c r="AL147" i="10"/>
  <c r="AH147" i="10"/>
  <c r="AG147" i="10"/>
  <c r="AL146" i="10"/>
  <c r="AH146" i="10"/>
  <c r="AG146" i="10"/>
  <c r="AL145" i="10"/>
  <c r="AH145" i="10"/>
  <c r="AG145" i="10"/>
  <c r="AL144" i="10"/>
  <c r="AH144" i="10"/>
  <c r="AG144" i="10"/>
  <c r="AL143" i="10"/>
  <c r="AH143" i="10"/>
  <c r="AG143" i="10"/>
  <c r="AL142" i="10"/>
  <c r="AH142" i="10"/>
  <c r="AG142" i="10"/>
  <c r="AL141" i="10"/>
  <c r="AH141" i="10"/>
  <c r="AG141" i="10"/>
  <c r="AL140" i="10"/>
  <c r="AH140" i="10"/>
  <c r="AG140" i="10"/>
  <c r="AL139" i="10"/>
  <c r="AH139" i="10"/>
  <c r="AG139" i="10"/>
  <c r="AL138" i="10"/>
  <c r="AH138" i="10"/>
  <c r="AG138" i="10"/>
  <c r="AL137" i="10"/>
  <c r="AH137" i="10"/>
  <c r="AG137" i="10"/>
  <c r="AL136" i="10"/>
  <c r="AH136" i="10"/>
  <c r="AG136" i="10"/>
  <c r="AL135" i="10"/>
  <c r="AH135" i="10"/>
  <c r="AG135" i="10"/>
  <c r="AL134" i="10"/>
  <c r="AH134" i="10"/>
  <c r="AG134" i="10"/>
  <c r="AL133" i="10"/>
  <c r="AH133" i="10"/>
  <c r="AG133" i="10"/>
  <c r="AL132" i="10"/>
  <c r="AH132" i="10"/>
  <c r="AG132" i="10"/>
  <c r="AL131" i="10"/>
  <c r="AH131" i="10"/>
  <c r="AG131" i="10"/>
  <c r="AL130" i="10"/>
  <c r="AH130" i="10"/>
  <c r="AG130" i="10"/>
  <c r="AK129" i="10"/>
  <c r="AJ129" i="10"/>
  <c r="AH128" i="10"/>
  <c r="AG128" i="10"/>
  <c r="AH127" i="10"/>
  <c r="AG127" i="10"/>
  <c r="AL126" i="10"/>
  <c r="AH126" i="10"/>
  <c r="AG126" i="10"/>
  <c r="AL125" i="10"/>
  <c r="AH125" i="10"/>
  <c r="AG125" i="10"/>
  <c r="AL124" i="10"/>
  <c r="AH124" i="10"/>
  <c r="AG124" i="10"/>
  <c r="AL123" i="10"/>
  <c r="AH123" i="10"/>
  <c r="AG123" i="10"/>
  <c r="AH122" i="10"/>
  <c r="AG122" i="10"/>
  <c r="AL121" i="10"/>
  <c r="AH121" i="10"/>
  <c r="AG121" i="10"/>
  <c r="AL120" i="10"/>
  <c r="AH120" i="10"/>
  <c r="AG120" i="10"/>
  <c r="AL119" i="10"/>
  <c r="AH119" i="10"/>
  <c r="AG119" i="10"/>
  <c r="AL118" i="10"/>
  <c r="AH118" i="10"/>
  <c r="AG118" i="10"/>
  <c r="AL117" i="10"/>
  <c r="AH117" i="10"/>
  <c r="AG117" i="10"/>
  <c r="AL116" i="10"/>
  <c r="AH116" i="10"/>
  <c r="AG116" i="10"/>
  <c r="AL115" i="10"/>
  <c r="AH115" i="10"/>
  <c r="AG115" i="10"/>
  <c r="AL114" i="10"/>
  <c r="AH114" i="10"/>
  <c r="AG114" i="10"/>
  <c r="AL113" i="10"/>
  <c r="AH113" i="10"/>
  <c r="AG113" i="10"/>
  <c r="AL112" i="10"/>
  <c r="AH112" i="10"/>
  <c r="AG112" i="10"/>
  <c r="AL111" i="10"/>
  <c r="AH111" i="10"/>
  <c r="AG111" i="10"/>
  <c r="AL105" i="10"/>
  <c r="AH105" i="10"/>
  <c r="AG105" i="10"/>
  <c r="AK104" i="10"/>
  <c r="AJ104" i="10"/>
  <c r="AH103" i="10"/>
  <c r="AG103" i="10"/>
  <c r="AH102" i="10"/>
  <c r="AG102" i="10"/>
  <c r="AL101" i="10"/>
  <c r="AH101" i="10"/>
  <c r="AG101" i="10"/>
  <c r="AL100" i="10"/>
  <c r="AH100" i="10"/>
  <c r="AG100" i="10"/>
  <c r="AL99" i="10"/>
  <c r="AH99" i="10"/>
  <c r="AG99" i="10"/>
  <c r="AL98" i="10"/>
  <c r="AH98" i="10"/>
  <c r="AG98" i="10"/>
  <c r="AL97" i="10"/>
  <c r="AH97" i="10"/>
  <c r="AG97" i="10"/>
  <c r="AL96" i="10"/>
  <c r="AH96" i="10"/>
  <c r="AG96" i="10"/>
  <c r="AH95" i="10"/>
  <c r="AG95" i="10"/>
  <c r="AL94" i="10"/>
  <c r="AH94" i="10"/>
  <c r="AG94" i="10"/>
  <c r="AL93" i="10"/>
  <c r="AH93" i="10"/>
  <c r="AG93" i="10"/>
  <c r="AL92" i="10"/>
  <c r="AH92" i="10"/>
  <c r="AG92" i="10"/>
  <c r="AL91" i="10"/>
  <c r="AH91" i="10"/>
  <c r="AH154" i="10" s="1"/>
  <c r="AG91" i="10"/>
  <c r="AK90" i="10"/>
  <c r="AJ90" i="10"/>
  <c r="AH89" i="10"/>
  <c r="AG89" i="10"/>
  <c r="AH88" i="10"/>
  <c r="AG88" i="10"/>
  <c r="AH87" i="10"/>
  <c r="AG87" i="10"/>
  <c r="AH86" i="10"/>
  <c r="AG86" i="10"/>
  <c r="AH85" i="10"/>
  <c r="AG85" i="10"/>
  <c r="AL84" i="10"/>
  <c r="AH84" i="10"/>
  <c r="AG84" i="10"/>
  <c r="AL83" i="10"/>
  <c r="AH83" i="10"/>
  <c r="AG83" i="10"/>
  <c r="AH82" i="10"/>
  <c r="AG82" i="10"/>
  <c r="AL81" i="10"/>
  <c r="AH81" i="10"/>
  <c r="AG81" i="10"/>
  <c r="AL80" i="10"/>
  <c r="AH80" i="10"/>
  <c r="AG80" i="10"/>
  <c r="AL79" i="10"/>
  <c r="AH79" i="10"/>
  <c r="AG79" i="10"/>
  <c r="AL78" i="10"/>
  <c r="AH78" i="10"/>
  <c r="AG78" i="10"/>
  <c r="AL77" i="10"/>
  <c r="AH77" i="10"/>
  <c r="AG77" i="10"/>
  <c r="AH76" i="10"/>
  <c r="AG76" i="10"/>
  <c r="AL75" i="10"/>
  <c r="AH75" i="10"/>
  <c r="AG75" i="10"/>
  <c r="AL74" i="10"/>
  <c r="AH74" i="10"/>
  <c r="AG74" i="10"/>
  <c r="AL73" i="10"/>
  <c r="AH73" i="10"/>
  <c r="AG73" i="10"/>
  <c r="AL72" i="10"/>
  <c r="AH72" i="10"/>
  <c r="AG72" i="10"/>
  <c r="AL71" i="10"/>
  <c r="AH71" i="10"/>
  <c r="AG71" i="10"/>
  <c r="AL70" i="10"/>
  <c r="AH70" i="10"/>
  <c r="AG70" i="10"/>
  <c r="AL69" i="10"/>
  <c r="AH69" i="10"/>
  <c r="AG69" i="10"/>
  <c r="AL68" i="10"/>
  <c r="AH68" i="10"/>
  <c r="AG68" i="10"/>
  <c r="AL67" i="10"/>
  <c r="AH67" i="10"/>
  <c r="AG67" i="10"/>
  <c r="AL66" i="10"/>
  <c r="AH66" i="10"/>
  <c r="AG66" i="10"/>
  <c r="AK60" i="10"/>
  <c r="AJ60" i="10"/>
  <c r="AL59" i="10"/>
  <c r="AH59" i="10"/>
  <c r="AG59" i="10"/>
  <c r="AK58" i="10"/>
  <c r="AJ58" i="10"/>
  <c r="AH57" i="10"/>
  <c r="AG57" i="10"/>
  <c r="AL56" i="10"/>
  <c r="AH56" i="10"/>
  <c r="AG56" i="10"/>
  <c r="AH55" i="10"/>
  <c r="AG55" i="10"/>
  <c r="AL54" i="10"/>
  <c r="AH54" i="10"/>
  <c r="AG54" i="10"/>
  <c r="AH53" i="10"/>
  <c r="AG53" i="10"/>
  <c r="AL52" i="10"/>
  <c r="AH52" i="10"/>
  <c r="AG52" i="10"/>
  <c r="AL51" i="10"/>
  <c r="AH51" i="10"/>
  <c r="AG51" i="10"/>
  <c r="AL50" i="10"/>
  <c r="AH50" i="10"/>
  <c r="AG50" i="10"/>
  <c r="AL49" i="10"/>
  <c r="AH49" i="10"/>
  <c r="AG49" i="10"/>
  <c r="AL48" i="10"/>
  <c r="AH48" i="10"/>
  <c r="AG48" i="10"/>
  <c r="AK47" i="10"/>
  <c r="AJ47" i="10"/>
  <c r="AH46" i="10"/>
  <c r="AG46" i="10"/>
  <c r="AH45" i="10"/>
  <c r="AG45" i="10"/>
  <c r="AL44" i="10"/>
  <c r="AH44" i="10"/>
  <c r="AG44" i="10"/>
  <c r="AL43" i="10"/>
  <c r="AH43" i="10"/>
  <c r="AG43" i="10"/>
  <c r="AL42" i="10"/>
  <c r="AH42" i="10"/>
  <c r="AG42" i="10"/>
  <c r="AL41" i="10"/>
  <c r="AH41" i="10"/>
  <c r="AG41" i="10"/>
  <c r="AL40" i="10"/>
  <c r="AH40" i="10"/>
  <c r="AG40" i="10"/>
  <c r="AL39" i="10"/>
  <c r="AH39" i="10"/>
  <c r="AG39" i="10"/>
  <c r="AL38" i="10"/>
  <c r="AH38" i="10"/>
  <c r="AG38" i="10"/>
  <c r="AL37" i="10"/>
  <c r="AH37" i="10"/>
  <c r="AG37" i="10"/>
  <c r="AL36" i="10"/>
  <c r="AH36" i="10"/>
  <c r="AG36" i="10"/>
  <c r="AL35" i="10"/>
  <c r="AH35" i="10"/>
  <c r="AG35" i="10"/>
  <c r="AL34" i="10"/>
  <c r="AH34" i="10"/>
  <c r="AG34" i="10"/>
  <c r="AL33" i="10"/>
  <c r="AH33" i="10"/>
  <c r="AG33" i="10"/>
  <c r="AL32" i="10"/>
  <c r="AH32" i="10"/>
  <c r="AG32" i="10"/>
  <c r="AL31" i="10"/>
  <c r="AH31" i="10"/>
  <c r="AG31" i="10"/>
  <c r="AL30" i="10"/>
  <c r="AH30" i="10"/>
  <c r="AG30" i="10"/>
  <c r="AL29" i="10"/>
  <c r="AH29" i="10"/>
  <c r="AG29" i="10"/>
  <c r="AL28" i="10"/>
  <c r="AH28" i="10"/>
  <c r="AG28" i="10"/>
  <c r="AK27" i="10"/>
  <c r="AJ27" i="10"/>
  <c r="AH26" i="10"/>
  <c r="AG26" i="10"/>
  <c r="AL25" i="10"/>
  <c r="AH25" i="10"/>
  <c r="AG25" i="10"/>
  <c r="AH24" i="10"/>
  <c r="AG24" i="10"/>
  <c r="AL23" i="10"/>
  <c r="AH23" i="10"/>
  <c r="AG23" i="10"/>
  <c r="AL22" i="10"/>
  <c r="AH22" i="10"/>
  <c r="AG22" i="10"/>
  <c r="AL21" i="10"/>
  <c r="AH21" i="10"/>
  <c r="AG21" i="10"/>
  <c r="AL20" i="10"/>
  <c r="AH20" i="10"/>
  <c r="AG20" i="10"/>
  <c r="AL19" i="10"/>
  <c r="AH19" i="10"/>
  <c r="AG19" i="10"/>
  <c r="AL18" i="10"/>
  <c r="AH18" i="10"/>
  <c r="AG18" i="10"/>
  <c r="AL17" i="10"/>
  <c r="AH17" i="10"/>
  <c r="AG17" i="10"/>
  <c r="AL16" i="10"/>
  <c r="AH16" i="10"/>
  <c r="AG16" i="10"/>
  <c r="AL15" i="10"/>
  <c r="AH15" i="10"/>
  <c r="AG15" i="10"/>
  <c r="AL14" i="10"/>
  <c r="AH14" i="10"/>
  <c r="AG14" i="10"/>
  <c r="AL13" i="10"/>
  <c r="AH13" i="10"/>
  <c r="AG13" i="10"/>
  <c r="AL12" i="10"/>
  <c r="AH12" i="10"/>
  <c r="AG12" i="10"/>
  <c r="AK11" i="10"/>
  <c r="AJ11" i="10"/>
  <c r="AH10" i="10"/>
  <c r="AG10" i="10"/>
  <c r="AL9" i="10"/>
  <c r="AH9" i="10"/>
  <c r="AG9" i="10"/>
  <c r="AH8" i="10"/>
  <c r="AG8" i="10"/>
  <c r="AH7" i="10"/>
  <c r="AG7" i="10"/>
  <c r="AL6" i="10"/>
  <c r="AH6" i="10"/>
  <c r="AG6" i="10"/>
  <c r="AL5" i="10"/>
  <c r="AH5" i="10"/>
  <c r="AG5" i="10"/>
  <c r="AU60" i="10" l="1"/>
  <c r="AH29" i="11"/>
  <c r="AH33" i="11"/>
  <c r="AH37" i="11"/>
  <c r="AH41" i="11"/>
  <c r="AH123" i="11"/>
  <c r="AH130" i="11"/>
  <c r="AK183" i="11"/>
  <c r="AH6" i="14"/>
  <c r="AH23" i="14"/>
  <c r="AH27" i="14"/>
  <c r="AN24" i="7"/>
  <c r="AN44" i="7"/>
  <c r="AN48" i="7"/>
  <c r="AN52" i="7"/>
  <c r="AN56" i="7"/>
  <c r="AQ62" i="7"/>
  <c r="AN91" i="7"/>
  <c r="AN95" i="7"/>
  <c r="AN99" i="7"/>
  <c r="AN102" i="7"/>
  <c r="AN106" i="7"/>
  <c r="AN118" i="7"/>
  <c r="AL155" i="7"/>
  <c r="AN139" i="7"/>
  <c r="AN143" i="7"/>
  <c r="AN147" i="7"/>
  <c r="AN150" i="7"/>
  <c r="AN154" i="7"/>
  <c r="AN247" i="7"/>
  <c r="AL265" i="7"/>
  <c r="AN256" i="7"/>
  <c r="AQ6" i="1"/>
  <c r="AO17" i="1"/>
  <c r="AO26" i="1"/>
  <c r="AO29" i="1"/>
  <c r="AO38" i="1"/>
  <c r="AQ48" i="1"/>
  <c r="AQ51" i="1"/>
  <c r="AQ63" i="1"/>
  <c r="AQ72" i="1"/>
  <c r="AQ75" i="1"/>
  <c r="AQ81" i="1"/>
  <c r="AQ90" i="1"/>
  <c r="AQ93" i="1"/>
  <c r="AQ102" i="1"/>
  <c r="AU61" i="1"/>
  <c r="AU62" i="1" s="1"/>
  <c r="AU41" i="1"/>
  <c r="AQ6" i="2"/>
  <c r="AO20" i="2"/>
  <c r="AO23" i="2"/>
  <c r="AO38" i="2"/>
  <c r="AU31" i="2"/>
  <c r="AU32" i="2" s="1"/>
  <c r="AU11" i="2"/>
  <c r="AO58" i="8"/>
  <c r="AO65" i="8"/>
  <c r="AN22" i="9"/>
  <c r="AN31" i="9"/>
  <c r="AO24" i="10"/>
  <c r="AO119" i="10"/>
  <c r="AO311" i="10"/>
  <c r="AO316" i="10"/>
  <c r="AO331" i="10"/>
  <c r="AN65" i="11"/>
  <c r="AW10" i="2"/>
  <c r="AV11" i="2"/>
  <c r="AW11" i="2" s="1"/>
  <c r="AV31" i="2"/>
  <c r="AV61" i="2"/>
  <c r="AV41" i="2"/>
  <c r="AW40" i="2"/>
  <c r="AW9" i="1"/>
  <c r="AV30" i="1"/>
  <c r="AW30" i="1" s="1"/>
  <c r="AW39" i="1"/>
  <c r="AV60" i="1"/>
  <c r="AW60" i="1" s="1"/>
  <c r="AI51" i="10"/>
  <c r="AI54" i="10"/>
  <c r="AH27" i="11"/>
  <c r="AH31" i="11"/>
  <c r="AH35" i="11"/>
  <c r="AH39" i="11"/>
  <c r="AK46" i="11"/>
  <c r="AH56" i="11"/>
  <c r="AH60" i="11"/>
  <c r="AH64" i="11"/>
  <c r="AH71" i="11"/>
  <c r="AH75" i="11"/>
  <c r="AH78" i="11"/>
  <c r="AK122" i="11"/>
  <c r="AH125" i="11"/>
  <c r="AH128" i="11"/>
  <c r="AH132" i="11"/>
  <c r="AH21" i="14"/>
  <c r="AH25" i="14"/>
  <c r="AK34" i="14"/>
  <c r="AF15" i="16"/>
  <c r="AN46" i="7"/>
  <c r="AN50" i="7"/>
  <c r="AN54" i="7"/>
  <c r="AN58" i="7"/>
  <c r="AN63" i="7"/>
  <c r="AN100" i="7"/>
  <c r="AN108" i="7"/>
  <c r="AN124" i="7"/>
  <c r="AN163" i="7"/>
  <c r="AN167" i="7"/>
  <c r="AN205" i="7"/>
  <c r="AN209" i="7"/>
  <c r="AN225" i="7"/>
  <c r="AN229" i="7"/>
  <c r="AN233" i="7"/>
  <c r="AN237" i="7"/>
  <c r="AN241" i="7"/>
  <c r="AN245" i="7"/>
  <c r="AN258" i="7"/>
  <c r="AQ15" i="1"/>
  <c r="AQ24" i="1"/>
  <c r="AQ27" i="1"/>
  <c r="AQ36" i="1"/>
  <c r="AO65" i="1"/>
  <c r="AO74" i="1"/>
  <c r="AO83" i="1"/>
  <c r="AO92" i="1"/>
  <c r="AT101" i="1"/>
  <c r="AO104" i="1"/>
  <c r="AU31" i="1"/>
  <c r="AU32" i="1" s="1"/>
  <c r="AU11" i="1"/>
  <c r="AO8" i="2"/>
  <c r="AQ18" i="2"/>
  <c r="AQ21" i="2"/>
  <c r="AQ33" i="2"/>
  <c r="AQ36" i="2"/>
  <c r="AO50" i="2"/>
  <c r="AT77" i="2"/>
  <c r="AT83" i="2"/>
  <c r="AO92" i="2"/>
  <c r="AO98" i="2"/>
  <c r="AO101" i="2"/>
  <c r="AU61" i="2"/>
  <c r="AU62" i="2" s="1"/>
  <c r="AU41" i="2"/>
  <c r="AO19" i="8"/>
  <c r="AO56" i="8"/>
  <c r="AO64" i="8"/>
  <c r="AO91" i="8"/>
  <c r="AN20" i="9"/>
  <c r="AN25" i="9"/>
  <c r="AN29" i="9"/>
  <c r="AN39" i="9"/>
  <c r="AO76" i="10"/>
  <c r="AO99" i="10"/>
  <c r="AO117" i="10"/>
  <c r="AO124" i="10"/>
  <c r="AO176" i="10"/>
  <c r="AO333" i="10"/>
  <c r="AN34" i="11"/>
  <c r="AN86" i="11"/>
  <c r="AN116" i="11"/>
  <c r="AN8" i="14"/>
  <c r="AN20" i="14"/>
  <c r="CC35" i="12"/>
  <c r="G231" i="20"/>
  <c r="AV31" i="1"/>
  <c r="AW10" i="1"/>
  <c r="AV11" i="1"/>
  <c r="AW11" i="1" s="1"/>
  <c r="AW40" i="1"/>
  <c r="AV41" i="1"/>
  <c r="AW41" i="1" s="1"/>
  <c r="AV61" i="1"/>
  <c r="AN22" i="14"/>
  <c r="AN30" i="14"/>
  <c r="CA15" i="12"/>
  <c r="CA23" i="12"/>
  <c r="CA25" i="12"/>
  <c r="CA38" i="12"/>
  <c r="E221" i="20"/>
  <c r="AW9" i="2"/>
  <c r="AV30" i="2"/>
  <c r="AW30" i="2" s="1"/>
  <c r="AV60" i="2"/>
  <c r="AW60" i="2" s="1"/>
  <c r="AW39" i="2"/>
  <c r="E222" i="20"/>
  <c r="G223" i="20"/>
  <c r="E229" i="20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AS8" i="13"/>
  <c r="AS11" i="13"/>
  <c r="AS14" i="13"/>
  <c r="AS17" i="13"/>
  <c r="AS20" i="13"/>
  <c r="AS23" i="13"/>
  <c r="AS26" i="13"/>
  <c r="AS41" i="13"/>
  <c r="AS44" i="13"/>
  <c r="AS47" i="13"/>
  <c r="AS50" i="13"/>
  <c r="AS53" i="13"/>
  <c r="AS56" i="13"/>
  <c r="AU6" i="13"/>
  <c r="AU9" i="13"/>
  <c r="AU12" i="13"/>
  <c r="AU15" i="13"/>
  <c r="AU18" i="13"/>
  <c r="AU21" i="13"/>
  <c r="AU24" i="13"/>
  <c r="AU36" i="13"/>
  <c r="AU39" i="13"/>
  <c r="AU42" i="13"/>
  <c r="AU45" i="13"/>
  <c r="AU48" i="13"/>
  <c r="AU51" i="13"/>
  <c r="AU54" i="13"/>
  <c r="AS38" i="13"/>
  <c r="AT8" i="13"/>
  <c r="AU8" i="13" s="1"/>
  <c r="AU7" i="13"/>
  <c r="AU10" i="13"/>
  <c r="AT11" i="13"/>
  <c r="AU11" i="13" s="1"/>
  <c r="AT14" i="13"/>
  <c r="AU13" i="13"/>
  <c r="AT17" i="13"/>
  <c r="AU17" i="13" s="1"/>
  <c r="AU16" i="13"/>
  <c r="AT20" i="13"/>
  <c r="AU19" i="13"/>
  <c r="AT23" i="13"/>
  <c r="AU23" i="13" s="1"/>
  <c r="AU22" i="13"/>
  <c r="AT26" i="13"/>
  <c r="AU25" i="13"/>
  <c r="AT38" i="13"/>
  <c r="AU37" i="13"/>
  <c r="AT41" i="13"/>
  <c r="AU41" i="13" s="1"/>
  <c r="AU40" i="13"/>
  <c r="AT44" i="13"/>
  <c r="AU43" i="13"/>
  <c r="AT47" i="13"/>
  <c r="AU47" i="13" s="1"/>
  <c r="AU46" i="13"/>
  <c r="AT50" i="13"/>
  <c r="AU50" i="13" s="1"/>
  <c r="AU49" i="13"/>
  <c r="AT53" i="13"/>
  <c r="AU53" i="13" s="1"/>
  <c r="AU52" i="13"/>
  <c r="AT56" i="13"/>
  <c r="AU55" i="13"/>
  <c r="E219" i="20"/>
  <c r="E220" i="20"/>
  <c r="G221" i="20"/>
  <c r="E227" i="20"/>
  <c r="E228" i="20"/>
  <c r="G229" i="20"/>
  <c r="G233" i="20"/>
  <c r="G239" i="20"/>
  <c r="C238" i="23"/>
  <c r="B23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AG239" i="24"/>
  <c r="D239" i="23"/>
  <c r="E234" i="23"/>
  <c r="E235" i="23"/>
  <c r="E233" i="23"/>
  <c r="G230" i="23"/>
  <c r="G235" i="23"/>
  <c r="G225" i="23"/>
  <c r="G226" i="23"/>
  <c r="G227" i="23"/>
  <c r="E230" i="23"/>
  <c r="E236" i="23"/>
  <c r="G228" i="23"/>
  <c r="G236" i="23"/>
  <c r="G237" i="23"/>
  <c r="E225" i="23"/>
  <c r="E226" i="23"/>
  <c r="E227" i="23"/>
  <c r="E228" i="23"/>
  <c r="E237" i="23"/>
  <c r="E229" i="23"/>
  <c r="G232" i="23"/>
  <c r="G229" i="23"/>
  <c r="G239" i="23"/>
  <c r="G233" i="23"/>
  <c r="G234" i="23"/>
  <c r="E231" i="23"/>
  <c r="E232" i="23"/>
  <c r="G231" i="23"/>
  <c r="E209" i="20"/>
  <c r="E210" i="20"/>
  <c r="E211" i="20"/>
  <c r="E212" i="20"/>
  <c r="E213" i="20"/>
  <c r="E214" i="20"/>
  <c r="E239" i="20"/>
  <c r="E230" i="20"/>
  <c r="E233" i="20"/>
  <c r="E234" i="20"/>
  <c r="G234" i="20"/>
  <c r="G218" i="20"/>
  <c r="G232" i="20"/>
  <c r="G236" i="20"/>
  <c r="G209" i="20"/>
  <c r="G210" i="20"/>
  <c r="G211" i="20"/>
  <c r="G212" i="20"/>
  <c r="G213" i="20"/>
  <c r="G214" i="20"/>
  <c r="G215" i="20"/>
  <c r="G216" i="20"/>
  <c r="G217" i="20"/>
  <c r="E223" i="20"/>
  <c r="E224" i="20"/>
  <c r="G225" i="20"/>
  <c r="G237" i="20"/>
  <c r="C238" i="20"/>
  <c r="E236" i="20"/>
  <c r="G222" i="20"/>
  <c r="G220" i="20"/>
  <c r="E215" i="20"/>
  <c r="E216" i="20"/>
  <c r="E217" i="20"/>
  <c r="E218" i="20"/>
  <c r="G219" i="20"/>
  <c r="E225" i="20"/>
  <c r="E226" i="20"/>
  <c r="G227" i="20"/>
  <c r="E237" i="20"/>
  <c r="B238" i="20"/>
  <c r="E231" i="20"/>
  <c r="E235" i="20"/>
  <c r="G226" i="20"/>
  <c r="G224" i="20"/>
  <c r="E232" i="20"/>
  <c r="G230" i="20"/>
  <c r="G228" i="20"/>
  <c r="G235" i="20"/>
  <c r="AH17" i="16"/>
  <c r="AH83" i="11"/>
  <c r="AH89" i="11"/>
  <c r="AK139" i="11"/>
  <c r="AH184" i="11"/>
  <c r="AM34" i="7"/>
  <c r="AN160" i="7"/>
  <c r="AL216" i="7"/>
  <c r="AN224" i="7"/>
  <c r="AN228" i="7"/>
  <c r="AN232" i="7"/>
  <c r="AN236" i="7"/>
  <c r="AN240" i="7"/>
  <c r="AN244" i="7"/>
  <c r="AQ46" i="2"/>
  <c r="AQ76" i="2"/>
  <c r="AQ82" i="2"/>
  <c r="AO80" i="8"/>
  <c r="AN17" i="11"/>
  <c r="AN181" i="7"/>
  <c r="AH72" i="11"/>
  <c r="AH106" i="11"/>
  <c r="AH110" i="11"/>
  <c r="AH114" i="11"/>
  <c r="AH118" i="11"/>
  <c r="AF34" i="14"/>
  <c r="AO53" i="2"/>
  <c r="AO65" i="2"/>
  <c r="AG232" i="22"/>
  <c r="AI49" i="10"/>
  <c r="AL58" i="10"/>
  <c r="AI69" i="10"/>
  <c r="AG206" i="10"/>
  <c r="AL344" i="10"/>
  <c r="AF46" i="11"/>
  <c r="AH45" i="11"/>
  <c r="AH58" i="11"/>
  <c r="AH73" i="11"/>
  <c r="AH81" i="11"/>
  <c r="AK90" i="11"/>
  <c r="AF17" i="14"/>
  <c r="AG34" i="14"/>
  <c r="AH34" i="14" s="1"/>
  <c r="AH6" i="16"/>
  <c r="AH24" i="16"/>
  <c r="AN252" i="7"/>
  <c r="AS89" i="1"/>
  <c r="AR71" i="2"/>
  <c r="AO36" i="10"/>
  <c r="AM344" i="10"/>
  <c r="AO325" i="10"/>
  <c r="AO329" i="10"/>
  <c r="AN113" i="11"/>
  <c r="AL17" i="14"/>
  <c r="AM23" i="16"/>
  <c r="BX56" i="12"/>
  <c r="BZ57" i="12"/>
  <c r="CA19" i="12"/>
  <c r="CC26" i="12"/>
  <c r="BY37" i="12"/>
  <c r="CA39" i="12"/>
  <c r="CA43" i="12"/>
  <c r="CA47" i="12"/>
  <c r="AH91" i="11"/>
  <c r="AH101" i="11"/>
  <c r="AH112" i="11"/>
  <c r="AH120" i="11"/>
  <c r="AH124" i="11"/>
  <c r="AH169" i="11"/>
  <c r="AH173" i="11"/>
  <c r="AH177" i="11"/>
  <c r="AH180" i="11"/>
  <c r="AH7" i="14"/>
  <c r="AH20" i="14"/>
  <c r="AH24" i="14"/>
  <c r="AH28" i="14"/>
  <c r="AG15" i="16"/>
  <c r="AM62" i="7"/>
  <c r="AN89" i="7"/>
  <c r="AN93" i="7"/>
  <c r="AN97" i="7"/>
  <c r="AQ114" i="7"/>
  <c r="AN141" i="7"/>
  <c r="AN145" i="7"/>
  <c r="AM216" i="7"/>
  <c r="AN207" i="7"/>
  <c r="AN211" i="7"/>
  <c r="AN214" i="7"/>
  <c r="AN227" i="7"/>
  <c r="AN231" i="7"/>
  <c r="AN235" i="7"/>
  <c r="AN239" i="7"/>
  <c r="AN243" i="7"/>
  <c r="AR16" i="13"/>
  <c r="AR40" i="13"/>
  <c r="AR46" i="13"/>
  <c r="AQ50" i="13"/>
  <c r="AO8" i="1"/>
  <c r="AQ22" i="1"/>
  <c r="AQ34" i="1"/>
  <c r="AQ46" i="1"/>
  <c r="AQ58" i="1"/>
  <c r="AQ100" i="1"/>
  <c r="AP104" i="1"/>
  <c r="AQ16" i="2"/>
  <c r="AQ28" i="2"/>
  <c r="AQ48" i="2"/>
  <c r="AQ51" i="2"/>
  <c r="AQ63" i="2"/>
  <c r="AQ66" i="2"/>
  <c r="AQ81" i="2"/>
  <c r="AQ84" i="2"/>
  <c r="AQ90" i="2"/>
  <c r="AQ93" i="2"/>
  <c r="AQ99" i="2"/>
  <c r="AO6" i="8"/>
  <c r="AO10" i="8"/>
  <c r="AO14" i="8"/>
  <c r="AO32" i="8"/>
  <c r="AO36" i="8"/>
  <c r="AN24" i="14"/>
  <c r="AN17" i="16"/>
  <c r="AL23" i="16"/>
  <c r="CC14" i="12"/>
  <c r="CA27" i="12"/>
  <c r="CG28" i="12"/>
  <c r="CG29" i="12"/>
  <c r="CA34" i="12"/>
  <c r="CA35" i="12"/>
  <c r="CC39" i="12"/>
  <c r="CI44" i="12"/>
  <c r="AI239" i="24"/>
  <c r="AN217" i="7"/>
  <c r="AQ181" i="7"/>
  <c r="AM201" i="7"/>
  <c r="AP201" i="7"/>
  <c r="AQ201" i="7" s="1"/>
  <c r="AD238" i="24"/>
  <c r="AQ12" i="1"/>
  <c r="AN6" i="16"/>
  <c r="AM15" i="16"/>
  <c r="AN7" i="16"/>
  <c r="AP15" i="16"/>
  <c r="AN28" i="14"/>
  <c r="AN27" i="14"/>
  <c r="AQ34" i="14"/>
  <c r="AN6" i="14"/>
  <c r="AM7" i="14"/>
  <c r="AN7" i="14" s="1"/>
  <c r="AN171" i="11"/>
  <c r="AN175" i="11"/>
  <c r="AM183" i="11"/>
  <c r="AN173" i="11"/>
  <c r="AN177" i="11"/>
  <c r="AP183" i="11"/>
  <c r="AQ183" i="11" s="1"/>
  <c r="AQ170" i="11"/>
  <c r="AN169" i="11"/>
  <c r="AN148" i="11"/>
  <c r="AN152" i="11"/>
  <c r="AN160" i="11"/>
  <c r="AM168" i="11"/>
  <c r="AN162" i="11"/>
  <c r="AN166" i="11"/>
  <c r="AN156" i="11"/>
  <c r="AN150" i="11"/>
  <c r="AN154" i="11"/>
  <c r="AN158" i="11"/>
  <c r="AQ168" i="11"/>
  <c r="AG70" i="11"/>
  <c r="AF139" i="11"/>
  <c r="AH147" i="11"/>
  <c r="AH151" i="11"/>
  <c r="AH155" i="11"/>
  <c r="AH159" i="11"/>
  <c r="AH163" i="11"/>
  <c r="AH171" i="11"/>
  <c r="AH175" i="11"/>
  <c r="AN57" i="11"/>
  <c r="AN98" i="11"/>
  <c r="AN102" i="11"/>
  <c r="AN118" i="11"/>
  <c r="AN147" i="11"/>
  <c r="AN151" i="11"/>
  <c r="AN155" i="11"/>
  <c r="AN159" i="11"/>
  <c r="AN163" i="11"/>
  <c r="AN170" i="11"/>
  <c r="AN174" i="11"/>
  <c r="AH7" i="11"/>
  <c r="AH11" i="11"/>
  <c r="AH15" i="11"/>
  <c r="AH19" i="11"/>
  <c r="AH22" i="11"/>
  <c r="AH30" i="11"/>
  <c r="AH38" i="11"/>
  <c r="AH42" i="11"/>
  <c r="AH55" i="11"/>
  <c r="AH59" i="11"/>
  <c r="AH63" i="11"/>
  <c r="AH80" i="11"/>
  <c r="AH84" i="11"/>
  <c r="AH87" i="11"/>
  <c r="AH100" i="11"/>
  <c r="AH103" i="11"/>
  <c r="AH107" i="11"/>
  <c r="AH111" i="11"/>
  <c r="AH115" i="11"/>
  <c r="AH119" i="11"/>
  <c r="AH131" i="11"/>
  <c r="AF168" i="11"/>
  <c r="AH148" i="11"/>
  <c r="AH152" i="11"/>
  <c r="AH156" i="11"/>
  <c r="AH160" i="11"/>
  <c r="AH164" i="11"/>
  <c r="AH172" i="11"/>
  <c r="AH176" i="11"/>
  <c r="AN24" i="11"/>
  <c r="AN55" i="11"/>
  <c r="AN59" i="11"/>
  <c r="AN130" i="11"/>
  <c r="AN149" i="11"/>
  <c r="AN153" i="11"/>
  <c r="AN157" i="11"/>
  <c r="AN161" i="11"/>
  <c r="AN165" i="11"/>
  <c r="AN172" i="11"/>
  <c r="AN176" i="11"/>
  <c r="AH5" i="11"/>
  <c r="AH9" i="11"/>
  <c r="AH13" i="11"/>
  <c r="AH17" i="11"/>
  <c r="AH24" i="11"/>
  <c r="AF26" i="11"/>
  <c r="AH28" i="11"/>
  <c r="AH32" i="11"/>
  <c r="AH36" i="11"/>
  <c r="AH40" i="11"/>
  <c r="AH47" i="11"/>
  <c r="AH57" i="11"/>
  <c r="AF70" i="11"/>
  <c r="AK70" i="11"/>
  <c r="AH82" i="11"/>
  <c r="AF90" i="11"/>
  <c r="AG122" i="11"/>
  <c r="AH122" i="11" s="1"/>
  <c r="AH105" i="11"/>
  <c r="AH109" i="11"/>
  <c r="AH113" i="11"/>
  <c r="AH129" i="11"/>
  <c r="AH133" i="11"/>
  <c r="AH140" i="11"/>
  <c r="AH150" i="11"/>
  <c r="AH154" i="11"/>
  <c r="AH158" i="11"/>
  <c r="AH162" i="11"/>
  <c r="AH166" i="11"/>
  <c r="AG168" i="11"/>
  <c r="AH170" i="11"/>
  <c r="AH174" i="11"/>
  <c r="AN140" i="11"/>
  <c r="AM139" i="11"/>
  <c r="AQ139" i="11"/>
  <c r="AM122" i="11"/>
  <c r="AM90" i="11"/>
  <c r="AN78" i="11"/>
  <c r="AQ90" i="11"/>
  <c r="AN64" i="11"/>
  <c r="AN63" i="11"/>
  <c r="AM70" i="11"/>
  <c r="AN31" i="11"/>
  <c r="AN28" i="11"/>
  <c r="AN29" i="11"/>
  <c r="AN33" i="11"/>
  <c r="AN30" i="11"/>
  <c r="AN32" i="11"/>
  <c r="AM46" i="11"/>
  <c r="AN27" i="11"/>
  <c r="AN22" i="11"/>
  <c r="AN21" i="11"/>
  <c r="AN25" i="11"/>
  <c r="AP26" i="11"/>
  <c r="AQ26" i="11" s="1"/>
  <c r="AN23" i="11"/>
  <c r="AI306" i="10"/>
  <c r="AI73" i="10"/>
  <c r="AI56" i="10"/>
  <c r="AI71" i="10"/>
  <c r="AI75" i="10"/>
  <c r="AO40" i="10"/>
  <c r="AI72" i="10"/>
  <c r="AI133" i="10"/>
  <c r="AI137" i="10"/>
  <c r="AI214" i="10"/>
  <c r="AH342" i="10"/>
  <c r="AI337" i="10"/>
  <c r="AI70" i="10"/>
  <c r="AI74" i="10"/>
  <c r="AI131" i="10"/>
  <c r="AI135" i="10"/>
  <c r="AI139" i="10"/>
  <c r="AH224" i="10"/>
  <c r="AI216" i="10"/>
  <c r="AI220" i="10"/>
  <c r="AI326" i="10"/>
  <c r="AI328" i="10"/>
  <c r="AO29" i="10"/>
  <c r="AO33" i="10"/>
  <c r="AO37" i="10"/>
  <c r="AO111" i="10"/>
  <c r="AO115" i="10"/>
  <c r="AO181" i="10"/>
  <c r="AO185" i="10"/>
  <c r="AO189" i="10"/>
  <c r="AO193" i="10"/>
  <c r="AO226" i="10"/>
  <c r="AO230" i="10"/>
  <c r="AO234" i="10"/>
  <c r="AO238" i="10"/>
  <c r="AO280" i="10"/>
  <c r="AN342" i="10"/>
  <c r="AI12" i="10"/>
  <c r="AI16" i="10"/>
  <c r="AI20" i="10"/>
  <c r="AI28" i="10"/>
  <c r="AH47" i="10"/>
  <c r="AI32" i="10"/>
  <c r="AI36" i="10"/>
  <c r="AI40" i="10"/>
  <c r="AL47" i="10"/>
  <c r="AI66" i="10"/>
  <c r="AI80" i="10"/>
  <c r="AL90" i="10"/>
  <c r="AI96" i="10"/>
  <c r="AI113" i="10"/>
  <c r="AI125" i="10"/>
  <c r="AI130" i="10"/>
  <c r="AI134" i="10"/>
  <c r="AI138" i="10"/>
  <c r="AI142" i="10"/>
  <c r="AI146" i="10"/>
  <c r="AL154" i="10"/>
  <c r="AI180" i="10"/>
  <c r="AI184" i="10"/>
  <c r="AI188" i="10"/>
  <c r="AI192" i="10"/>
  <c r="AI196" i="10"/>
  <c r="AI200" i="10"/>
  <c r="AL206" i="10"/>
  <c r="AI256" i="10"/>
  <c r="AI260" i="10"/>
  <c r="AI264" i="10"/>
  <c r="AI272" i="10"/>
  <c r="AI279" i="10"/>
  <c r="AI283" i="10"/>
  <c r="AO6" i="10"/>
  <c r="AO14" i="10"/>
  <c r="AO18" i="10"/>
  <c r="AO31" i="10"/>
  <c r="AO35" i="10"/>
  <c r="AO39" i="10"/>
  <c r="AO113" i="10"/>
  <c r="AO183" i="10"/>
  <c r="AO187" i="10"/>
  <c r="AO191" i="10"/>
  <c r="AO222" i="10"/>
  <c r="AO228" i="10"/>
  <c r="AO232" i="10"/>
  <c r="AO236" i="10"/>
  <c r="AO240" i="10"/>
  <c r="AR245" i="10"/>
  <c r="AI6" i="10"/>
  <c r="AL11" i="10"/>
  <c r="AI14" i="10"/>
  <c r="AI18" i="10"/>
  <c r="AI21" i="10"/>
  <c r="AI22" i="10"/>
  <c r="AI30" i="10"/>
  <c r="AI34" i="10"/>
  <c r="AI38" i="10"/>
  <c r="AI42" i="10"/>
  <c r="AL60" i="10"/>
  <c r="AI68" i="10"/>
  <c r="AI94" i="10"/>
  <c r="AL104" i="10"/>
  <c r="AI111" i="10"/>
  <c r="AI115" i="10"/>
  <c r="AL129" i="10"/>
  <c r="AI132" i="10"/>
  <c r="AI136" i="10"/>
  <c r="AI144" i="10"/>
  <c r="AI182" i="10"/>
  <c r="AI186" i="10"/>
  <c r="AI190" i="10"/>
  <c r="AI194" i="10"/>
  <c r="AI198" i="10"/>
  <c r="AI202" i="10"/>
  <c r="AI258" i="10"/>
  <c r="AI262" i="10"/>
  <c r="AI266" i="10"/>
  <c r="AI270" i="10"/>
  <c r="AI298" i="10"/>
  <c r="AI281" i="10"/>
  <c r="AO215" i="10"/>
  <c r="AO213" i="10"/>
  <c r="AO105" i="10"/>
  <c r="AN23" i="9"/>
  <c r="AM48" i="9"/>
  <c r="AQ48" i="9"/>
  <c r="AO55" i="8"/>
  <c r="AO75" i="8"/>
  <c r="AO79" i="8"/>
  <c r="AR96" i="8"/>
  <c r="AO97" i="8"/>
  <c r="AM70" i="8"/>
  <c r="AO48" i="8"/>
  <c r="AO77" i="8"/>
  <c r="AO83" i="8"/>
  <c r="AM47" i="8"/>
  <c r="AR98" i="8"/>
  <c r="AO54" i="8"/>
  <c r="AO51" i="8"/>
  <c r="AO59" i="8"/>
  <c r="AR70" i="8"/>
  <c r="AR49" i="8"/>
  <c r="AR28" i="8"/>
  <c r="AN266" i="7"/>
  <c r="AN255" i="7"/>
  <c r="AN253" i="7"/>
  <c r="AN260" i="7"/>
  <c r="AN250" i="7"/>
  <c r="AM249" i="7"/>
  <c r="AM173" i="7"/>
  <c r="AN174" i="7"/>
  <c r="AN164" i="7"/>
  <c r="AN151" i="7"/>
  <c r="AQ155" i="7"/>
  <c r="AM155" i="7"/>
  <c r="AN122" i="7"/>
  <c r="AN119" i="7"/>
  <c r="AN117" i="7"/>
  <c r="AN121" i="7"/>
  <c r="AM130" i="7"/>
  <c r="AN116" i="7"/>
  <c r="AQ130" i="7"/>
  <c r="AN115" i="7"/>
  <c r="AN101" i="7"/>
  <c r="AM114" i="7"/>
  <c r="AN64" i="7"/>
  <c r="AN71" i="7"/>
  <c r="AN67" i="7"/>
  <c r="AN68" i="7"/>
  <c r="AN65" i="7"/>
  <c r="AN69" i="7"/>
  <c r="AN72" i="7"/>
  <c r="AM81" i="7"/>
  <c r="AQ81" i="7"/>
  <c r="AN42" i="7"/>
  <c r="AN35" i="7"/>
  <c r="AN7" i="7"/>
  <c r="AN9" i="7"/>
  <c r="AN8" i="7"/>
  <c r="AN5" i="7"/>
  <c r="AN6" i="7"/>
  <c r="AM17" i="7"/>
  <c r="AC238" i="24"/>
  <c r="AH208" i="24"/>
  <c r="M238" i="22"/>
  <c r="AH208" i="22"/>
  <c r="E238" i="24"/>
  <c r="AB238" i="24"/>
  <c r="AB238" i="22"/>
  <c r="AF208" i="22"/>
  <c r="AI218" i="22"/>
  <c r="AI226" i="22"/>
  <c r="AG221" i="22"/>
  <c r="AG222" i="22"/>
  <c r="AG224" i="22"/>
  <c r="AG227" i="22"/>
  <c r="AG228" i="22"/>
  <c r="AG229" i="22"/>
  <c r="AG230" i="22"/>
  <c r="AG212" i="22"/>
  <c r="AI234" i="22"/>
  <c r="AG236" i="22"/>
  <c r="AG237" i="22"/>
  <c r="AG239" i="22"/>
  <c r="AG235" i="22"/>
  <c r="P238" i="22"/>
  <c r="L238" i="22"/>
  <c r="AF208" i="24"/>
  <c r="AG210" i="22"/>
  <c r="AG218" i="22"/>
  <c r="AG220" i="22"/>
  <c r="CA64" i="12"/>
  <c r="CB53" i="12"/>
  <c r="CA55" i="12"/>
  <c r="CA54" i="12"/>
  <c r="CI53" i="12"/>
  <c r="BZ59" i="12"/>
  <c r="CA51" i="12"/>
  <c r="CA50" i="12"/>
  <c r="CI52" i="12"/>
  <c r="CA49" i="12"/>
  <c r="CA48" i="12"/>
  <c r="CI45" i="12"/>
  <c r="CA46" i="12"/>
  <c r="CA42" i="12"/>
  <c r="CA41" i="12"/>
  <c r="BZ56" i="12"/>
  <c r="CB37" i="12"/>
  <c r="CB36" i="12"/>
  <c r="CC36" i="12" s="1"/>
  <c r="BZ37" i="12"/>
  <c r="CI37" i="12"/>
  <c r="CI36" i="12"/>
  <c r="CA32" i="12"/>
  <c r="CA30" i="12"/>
  <c r="BZ29" i="12"/>
  <c r="CA31" i="12"/>
  <c r="CB58" i="12"/>
  <c r="CC58" i="12" s="1"/>
  <c r="CH60" i="12"/>
  <c r="CH62" i="12" s="1"/>
  <c r="CH61" i="12"/>
  <c r="CB28" i="12"/>
  <c r="BZ58" i="12"/>
  <c r="BZ28" i="12"/>
  <c r="CA26" i="12"/>
  <c r="CI29" i="12"/>
  <c r="CI28" i="12"/>
  <c r="CA22" i="12"/>
  <c r="CA18" i="12"/>
  <c r="CI21" i="12"/>
  <c r="CI20" i="12"/>
  <c r="CA14" i="12"/>
  <c r="CI59" i="12"/>
  <c r="CI58" i="12"/>
  <c r="CA9" i="12"/>
  <c r="CA8" i="12"/>
  <c r="AQ56" i="13"/>
  <c r="AP104" i="2"/>
  <c r="AT101" i="2"/>
  <c r="AS98" i="2"/>
  <c r="AT97" i="2"/>
  <c r="AT96" i="2"/>
  <c r="AT95" i="2"/>
  <c r="AT97" i="1"/>
  <c r="AT96" i="1"/>
  <c r="AS98" i="1"/>
  <c r="AT95" i="1"/>
  <c r="AP92" i="2"/>
  <c r="AQ92" i="2" s="1"/>
  <c r="AT92" i="2"/>
  <c r="AQ20" i="13"/>
  <c r="AP92" i="1"/>
  <c r="AT92" i="1"/>
  <c r="AT86" i="2"/>
  <c r="AT87" i="2"/>
  <c r="AP87" i="2"/>
  <c r="AS89" i="2"/>
  <c r="AT86" i="1"/>
  <c r="AT87" i="1"/>
  <c r="AT83" i="1"/>
  <c r="AT79" i="2"/>
  <c r="AS80" i="2"/>
  <c r="AT78" i="2"/>
  <c r="AT79" i="1"/>
  <c r="AT78" i="1"/>
  <c r="AS80" i="1"/>
  <c r="AT77" i="1"/>
  <c r="AP74" i="2"/>
  <c r="AQ44" i="13"/>
  <c r="AT74" i="2"/>
  <c r="AP74" i="1"/>
  <c r="AQ74" i="1" s="1"/>
  <c r="AT74" i="1"/>
  <c r="AS71" i="2"/>
  <c r="AT68" i="2"/>
  <c r="AT69" i="2"/>
  <c r="AP69" i="2"/>
  <c r="AS71" i="1"/>
  <c r="AT68" i="1"/>
  <c r="AT69" i="1"/>
  <c r="AT65" i="2"/>
  <c r="AT65" i="1"/>
  <c r="AT59" i="2"/>
  <c r="AT59" i="1"/>
  <c r="AP56" i="2"/>
  <c r="AT56" i="2"/>
  <c r="AT56" i="1"/>
  <c r="AP56" i="1"/>
  <c r="AT53" i="2"/>
  <c r="AT53" i="1"/>
  <c r="AP50" i="2"/>
  <c r="AQ50" i="2" s="1"/>
  <c r="AT50" i="2"/>
  <c r="AT50" i="1"/>
  <c r="AP50" i="1"/>
  <c r="AT47" i="2"/>
  <c r="AT47" i="1"/>
  <c r="AP44" i="2"/>
  <c r="AT44" i="2"/>
  <c r="AT44" i="1"/>
  <c r="AP44" i="1"/>
  <c r="AP38" i="2"/>
  <c r="AQ38" i="2" s="1"/>
  <c r="AT38" i="2"/>
  <c r="AT38" i="1"/>
  <c r="AP38" i="1"/>
  <c r="AT35" i="2"/>
  <c r="AT105" i="2"/>
  <c r="AT35" i="1"/>
  <c r="AT29" i="2"/>
  <c r="AT29" i="1"/>
  <c r="AT26" i="2"/>
  <c r="AP26" i="2"/>
  <c r="AT26" i="1"/>
  <c r="AP26" i="1"/>
  <c r="AT23" i="2"/>
  <c r="AT23" i="1"/>
  <c r="AT20" i="2"/>
  <c r="AP20" i="2"/>
  <c r="AT20" i="1"/>
  <c r="AP20" i="1"/>
  <c r="AT17" i="2"/>
  <c r="AT17" i="1"/>
  <c r="AT14" i="2"/>
  <c r="AP14" i="2"/>
  <c r="AT14" i="1"/>
  <c r="AP14" i="1"/>
  <c r="AQ26" i="13"/>
  <c r="AR52" i="13"/>
  <c r="AQ14" i="13"/>
  <c r="AT8" i="2"/>
  <c r="AP8" i="2"/>
  <c r="AT8" i="1"/>
  <c r="AP8" i="1"/>
  <c r="AQ8" i="1" s="1"/>
  <c r="AI209" i="24"/>
  <c r="AI210" i="24"/>
  <c r="AI211" i="24"/>
  <c r="AI212" i="24"/>
  <c r="AI213" i="24"/>
  <c r="AI214" i="24"/>
  <c r="AI215" i="24"/>
  <c r="AI216" i="24"/>
  <c r="AI217" i="24"/>
  <c r="AI218" i="24"/>
  <c r="AI219" i="24"/>
  <c r="AI220" i="24"/>
  <c r="AI221" i="24"/>
  <c r="AI222" i="24"/>
  <c r="AI223" i="24"/>
  <c r="AI224" i="24"/>
  <c r="AI225" i="24"/>
  <c r="AI226" i="24"/>
  <c r="AI227" i="24"/>
  <c r="AI228" i="24"/>
  <c r="AI229" i="24"/>
  <c r="AI230" i="24"/>
  <c r="AI231" i="24"/>
  <c r="AI232" i="24"/>
  <c r="AI233" i="24"/>
  <c r="AI234" i="24"/>
  <c r="AI235" i="24"/>
  <c r="AI236" i="24"/>
  <c r="AG209" i="24"/>
  <c r="AG210" i="24"/>
  <c r="AG211" i="24"/>
  <c r="AG212" i="24"/>
  <c r="AG213" i="24"/>
  <c r="AG214" i="24"/>
  <c r="AG215" i="24"/>
  <c r="AG216" i="24"/>
  <c r="AG217" i="24"/>
  <c r="AG218" i="24"/>
  <c r="AG219" i="24"/>
  <c r="AG220" i="24"/>
  <c r="AG221" i="24"/>
  <c r="AG222" i="24"/>
  <c r="AG223" i="24"/>
  <c r="AG224" i="24"/>
  <c r="AG225" i="24"/>
  <c r="AG226" i="24"/>
  <c r="AG227" i="24"/>
  <c r="AG228" i="24"/>
  <c r="AG229" i="24"/>
  <c r="AG230" i="24"/>
  <c r="AG231" i="24"/>
  <c r="AG232" i="24"/>
  <c r="AG233" i="24"/>
  <c r="AG234" i="24"/>
  <c r="AG235" i="24"/>
  <c r="AG236" i="24"/>
  <c r="AG237" i="24"/>
  <c r="AI237" i="24"/>
  <c r="AE238" i="24"/>
  <c r="AG208" i="24"/>
  <c r="AI208" i="24"/>
  <c r="AD238" i="22"/>
  <c r="AI210" i="22"/>
  <c r="AG213" i="22"/>
  <c r="AG214" i="22"/>
  <c r="AG216" i="22"/>
  <c r="AG219" i="22"/>
  <c r="AI221" i="22"/>
  <c r="AI223" i="22"/>
  <c r="AI229" i="22"/>
  <c r="AI231" i="22"/>
  <c r="AI237" i="22"/>
  <c r="AG211" i="22"/>
  <c r="AI213" i="22"/>
  <c r="AI215" i="22"/>
  <c r="AG226" i="22"/>
  <c r="AG234" i="22"/>
  <c r="AI209" i="22"/>
  <c r="AI212" i="22"/>
  <c r="AG215" i="22"/>
  <c r="AI217" i="22"/>
  <c r="AI220" i="22"/>
  <c r="AG223" i="22"/>
  <c r="AI225" i="22"/>
  <c r="AI228" i="22"/>
  <c r="AG231" i="22"/>
  <c r="AI233" i="22"/>
  <c r="AI236" i="22"/>
  <c r="AI216" i="22"/>
  <c r="AI224" i="22"/>
  <c r="AI232" i="22"/>
  <c r="AE238" i="22"/>
  <c r="AG209" i="22"/>
  <c r="AI211" i="22"/>
  <c r="AI214" i="22"/>
  <c r="AG217" i="22"/>
  <c r="AI219" i="22"/>
  <c r="AI222" i="22"/>
  <c r="AG225" i="22"/>
  <c r="AI227" i="22"/>
  <c r="AI230" i="22"/>
  <c r="AG233" i="22"/>
  <c r="AI235" i="22"/>
  <c r="AI239" i="22"/>
  <c r="AQ104" i="1"/>
  <c r="AT104" i="1"/>
  <c r="CC65" i="12"/>
  <c r="CA65" i="12"/>
  <c r="CG52" i="12"/>
  <c r="CG53" i="12"/>
  <c r="CC54" i="12"/>
  <c r="BY52" i="12"/>
  <c r="CC52" i="12" s="1"/>
  <c r="CC55" i="12"/>
  <c r="BY59" i="12"/>
  <c r="CC51" i="12"/>
  <c r="CF60" i="12"/>
  <c r="CF62" i="12" s="1"/>
  <c r="CF61" i="12"/>
  <c r="CF63" i="12" s="1"/>
  <c r="BX52" i="12"/>
  <c r="CA52" i="12" s="1"/>
  <c r="BY53" i="12"/>
  <c r="CG58" i="12"/>
  <c r="CC46" i="12"/>
  <c r="CC47" i="12"/>
  <c r="CG44" i="12"/>
  <c r="CG45" i="12"/>
  <c r="CE60" i="12"/>
  <c r="CE62" i="12" s="1"/>
  <c r="CE61" i="12"/>
  <c r="BX37" i="12"/>
  <c r="CA37" i="12" s="1"/>
  <c r="BX44" i="12"/>
  <c r="CA44" i="12" s="1"/>
  <c r="BY45" i="12"/>
  <c r="CC45" i="12" s="1"/>
  <c r="CA40" i="12"/>
  <c r="BX45" i="12"/>
  <c r="CA45" i="12" s="1"/>
  <c r="CC43" i="12"/>
  <c r="CC37" i="12"/>
  <c r="CC38" i="12"/>
  <c r="CA33" i="12"/>
  <c r="CC34" i="12"/>
  <c r="CG36" i="12"/>
  <c r="CG37" i="12"/>
  <c r="BX59" i="12"/>
  <c r="BY28" i="12"/>
  <c r="CC30" i="12"/>
  <c r="CC31" i="12"/>
  <c r="BY20" i="12"/>
  <c r="CC20" i="12" s="1"/>
  <c r="BX28" i="12"/>
  <c r="CA28" i="12" s="1"/>
  <c r="BY29" i="12"/>
  <c r="BX58" i="12"/>
  <c r="CA24" i="12"/>
  <c r="BX29" i="12"/>
  <c r="CA29" i="12" s="1"/>
  <c r="CC29" i="12"/>
  <c r="CG59" i="12"/>
  <c r="BX21" i="12"/>
  <c r="CC27" i="12"/>
  <c r="CC22" i="12"/>
  <c r="CD60" i="12"/>
  <c r="CD61" i="12"/>
  <c r="BX20" i="12"/>
  <c r="CA20" i="12" s="1"/>
  <c r="CC23" i="12"/>
  <c r="CA17" i="12"/>
  <c r="CC18" i="12"/>
  <c r="CG20" i="12"/>
  <c r="CG21" i="12"/>
  <c r="CC19" i="12"/>
  <c r="CA16" i="12"/>
  <c r="CC21" i="12"/>
  <c r="CC15" i="12"/>
  <c r="CA11" i="12"/>
  <c r="CA10" i="12"/>
  <c r="CC59" i="12"/>
  <c r="CC56" i="12"/>
  <c r="CA36" i="12"/>
  <c r="CC44" i="12"/>
  <c r="CC57" i="12"/>
  <c r="CA21" i="12"/>
  <c r="CA53" i="12"/>
  <c r="CA57" i="12"/>
  <c r="CE63" i="12"/>
  <c r="CI12" i="12"/>
  <c r="CI13" i="12"/>
  <c r="CI56" i="12"/>
  <c r="CI57" i="12"/>
  <c r="BZ12" i="12"/>
  <c r="BZ13" i="12"/>
  <c r="CC8" i="12"/>
  <c r="CC9" i="12"/>
  <c r="CC10" i="12"/>
  <c r="CC11" i="12"/>
  <c r="BY12" i="12"/>
  <c r="CG12" i="12"/>
  <c r="BY13" i="12"/>
  <c r="CG13" i="12"/>
  <c r="CC16" i="12"/>
  <c r="CC17" i="12"/>
  <c r="CC24" i="12"/>
  <c r="CC25" i="12"/>
  <c r="CC32" i="12"/>
  <c r="CC33" i="12"/>
  <c r="CC40" i="12"/>
  <c r="CC41" i="12"/>
  <c r="CC48" i="12"/>
  <c r="CC49" i="12"/>
  <c r="CG56" i="12"/>
  <c r="CG57" i="12"/>
  <c r="BX12" i="12"/>
  <c r="CB12" i="12"/>
  <c r="BX13" i="12"/>
  <c r="CB13" i="12"/>
  <c r="AN24" i="16"/>
  <c r="AL15" i="16"/>
  <c r="AN35" i="14"/>
  <c r="AN21" i="14"/>
  <c r="AN25" i="14"/>
  <c r="AL34" i="14"/>
  <c r="AN19" i="14"/>
  <c r="AN23" i="14"/>
  <c r="AN18" i="14"/>
  <c r="AN9" i="14"/>
  <c r="AN5" i="14"/>
  <c r="AM34" i="14"/>
  <c r="AN184" i="11"/>
  <c r="AN180" i="11"/>
  <c r="AN125" i="11"/>
  <c r="AN128" i="11"/>
  <c r="AN132" i="11"/>
  <c r="AN126" i="11"/>
  <c r="AN129" i="11"/>
  <c r="AN106" i="11"/>
  <c r="AN110" i="11"/>
  <c r="AL122" i="11"/>
  <c r="AN99" i="11"/>
  <c r="AN103" i="11"/>
  <c r="AN107" i="11"/>
  <c r="AN111" i="11"/>
  <c r="AQ122" i="11"/>
  <c r="AN100" i="11"/>
  <c r="AN104" i="11"/>
  <c r="AN108" i="11"/>
  <c r="AN112" i="11"/>
  <c r="AN91" i="11"/>
  <c r="AL70" i="11"/>
  <c r="AN75" i="11"/>
  <c r="AL90" i="11"/>
  <c r="AN73" i="11"/>
  <c r="AN80" i="11"/>
  <c r="AN84" i="11"/>
  <c r="AN56" i="11"/>
  <c r="AQ70" i="11"/>
  <c r="AN54" i="11"/>
  <c r="AN58" i="11"/>
  <c r="AN38" i="11"/>
  <c r="AQ46" i="11"/>
  <c r="AN39" i="11"/>
  <c r="AN41" i="11"/>
  <c r="AN6" i="11"/>
  <c r="AN10" i="11"/>
  <c r="AN14" i="11"/>
  <c r="AN18" i="11"/>
  <c r="AN8" i="11"/>
  <c r="AN12" i="11"/>
  <c r="AN16" i="11"/>
  <c r="AL46" i="11"/>
  <c r="AN47" i="11"/>
  <c r="AN71" i="11"/>
  <c r="AN72" i="11"/>
  <c r="AN123" i="11"/>
  <c r="AN124" i="11"/>
  <c r="AL183" i="11"/>
  <c r="AN183" i="11" s="1"/>
  <c r="AM26" i="11"/>
  <c r="AL139" i="11"/>
  <c r="AN139" i="11" s="1"/>
  <c r="AL168" i="11"/>
  <c r="AL26" i="11"/>
  <c r="AO330" i="10"/>
  <c r="AP342" i="10"/>
  <c r="AR342" i="10" s="1"/>
  <c r="AM324" i="10"/>
  <c r="AO324" i="10" s="1"/>
  <c r="AR324" i="10"/>
  <c r="AO282" i="10"/>
  <c r="AO284" i="10"/>
  <c r="AP296" i="10"/>
  <c r="AR296" i="10" s="1"/>
  <c r="AO278" i="10"/>
  <c r="AI118" i="10"/>
  <c r="AI289" i="10"/>
  <c r="AI297" i="10"/>
  <c r="AO5" i="10"/>
  <c r="AN11" i="10"/>
  <c r="AO68" i="10"/>
  <c r="AO72" i="10"/>
  <c r="AO96" i="10"/>
  <c r="AO114" i="10"/>
  <c r="AO141" i="10"/>
  <c r="AO145" i="10"/>
  <c r="AR154" i="10"/>
  <c r="AO179" i="10"/>
  <c r="AO180" i="10"/>
  <c r="AO184" i="10"/>
  <c r="AO188" i="10"/>
  <c r="AO192" i="10"/>
  <c r="AO195" i="10"/>
  <c r="AO199" i="10"/>
  <c r="AO214" i="10"/>
  <c r="AO271" i="10"/>
  <c r="AO279" i="10"/>
  <c r="AO283" i="10"/>
  <c r="AO328" i="10"/>
  <c r="AI15" i="10"/>
  <c r="AI19" i="10"/>
  <c r="AI23" i="10"/>
  <c r="AI25" i="10"/>
  <c r="AI50" i="10"/>
  <c r="AI59" i="10"/>
  <c r="AI67" i="10"/>
  <c r="AI97" i="10"/>
  <c r="AI105" i="10"/>
  <c r="AI114" i="10"/>
  <c r="AI119" i="10"/>
  <c r="AI141" i="10"/>
  <c r="AI145" i="10"/>
  <c r="AG152" i="10"/>
  <c r="AI163" i="10"/>
  <c r="AI167" i="10"/>
  <c r="AI171" i="10"/>
  <c r="AI218" i="10"/>
  <c r="AI227" i="10"/>
  <c r="AI231" i="10"/>
  <c r="AI235" i="10"/>
  <c r="AI239" i="10"/>
  <c r="AI243" i="10"/>
  <c r="AL245" i="10"/>
  <c r="AI332" i="10"/>
  <c r="AI336" i="10"/>
  <c r="AN322" i="10"/>
  <c r="AI287" i="10"/>
  <c r="AL298" i="10"/>
  <c r="AR47" i="10"/>
  <c r="AO66" i="10"/>
  <c r="AO70" i="10"/>
  <c r="AO74" i="10"/>
  <c r="AO77" i="10"/>
  <c r="AO112" i="10"/>
  <c r="AO182" i="10"/>
  <c r="AO186" i="10"/>
  <c r="AO190" i="10"/>
  <c r="AO197" i="10"/>
  <c r="AO201" i="10"/>
  <c r="AO212" i="10"/>
  <c r="AO216" i="10"/>
  <c r="AO220" i="10"/>
  <c r="AO258" i="10"/>
  <c r="AO262" i="10"/>
  <c r="AO266" i="10"/>
  <c r="AO269" i="10"/>
  <c r="AO273" i="10"/>
  <c r="AO281" i="10"/>
  <c r="AO288" i="10"/>
  <c r="AN344" i="10"/>
  <c r="AO326" i="10"/>
  <c r="AI5" i="10"/>
  <c r="AH27" i="10"/>
  <c r="AI17" i="10"/>
  <c r="AL27" i="10"/>
  <c r="AI29" i="10"/>
  <c r="AI33" i="10"/>
  <c r="AI37" i="10"/>
  <c r="AI41" i="10"/>
  <c r="AI48" i="10"/>
  <c r="AI52" i="10"/>
  <c r="AI112" i="10"/>
  <c r="AI117" i="10"/>
  <c r="AI143" i="10"/>
  <c r="AI147" i="10"/>
  <c r="AI165" i="10"/>
  <c r="AI169" i="10"/>
  <c r="AI173" i="10"/>
  <c r="AL178" i="10"/>
  <c r="AI229" i="10"/>
  <c r="AI233" i="10"/>
  <c r="AI237" i="10"/>
  <c r="AI241" i="10"/>
  <c r="AL247" i="10"/>
  <c r="AI330" i="10"/>
  <c r="AL342" i="10"/>
  <c r="AR344" i="10"/>
  <c r="AO308" i="10"/>
  <c r="AO306" i="10"/>
  <c r="AO307" i="10"/>
  <c r="AR322" i="10"/>
  <c r="AM322" i="10"/>
  <c r="AO305" i="10"/>
  <c r="AO309" i="10"/>
  <c r="AO277" i="10"/>
  <c r="AR298" i="10"/>
  <c r="AO256" i="10"/>
  <c r="AO260" i="10"/>
  <c r="AO264" i="10"/>
  <c r="AR276" i="10"/>
  <c r="AO257" i="10"/>
  <c r="AO261" i="10"/>
  <c r="AO265" i="10"/>
  <c r="AO255" i="10"/>
  <c r="AO259" i="10"/>
  <c r="AO263" i="10"/>
  <c r="AO267" i="10"/>
  <c r="AR247" i="10"/>
  <c r="AR224" i="10"/>
  <c r="AH129" i="10"/>
  <c r="AI153" i="10"/>
  <c r="AH178" i="10"/>
  <c r="AG245" i="10"/>
  <c r="AG342" i="10"/>
  <c r="AI342" i="10" s="1"/>
  <c r="AR11" i="10"/>
  <c r="AO28" i="10"/>
  <c r="AO48" i="10"/>
  <c r="AO52" i="10"/>
  <c r="AO54" i="10"/>
  <c r="AO67" i="10"/>
  <c r="AO71" i="10"/>
  <c r="AO75" i="10"/>
  <c r="AO92" i="10"/>
  <c r="AN104" i="10"/>
  <c r="AO153" i="10"/>
  <c r="AO164" i="10"/>
  <c r="AO168" i="10"/>
  <c r="AO196" i="10"/>
  <c r="AO200" i="10"/>
  <c r="AO225" i="10"/>
  <c r="AO229" i="10"/>
  <c r="AO233" i="10"/>
  <c r="AO237" i="10"/>
  <c r="AO241" i="10"/>
  <c r="AN245" i="10"/>
  <c r="AO272" i="10"/>
  <c r="AO287" i="10"/>
  <c r="AO292" i="10"/>
  <c r="AM342" i="10"/>
  <c r="AI31" i="10"/>
  <c r="AI35" i="10"/>
  <c r="AI39" i="10"/>
  <c r="AG58" i="10"/>
  <c r="AI79" i="10"/>
  <c r="AG154" i="10"/>
  <c r="AI154" i="10" s="1"/>
  <c r="AG129" i="10"/>
  <c r="AI124" i="10"/>
  <c r="AH152" i="10"/>
  <c r="AI152" i="10" s="1"/>
  <c r="AI164" i="10"/>
  <c r="AI168" i="10"/>
  <c r="AI181" i="10"/>
  <c r="AI185" i="10"/>
  <c r="AI189" i="10"/>
  <c r="AI193" i="10"/>
  <c r="AI197" i="10"/>
  <c r="AI201" i="10"/>
  <c r="AL204" i="10"/>
  <c r="AI213" i="10"/>
  <c r="AI217" i="10"/>
  <c r="AL224" i="10"/>
  <c r="AI226" i="10"/>
  <c r="AI230" i="10"/>
  <c r="AI234" i="10"/>
  <c r="AI238" i="10"/>
  <c r="AI242" i="10"/>
  <c r="AI255" i="10"/>
  <c r="AI259" i="10"/>
  <c r="AI263" i="10"/>
  <c r="AI267" i="10"/>
  <c r="AI271" i="10"/>
  <c r="AI275" i="10"/>
  <c r="AI278" i="10"/>
  <c r="AI282" i="10"/>
  <c r="AI286" i="10"/>
  <c r="AI290" i="10"/>
  <c r="AG296" i="10"/>
  <c r="AI307" i="10"/>
  <c r="AI325" i="10"/>
  <c r="AI329" i="10"/>
  <c r="AM60" i="10"/>
  <c r="AN204" i="10"/>
  <c r="AN224" i="10"/>
  <c r="AM224" i="10"/>
  <c r="AM245" i="10"/>
  <c r="AN296" i="10"/>
  <c r="AG11" i="10"/>
  <c r="AI9" i="10"/>
  <c r="AI13" i="10"/>
  <c r="AG104" i="10"/>
  <c r="AH206" i="10"/>
  <c r="AI206" i="10" s="1"/>
  <c r="AO13" i="10"/>
  <c r="AO17" i="10"/>
  <c r="AO21" i="10"/>
  <c r="AR27" i="10"/>
  <c r="AN47" i="10"/>
  <c r="AO50" i="10"/>
  <c r="AR58" i="10"/>
  <c r="AO69" i="10"/>
  <c r="AO73" i="10"/>
  <c r="AO97" i="10"/>
  <c r="AN152" i="10"/>
  <c r="AO135" i="10"/>
  <c r="AO139" i="10"/>
  <c r="AN178" i="10"/>
  <c r="AO194" i="10"/>
  <c r="AO198" i="10"/>
  <c r="AO202" i="10"/>
  <c r="AO227" i="10"/>
  <c r="AO231" i="10"/>
  <c r="AO235" i="10"/>
  <c r="AO239" i="10"/>
  <c r="AO242" i="10"/>
  <c r="AO270" i="10"/>
  <c r="AN276" i="10"/>
  <c r="AO289" i="10"/>
  <c r="AM298" i="10"/>
  <c r="AO323" i="10"/>
  <c r="AH11" i="10"/>
  <c r="AI77" i="10"/>
  <c r="AI81" i="10"/>
  <c r="AI93" i="10"/>
  <c r="AH104" i="10"/>
  <c r="AL152" i="10"/>
  <c r="AG178" i="10"/>
  <c r="AI166" i="10"/>
  <c r="AI170" i="10"/>
  <c r="AI174" i="10"/>
  <c r="AI179" i="10"/>
  <c r="AI183" i="10"/>
  <c r="AI187" i="10"/>
  <c r="AI191" i="10"/>
  <c r="AI195" i="10"/>
  <c r="AI199" i="10"/>
  <c r="AI203" i="10"/>
  <c r="AG204" i="10"/>
  <c r="AI215" i="10"/>
  <c r="AI219" i="10"/>
  <c r="AI222" i="10"/>
  <c r="AI228" i="10"/>
  <c r="AI232" i="10"/>
  <c r="AI236" i="10"/>
  <c r="AI240" i="10"/>
  <c r="AH247" i="10"/>
  <c r="AI257" i="10"/>
  <c r="AI261" i="10"/>
  <c r="AI265" i="10"/>
  <c r="AI269" i="10"/>
  <c r="AI273" i="10"/>
  <c r="AL276" i="10"/>
  <c r="AI280" i="10"/>
  <c r="AI284" i="10"/>
  <c r="AI288" i="10"/>
  <c r="AI292" i="10"/>
  <c r="AL296" i="10"/>
  <c r="AG322" i="10"/>
  <c r="AI305" i="10"/>
  <c r="AI309" i="10"/>
  <c r="AI323" i="10"/>
  <c r="AI327" i="10"/>
  <c r="AI335" i="10"/>
  <c r="AI343" i="10"/>
  <c r="AN58" i="10"/>
  <c r="AM276" i="10"/>
  <c r="AO286" i="10"/>
  <c r="AO290" i="10"/>
  <c r="AO304" i="10"/>
  <c r="AO335" i="10"/>
  <c r="AO343" i="10"/>
  <c r="AR204" i="10"/>
  <c r="AM206" i="10"/>
  <c r="AR206" i="10"/>
  <c r="AO165" i="10"/>
  <c r="AO169" i="10"/>
  <c r="AO173" i="10"/>
  <c r="AO166" i="10"/>
  <c r="AO170" i="10"/>
  <c r="AO174" i="10"/>
  <c r="AR178" i="10"/>
  <c r="AM178" i="10"/>
  <c r="AO178" i="10" s="1"/>
  <c r="AO163" i="10"/>
  <c r="AO167" i="10"/>
  <c r="AO171" i="10"/>
  <c r="AO130" i="10"/>
  <c r="AO134" i="10"/>
  <c r="AO138" i="10"/>
  <c r="AR152" i="10"/>
  <c r="AO132" i="10"/>
  <c r="AO136" i="10"/>
  <c r="AM152" i="10"/>
  <c r="AM154" i="10"/>
  <c r="AO154" i="10" s="1"/>
  <c r="AO133" i="10"/>
  <c r="AO137" i="10"/>
  <c r="AR129" i="10"/>
  <c r="AM129" i="10"/>
  <c r="AM104" i="10"/>
  <c r="AO93" i="10"/>
  <c r="AR104" i="10"/>
  <c r="AO94" i="10"/>
  <c r="AR90" i="10"/>
  <c r="AO59" i="10"/>
  <c r="AO51" i="10"/>
  <c r="AO49" i="10"/>
  <c r="AO56" i="10"/>
  <c r="AM58" i="10"/>
  <c r="AM47" i="10"/>
  <c r="AM27" i="10"/>
  <c r="AM11" i="10"/>
  <c r="AO15" i="10"/>
  <c r="AO19" i="10"/>
  <c r="AO16" i="10"/>
  <c r="AO20" i="10"/>
  <c r="AO12" i="10"/>
  <c r="AR60" i="10"/>
  <c r="AO344" i="10"/>
  <c r="AN27" i="10"/>
  <c r="AN60" i="10"/>
  <c r="AO60" i="10" s="1"/>
  <c r="AM90" i="10"/>
  <c r="AO91" i="10"/>
  <c r="AN129" i="10"/>
  <c r="AO162" i="10"/>
  <c r="AM204" i="10"/>
  <c r="AO205" i="10"/>
  <c r="AO246" i="10"/>
  <c r="AM296" i="10"/>
  <c r="AO297" i="10"/>
  <c r="AO131" i="10"/>
  <c r="AN206" i="10"/>
  <c r="AN247" i="10"/>
  <c r="AN298" i="10"/>
  <c r="AO298" i="10" s="1"/>
  <c r="AM247" i="10"/>
  <c r="AN90" i="10"/>
  <c r="AN49" i="9"/>
  <c r="AL48" i="9"/>
  <c r="AN35" i="9"/>
  <c r="AN33" i="9"/>
  <c r="AN8" i="9"/>
  <c r="AN12" i="9"/>
  <c r="AN16" i="9"/>
  <c r="AQ32" i="9"/>
  <c r="AN5" i="9"/>
  <c r="AN9" i="9"/>
  <c r="AN13" i="9"/>
  <c r="AN17" i="9"/>
  <c r="AN26" i="9"/>
  <c r="AL32" i="9"/>
  <c r="AN6" i="9"/>
  <c r="AN10" i="9"/>
  <c r="AN14" i="9"/>
  <c r="AN28" i="9"/>
  <c r="AM32" i="9"/>
  <c r="AN34" i="9"/>
  <c r="AO72" i="8"/>
  <c r="AO76" i="8"/>
  <c r="AM96" i="8"/>
  <c r="AO74" i="8"/>
  <c r="AO84" i="8"/>
  <c r="AO71" i="8"/>
  <c r="AO31" i="8"/>
  <c r="AO33" i="8"/>
  <c r="AO37" i="8"/>
  <c r="AO30" i="8"/>
  <c r="AO34" i="8"/>
  <c r="AO29" i="8"/>
  <c r="AO7" i="8"/>
  <c r="AO11" i="8"/>
  <c r="AO15" i="8"/>
  <c r="AM28" i="8"/>
  <c r="AO8" i="8"/>
  <c r="AO12" i="8"/>
  <c r="AO16" i="8"/>
  <c r="AO9" i="8"/>
  <c r="AO13" i="8"/>
  <c r="AN98" i="8"/>
  <c r="AO98" i="8" s="1"/>
  <c r="AN47" i="8"/>
  <c r="AN49" i="8"/>
  <c r="AN70" i="8"/>
  <c r="AN28" i="8"/>
  <c r="AM49" i="8"/>
  <c r="AO50" i="8"/>
  <c r="AN96" i="8"/>
  <c r="AQ265" i="7"/>
  <c r="AN251" i="7"/>
  <c r="AL249" i="7"/>
  <c r="AN249" i="7" s="1"/>
  <c r="AQ249" i="7"/>
  <c r="AN206" i="7"/>
  <c r="AN210" i="7"/>
  <c r="AN213" i="7"/>
  <c r="AN216" i="7"/>
  <c r="AN204" i="7"/>
  <c r="AN208" i="7"/>
  <c r="AQ216" i="7"/>
  <c r="AL201" i="7"/>
  <c r="AO105" i="2"/>
  <c r="AO104" i="2"/>
  <c r="AQ104" i="2" s="1"/>
  <c r="AT104" i="2"/>
  <c r="AQ102" i="2"/>
  <c r="AQ100" i="2"/>
  <c r="AR107" i="2"/>
  <c r="AQ94" i="2"/>
  <c r="AO88" i="2"/>
  <c r="AP58" i="13"/>
  <c r="AS58" i="13" s="1"/>
  <c r="AR89" i="2"/>
  <c r="AO78" i="2"/>
  <c r="AO83" i="2"/>
  <c r="AQ75" i="2"/>
  <c r="AO69" i="2"/>
  <c r="AO74" i="2"/>
  <c r="AQ72" i="2"/>
  <c r="AT71" i="2"/>
  <c r="AO106" i="2"/>
  <c r="AQ64" i="2"/>
  <c r="AO59" i="2"/>
  <c r="AQ57" i="2"/>
  <c r="AO56" i="2"/>
  <c r="AQ54" i="2"/>
  <c r="AQ52" i="2"/>
  <c r="AQ45" i="2"/>
  <c r="AO47" i="2"/>
  <c r="AQ42" i="2"/>
  <c r="AO44" i="2"/>
  <c r="AT39" i="2"/>
  <c r="AQ34" i="2"/>
  <c r="AT106" i="2"/>
  <c r="AQ27" i="2"/>
  <c r="AO29" i="2"/>
  <c r="AQ24" i="2"/>
  <c r="AO26" i="2"/>
  <c r="AQ22" i="2"/>
  <c r="AQ20" i="2"/>
  <c r="AO17" i="2"/>
  <c r="AQ15" i="2"/>
  <c r="AO14" i="2"/>
  <c r="AQ14" i="2" s="1"/>
  <c r="AQ12" i="2"/>
  <c r="AQ8" i="2"/>
  <c r="AT9" i="2"/>
  <c r="AQ88" i="2"/>
  <c r="AP89" i="2"/>
  <c r="AO80" i="2"/>
  <c r="AQ87" i="2"/>
  <c r="AS32" i="2"/>
  <c r="AQ70" i="2"/>
  <c r="AO89" i="2"/>
  <c r="AS62" i="2"/>
  <c r="AQ26" i="2"/>
  <c r="AO71" i="2"/>
  <c r="AP17" i="2"/>
  <c r="AP23" i="2"/>
  <c r="AQ23" i="2" s="1"/>
  <c r="AP29" i="2"/>
  <c r="AR30" i="2"/>
  <c r="AT30" i="2" s="1"/>
  <c r="AP35" i="2"/>
  <c r="AP47" i="2"/>
  <c r="AQ47" i="2" s="1"/>
  <c r="AP53" i="2"/>
  <c r="AQ53" i="2" s="1"/>
  <c r="AP59" i="2"/>
  <c r="AR60" i="2"/>
  <c r="AT60" i="2" s="1"/>
  <c r="AP65" i="2"/>
  <c r="AQ65" i="2" s="1"/>
  <c r="AP77" i="2"/>
  <c r="AP79" i="2"/>
  <c r="AR80" i="2"/>
  <c r="AT80" i="2" s="1"/>
  <c r="AP83" i="2"/>
  <c r="AP95" i="2"/>
  <c r="AP97" i="2"/>
  <c r="AR98" i="2"/>
  <c r="AT98" i="2" s="1"/>
  <c r="AP101" i="2"/>
  <c r="AQ101" i="2" s="1"/>
  <c r="AP105" i="2"/>
  <c r="AR36" i="13"/>
  <c r="AP41" i="13"/>
  <c r="AR42" i="13"/>
  <c r="AP47" i="13"/>
  <c r="AR48" i="13"/>
  <c r="AP53" i="13"/>
  <c r="AR54" i="13"/>
  <c r="AQ7" i="2"/>
  <c r="AS11" i="2"/>
  <c r="AQ13" i="2"/>
  <c r="AQ19" i="2"/>
  <c r="AQ25" i="2"/>
  <c r="AO35" i="2"/>
  <c r="AQ37" i="2"/>
  <c r="AS41" i="2"/>
  <c r="AQ43" i="2"/>
  <c r="AQ49" i="2"/>
  <c r="AQ55" i="2"/>
  <c r="AQ67" i="2"/>
  <c r="AQ73" i="2"/>
  <c r="AO77" i="2"/>
  <c r="AQ85" i="2"/>
  <c r="AQ91" i="2"/>
  <c r="AO95" i="2"/>
  <c r="AQ103" i="2"/>
  <c r="AS107" i="2"/>
  <c r="AP57" i="13"/>
  <c r="AQ58" i="13"/>
  <c r="AT58" i="13" s="1"/>
  <c r="AT10" i="2"/>
  <c r="AR11" i="2"/>
  <c r="AR31" i="2"/>
  <c r="AT40" i="2"/>
  <c r="AR41" i="2"/>
  <c r="AR61" i="2"/>
  <c r="AR62" i="2" s="1"/>
  <c r="AP68" i="2"/>
  <c r="AT70" i="2"/>
  <c r="AP78" i="2"/>
  <c r="AQ78" i="2" s="1"/>
  <c r="AP86" i="2"/>
  <c r="AT88" i="2"/>
  <c r="AP96" i="2"/>
  <c r="AQ96" i="2" s="1"/>
  <c r="AP106" i="2"/>
  <c r="AR39" i="13"/>
  <c r="AP44" i="13"/>
  <c r="AR45" i="13"/>
  <c r="AP50" i="13"/>
  <c r="AR51" i="13"/>
  <c r="AP56" i="13"/>
  <c r="AO68" i="2"/>
  <c r="AO86" i="2"/>
  <c r="AR22" i="13"/>
  <c r="AO98" i="1"/>
  <c r="AO101" i="1"/>
  <c r="AQ99" i="1"/>
  <c r="AQ94" i="1"/>
  <c r="AQ84" i="1"/>
  <c r="AQ87" i="1"/>
  <c r="AR89" i="1"/>
  <c r="AT89" i="1" s="1"/>
  <c r="AO89" i="1"/>
  <c r="AP28" i="13"/>
  <c r="AS28" i="13" s="1"/>
  <c r="AR10" i="13"/>
  <c r="AQ82" i="1"/>
  <c r="AQ76" i="1"/>
  <c r="AO78" i="1"/>
  <c r="AO80" i="1" s="1"/>
  <c r="AO106" i="1"/>
  <c r="AO70" i="1"/>
  <c r="AO71" i="1" s="1"/>
  <c r="AQ66" i="1"/>
  <c r="AQ69" i="1"/>
  <c r="AR71" i="1"/>
  <c r="AT71" i="1" s="1"/>
  <c r="AQ64" i="1"/>
  <c r="AQ57" i="1"/>
  <c r="AO59" i="1"/>
  <c r="AQ54" i="1"/>
  <c r="AQ56" i="1"/>
  <c r="AO56" i="1"/>
  <c r="AQ52" i="1"/>
  <c r="AO53" i="1"/>
  <c r="AO50" i="1"/>
  <c r="AQ50" i="1" s="1"/>
  <c r="AO47" i="1"/>
  <c r="AQ45" i="1"/>
  <c r="AO44" i="1"/>
  <c r="AQ44" i="1" s="1"/>
  <c r="AQ42" i="1"/>
  <c r="AT39" i="1"/>
  <c r="AQ33" i="1"/>
  <c r="AT105" i="1"/>
  <c r="AT106" i="1"/>
  <c r="AQ28" i="1"/>
  <c r="AQ26" i="1"/>
  <c r="AO23" i="1"/>
  <c r="AQ21" i="1"/>
  <c r="AO20" i="1"/>
  <c r="AQ18" i="1"/>
  <c r="AQ16" i="1"/>
  <c r="AO14" i="1"/>
  <c r="AQ14" i="1" s="1"/>
  <c r="AR30" i="1"/>
  <c r="AT30" i="1" s="1"/>
  <c r="AT9" i="1"/>
  <c r="AS32" i="1"/>
  <c r="AS62" i="1"/>
  <c r="AQ88" i="1"/>
  <c r="AP89" i="1"/>
  <c r="AQ89" i="1" s="1"/>
  <c r="AQ20" i="1"/>
  <c r="AQ38" i="1"/>
  <c r="AQ92" i="1"/>
  <c r="AP71" i="1"/>
  <c r="AP17" i="1"/>
  <c r="AQ17" i="1" s="1"/>
  <c r="AP23" i="1"/>
  <c r="AP29" i="1"/>
  <c r="AQ29" i="1" s="1"/>
  <c r="AP35" i="1"/>
  <c r="AP47" i="1"/>
  <c r="AP53" i="1"/>
  <c r="AQ53" i="1" s="1"/>
  <c r="AP59" i="1"/>
  <c r="AR60" i="1"/>
  <c r="AT60" i="1" s="1"/>
  <c r="AP65" i="1"/>
  <c r="AQ65" i="1" s="1"/>
  <c r="AP77" i="1"/>
  <c r="AP79" i="1"/>
  <c r="AR80" i="1"/>
  <c r="AT80" i="1" s="1"/>
  <c r="AP83" i="1"/>
  <c r="AQ83" i="1" s="1"/>
  <c r="AP95" i="1"/>
  <c r="AP97" i="1"/>
  <c r="AR98" i="1"/>
  <c r="AT98" i="1" s="1"/>
  <c r="AP101" i="1"/>
  <c r="AQ101" i="1" s="1"/>
  <c r="AP105" i="1"/>
  <c r="AR6" i="13"/>
  <c r="AP11" i="13"/>
  <c r="AR12" i="13"/>
  <c r="AP17" i="13"/>
  <c r="AR18" i="13"/>
  <c r="AP23" i="13"/>
  <c r="AR24" i="13"/>
  <c r="AQ7" i="1"/>
  <c r="AS11" i="1"/>
  <c r="AQ13" i="1"/>
  <c r="AQ19" i="1"/>
  <c r="AQ25" i="1"/>
  <c r="AO35" i="1"/>
  <c r="AQ37" i="1"/>
  <c r="AS41" i="1"/>
  <c r="AQ43" i="1"/>
  <c r="AQ49" i="1"/>
  <c r="AQ55" i="1"/>
  <c r="AQ67" i="1"/>
  <c r="AQ73" i="1"/>
  <c r="AO77" i="1"/>
  <c r="AQ85" i="1"/>
  <c r="AQ91" i="1"/>
  <c r="AO95" i="1"/>
  <c r="AQ103" i="1"/>
  <c r="AO105" i="1"/>
  <c r="AS107" i="1"/>
  <c r="AT107" i="1" s="1"/>
  <c r="AP27" i="13"/>
  <c r="AS27" i="13" s="1"/>
  <c r="AQ28" i="13"/>
  <c r="AT28" i="13" s="1"/>
  <c r="AT10" i="1"/>
  <c r="AR11" i="1"/>
  <c r="AR31" i="1"/>
  <c r="AT40" i="1"/>
  <c r="AR41" i="1"/>
  <c r="AR61" i="1"/>
  <c r="AP68" i="1"/>
  <c r="AT70" i="1"/>
  <c r="AP78" i="1"/>
  <c r="AP86" i="1"/>
  <c r="AT88" i="1"/>
  <c r="AP96" i="1"/>
  <c r="AQ96" i="1" s="1"/>
  <c r="AP106" i="1"/>
  <c r="AR9" i="13"/>
  <c r="AP14" i="13"/>
  <c r="AR15" i="13"/>
  <c r="AP20" i="13"/>
  <c r="AR21" i="13"/>
  <c r="AP26" i="13"/>
  <c r="AO68" i="1"/>
  <c r="AO86" i="1"/>
  <c r="AR7" i="13"/>
  <c r="AP8" i="13"/>
  <c r="AR13" i="13"/>
  <c r="AR19" i="13"/>
  <c r="AR25" i="13"/>
  <c r="AR37" i="13"/>
  <c r="AP38" i="13"/>
  <c r="AR43" i="13"/>
  <c r="AR49" i="13"/>
  <c r="AR55" i="13"/>
  <c r="AQ11" i="13"/>
  <c r="AQ17" i="13"/>
  <c r="AQ23" i="13"/>
  <c r="AQ27" i="13"/>
  <c r="AT27" i="13" s="1"/>
  <c r="AQ41" i="13"/>
  <c r="AQ47" i="13"/>
  <c r="AQ53" i="13"/>
  <c r="AR53" i="13" s="1"/>
  <c r="AQ57" i="13"/>
  <c r="AT57" i="13" s="1"/>
  <c r="AQ8" i="13"/>
  <c r="AQ38" i="13"/>
  <c r="AN159" i="7"/>
  <c r="AQ173" i="7"/>
  <c r="AL173" i="7"/>
  <c r="AN161" i="7"/>
  <c r="AN138" i="7"/>
  <c r="AN142" i="7"/>
  <c r="AN146" i="7"/>
  <c r="AN140" i="7"/>
  <c r="AN144" i="7"/>
  <c r="AN148" i="7"/>
  <c r="AL130" i="7"/>
  <c r="AN125" i="7"/>
  <c r="AN92" i="7"/>
  <c r="AN96" i="7"/>
  <c r="AN90" i="7"/>
  <c r="AN94" i="7"/>
  <c r="AN98" i="7"/>
  <c r="AN105" i="7"/>
  <c r="AN82" i="7"/>
  <c r="AL81" i="7"/>
  <c r="AN81" i="7" s="1"/>
  <c r="AN18" i="7"/>
  <c r="AN22" i="7"/>
  <c r="AN20" i="7"/>
  <c r="AL34" i="7"/>
  <c r="AN155" i="7"/>
  <c r="AL17" i="7"/>
  <c r="AN156" i="7"/>
  <c r="AN157" i="7"/>
  <c r="AN202" i="7"/>
  <c r="AN203" i="7"/>
  <c r="AM265" i="7"/>
  <c r="AN19" i="7"/>
  <c r="AL62" i="7"/>
  <c r="AL114" i="7"/>
  <c r="AN114" i="7" s="1"/>
  <c r="AH5" i="14"/>
  <c r="AH19" i="14"/>
  <c r="AH168" i="11"/>
  <c r="AG90" i="11"/>
  <c r="AG139" i="11"/>
  <c r="AH139" i="11" s="1"/>
  <c r="AG183" i="11"/>
  <c r="AH183" i="11" s="1"/>
  <c r="AH98" i="11"/>
  <c r="AG46" i="11"/>
  <c r="AH46" i="11" s="1"/>
  <c r="AG26" i="11"/>
  <c r="AH26" i="11" s="1"/>
  <c r="AH54" i="11"/>
  <c r="AI178" i="10"/>
  <c r="AI247" i="10"/>
  <c r="AH58" i="10"/>
  <c r="AI58" i="10" s="1"/>
  <c r="AG47" i="10"/>
  <c r="AH90" i="10"/>
  <c r="AG27" i="10"/>
  <c r="AG90" i="10"/>
  <c r="AI91" i="10"/>
  <c r="AI92" i="10"/>
  <c r="AI162" i="10"/>
  <c r="AH204" i="10"/>
  <c r="AI204" i="10" s="1"/>
  <c r="AG224" i="10"/>
  <c r="AI224" i="10" s="1"/>
  <c r="AI225" i="10"/>
  <c r="AH245" i="10"/>
  <c r="AI245" i="10" s="1"/>
  <c r="AH276" i="10"/>
  <c r="AH296" i="10"/>
  <c r="AI296" i="10" s="1"/>
  <c r="AH322" i="10"/>
  <c r="AH344" i="10"/>
  <c r="AI344" i="10" s="1"/>
  <c r="AI123" i="10"/>
  <c r="AI205" i="10"/>
  <c r="AI246" i="10"/>
  <c r="AG276" i="10"/>
  <c r="AI277" i="10"/>
  <c r="AI324" i="10"/>
  <c r="AI212" i="10"/>
  <c r="CG61" i="12" l="1"/>
  <c r="CC53" i="12"/>
  <c r="CA56" i="12"/>
  <c r="AU26" i="13"/>
  <c r="AU14" i="13"/>
  <c r="AW31" i="1"/>
  <c r="AV32" i="1"/>
  <c r="AW32" i="1" s="1"/>
  <c r="AW41" i="2"/>
  <c r="AV62" i="2"/>
  <c r="AW62" i="2" s="1"/>
  <c r="AW61" i="2"/>
  <c r="AW31" i="2"/>
  <c r="AV32" i="2"/>
  <c r="AW32" i="2" s="1"/>
  <c r="AQ29" i="2"/>
  <c r="AW61" i="1"/>
  <c r="AV62" i="1"/>
  <c r="AW62" i="1" s="1"/>
  <c r="AU20" i="13"/>
  <c r="AR58" i="13"/>
  <c r="AU56" i="13"/>
  <c r="AU44" i="13"/>
  <c r="AT29" i="13"/>
  <c r="AU29" i="13" s="1"/>
  <c r="AU28" i="13"/>
  <c r="AP59" i="13"/>
  <c r="AS57" i="13"/>
  <c r="AS59" i="13" s="1"/>
  <c r="AU57" i="13"/>
  <c r="AU27" i="13"/>
  <c r="AS29" i="13"/>
  <c r="AT59" i="13"/>
  <c r="AU58" i="13"/>
  <c r="AR50" i="13"/>
  <c r="AU38" i="13"/>
  <c r="AF238" i="24"/>
  <c r="AG238" i="24" s="1"/>
  <c r="D208" i="23"/>
  <c r="E208" i="23" s="1"/>
  <c r="AH238" i="24"/>
  <c r="F208" i="23"/>
  <c r="E239" i="23"/>
  <c r="D238" i="23"/>
  <c r="E238" i="23" s="1"/>
  <c r="AF238" i="22"/>
  <c r="AG238" i="22" s="1"/>
  <c r="D208" i="20"/>
  <c r="AH238" i="22"/>
  <c r="AI238" i="22" s="1"/>
  <c r="F208" i="20"/>
  <c r="AQ44" i="2"/>
  <c r="AQ69" i="2"/>
  <c r="CA59" i="12"/>
  <c r="AN201" i="7"/>
  <c r="AR17" i="13"/>
  <c r="AQ23" i="1"/>
  <c r="AQ105" i="2"/>
  <c r="AQ59" i="2"/>
  <c r="AQ17" i="2"/>
  <c r="AO107" i="2"/>
  <c r="AO58" i="10"/>
  <c r="BX61" i="12"/>
  <c r="BX63" i="12" s="1"/>
  <c r="AQ35" i="2"/>
  <c r="AR56" i="13"/>
  <c r="CI61" i="12"/>
  <c r="AO342" i="10"/>
  <c r="AN62" i="7"/>
  <c r="CC28" i="12"/>
  <c r="AM17" i="14"/>
  <c r="AN168" i="11"/>
  <c r="AN70" i="11"/>
  <c r="AH70" i="11"/>
  <c r="AN122" i="11"/>
  <c r="AN46" i="11"/>
  <c r="AO296" i="10"/>
  <c r="AO204" i="10"/>
  <c r="AO152" i="10"/>
  <c r="AR8" i="13"/>
  <c r="AR26" i="13"/>
  <c r="AR44" i="13"/>
  <c r="AN173" i="7"/>
  <c r="AN130" i="7"/>
  <c r="AI208" i="22"/>
  <c r="AI238" i="24"/>
  <c r="AR14" i="13"/>
  <c r="AG208" i="22"/>
  <c r="CA58" i="12"/>
  <c r="CH63" i="12"/>
  <c r="CG60" i="12"/>
  <c r="AT89" i="2"/>
  <c r="AR20" i="13"/>
  <c r="AP71" i="2"/>
  <c r="AQ71" i="2" s="1"/>
  <c r="AQ74" i="2"/>
  <c r="AQ56" i="2"/>
  <c r="AR38" i="13"/>
  <c r="AR28" i="13"/>
  <c r="BY60" i="12"/>
  <c r="BY62" i="12" s="1"/>
  <c r="BY61" i="12"/>
  <c r="BY63" i="12" s="1"/>
  <c r="CI60" i="12"/>
  <c r="CD62" i="12"/>
  <c r="BX60" i="12"/>
  <c r="BX62" i="12" s="1"/>
  <c r="CD63" i="12"/>
  <c r="CB60" i="12"/>
  <c r="CC12" i="12"/>
  <c r="BZ60" i="12"/>
  <c r="CA12" i="12"/>
  <c r="CI62" i="12"/>
  <c r="CB61" i="12"/>
  <c r="CC13" i="12"/>
  <c r="BZ61" i="12"/>
  <c r="CA13" i="12"/>
  <c r="CG62" i="12"/>
  <c r="CI63" i="12"/>
  <c r="AN34" i="14"/>
  <c r="AN26" i="11"/>
  <c r="AI129" i="10"/>
  <c r="AI90" i="10"/>
  <c r="AO276" i="10"/>
  <c r="AO245" i="10"/>
  <c r="AO206" i="10"/>
  <c r="AO129" i="10"/>
  <c r="AO247" i="10"/>
  <c r="AN32" i="9"/>
  <c r="AO96" i="8"/>
  <c r="AO28" i="8"/>
  <c r="AO49" i="8"/>
  <c r="AT107" i="2"/>
  <c r="AQ95" i="2"/>
  <c r="AR41" i="13"/>
  <c r="AQ83" i="2"/>
  <c r="AQ77" i="2"/>
  <c r="AT41" i="2"/>
  <c r="AT62" i="2"/>
  <c r="AR32" i="2"/>
  <c r="AT32" i="2" s="1"/>
  <c r="AQ97" i="2"/>
  <c r="AP98" i="2"/>
  <c r="AQ98" i="2" s="1"/>
  <c r="AQ79" i="2"/>
  <c r="AP80" i="2"/>
  <c r="AQ80" i="2" s="1"/>
  <c r="AR47" i="13"/>
  <c r="AQ86" i="2"/>
  <c r="AT11" i="2"/>
  <c r="AT61" i="2"/>
  <c r="AQ89" i="2"/>
  <c r="AQ106" i="2"/>
  <c r="AP107" i="2"/>
  <c r="AQ107" i="2" s="1"/>
  <c r="AQ68" i="2"/>
  <c r="AT31" i="2"/>
  <c r="AQ86" i="1"/>
  <c r="AO107" i="1"/>
  <c r="AQ78" i="1"/>
  <c r="AQ70" i="1"/>
  <c r="AQ71" i="1"/>
  <c r="AQ68" i="1"/>
  <c r="AQ59" i="1"/>
  <c r="AQ47" i="1"/>
  <c r="AR62" i="1"/>
  <c r="AT62" i="1" s="1"/>
  <c r="AR32" i="1"/>
  <c r="AT32" i="1" s="1"/>
  <c r="AR23" i="13"/>
  <c r="AT61" i="1"/>
  <c r="AP29" i="13"/>
  <c r="AT41" i="1"/>
  <c r="AQ105" i="1"/>
  <c r="AQ95" i="1"/>
  <c r="AQ77" i="1"/>
  <c r="AQ35" i="1"/>
  <c r="AQ106" i="1"/>
  <c r="AP107" i="1"/>
  <c r="AQ97" i="1"/>
  <c r="AP98" i="1"/>
  <c r="AQ98" i="1" s="1"/>
  <c r="AQ79" i="1"/>
  <c r="AP80" i="1"/>
  <c r="AQ80" i="1" s="1"/>
  <c r="AR11" i="13"/>
  <c r="AT11" i="1"/>
  <c r="AT31" i="1"/>
  <c r="AR57" i="13"/>
  <c r="AR27" i="13"/>
  <c r="AQ29" i="13"/>
  <c r="AQ59" i="13"/>
  <c r="AR59" i="13" s="1"/>
  <c r="AI276" i="10"/>
  <c r="AU59" i="13" l="1"/>
  <c r="G208" i="23"/>
  <c r="F238" i="23"/>
  <c r="G238" i="23" s="1"/>
  <c r="E208" i="20"/>
  <c r="D238" i="20"/>
  <c r="E238" i="20" s="1"/>
  <c r="G208" i="20"/>
  <c r="F238" i="20"/>
  <c r="G238" i="20" s="1"/>
  <c r="CG63" i="12"/>
  <c r="AR29" i="13"/>
  <c r="CC60" i="12"/>
  <c r="CB62" i="12"/>
  <c r="CC62" i="12" s="1"/>
  <c r="CC61" i="12"/>
  <c r="CB63" i="12"/>
  <c r="CC63" i="12" s="1"/>
  <c r="CA60" i="12"/>
  <c r="BZ62" i="12"/>
  <c r="CA62" i="12" s="1"/>
  <c r="CA61" i="12"/>
  <c r="BZ63" i="12"/>
  <c r="CA63" i="12" s="1"/>
  <c r="AQ107" i="1"/>
  <c r="AK49" i="9"/>
  <c r="AG49" i="9"/>
  <c r="AF49" i="9"/>
  <c r="AJ48" i="9"/>
  <c r="AI48" i="9"/>
  <c r="AG47" i="9"/>
  <c r="AF47" i="9"/>
  <c r="AG46" i="9"/>
  <c r="AF46" i="9"/>
  <c r="AG45" i="9"/>
  <c r="AF45" i="9"/>
  <c r="AG44" i="9"/>
  <c r="AF44" i="9"/>
  <c r="AG43" i="9"/>
  <c r="AF43" i="9"/>
  <c r="AG42" i="9"/>
  <c r="AF42" i="9"/>
  <c r="AG41" i="9"/>
  <c r="AF41" i="9"/>
  <c r="AK40" i="9"/>
  <c r="AG40" i="9"/>
  <c r="AF40" i="9"/>
  <c r="AK39" i="9"/>
  <c r="AG39" i="9"/>
  <c r="AF39" i="9"/>
  <c r="AK38" i="9"/>
  <c r="AG38" i="9"/>
  <c r="AF38" i="9"/>
  <c r="AK37" i="9"/>
  <c r="AG37" i="9"/>
  <c r="AF37" i="9"/>
  <c r="AK36" i="9"/>
  <c r="AG36" i="9"/>
  <c r="AF36" i="9"/>
  <c r="AK35" i="9"/>
  <c r="AG35" i="9"/>
  <c r="AF35" i="9"/>
  <c r="AK34" i="9"/>
  <c r="AG34" i="9"/>
  <c r="AF34" i="9"/>
  <c r="AK33" i="9"/>
  <c r="AG33" i="9"/>
  <c r="AF33" i="9"/>
  <c r="AJ32" i="9"/>
  <c r="AI32" i="9"/>
  <c r="AG31" i="9"/>
  <c r="AF31" i="9"/>
  <c r="AK30" i="9"/>
  <c r="AG30" i="9"/>
  <c r="AF30" i="9"/>
  <c r="AK29" i="9"/>
  <c r="AG29" i="9"/>
  <c r="AF29" i="9"/>
  <c r="AK28" i="9"/>
  <c r="AG28" i="9"/>
  <c r="AH28" i="9" s="1"/>
  <c r="AF28" i="9"/>
  <c r="AK27" i="9"/>
  <c r="AG27" i="9"/>
  <c r="AF27" i="9"/>
  <c r="AK26" i="9"/>
  <c r="AG26" i="9"/>
  <c r="AH26" i="9" s="1"/>
  <c r="AF26" i="9"/>
  <c r="AK25" i="9"/>
  <c r="AG25" i="9"/>
  <c r="AF25" i="9"/>
  <c r="AK24" i="9"/>
  <c r="AG24" i="9"/>
  <c r="AF24" i="9"/>
  <c r="AK23" i="9"/>
  <c r="AG23" i="9"/>
  <c r="AF23" i="9"/>
  <c r="AK22" i="9"/>
  <c r="AG22" i="9"/>
  <c r="AF22" i="9"/>
  <c r="AK21" i="9"/>
  <c r="AG21" i="9"/>
  <c r="AF21" i="9"/>
  <c r="AH21" i="9" s="1"/>
  <c r="AK20" i="9"/>
  <c r="AG20" i="9"/>
  <c r="AF20" i="9"/>
  <c r="AK19" i="9"/>
  <c r="AG19" i="9"/>
  <c r="AF19" i="9"/>
  <c r="AG18" i="9"/>
  <c r="AF18" i="9"/>
  <c r="AK17" i="9"/>
  <c r="AG17" i="9"/>
  <c r="AF17" i="9"/>
  <c r="AK16" i="9"/>
  <c r="AG16" i="9"/>
  <c r="AF16" i="9"/>
  <c r="AK15" i="9"/>
  <c r="AG15" i="9"/>
  <c r="AF15" i="9"/>
  <c r="AK14" i="9"/>
  <c r="AG14" i="9"/>
  <c r="AF14" i="9"/>
  <c r="AK13" i="9"/>
  <c r="AG13" i="9"/>
  <c r="AF13" i="9"/>
  <c r="AK12" i="9"/>
  <c r="AG12" i="9"/>
  <c r="AF12" i="9"/>
  <c r="AK11" i="9"/>
  <c r="AG11" i="9"/>
  <c r="AF11" i="9"/>
  <c r="AK10" i="9"/>
  <c r="AG10" i="9"/>
  <c r="AF10" i="9"/>
  <c r="AK9" i="9"/>
  <c r="AG9" i="9"/>
  <c r="AF9" i="9"/>
  <c r="AK8" i="9"/>
  <c r="AG8" i="9"/>
  <c r="AF8" i="9"/>
  <c r="AK7" i="9"/>
  <c r="AG7" i="9"/>
  <c r="AF7" i="9"/>
  <c r="AK6" i="9"/>
  <c r="AG6" i="9"/>
  <c r="AF6" i="9"/>
  <c r="AK5" i="9"/>
  <c r="AG5" i="9"/>
  <c r="AF5" i="9"/>
  <c r="AK98" i="8"/>
  <c r="AJ98" i="8"/>
  <c r="AH97" i="8"/>
  <c r="AG97" i="8"/>
  <c r="AK96" i="8"/>
  <c r="AJ96" i="8"/>
  <c r="AH95" i="8"/>
  <c r="AG95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L88" i="8"/>
  <c r="AH88" i="8"/>
  <c r="AG88" i="8"/>
  <c r="AL87" i="8"/>
  <c r="AH87" i="8"/>
  <c r="AG87" i="8"/>
  <c r="AL86" i="8"/>
  <c r="AH86" i="8"/>
  <c r="AG86" i="8"/>
  <c r="AL85" i="8"/>
  <c r="AH85" i="8"/>
  <c r="AI85" i="8" s="1"/>
  <c r="AG85" i="8"/>
  <c r="AL84" i="8"/>
  <c r="AH84" i="8"/>
  <c r="AG84" i="8"/>
  <c r="AL83" i="8"/>
  <c r="AH83" i="8"/>
  <c r="AG83" i="8"/>
  <c r="AL82" i="8"/>
  <c r="AH82" i="8"/>
  <c r="AG82" i="8"/>
  <c r="AL81" i="8"/>
  <c r="AH81" i="8"/>
  <c r="AG81" i="8"/>
  <c r="AL80" i="8"/>
  <c r="AH80" i="8"/>
  <c r="AG80" i="8"/>
  <c r="AL79" i="8"/>
  <c r="AH79" i="8"/>
  <c r="AG79" i="8"/>
  <c r="AL78" i="8"/>
  <c r="AH78" i="8"/>
  <c r="AG78" i="8"/>
  <c r="AL77" i="8"/>
  <c r="AH77" i="8"/>
  <c r="AI77" i="8" s="1"/>
  <c r="AG77" i="8"/>
  <c r="AL76" i="8"/>
  <c r="AH76" i="8"/>
  <c r="AG76" i="8"/>
  <c r="AL75" i="8"/>
  <c r="AH75" i="8"/>
  <c r="AG75" i="8"/>
  <c r="AL74" i="8"/>
  <c r="AH74" i="8"/>
  <c r="AG74" i="8"/>
  <c r="AL73" i="8"/>
  <c r="AH73" i="8"/>
  <c r="AI73" i="8" s="1"/>
  <c r="AG73" i="8"/>
  <c r="AL72" i="8"/>
  <c r="AH72" i="8"/>
  <c r="AG72" i="8"/>
  <c r="AH71" i="8"/>
  <c r="AG71" i="8"/>
  <c r="AK70" i="8"/>
  <c r="AJ70" i="8"/>
  <c r="AH69" i="8"/>
  <c r="AG69" i="8"/>
  <c r="AH68" i="8"/>
  <c r="AG68" i="8"/>
  <c r="AH67" i="8"/>
  <c r="AG67" i="8"/>
  <c r="AH66" i="8"/>
  <c r="AG66" i="8"/>
  <c r="AH65" i="8"/>
  <c r="AG65" i="8"/>
  <c r="AH64" i="8"/>
  <c r="AG64" i="8"/>
  <c r="AH63" i="8"/>
  <c r="AG63" i="8"/>
  <c r="AH62" i="8"/>
  <c r="AG62" i="8"/>
  <c r="AH61" i="8"/>
  <c r="AG61" i="8"/>
  <c r="AL60" i="8"/>
  <c r="AH60" i="8"/>
  <c r="AI60" i="8" s="1"/>
  <c r="AG60" i="8"/>
  <c r="AL59" i="8"/>
  <c r="AH59" i="8"/>
  <c r="AG59" i="8"/>
  <c r="AH58" i="8"/>
  <c r="AG58" i="8"/>
  <c r="AL57" i="8"/>
  <c r="AH57" i="8"/>
  <c r="AG57" i="8"/>
  <c r="AL56" i="8"/>
  <c r="AH56" i="8"/>
  <c r="AG56" i="8"/>
  <c r="AL55" i="8"/>
  <c r="AH55" i="8"/>
  <c r="AG55" i="8"/>
  <c r="AL54" i="8"/>
  <c r="AH54" i="8"/>
  <c r="AG54" i="8"/>
  <c r="AL53" i="8"/>
  <c r="AH53" i="8"/>
  <c r="AI53" i="8" s="1"/>
  <c r="AG53" i="8"/>
  <c r="AL52" i="8"/>
  <c r="AH52" i="8"/>
  <c r="AG52" i="8"/>
  <c r="AL51" i="8"/>
  <c r="AH51" i="8"/>
  <c r="AG51" i="8"/>
  <c r="AL50" i="8"/>
  <c r="AH50" i="8"/>
  <c r="AG50" i="8"/>
  <c r="AK49" i="8"/>
  <c r="AJ49" i="8"/>
  <c r="AH48" i="8"/>
  <c r="AG48" i="8"/>
  <c r="AK47" i="8"/>
  <c r="AJ47" i="8"/>
  <c r="AH46" i="8"/>
  <c r="AG46" i="8"/>
  <c r="AH45" i="8"/>
  <c r="AG45" i="8"/>
  <c r="AH44" i="8"/>
  <c r="AG44" i="8"/>
  <c r="AH43" i="8"/>
  <c r="AG43" i="8"/>
  <c r="AH42" i="8"/>
  <c r="AG42" i="8"/>
  <c r="AH41" i="8"/>
  <c r="AG41" i="8"/>
  <c r="AH40" i="8"/>
  <c r="AG40" i="8"/>
  <c r="AL39" i="8"/>
  <c r="AH39" i="8"/>
  <c r="AG39" i="8"/>
  <c r="AH38" i="8"/>
  <c r="AG38" i="8"/>
  <c r="AL37" i="8"/>
  <c r="AH37" i="8"/>
  <c r="AG37" i="8"/>
  <c r="AL36" i="8"/>
  <c r="AH36" i="8"/>
  <c r="AI36" i="8" s="1"/>
  <c r="AG36" i="8"/>
  <c r="AL35" i="8"/>
  <c r="AH35" i="8"/>
  <c r="AG35" i="8"/>
  <c r="AL34" i="8"/>
  <c r="AH34" i="8"/>
  <c r="AG34" i="8"/>
  <c r="AL33" i="8"/>
  <c r="AH33" i="8"/>
  <c r="AG33" i="8"/>
  <c r="AL32" i="8"/>
  <c r="AH32" i="8"/>
  <c r="AI32" i="8" s="1"/>
  <c r="AG32" i="8"/>
  <c r="AL31" i="8"/>
  <c r="AH31" i="8"/>
  <c r="AG31" i="8"/>
  <c r="AL30" i="8"/>
  <c r="AH30" i="8"/>
  <c r="AG30" i="8"/>
  <c r="AL29" i="8"/>
  <c r="AH29" i="8"/>
  <c r="AH49" i="8" s="1"/>
  <c r="AG29" i="8"/>
  <c r="AG49" i="8" s="1"/>
  <c r="AK28" i="8"/>
  <c r="AJ28" i="8"/>
  <c r="AH27" i="8"/>
  <c r="AG27" i="8"/>
  <c r="AH26" i="8"/>
  <c r="AG26" i="8"/>
  <c r="AH25" i="8"/>
  <c r="AG25" i="8"/>
  <c r="AH24" i="8"/>
  <c r="AG24" i="8"/>
  <c r="AH23" i="8"/>
  <c r="AG23" i="8"/>
  <c r="AH22" i="8"/>
  <c r="AG22" i="8"/>
  <c r="AH21" i="8"/>
  <c r="AG21" i="8"/>
  <c r="AH20" i="8"/>
  <c r="AG20" i="8"/>
  <c r="AL19" i="8"/>
  <c r="AH19" i="8"/>
  <c r="AG19" i="8"/>
  <c r="AH18" i="8"/>
  <c r="AG18" i="8"/>
  <c r="AL17" i="8"/>
  <c r="AH17" i="8"/>
  <c r="AG17" i="8"/>
  <c r="AL16" i="8"/>
  <c r="AH16" i="8"/>
  <c r="AG16" i="8"/>
  <c r="AL15" i="8"/>
  <c r="AH15" i="8"/>
  <c r="AG15" i="8"/>
  <c r="AL14" i="8"/>
  <c r="AH14" i="8"/>
  <c r="AG14" i="8"/>
  <c r="AL13" i="8"/>
  <c r="AH13" i="8"/>
  <c r="AG13" i="8"/>
  <c r="AL12" i="8"/>
  <c r="AH12" i="8"/>
  <c r="AG12" i="8"/>
  <c r="AL11" i="8"/>
  <c r="AH11" i="8"/>
  <c r="AG11" i="8"/>
  <c r="AL10" i="8"/>
  <c r="AH10" i="8"/>
  <c r="AG10" i="8"/>
  <c r="AL9" i="8"/>
  <c r="AH9" i="8"/>
  <c r="AG9" i="8"/>
  <c r="AL8" i="8"/>
  <c r="AH8" i="8"/>
  <c r="AG8" i="8"/>
  <c r="AL7" i="8"/>
  <c r="AH7" i="8"/>
  <c r="AI7" i="8" s="1"/>
  <c r="AG7" i="8"/>
  <c r="AL6" i="8"/>
  <c r="AH6" i="8"/>
  <c r="AG6" i="8"/>
  <c r="AK266" i="7"/>
  <c r="AG266" i="7"/>
  <c r="AF266" i="7"/>
  <c r="AH266" i="7" s="1"/>
  <c r="AJ265" i="7"/>
  <c r="AK265" i="7" s="1"/>
  <c r="AI265" i="7"/>
  <c r="AG264" i="7"/>
  <c r="AF264" i="7"/>
  <c r="AG263" i="7"/>
  <c r="AF263" i="7"/>
  <c r="AG262" i="7"/>
  <c r="AF262" i="7"/>
  <c r="AK261" i="7"/>
  <c r="AG261" i="7"/>
  <c r="AF261" i="7"/>
  <c r="AH261" i="7" s="1"/>
  <c r="AK260" i="7"/>
  <c r="AG260" i="7"/>
  <c r="AF260" i="7"/>
  <c r="AG259" i="7"/>
  <c r="AF259" i="7"/>
  <c r="AK258" i="7"/>
  <c r="AG258" i="7"/>
  <c r="AF258" i="7"/>
  <c r="AK257" i="7"/>
  <c r="AG257" i="7"/>
  <c r="AF257" i="7"/>
  <c r="AK256" i="7"/>
  <c r="AG256" i="7"/>
  <c r="AF256" i="7"/>
  <c r="AK255" i="7"/>
  <c r="AG255" i="7"/>
  <c r="AF255" i="7"/>
  <c r="AK254" i="7"/>
  <c r="AG254" i="7"/>
  <c r="AF254" i="7"/>
  <c r="AK253" i="7"/>
  <c r="AG253" i="7"/>
  <c r="AF253" i="7"/>
  <c r="AK252" i="7"/>
  <c r="AG252" i="7"/>
  <c r="AF252" i="7"/>
  <c r="AK251" i="7"/>
  <c r="AG251" i="7"/>
  <c r="AF251" i="7"/>
  <c r="AK250" i="7"/>
  <c r="AG250" i="7"/>
  <c r="AF250" i="7"/>
  <c r="AJ249" i="7"/>
  <c r="AI249" i="7"/>
  <c r="AK248" i="7"/>
  <c r="AG248" i="7"/>
  <c r="AF248" i="7"/>
  <c r="AK247" i="7"/>
  <c r="AG247" i="7"/>
  <c r="AF247" i="7"/>
  <c r="AK246" i="7"/>
  <c r="AG246" i="7"/>
  <c r="AH246" i="7" s="1"/>
  <c r="AF246" i="7"/>
  <c r="AK245" i="7"/>
  <c r="AG245" i="7"/>
  <c r="AF245" i="7"/>
  <c r="AK244" i="7"/>
  <c r="AG244" i="7"/>
  <c r="AF244" i="7"/>
  <c r="AK243" i="7"/>
  <c r="AG243" i="7"/>
  <c r="AF243" i="7"/>
  <c r="AK242" i="7"/>
  <c r="AG242" i="7"/>
  <c r="AH242" i="7" s="1"/>
  <c r="AF242" i="7"/>
  <c r="AK241" i="7"/>
  <c r="AG241" i="7"/>
  <c r="AF241" i="7"/>
  <c r="AK240" i="7"/>
  <c r="AG240" i="7"/>
  <c r="AF240" i="7"/>
  <c r="AK239" i="7"/>
  <c r="AG239" i="7"/>
  <c r="AH239" i="7" s="1"/>
  <c r="AF239" i="7"/>
  <c r="AK238" i="7"/>
  <c r="AG238" i="7"/>
  <c r="AH238" i="7" s="1"/>
  <c r="AF238" i="7"/>
  <c r="AK237" i="7"/>
  <c r="AG237" i="7"/>
  <c r="AF237" i="7"/>
  <c r="AK236" i="7"/>
  <c r="AG236" i="7"/>
  <c r="AF236" i="7"/>
  <c r="AK235" i="7"/>
  <c r="AG235" i="7"/>
  <c r="AH235" i="7" s="1"/>
  <c r="AF235" i="7"/>
  <c r="AK234" i="7"/>
  <c r="AG234" i="7"/>
  <c r="AH234" i="7" s="1"/>
  <c r="AF234" i="7"/>
  <c r="AK233" i="7"/>
  <c r="AG233" i="7"/>
  <c r="AF233" i="7"/>
  <c r="AK232" i="7"/>
  <c r="AG232" i="7"/>
  <c r="AF232" i="7"/>
  <c r="AK231" i="7"/>
  <c r="AG231" i="7"/>
  <c r="AH231" i="7" s="1"/>
  <c r="AF231" i="7"/>
  <c r="AK230" i="7"/>
  <c r="AG230" i="7"/>
  <c r="AH230" i="7" s="1"/>
  <c r="AF230" i="7"/>
  <c r="AK229" i="7"/>
  <c r="AG229" i="7"/>
  <c r="AF229" i="7"/>
  <c r="AK228" i="7"/>
  <c r="AG228" i="7"/>
  <c r="AF228" i="7"/>
  <c r="AK227" i="7"/>
  <c r="AG227" i="7"/>
  <c r="AH227" i="7" s="1"/>
  <c r="AF227" i="7"/>
  <c r="AK226" i="7"/>
  <c r="AG226" i="7"/>
  <c r="AH226" i="7" s="1"/>
  <c r="AF226" i="7"/>
  <c r="AK225" i="7"/>
  <c r="AG225" i="7"/>
  <c r="AF225" i="7"/>
  <c r="AK224" i="7"/>
  <c r="AG224" i="7"/>
  <c r="AF224" i="7"/>
  <c r="AK217" i="7"/>
  <c r="AG217" i="7"/>
  <c r="AH217" i="7" s="1"/>
  <c r="AF217" i="7"/>
  <c r="AJ216" i="7"/>
  <c r="AI216" i="7"/>
  <c r="AK215" i="7"/>
  <c r="AG215" i="7"/>
  <c r="AF215" i="7"/>
  <c r="AK214" i="7"/>
  <c r="AG214" i="7"/>
  <c r="AF214" i="7"/>
  <c r="AK213" i="7"/>
  <c r="AG213" i="7"/>
  <c r="AF213" i="7"/>
  <c r="AG212" i="7"/>
  <c r="AF212" i="7"/>
  <c r="AK211" i="7"/>
  <c r="AG211" i="7"/>
  <c r="AF211" i="7"/>
  <c r="AK210" i="7"/>
  <c r="AG210" i="7"/>
  <c r="AF210" i="7"/>
  <c r="AK209" i="7"/>
  <c r="AG209" i="7"/>
  <c r="AF209" i="7"/>
  <c r="AH209" i="7" s="1"/>
  <c r="AK208" i="7"/>
  <c r="AG208" i="7"/>
  <c r="AF208" i="7"/>
  <c r="AH208" i="7" s="1"/>
  <c r="AK207" i="7"/>
  <c r="AG207" i="7"/>
  <c r="AF207" i="7"/>
  <c r="AK206" i="7"/>
  <c r="AG206" i="7"/>
  <c r="AF206" i="7"/>
  <c r="AK205" i="7"/>
  <c r="AG205" i="7"/>
  <c r="AF205" i="7"/>
  <c r="AH205" i="7" s="1"/>
  <c r="AK204" i="7"/>
  <c r="AG204" i="7"/>
  <c r="AF204" i="7"/>
  <c r="AH204" i="7" s="1"/>
  <c r="AK203" i="7"/>
  <c r="AG203" i="7"/>
  <c r="AF203" i="7"/>
  <c r="AH203" i="7" s="1"/>
  <c r="AK202" i="7"/>
  <c r="AG202" i="7"/>
  <c r="AF202" i="7"/>
  <c r="AJ201" i="7"/>
  <c r="AI201" i="7"/>
  <c r="AG200" i="7"/>
  <c r="AF200" i="7"/>
  <c r="AK199" i="7"/>
  <c r="AG199" i="7"/>
  <c r="AF199" i="7"/>
  <c r="AH199" i="7" s="1"/>
  <c r="AG198" i="7"/>
  <c r="AF198" i="7"/>
  <c r="AK197" i="7"/>
  <c r="AG197" i="7"/>
  <c r="AF197" i="7"/>
  <c r="AK196" i="7"/>
  <c r="AG196" i="7"/>
  <c r="AF196" i="7"/>
  <c r="AH196" i="7" s="1"/>
  <c r="AK195" i="7"/>
  <c r="AG195" i="7"/>
  <c r="AF195" i="7"/>
  <c r="AK194" i="7"/>
  <c r="AG194" i="7"/>
  <c r="AF194" i="7"/>
  <c r="AK193" i="7"/>
  <c r="AG193" i="7"/>
  <c r="AF193" i="7"/>
  <c r="AK192" i="7"/>
  <c r="AG192" i="7"/>
  <c r="AF192" i="7"/>
  <c r="AH192" i="7" s="1"/>
  <c r="AK191" i="7"/>
  <c r="AG191" i="7"/>
  <c r="AF191" i="7"/>
  <c r="AK190" i="7"/>
  <c r="AG190" i="7"/>
  <c r="AF190" i="7"/>
  <c r="AK189" i="7"/>
  <c r="AG189" i="7"/>
  <c r="AF189" i="7"/>
  <c r="AK188" i="7"/>
  <c r="AG188" i="7"/>
  <c r="AF188" i="7"/>
  <c r="AH188" i="7" s="1"/>
  <c r="AK187" i="7"/>
  <c r="AG187" i="7"/>
  <c r="AF187" i="7"/>
  <c r="AK186" i="7"/>
  <c r="AG186" i="7"/>
  <c r="AF186" i="7"/>
  <c r="AK185" i="7"/>
  <c r="AG185" i="7"/>
  <c r="AF185" i="7"/>
  <c r="AK184" i="7"/>
  <c r="AG184" i="7"/>
  <c r="AF184" i="7"/>
  <c r="AH184" i="7" s="1"/>
  <c r="AK183" i="7"/>
  <c r="AG183" i="7"/>
  <c r="AF183" i="7"/>
  <c r="AK182" i="7"/>
  <c r="AG182" i="7"/>
  <c r="AF182" i="7"/>
  <c r="AK181" i="7"/>
  <c r="AG181" i="7"/>
  <c r="AG201" i="7" s="1"/>
  <c r="AF181" i="7"/>
  <c r="AK174" i="7"/>
  <c r="AG174" i="7"/>
  <c r="AF174" i="7"/>
  <c r="AH174" i="7" s="1"/>
  <c r="AJ173" i="7"/>
  <c r="AI173" i="7"/>
  <c r="AG172" i="7"/>
  <c r="AF172" i="7"/>
  <c r="AG171" i="7"/>
  <c r="AF171" i="7"/>
  <c r="AG170" i="7"/>
  <c r="AF170" i="7"/>
  <c r="AK169" i="7"/>
  <c r="AG169" i="7"/>
  <c r="AF169" i="7"/>
  <c r="AK168" i="7"/>
  <c r="AG168" i="7"/>
  <c r="AF168" i="7"/>
  <c r="AK167" i="7"/>
  <c r="AG167" i="7"/>
  <c r="AF167" i="7"/>
  <c r="AK166" i="7"/>
  <c r="AG166" i="7"/>
  <c r="AF166" i="7"/>
  <c r="AK165" i="7"/>
  <c r="AG165" i="7"/>
  <c r="AF165" i="7"/>
  <c r="AK164" i="7"/>
  <c r="AG164" i="7"/>
  <c r="AF164" i="7"/>
  <c r="AK163" i="7"/>
  <c r="AG163" i="7"/>
  <c r="AF163" i="7"/>
  <c r="AK162" i="7"/>
  <c r="AG162" i="7"/>
  <c r="AF162" i="7"/>
  <c r="AH162" i="7" s="1"/>
  <c r="AK161" i="7"/>
  <c r="AG161" i="7"/>
  <c r="AF161" i="7"/>
  <c r="AK160" i="7"/>
  <c r="AG160" i="7"/>
  <c r="AF160" i="7"/>
  <c r="AK159" i="7"/>
  <c r="AG159" i="7"/>
  <c r="AF159" i="7"/>
  <c r="AK158" i="7"/>
  <c r="AG158" i="7"/>
  <c r="AF158" i="7"/>
  <c r="AH158" i="7" s="1"/>
  <c r="AK157" i="7"/>
  <c r="AG157" i="7"/>
  <c r="AF157" i="7"/>
  <c r="AK156" i="7"/>
  <c r="AG156" i="7"/>
  <c r="AF156" i="7"/>
  <c r="AJ155" i="7"/>
  <c r="AI155" i="7"/>
  <c r="AK154" i="7"/>
  <c r="AG154" i="7"/>
  <c r="AF154" i="7"/>
  <c r="AK153" i="7"/>
  <c r="AH153" i="7"/>
  <c r="AG153" i="7"/>
  <c r="AF153" i="7"/>
  <c r="AK152" i="7"/>
  <c r="AH152" i="7"/>
  <c r="AG152" i="7"/>
  <c r="AF152" i="7"/>
  <c r="AK151" i="7"/>
  <c r="AH151" i="7"/>
  <c r="AG151" i="7"/>
  <c r="AF151" i="7"/>
  <c r="AK150" i="7"/>
  <c r="AG150" i="7"/>
  <c r="AF150" i="7"/>
  <c r="AG149" i="7"/>
  <c r="AF149" i="7"/>
  <c r="AK148" i="7"/>
  <c r="AG148" i="7"/>
  <c r="AF148" i="7"/>
  <c r="AH148" i="7" s="1"/>
  <c r="AK147" i="7"/>
  <c r="AG147" i="7"/>
  <c r="AF147" i="7"/>
  <c r="AK146" i="7"/>
  <c r="AG146" i="7"/>
  <c r="AF146" i="7"/>
  <c r="AK145" i="7"/>
  <c r="AG145" i="7"/>
  <c r="AF145" i="7"/>
  <c r="AH145" i="7" s="1"/>
  <c r="AK144" i="7"/>
  <c r="AG144" i="7"/>
  <c r="AF144" i="7"/>
  <c r="AH144" i="7" s="1"/>
  <c r="AK143" i="7"/>
  <c r="AG143" i="7"/>
  <c r="AF143" i="7"/>
  <c r="AK142" i="7"/>
  <c r="AG142" i="7"/>
  <c r="AF142" i="7"/>
  <c r="AK141" i="7"/>
  <c r="AG141" i="7"/>
  <c r="AF141" i="7"/>
  <c r="AH141" i="7" s="1"/>
  <c r="AK140" i="7"/>
  <c r="AG140" i="7"/>
  <c r="AF140" i="7"/>
  <c r="AH140" i="7" s="1"/>
  <c r="AK139" i="7"/>
  <c r="AG139" i="7"/>
  <c r="AF139" i="7"/>
  <c r="AK138" i="7"/>
  <c r="AG138" i="7"/>
  <c r="AG155" i="7" s="1"/>
  <c r="AF138" i="7"/>
  <c r="AK131" i="7"/>
  <c r="AG131" i="7"/>
  <c r="AF131" i="7"/>
  <c r="AH131" i="7" s="1"/>
  <c r="AJ130" i="7"/>
  <c r="AK130" i="7" s="1"/>
  <c r="AI130" i="7"/>
  <c r="AG129" i="7"/>
  <c r="AF129" i="7"/>
  <c r="AG128" i="7"/>
  <c r="AF128" i="7"/>
  <c r="AG127" i="7"/>
  <c r="AF127" i="7"/>
  <c r="AK126" i="7"/>
  <c r="AG126" i="7"/>
  <c r="AF126" i="7"/>
  <c r="AH126" i="7" s="1"/>
  <c r="AK125" i="7"/>
  <c r="AG125" i="7"/>
  <c r="AF125" i="7"/>
  <c r="AK124" i="7"/>
  <c r="AG124" i="7"/>
  <c r="AF124" i="7"/>
  <c r="AG123" i="7"/>
  <c r="AF123" i="7"/>
  <c r="AK122" i="7"/>
  <c r="AG122" i="7"/>
  <c r="AF122" i="7"/>
  <c r="AH122" i="7" s="1"/>
  <c r="AK121" i="7"/>
  <c r="AH121" i="7"/>
  <c r="AG121" i="7"/>
  <c r="AF121" i="7"/>
  <c r="AK120" i="7"/>
  <c r="AH120" i="7"/>
  <c r="AG120" i="7"/>
  <c r="AF120" i="7"/>
  <c r="AK119" i="7"/>
  <c r="AH119" i="7"/>
  <c r="AG119" i="7"/>
  <c r="AF119" i="7"/>
  <c r="AK118" i="7"/>
  <c r="AH118" i="7"/>
  <c r="AG118" i="7"/>
  <c r="AF118" i="7"/>
  <c r="AK117" i="7"/>
  <c r="AH117" i="7"/>
  <c r="AG117" i="7"/>
  <c r="AF117" i="7"/>
  <c r="AK116" i="7"/>
  <c r="AH116" i="7"/>
  <c r="AG116" i="7"/>
  <c r="AF116" i="7"/>
  <c r="AK115" i="7"/>
  <c r="AH115" i="7"/>
  <c r="AG115" i="7"/>
  <c r="AF115" i="7"/>
  <c r="AJ114" i="7"/>
  <c r="AI114" i="7"/>
  <c r="AG113" i="7"/>
  <c r="AF113" i="7"/>
  <c r="AG112" i="7"/>
  <c r="AF112" i="7"/>
  <c r="AK111" i="7"/>
  <c r="AG111" i="7"/>
  <c r="AF111" i="7"/>
  <c r="AK110" i="7"/>
  <c r="AG110" i="7"/>
  <c r="AF110" i="7"/>
  <c r="AK109" i="7"/>
  <c r="AG109" i="7"/>
  <c r="AH109" i="7" s="1"/>
  <c r="AF109" i="7"/>
  <c r="AK108" i="7"/>
  <c r="AG108" i="7"/>
  <c r="AF108" i="7"/>
  <c r="AK107" i="7"/>
  <c r="AG107" i="7"/>
  <c r="AF107" i="7"/>
  <c r="AK106" i="7"/>
  <c r="AG106" i="7"/>
  <c r="AH106" i="7" s="1"/>
  <c r="AF106" i="7"/>
  <c r="AK105" i="7"/>
  <c r="AG105" i="7"/>
  <c r="AH105" i="7" s="1"/>
  <c r="AF105" i="7"/>
  <c r="AG104" i="7"/>
  <c r="AF104" i="7"/>
  <c r="AK103" i="7"/>
  <c r="AG103" i="7"/>
  <c r="AF103" i="7"/>
  <c r="AK102" i="7"/>
  <c r="AG102" i="7"/>
  <c r="AH102" i="7" s="1"/>
  <c r="AF102" i="7"/>
  <c r="AK101" i="7"/>
  <c r="AG101" i="7"/>
  <c r="AF101" i="7"/>
  <c r="AK100" i="7"/>
  <c r="AG100" i="7"/>
  <c r="AF100" i="7"/>
  <c r="AK99" i="7"/>
  <c r="AG99" i="7"/>
  <c r="AF99" i="7"/>
  <c r="AK98" i="7"/>
  <c r="AH98" i="7"/>
  <c r="AG98" i="7"/>
  <c r="AF98" i="7"/>
  <c r="AK97" i="7"/>
  <c r="AG97" i="7"/>
  <c r="AH97" i="7" s="1"/>
  <c r="AF97" i="7"/>
  <c r="AK96" i="7"/>
  <c r="AG96" i="7"/>
  <c r="AF96" i="7"/>
  <c r="AK95" i="7"/>
  <c r="AG95" i="7"/>
  <c r="AF95" i="7"/>
  <c r="AH95" i="7" s="1"/>
  <c r="AK94" i="7"/>
  <c r="AG94" i="7"/>
  <c r="AF94" i="7"/>
  <c r="AK93" i="7"/>
  <c r="AG93" i="7"/>
  <c r="AF93" i="7"/>
  <c r="AK92" i="7"/>
  <c r="AG92" i="7"/>
  <c r="AF92" i="7"/>
  <c r="AK91" i="7"/>
  <c r="AG91" i="7"/>
  <c r="AF91" i="7"/>
  <c r="AH91" i="7" s="1"/>
  <c r="AK90" i="7"/>
  <c r="AG90" i="7"/>
  <c r="AF90" i="7"/>
  <c r="AH90" i="7" s="1"/>
  <c r="AK89" i="7"/>
  <c r="AG89" i="7"/>
  <c r="AF89" i="7"/>
  <c r="AK82" i="7"/>
  <c r="AG82" i="7"/>
  <c r="AF82" i="7"/>
  <c r="AJ81" i="7"/>
  <c r="AI81" i="7"/>
  <c r="AG80" i="7"/>
  <c r="AF80" i="7"/>
  <c r="AG79" i="7"/>
  <c r="AF79" i="7"/>
  <c r="AG78" i="7"/>
  <c r="AF78" i="7"/>
  <c r="AK77" i="7"/>
  <c r="AG77" i="7"/>
  <c r="AF77" i="7"/>
  <c r="AK76" i="7"/>
  <c r="AG76" i="7"/>
  <c r="AF76" i="7"/>
  <c r="AG75" i="7"/>
  <c r="AF75" i="7"/>
  <c r="AK74" i="7"/>
  <c r="AG74" i="7"/>
  <c r="AH74" i="7" s="1"/>
  <c r="AF74" i="7"/>
  <c r="AK73" i="7"/>
  <c r="AG73" i="7"/>
  <c r="AH73" i="7" s="1"/>
  <c r="AF73" i="7"/>
  <c r="AK72" i="7"/>
  <c r="AG72" i="7"/>
  <c r="AH72" i="7" s="1"/>
  <c r="AF72" i="7"/>
  <c r="AK71" i="7"/>
  <c r="AG71" i="7"/>
  <c r="AH71" i="7" s="1"/>
  <c r="AF71" i="7"/>
  <c r="AK70" i="7"/>
  <c r="AG70" i="7"/>
  <c r="AF70" i="7"/>
  <c r="AK69" i="7"/>
  <c r="AG69" i="7"/>
  <c r="AF69" i="7"/>
  <c r="AK68" i="7"/>
  <c r="AG68" i="7"/>
  <c r="AF68" i="7"/>
  <c r="AK67" i="7"/>
  <c r="AG67" i="7"/>
  <c r="AF67" i="7"/>
  <c r="AK66" i="7"/>
  <c r="AG66" i="7"/>
  <c r="AF66" i="7"/>
  <c r="AK65" i="7"/>
  <c r="AG65" i="7"/>
  <c r="AF65" i="7"/>
  <c r="AK64" i="7"/>
  <c r="AG64" i="7"/>
  <c r="AF64" i="7"/>
  <c r="AK63" i="7"/>
  <c r="AG63" i="7"/>
  <c r="AF63" i="7"/>
  <c r="AJ62" i="7"/>
  <c r="AK62" i="7" s="1"/>
  <c r="AI62" i="7"/>
  <c r="AG61" i="7"/>
  <c r="AF61" i="7"/>
  <c r="AG60" i="7"/>
  <c r="AF60" i="7"/>
  <c r="AK59" i="7"/>
  <c r="AG59" i="7"/>
  <c r="AF59" i="7"/>
  <c r="AK58" i="7"/>
  <c r="AG58" i="7"/>
  <c r="AF58" i="7"/>
  <c r="AK57" i="7"/>
  <c r="AG57" i="7"/>
  <c r="AF57" i="7"/>
  <c r="AK56" i="7"/>
  <c r="AG56" i="7"/>
  <c r="AH56" i="7" s="1"/>
  <c r="AF56" i="7"/>
  <c r="AK55" i="7"/>
  <c r="AG55" i="7"/>
  <c r="AF55" i="7"/>
  <c r="AK54" i="7"/>
  <c r="AG54" i="7"/>
  <c r="AF54" i="7"/>
  <c r="AK53" i="7"/>
  <c r="AG53" i="7"/>
  <c r="AF53" i="7"/>
  <c r="AK52" i="7"/>
  <c r="AG52" i="7"/>
  <c r="AH52" i="7" s="1"/>
  <c r="AF52" i="7"/>
  <c r="AK51" i="7"/>
  <c r="AG51" i="7"/>
  <c r="AF51" i="7"/>
  <c r="AK50" i="7"/>
  <c r="AG50" i="7"/>
  <c r="AH50" i="7" s="1"/>
  <c r="AF50" i="7"/>
  <c r="AK49" i="7"/>
  <c r="AG49" i="7"/>
  <c r="AF49" i="7"/>
  <c r="AK48" i="7"/>
  <c r="AG48" i="7"/>
  <c r="AH48" i="7" s="1"/>
  <c r="AF48" i="7"/>
  <c r="AK47" i="7"/>
  <c r="AG47" i="7"/>
  <c r="AF47" i="7"/>
  <c r="AK46" i="7"/>
  <c r="AG46" i="7"/>
  <c r="AH46" i="7" s="1"/>
  <c r="AF46" i="7"/>
  <c r="AK45" i="7"/>
  <c r="AG45" i="7"/>
  <c r="AF45" i="7"/>
  <c r="AK44" i="7"/>
  <c r="AG44" i="7"/>
  <c r="AH44" i="7" s="1"/>
  <c r="AF44" i="7"/>
  <c r="AK43" i="7"/>
  <c r="AG43" i="7"/>
  <c r="AF43" i="7"/>
  <c r="AK42" i="7"/>
  <c r="AG42" i="7"/>
  <c r="AF42" i="7"/>
  <c r="AK35" i="7"/>
  <c r="AG35" i="7"/>
  <c r="AF35" i="7"/>
  <c r="AJ34" i="7"/>
  <c r="AI34" i="7"/>
  <c r="AG33" i="7"/>
  <c r="AF33" i="7"/>
  <c r="AG32" i="7"/>
  <c r="AF32" i="7"/>
  <c r="AG31" i="7"/>
  <c r="AF31" i="7"/>
  <c r="AG30" i="7"/>
  <c r="AF30" i="7"/>
  <c r="AG29" i="7"/>
  <c r="AF29" i="7"/>
  <c r="AK28" i="7"/>
  <c r="AG28" i="7"/>
  <c r="AF28" i="7"/>
  <c r="AK27" i="7"/>
  <c r="AG27" i="7"/>
  <c r="AF27" i="7"/>
  <c r="AK26" i="7"/>
  <c r="AG26" i="7"/>
  <c r="AF26" i="7"/>
  <c r="AK25" i="7"/>
  <c r="AG25" i="7"/>
  <c r="AH25" i="7" s="1"/>
  <c r="AF25" i="7"/>
  <c r="AK24" i="7"/>
  <c r="AG24" i="7"/>
  <c r="AF24" i="7"/>
  <c r="AK23" i="7"/>
  <c r="AG23" i="7"/>
  <c r="AF23" i="7"/>
  <c r="AK22" i="7"/>
  <c r="AG22" i="7"/>
  <c r="AF22" i="7"/>
  <c r="AK21" i="7"/>
  <c r="AG21" i="7"/>
  <c r="AH21" i="7" s="1"/>
  <c r="AF21" i="7"/>
  <c r="AK20" i="7"/>
  <c r="AG20" i="7"/>
  <c r="AF20" i="7"/>
  <c r="AK19" i="7"/>
  <c r="AG19" i="7"/>
  <c r="AF19" i="7"/>
  <c r="AK18" i="7"/>
  <c r="AG18" i="7"/>
  <c r="AF18" i="7"/>
  <c r="AJ17" i="7"/>
  <c r="AI17" i="7"/>
  <c r="AG16" i="7"/>
  <c r="AF16" i="7"/>
  <c r="AG15" i="7"/>
  <c r="AF15" i="7"/>
  <c r="AG14" i="7"/>
  <c r="AF14" i="7"/>
  <c r="AG13" i="7"/>
  <c r="AF13" i="7"/>
  <c r="AG12" i="7"/>
  <c r="AF12" i="7"/>
  <c r="AK11" i="7"/>
  <c r="AG11" i="7"/>
  <c r="AF11" i="7"/>
  <c r="AK10" i="7"/>
  <c r="AG10" i="7"/>
  <c r="AF10" i="7"/>
  <c r="AK9" i="7"/>
  <c r="AG9" i="7"/>
  <c r="AH9" i="7" s="1"/>
  <c r="AF9" i="7"/>
  <c r="AK8" i="7"/>
  <c r="AG8" i="7"/>
  <c r="AH8" i="7" s="1"/>
  <c r="AF8" i="7"/>
  <c r="AK7" i="7"/>
  <c r="AG7" i="7"/>
  <c r="AF7" i="7"/>
  <c r="AK6" i="7"/>
  <c r="AG6" i="7"/>
  <c r="AF6" i="7"/>
  <c r="AK5" i="7"/>
  <c r="AG5" i="7"/>
  <c r="AF5" i="7"/>
  <c r="AH199" i="24"/>
  <c r="AF199" i="24"/>
  <c r="D199" i="23" s="1"/>
  <c r="AE199" i="24"/>
  <c r="AD199" i="24"/>
  <c r="B199" i="23" s="1"/>
  <c r="AC198" i="24"/>
  <c r="AB198" i="24"/>
  <c r="AA19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B198" i="24"/>
  <c r="AH197" i="24"/>
  <c r="F197" i="23" s="1"/>
  <c r="AF197" i="24"/>
  <c r="D197" i="23" s="1"/>
  <c r="AE197" i="24"/>
  <c r="AD197" i="24"/>
  <c r="B197" i="23" s="1"/>
  <c r="AH196" i="24"/>
  <c r="F196" i="23" s="1"/>
  <c r="AF196" i="24"/>
  <c r="D196" i="23" s="1"/>
  <c r="AE196" i="24"/>
  <c r="AD196" i="24"/>
  <c r="B196" i="23" s="1"/>
  <c r="AH195" i="24"/>
  <c r="F195" i="23" s="1"/>
  <c r="AF195" i="24"/>
  <c r="D195" i="23" s="1"/>
  <c r="AE195" i="24"/>
  <c r="AD195" i="24"/>
  <c r="B195" i="23" s="1"/>
  <c r="AH194" i="24"/>
  <c r="F194" i="23" s="1"/>
  <c r="AF194" i="24"/>
  <c r="D194" i="23" s="1"/>
  <c r="AE194" i="24"/>
  <c r="AD194" i="24"/>
  <c r="B194" i="23" s="1"/>
  <c r="AH193" i="24"/>
  <c r="F193" i="23" s="1"/>
  <c r="AF193" i="24"/>
  <c r="D193" i="23" s="1"/>
  <c r="AE193" i="24"/>
  <c r="AD193" i="24"/>
  <c r="B193" i="23" s="1"/>
  <c r="AH192" i="24"/>
  <c r="F192" i="23" s="1"/>
  <c r="AF192" i="24"/>
  <c r="D192" i="23" s="1"/>
  <c r="AE192" i="24"/>
  <c r="AD192" i="24"/>
  <c r="B192" i="23" s="1"/>
  <c r="AH191" i="24"/>
  <c r="F191" i="23" s="1"/>
  <c r="AF191" i="24"/>
  <c r="D191" i="23" s="1"/>
  <c r="AE191" i="24"/>
  <c r="AD191" i="24"/>
  <c r="B191" i="23" s="1"/>
  <c r="AH190" i="24"/>
  <c r="F190" i="23" s="1"/>
  <c r="AF190" i="24"/>
  <c r="D190" i="23" s="1"/>
  <c r="AE190" i="24"/>
  <c r="AD190" i="24"/>
  <c r="B190" i="23" s="1"/>
  <c r="AH189" i="24"/>
  <c r="F189" i="23" s="1"/>
  <c r="AF189" i="24"/>
  <c r="D189" i="23" s="1"/>
  <c r="AE189" i="24"/>
  <c r="AD189" i="24"/>
  <c r="B189" i="23" s="1"/>
  <c r="AH188" i="24"/>
  <c r="F188" i="23" s="1"/>
  <c r="AF188" i="24"/>
  <c r="D188" i="23" s="1"/>
  <c r="AE188" i="24"/>
  <c r="AD188" i="24"/>
  <c r="B188" i="23" s="1"/>
  <c r="AH187" i="24"/>
  <c r="F187" i="23" s="1"/>
  <c r="AF187" i="24"/>
  <c r="D187" i="23" s="1"/>
  <c r="AE187" i="24"/>
  <c r="AD187" i="24"/>
  <c r="B187" i="23" s="1"/>
  <c r="AH186" i="24"/>
  <c r="F186" i="23" s="1"/>
  <c r="AF186" i="24"/>
  <c r="D186" i="23" s="1"/>
  <c r="AE186" i="24"/>
  <c r="AD186" i="24"/>
  <c r="B186" i="23" s="1"/>
  <c r="AH185" i="24"/>
  <c r="F185" i="23" s="1"/>
  <c r="AF185" i="24"/>
  <c r="D185" i="23" s="1"/>
  <c r="AE185" i="24"/>
  <c r="AD185" i="24"/>
  <c r="B185" i="23" s="1"/>
  <c r="AH184" i="24"/>
  <c r="F184" i="23" s="1"/>
  <c r="AF184" i="24"/>
  <c r="D184" i="23" s="1"/>
  <c r="AE184" i="24"/>
  <c r="AD184" i="24"/>
  <c r="B184" i="23" s="1"/>
  <c r="AH183" i="24"/>
  <c r="F183" i="23" s="1"/>
  <c r="AF183" i="24"/>
  <c r="D183" i="23" s="1"/>
  <c r="AE183" i="24"/>
  <c r="AD183" i="24"/>
  <c r="B183" i="23" s="1"/>
  <c r="AH182" i="24"/>
  <c r="F182" i="23" s="1"/>
  <c r="AF182" i="24"/>
  <c r="D182" i="23" s="1"/>
  <c r="AE182" i="24"/>
  <c r="AD182" i="24"/>
  <c r="B182" i="23" s="1"/>
  <c r="AH181" i="24"/>
  <c r="F181" i="23" s="1"/>
  <c r="AF181" i="24"/>
  <c r="D181" i="23" s="1"/>
  <c r="AE181" i="24"/>
  <c r="AD181" i="24"/>
  <c r="B181" i="23" s="1"/>
  <c r="AH180" i="24"/>
  <c r="F180" i="23" s="1"/>
  <c r="AF180" i="24"/>
  <c r="D180" i="23" s="1"/>
  <c r="AE180" i="24"/>
  <c r="AD180" i="24"/>
  <c r="B180" i="23" s="1"/>
  <c r="AH179" i="24"/>
  <c r="F179" i="23" s="1"/>
  <c r="AF179" i="24"/>
  <c r="D179" i="23" s="1"/>
  <c r="AE179" i="24"/>
  <c r="AD179" i="24"/>
  <c r="B179" i="23" s="1"/>
  <c r="AH178" i="24"/>
  <c r="F178" i="23" s="1"/>
  <c r="AF178" i="24"/>
  <c r="D178" i="23" s="1"/>
  <c r="AE178" i="24"/>
  <c r="AD178" i="24"/>
  <c r="B178" i="23" s="1"/>
  <c r="AH177" i="24"/>
  <c r="F177" i="23" s="1"/>
  <c r="AF177" i="24"/>
  <c r="D177" i="23" s="1"/>
  <c r="AE177" i="24"/>
  <c r="AD177" i="24"/>
  <c r="B177" i="23" s="1"/>
  <c r="AH176" i="24"/>
  <c r="F176" i="23" s="1"/>
  <c r="AF176" i="24"/>
  <c r="D176" i="23" s="1"/>
  <c r="AE176" i="24"/>
  <c r="AD176" i="24"/>
  <c r="B176" i="23" s="1"/>
  <c r="AH175" i="24"/>
  <c r="F175" i="23" s="1"/>
  <c r="AF175" i="24"/>
  <c r="D175" i="23" s="1"/>
  <c r="AE175" i="24"/>
  <c r="AD175" i="24"/>
  <c r="B175" i="23" s="1"/>
  <c r="AH174" i="24"/>
  <c r="F174" i="23" s="1"/>
  <c r="AF174" i="24"/>
  <c r="D174" i="23" s="1"/>
  <c r="AE174" i="24"/>
  <c r="AD174" i="24"/>
  <c r="B174" i="23" s="1"/>
  <c r="AH173" i="24"/>
  <c r="F173" i="23" s="1"/>
  <c r="AF173" i="24"/>
  <c r="D173" i="23" s="1"/>
  <c r="AE173" i="24"/>
  <c r="AD173" i="24"/>
  <c r="B173" i="23" s="1"/>
  <c r="AH172" i="24"/>
  <c r="F172" i="23" s="1"/>
  <c r="AF172" i="24"/>
  <c r="D172" i="23" s="1"/>
  <c r="AE172" i="24"/>
  <c r="AD172" i="24"/>
  <c r="B172" i="23" s="1"/>
  <c r="AH171" i="24"/>
  <c r="F171" i="23" s="1"/>
  <c r="AF171" i="24"/>
  <c r="D171" i="23" s="1"/>
  <c r="AE171" i="24"/>
  <c r="AD171" i="24"/>
  <c r="B171" i="23" s="1"/>
  <c r="AH170" i="24"/>
  <c r="F170" i="23" s="1"/>
  <c r="AF170" i="24"/>
  <c r="D170" i="23" s="1"/>
  <c r="AE170" i="24"/>
  <c r="AD170" i="24"/>
  <c r="B170" i="23" s="1"/>
  <c r="AH169" i="24"/>
  <c r="F169" i="23" s="1"/>
  <c r="AF169" i="24"/>
  <c r="D169" i="23" s="1"/>
  <c r="AE169" i="24"/>
  <c r="AD169" i="24"/>
  <c r="B169" i="23" s="1"/>
  <c r="AH168" i="24"/>
  <c r="F168" i="23" s="1"/>
  <c r="AF168" i="24"/>
  <c r="AE168" i="24"/>
  <c r="AD168" i="24"/>
  <c r="AH199" i="22"/>
  <c r="AF199" i="22"/>
  <c r="AE199" i="22"/>
  <c r="AD199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C198" i="22"/>
  <c r="B198" i="22"/>
  <c r="AH197" i="22"/>
  <c r="AF197" i="22"/>
  <c r="D197" i="20" s="1"/>
  <c r="AE197" i="22"/>
  <c r="C197" i="20" s="1"/>
  <c r="AD197" i="22"/>
  <c r="B197" i="20" s="1"/>
  <c r="AH196" i="22"/>
  <c r="F196" i="20" s="1"/>
  <c r="AF196" i="22"/>
  <c r="AE196" i="22"/>
  <c r="AD196" i="22"/>
  <c r="B196" i="20" s="1"/>
  <c r="AH195" i="22"/>
  <c r="AF195" i="22"/>
  <c r="D195" i="20" s="1"/>
  <c r="AE195" i="22"/>
  <c r="C195" i="20" s="1"/>
  <c r="AD195" i="22"/>
  <c r="B195" i="20" s="1"/>
  <c r="AH194" i="22"/>
  <c r="F194" i="20" s="1"/>
  <c r="AF194" i="22"/>
  <c r="AE194" i="22"/>
  <c r="AD194" i="22"/>
  <c r="B194" i="20" s="1"/>
  <c r="AH193" i="22"/>
  <c r="AF193" i="22"/>
  <c r="D193" i="20" s="1"/>
  <c r="AE193" i="22"/>
  <c r="C193" i="20" s="1"/>
  <c r="AD193" i="22"/>
  <c r="B193" i="20" s="1"/>
  <c r="AH192" i="22"/>
  <c r="F192" i="20" s="1"/>
  <c r="AF192" i="22"/>
  <c r="AE192" i="22"/>
  <c r="AD192" i="22"/>
  <c r="B192" i="20" s="1"/>
  <c r="AH191" i="22"/>
  <c r="AF191" i="22"/>
  <c r="D191" i="20" s="1"/>
  <c r="AE191" i="22"/>
  <c r="C191" i="20" s="1"/>
  <c r="AD191" i="22"/>
  <c r="B191" i="20" s="1"/>
  <c r="AH190" i="22"/>
  <c r="F190" i="20" s="1"/>
  <c r="AF190" i="22"/>
  <c r="AE190" i="22"/>
  <c r="AD190" i="22"/>
  <c r="B190" i="20" s="1"/>
  <c r="AH189" i="22"/>
  <c r="AF189" i="22"/>
  <c r="D189" i="20" s="1"/>
  <c r="AE189" i="22"/>
  <c r="C189" i="20" s="1"/>
  <c r="AD189" i="22"/>
  <c r="B189" i="20" s="1"/>
  <c r="AH188" i="22"/>
  <c r="F188" i="20" s="1"/>
  <c r="AF188" i="22"/>
  <c r="AE188" i="22"/>
  <c r="AD188" i="22"/>
  <c r="B188" i="20" s="1"/>
  <c r="AH187" i="22"/>
  <c r="AF187" i="22"/>
  <c r="D187" i="20" s="1"/>
  <c r="AE187" i="22"/>
  <c r="C187" i="20" s="1"/>
  <c r="AD187" i="22"/>
  <c r="B187" i="20" s="1"/>
  <c r="AH186" i="22"/>
  <c r="F186" i="20" s="1"/>
  <c r="AF186" i="22"/>
  <c r="AE186" i="22"/>
  <c r="AD186" i="22"/>
  <c r="B186" i="20" s="1"/>
  <c r="AH185" i="22"/>
  <c r="AF185" i="22"/>
  <c r="D185" i="20" s="1"/>
  <c r="AE185" i="22"/>
  <c r="C185" i="20" s="1"/>
  <c r="AD185" i="22"/>
  <c r="B185" i="20" s="1"/>
  <c r="AH184" i="22"/>
  <c r="F184" i="20" s="1"/>
  <c r="AF184" i="22"/>
  <c r="AE184" i="22"/>
  <c r="AD184" i="22"/>
  <c r="B184" i="20" s="1"/>
  <c r="AH183" i="22"/>
  <c r="AF183" i="22"/>
  <c r="D183" i="20" s="1"/>
  <c r="AE183" i="22"/>
  <c r="C183" i="20" s="1"/>
  <c r="AD183" i="22"/>
  <c r="B183" i="20" s="1"/>
  <c r="AH182" i="22"/>
  <c r="F182" i="20" s="1"/>
  <c r="AF182" i="22"/>
  <c r="AE182" i="22"/>
  <c r="AD182" i="22"/>
  <c r="B182" i="20" s="1"/>
  <c r="AH181" i="22"/>
  <c r="AF181" i="22"/>
  <c r="D181" i="20" s="1"/>
  <c r="AE181" i="22"/>
  <c r="C181" i="20" s="1"/>
  <c r="AD181" i="22"/>
  <c r="B181" i="20" s="1"/>
  <c r="AH180" i="22"/>
  <c r="F180" i="20" s="1"/>
  <c r="AF180" i="22"/>
  <c r="AE180" i="22"/>
  <c r="AD180" i="22"/>
  <c r="B180" i="20" s="1"/>
  <c r="AH179" i="22"/>
  <c r="AF179" i="22"/>
  <c r="D179" i="20" s="1"/>
  <c r="AE179" i="22"/>
  <c r="C179" i="20" s="1"/>
  <c r="AD179" i="22"/>
  <c r="B179" i="20" s="1"/>
  <c r="AH178" i="22"/>
  <c r="F178" i="20" s="1"/>
  <c r="AF178" i="22"/>
  <c r="AE178" i="22"/>
  <c r="AD178" i="22"/>
  <c r="B178" i="20" s="1"/>
  <c r="AH177" i="22"/>
  <c r="AF177" i="22"/>
  <c r="D177" i="20" s="1"/>
  <c r="AE177" i="22"/>
  <c r="C177" i="20" s="1"/>
  <c r="AD177" i="22"/>
  <c r="B177" i="20" s="1"/>
  <c r="AH176" i="22"/>
  <c r="F176" i="20" s="1"/>
  <c r="AF176" i="22"/>
  <c r="AE176" i="22"/>
  <c r="AD176" i="22"/>
  <c r="B176" i="20" s="1"/>
  <c r="AH175" i="22"/>
  <c r="AF175" i="22"/>
  <c r="D175" i="20" s="1"/>
  <c r="AE175" i="22"/>
  <c r="C175" i="20" s="1"/>
  <c r="AD175" i="22"/>
  <c r="B175" i="20" s="1"/>
  <c r="AH174" i="22"/>
  <c r="F174" i="20" s="1"/>
  <c r="AF174" i="22"/>
  <c r="AE174" i="22"/>
  <c r="AD174" i="22"/>
  <c r="B174" i="20" s="1"/>
  <c r="AH173" i="22"/>
  <c r="AF173" i="22"/>
  <c r="D173" i="20" s="1"/>
  <c r="AE173" i="22"/>
  <c r="C173" i="20" s="1"/>
  <c r="AD173" i="22"/>
  <c r="B173" i="20" s="1"/>
  <c r="AH172" i="22"/>
  <c r="F172" i="20" s="1"/>
  <c r="AF172" i="22"/>
  <c r="AE172" i="22"/>
  <c r="AD172" i="22"/>
  <c r="B172" i="20" s="1"/>
  <c r="AH171" i="22"/>
  <c r="AF171" i="22"/>
  <c r="D171" i="20" s="1"/>
  <c r="AE171" i="22"/>
  <c r="C171" i="20" s="1"/>
  <c r="AD171" i="22"/>
  <c r="B171" i="20" s="1"/>
  <c r="AH170" i="22"/>
  <c r="F170" i="20" s="1"/>
  <c r="AF170" i="22"/>
  <c r="AE170" i="22"/>
  <c r="AD170" i="22"/>
  <c r="B170" i="20" s="1"/>
  <c r="AH169" i="22"/>
  <c r="AF169" i="22"/>
  <c r="D169" i="20" s="1"/>
  <c r="AE169" i="22"/>
  <c r="C169" i="20" s="1"/>
  <c r="AD169" i="22"/>
  <c r="B169" i="20" s="1"/>
  <c r="AH168" i="22"/>
  <c r="F168" i="20" s="1"/>
  <c r="AF168" i="22"/>
  <c r="AE168" i="22"/>
  <c r="C168" i="20" s="1"/>
  <c r="AD168" i="22"/>
  <c r="B168" i="20" s="1"/>
  <c r="BW65" i="12"/>
  <c r="BU65" i="12"/>
  <c r="BP65" i="12"/>
  <c r="BN65" i="12"/>
  <c r="BM65" i="12"/>
  <c r="BL65" i="12"/>
  <c r="BW64" i="12"/>
  <c r="BU64" i="12"/>
  <c r="BP64" i="12"/>
  <c r="BN64" i="12"/>
  <c r="BO64" i="12" s="1"/>
  <c r="BM64" i="12"/>
  <c r="BL64" i="12"/>
  <c r="BV59" i="12"/>
  <c r="BT59" i="12"/>
  <c r="BU59" i="12" s="1"/>
  <c r="BS59" i="12"/>
  <c r="BR59" i="12"/>
  <c r="BV58" i="12"/>
  <c r="BT58" i="12"/>
  <c r="BU58" i="12" s="1"/>
  <c r="BS58" i="12"/>
  <c r="BR58" i="12"/>
  <c r="BV57" i="12"/>
  <c r="BT57" i="12"/>
  <c r="BS57" i="12"/>
  <c r="BR57" i="12"/>
  <c r="BV56" i="12"/>
  <c r="BT56" i="12"/>
  <c r="BS56" i="12"/>
  <c r="BR56" i="12"/>
  <c r="BW55" i="12"/>
  <c r="BU55" i="12"/>
  <c r="BP55" i="12"/>
  <c r="BN55" i="12"/>
  <c r="BM55" i="12"/>
  <c r="BL55" i="12"/>
  <c r="BW54" i="12"/>
  <c r="BU54" i="12"/>
  <c r="BP54" i="12"/>
  <c r="BN54" i="12"/>
  <c r="BO54" i="12" s="1"/>
  <c r="BM54" i="12"/>
  <c r="BL54" i="12"/>
  <c r="BV53" i="12"/>
  <c r="BT53" i="12"/>
  <c r="BU53" i="12" s="1"/>
  <c r="BS53" i="12"/>
  <c r="BR53" i="12"/>
  <c r="BV52" i="12"/>
  <c r="BT52" i="12"/>
  <c r="BU52" i="12" s="1"/>
  <c r="BS52" i="12"/>
  <c r="BR52" i="12"/>
  <c r="BW51" i="12"/>
  <c r="BU51" i="12"/>
  <c r="BP51" i="12"/>
  <c r="BN51" i="12"/>
  <c r="BM51" i="12"/>
  <c r="BL51" i="12"/>
  <c r="BW50" i="12"/>
  <c r="BU50" i="12"/>
  <c r="BP50" i="12"/>
  <c r="BN50" i="12"/>
  <c r="BO50" i="12" s="1"/>
  <c r="BM50" i="12"/>
  <c r="BL50" i="12"/>
  <c r="BW49" i="12"/>
  <c r="BU49" i="12"/>
  <c r="BP49" i="12"/>
  <c r="BP53" i="12" s="1"/>
  <c r="BN49" i="12"/>
  <c r="BN53" i="12" s="1"/>
  <c r="BM49" i="12"/>
  <c r="BM53" i="12" s="1"/>
  <c r="BL49" i="12"/>
  <c r="BL53" i="12" s="1"/>
  <c r="BW48" i="12"/>
  <c r="BU48" i="12"/>
  <c r="BP48" i="12"/>
  <c r="BP52" i="12" s="1"/>
  <c r="BN48" i="12"/>
  <c r="BN52" i="12" s="1"/>
  <c r="BO52" i="12" s="1"/>
  <c r="BM48" i="12"/>
  <c r="BM52" i="12" s="1"/>
  <c r="BL48" i="12"/>
  <c r="BL52" i="12" s="1"/>
  <c r="BW47" i="12"/>
  <c r="BU47" i="12"/>
  <c r="BP47" i="12"/>
  <c r="BN47" i="12"/>
  <c r="BM47" i="12"/>
  <c r="BL47" i="12"/>
  <c r="BW46" i="12"/>
  <c r="BU46" i="12"/>
  <c r="BP46" i="12"/>
  <c r="BN46" i="12"/>
  <c r="BO46" i="12" s="1"/>
  <c r="BM46" i="12"/>
  <c r="BL46" i="12"/>
  <c r="BV45" i="12"/>
  <c r="BT45" i="12"/>
  <c r="BU45" i="12" s="1"/>
  <c r="BS45" i="12"/>
  <c r="BR45" i="12"/>
  <c r="BV44" i="12"/>
  <c r="BT44" i="12"/>
  <c r="BU44" i="12" s="1"/>
  <c r="BS44" i="12"/>
  <c r="BR44" i="12"/>
  <c r="BW43" i="12"/>
  <c r="BU43" i="12"/>
  <c r="BP43" i="12"/>
  <c r="BN43" i="12"/>
  <c r="BM43" i="12"/>
  <c r="BL43" i="12"/>
  <c r="BW42" i="12"/>
  <c r="BU42" i="12"/>
  <c r="BP42" i="12"/>
  <c r="BN42" i="12"/>
  <c r="BO42" i="12" s="1"/>
  <c r="BM42" i="12"/>
  <c r="BL42" i="12"/>
  <c r="BW41" i="12"/>
  <c r="BU41" i="12"/>
  <c r="BP41" i="12"/>
  <c r="BP45" i="12" s="1"/>
  <c r="BN41" i="12"/>
  <c r="BN45" i="12" s="1"/>
  <c r="BM41" i="12"/>
  <c r="BM45" i="12" s="1"/>
  <c r="BL41" i="12"/>
  <c r="BL45" i="12" s="1"/>
  <c r="BW40" i="12"/>
  <c r="BU40" i="12"/>
  <c r="BP40" i="12"/>
  <c r="BP44" i="12" s="1"/>
  <c r="BN40" i="12"/>
  <c r="BN44" i="12" s="1"/>
  <c r="BO44" i="12" s="1"/>
  <c r="BM40" i="12"/>
  <c r="BM44" i="12" s="1"/>
  <c r="BL40" i="12"/>
  <c r="BL44" i="12" s="1"/>
  <c r="BW39" i="12"/>
  <c r="BU39" i="12"/>
  <c r="BP39" i="12"/>
  <c r="BN39" i="12"/>
  <c r="BM39" i="12"/>
  <c r="BL39" i="12"/>
  <c r="BW38" i="12"/>
  <c r="BU38" i="12"/>
  <c r="BP38" i="12"/>
  <c r="BN38" i="12"/>
  <c r="BO38" i="12" s="1"/>
  <c r="BM38" i="12"/>
  <c r="BL38" i="12"/>
  <c r="BV37" i="12"/>
  <c r="BT37" i="12"/>
  <c r="BU37" i="12" s="1"/>
  <c r="BS37" i="12"/>
  <c r="BR37" i="12"/>
  <c r="BV36" i="12"/>
  <c r="BT36" i="12"/>
  <c r="BU36" i="12" s="1"/>
  <c r="BS36" i="12"/>
  <c r="BR36" i="12"/>
  <c r="BW35" i="12"/>
  <c r="BU35" i="12"/>
  <c r="BP35" i="12"/>
  <c r="BN35" i="12"/>
  <c r="BM35" i="12"/>
  <c r="BL35" i="12"/>
  <c r="BW34" i="12"/>
  <c r="BU34" i="12"/>
  <c r="BP34" i="12"/>
  <c r="BN34" i="12"/>
  <c r="BO34" i="12" s="1"/>
  <c r="BM34" i="12"/>
  <c r="BL34" i="12"/>
  <c r="BW33" i="12"/>
  <c r="BU33" i="12"/>
  <c r="BP33" i="12"/>
  <c r="BP37" i="12" s="1"/>
  <c r="BN33" i="12"/>
  <c r="BN37" i="12" s="1"/>
  <c r="BM33" i="12"/>
  <c r="BM37" i="12" s="1"/>
  <c r="BL33" i="12"/>
  <c r="BL37" i="12" s="1"/>
  <c r="BW32" i="12"/>
  <c r="BU32" i="12"/>
  <c r="BP32" i="12"/>
  <c r="BP36" i="12" s="1"/>
  <c r="BN32" i="12"/>
  <c r="BN36" i="12" s="1"/>
  <c r="BO36" i="12" s="1"/>
  <c r="BM32" i="12"/>
  <c r="BM36" i="12" s="1"/>
  <c r="BL32" i="12"/>
  <c r="BL36" i="12" s="1"/>
  <c r="BW31" i="12"/>
  <c r="BU31" i="12"/>
  <c r="BP31" i="12"/>
  <c r="BN31" i="12"/>
  <c r="BM31" i="12"/>
  <c r="BL31" i="12"/>
  <c r="BW30" i="12"/>
  <c r="BU30" i="12"/>
  <c r="BP30" i="12"/>
  <c r="BN30" i="12"/>
  <c r="BO30" i="12" s="1"/>
  <c r="BM30" i="12"/>
  <c r="BL30" i="12"/>
  <c r="BV29" i="12"/>
  <c r="BT29" i="12"/>
  <c r="BU29" i="12" s="1"/>
  <c r="BS29" i="12"/>
  <c r="BR29" i="12"/>
  <c r="BV28" i="12"/>
  <c r="BT28" i="12"/>
  <c r="BU28" i="12" s="1"/>
  <c r="BS28" i="12"/>
  <c r="BR28" i="12"/>
  <c r="BW27" i="12"/>
  <c r="BU27" i="12"/>
  <c r="BP27" i="12"/>
  <c r="BN27" i="12"/>
  <c r="BM27" i="12"/>
  <c r="BL27" i="12"/>
  <c r="BW26" i="12"/>
  <c r="BU26" i="12"/>
  <c r="BP26" i="12"/>
  <c r="BN26" i="12"/>
  <c r="BO26" i="12" s="1"/>
  <c r="BM26" i="12"/>
  <c r="BL26" i="12"/>
  <c r="BW25" i="12"/>
  <c r="BU25" i="12"/>
  <c r="BP25" i="12"/>
  <c r="BP29" i="12" s="1"/>
  <c r="BN25" i="12"/>
  <c r="BN29" i="12" s="1"/>
  <c r="BM25" i="12"/>
  <c r="BM29" i="12" s="1"/>
  <c r="BL25" i="12"/>
  <c r="BL29" i="12" s="1"/>
  <c r="BW24" i="12"/>
  <c r="BU24" i="12"/>
  <c r="BP24" i="12"/>
  <c r="BP28" i="12" s="1"/>
  <c r="BN24" i="12"/>
  <c r="BN28" i="12" s="1"/>
  <c r="BO28" i="12" s="1"/>
  <c r="BM24" i="12"/>
  <c r="BM28" i="12" s="1"/>
  <c r="BL24" i="12"/>
  <c r="BL28" i="12" s="1"/>
  <c r="BW23" i="12"/>
  <c r="BU23" i="12"/>
  <c r="BP23" i="12"/>
  <c r="BN23" i="12"/>
  <c r="BM23" i="12"/>
  <c r="BL23" i="12"/>
  <c r="BW22" i="12"/>
  <c r="BU22" i="12"/>
  <c r="BP22" i="12"/>
  <c r="BN22" i="12"/>
  <c r="BO22" i="12" s="1"/>
  <c r="BM22" i="12"/>
  <c r="BL22" i="12"/>
  <c r="BV21" i="12"/>
  <c r="BW21" i="12" s="1"/>
  <c r="BT21" i="12"/>
  <c r="BU21" i="12" s="1"/>
  <c r="BS21" i="12"/>
  <c r="BR21" i="12"/>
  <c r="BV20" i="12"/>
  <c r="BW20" i="12" s="1"/>
  <c r="BT20" i="12"/>
  <c r="BU20" i="12" s="1"/>
  <c r="BS20" i="12"/>
  <c r="BR20" i="12"/>
  <c r="BW19" i="12"/>
  <c r="BU19" i="12"/>
  <c r="BP19" i="12"/>
  <c r="BN19" i="12"/>
  <c r="BM19" i="12"/>
  <c r="BL19" i="12"/>
  <c r="BW18" i="12"/>
  <c r="BU18" i="12"/>
  <c r="BP18" i="12"/>
  <c r="BQ18" i="12" s="1"/>
  <c r="BN18" i="12"/>
  <c r="BO18" i="12" s="1"/>
  <c r="BM18" i="12"/>
  <c r="BL18" i="12"/>
  <c r="BW17" i="12"/>
  <c r="BU17" i="12"/>
  <c r="BP17" i="12"/>
  <c r="BP21" i="12" s="1"/>
  <c r="BN17" i="12"/>
  <c r="BN21" i="12" s="1"/>
  <c r="BM17" i="12"/>
  <c r="BM21" i="12" s="1"/>
  <c r="BL17" i="12"/>
  <c r="BL21" i="12" s="1"/>
  <c r="BW16" i="12"/>
  <c r="BU16" i="12"/>
  <c r="BP16" i="12"/>
  <c r="BP20" i="12" s="1"/>
  <c r="BQ20" i="12" s="1"/>
  <c r="BN16" i="12"/>
  <c r="BN20" i="12" s="1"/>
  <c r="BO20" i="12" s="1"/>
  <c r="BM16" i="12"/>
  <c r="BM20" i="12" s="1"/>
  <c r="BL16" i="12"/>
  <c r="BL20" i="12" s="1"/>
  <c r="BW15" i="12"/>
  <c r="BU15" i="12"/>
  <c r="BP15" i="12"/>
  <c r="BN15" i="12"/>
  <c r="BM15" i="12"/>
  <c r="BL15" i="12"/>
  <c r="BW14" i="12"/>
  <c r="BU14" i="12"/>
  <c r="BP14" i="12"/>
  <c r="BQ14" i="12" s="1"/>
  <c r="BN14" i="12"/>
  <c r="BO14" i="12" s="1"/>
  <c r="BM14" i="12"/>
  <c r="BL14" i="12"/>
  <c r="BV13" i="12"/>
  <c r="BV61" i="12" s="1"/>
  <c r="BW61" i="12" s="1"/>
  <c r="BT13" i="12"/>
  <c r="BT61" i="12" s="1"/>
  <c r="BU61" i="12" s="1"/>
  <c r="BS13" i="12"/>
  <c r="BS61" i="12" s="1"/>
  <c r="BR13" i="12"/>
  <c r="BR61" i="12" s="1"/>
  <c r="BV12" i="12"/>
  <c r="BV60" i="12" s="1"/>
  <c r="BW60" i="12" s="1"/>
  <c r="BT12" i="12"/>
  <c r="BT60" i="12" s="1"/>
  <c r="BU60" i="12" s="1"/>
  <c r="BS12" i="12"/>
  <c r="BS60" i="12" s="1"/>
  <c r="BR12" i="12"/>
  <c r="BR60" i="12" s="1"/>
  <c r="BW11" i="12"/>
  <c r="BU11" i="12"/>
  <c r="BP11" i="12"/>
  <c r="BP59" i="12" s="1"/>
  <c r="BN11" i="12"/>
  <c r="BN59" i="12" s="1"/>
  <c r="BM11" i="12"/>
  <c r="BM59" i="12" s="1"/>
  <c r="BL11" i="12"/>
  <c r="BL59" i="12" s="1"/>
  <c r="BW10" i="12"/>
  <c r="BU10" i="12"/>
  <c r="BP10" i="12"/>
  <c r="BP58" i="12" s="1"/>
  <c r="BQ58" i="12" s="1"/>
  <c r="BN10" i="12"/>
  <c r="BN58" i="12" s="1"/>
  <c r="BO58" i="12" s="1"/>
  <c r="BM10" i="12"/>
  <c r="BM58" i="12" s="1"/>
  <c r="BL10" i="12"/>
  <c r="BL58" i="12" s="1"/>
  <c r="BW9" i="12"/>
  <c r="BU9" i="12"/>
  <c r="BP9" i="12"/>
  <c r="BP57" i="12" s="1"/>
  <c r="BN9" i="12"/>
  <c r="BN57" i="12" s="1"/>
  <c r="BM9" i="12"/>
  <c r="BM57" i="12" s="1"/>
  <c r="BL9" i="12"/>
  <c r="BL57" i="12" s="1"/>
  <c r="BW8" i="12"/>
  <c r="BU8" i="12"/>
  <c r="BP8" i="12"/>
  <c r="BP56" i="12" s="1"/>
  <c r="BN8" i="12"/>
  <c r="BN56" i="12" s="1"/>
  <c r="BM8" i="12"/>
  <c r="BM56" i="12" s="1"/>
  <c r="BL8" i="12"/>
  <c r="BL56" i="12" s="1"/>
  <c r="AM106" i="2"/>
  <c r="AL106" i="2"/>
  <c r="AL107" i="2" s="1"/>
  <c r="AM105" i="2"/>
  <c r="AL105" i="2"/>
  <c r="AM104" i="2"/>
  <c r="AL104" i="2"/>
  <c r="AN103" i="2"/>
  <c r="AJ103" i="2"/>
  <c r="AI103" i="2"/>
  <c r="AN102" i="2"/>
  <c r="AJ102" i="2"/>
  <c r="AI102" i="2"/>
  <c r="AM101" i="2"/>
  <c r="AN101" i="2" s="1"/>
  <c r="AL101" i="2"/>
  <c r="AN100" i="2"/>
  <c r="AJ100" i="2"/>
  <c r="AJ101" i="2" s="1"/>
  <c r="AI100" i="2"/>
  <c r="AN99" i="2"/>
  <c r="AJ99" i="2"/>
  <c r="AI99" i="2"/>
  <c r="AK99" i="2" s="1"/>
  <c r="AM97" i="2"/>
  <c r="AL97" i="2"/>
  <c r="AM96" i="2"/>
  <c r="AL96" i="2"/>
  <c r="AM95" i="2"/>
  <c r="AN95" i="2" s="1"/>
  <c r="AL95" i="2"/>
  <c r="AN94" i="2"/>
  <c r="AJ94" i="2"/>
  <c r="AJ97" i="2" s="1"/>
  <c r="AI94" i="2"/>
  <c r="AN93" i="2"/>
  <c r="AJ93" i="2"/>
  <c r="AJ96" i="2" s="1"/>
  <c r="AI93" i="2"/>
  <c r="AK93" i="2" s="1"/>
  <c r="AM92" i="2"/>
  <c r="AN92" i="2" s="1"/>
  <c r="AL92" i="2"/>
  <c r="AN91" i="2"/>
  <c r="AJ91" i="2"/>
  <c r="AK91" i="2" s="1"/>
  <c r="AI91" i="2"/>
  <c r="AN90" i="2"/>
  <c r="AJ90" i="2"/>
  <c r="AK90" i="2" s="1"/>
  <c r="AI90" i="2"/>
  <c r="AM88" i="2"/>
  <c r="AL88" i="2"/>
  <c r="AM87" i="2"/>
  <c r="AL87" i="2"/>
  <c r="AM86" i="2"/>
  <c r="AL86" i="2"/>
  <c r="AN85" i="2"/>
  <c r="AJ85" i="2"/>
  <c r="AI85" i="2"/>
  <c r="AN84" i="2"/>
  <c r="AJ84" i="2"/>
  <c r="AJ87" i="2" s="1"/>
  <c r="AI84" i="2"/>
  <c r="AI87" i="2" s="1"/>
  <c r="AM83" i="2"/>
  <c r="AL83" i="2"/>
  <c r="AN82" i="2"/>
  <c r="AJ82" i="2"/>
  <c r="AI82" i="2"/>
  <c r="AN81" i="2"/>
  <c r="AJ81" i="2"/>
  <c r="AI81" i="2"/>
  <c r="AM79" i="2"/>
  <c r="AL79" i="2"/>
  <c r="AM78" i="2"/>
  <c r="AN78" i="2" s="1"/>
  <c r="AL78" i="2"/>
  <c r="AM77" i="2"/>
  <c r="AL77" i="2"/>
  <c r="AN76" i="2"/>
  <c r="AJ76" i="2"/>
  <c r="AJ79" i="2" s="1"/>
  <c r="AI76" i="2"/>
  <c r="AN75" i="2"/>
  <c r="AJ75" i="2"/>
  <c r="AJ78" i="2" s="1"/>
  <c r="AI75" i="2"/>
  <c r="AM74" i="2"/>
  <c r="AL74" i="2"/>
  <c r="AN73" i="2"/>
  <c r="AJ73" i="2"/>
  <c r="AI73" i="2"/>
  <c r="AN72" i="2"/>
  <c r="AJ72" i="2"/>
  <c r="AK72" i="2" s="1"/>
  <c r="AI72" i="2"/>
  <c r="AI69" i="2" s="1"/>
  <c r="AM70" i="2"/>
  <c r="AL70" i="2"/>
  <c r="AM69" i="2"/>
  <c r="AL69" i="2"/>
  <c r="AM68" i="2"/>
  <c r="AL68" i="2"/>
  <c r="AN67" i="2"/>
  <c r="AJ67" i="2"/>
  <c r="AI67" i="2"/>
  <c r="AI70" i="2" s="1"/>
  <c r="AN66" i="2"/>
  <c r="AJ66" i="2"/>
  <c r="AI66" i="2"/>
  <c r="AM65" i="2"/>
  <c r="AL65" i="2"/>
  <c r="AN64" i="2"/>
  <c r="AJ64" i="2"/>
  <c r="AJ65" i="2" s="1"/>
  <c r="AI64" i="2"/>
  <c r="AN63" i="2"/>
  <c r="AJ63" i="2"/>
  <c r="AI63" i="2"/>
  <c r="AK63" i="2" s="1"/>
  <c r="AM59" i="2"/>
  <c r="AN59" i="2" s="1"/>
  <c r="AL59" i="2"/>
  <c r="AN58" i="2"/>
  <c r="AJ58" i="2"/>
  <c r="AI58" i="2"/>
  <c r="AN57" i="2"/>
  <c r="AJ57" i="2"/>
  <c r="AI57" i="2"/>
  <c r="AM56" i="2"/>
  <c r="AN56" i="2" s="1"/>
  <c r="AL56" i="2"/>
  <c r="AN55" i="2"/>
  <c r="AJ55" i="2"/>
  <c r="AK55" i="2" s="1"/>
  <c r="AI55" i="2"/>
  <c r="AN54" i="2"/>
  <c r="AJ54" i="2"/>
  <c r="AI54" i="2"/>
  <c r="AM53" i="2"/>
  <c r="AN53" i="2" s="1"/>
  <c r="AL53" i="2"/>
  <c r="AN52" i="2"/>
  <c r="AJ52" i="2"/>
  <c r="AI52" i="2"/>
  <c r="AN51" i="2"/>
  <c r="AJ51" i="2"/>
  <c r="AI51" i="2"/>
  <c r="AM50" i="2"/>
  <c r="AN50" i="2" s="1"/>
  <c r="AL50" i="2"/>
  <c r="AN49" i="2"/>
  <c r="AJ49" i="2"/>
  <c r="AI49" i="2"/>
  <c r="AN48" i="2"/>
  <c r="AJ48" i="2"/>
  <c r="AI48" i="2"/>
  <c r="AM47" i="2"/>
  <c r="AN47" i="2" s="1"/>
  <c r="AL47" i="2"/>
  <c r="AN46" i="2"/>
  <c r="AJ46" i="2"/>
  <c r="AI46" i="2"/>
  <c r="AN45" i="2"/>
  <c r="AJ45" i="2"/>
  <c r="AI45" i="2"/>
  <c r="AM44" i="2"/>
  <c r="AN44" i="2" s="1"/>
  <c r="AL44" i="2"/>
  <c r="AN43" i="2"/>
  <c r="AJ43" i="2"/>
  <c r="AK43" i="2" s="1"/>
  <c r="AI43" i="2"/>
  <c r="AN42" i="2"/>
  <c r="AJ42" i="2"/>
  <c r="AI42" i="2"/>
  <c r="AM40" i="2"/>
  <c r="AL40" i="2"/>
  <c r="AM39" i="2"/>
  <c r="AL39" i="2"/>
  <c r="AM38" i="2"/>
  <c r="AN38" i="2" s="1"/>
  <c r="AL38" i="2"/>
  <c r="AN37" i="2"/>
  <c r="AJ37" i="2"/>
  <c r="AK37" i="2" s="1"/>
  <c r="AI37" i="2"/>
  <c r="AN36" i="2"/>
  <c r="AJ36" i="2"/>
  <c r="AI36" i="2"/>
  <c r="AM35" i="2"/>
  <c r="AN35" i="2" s="1"/>
  <c r="AL35" i="2"/>
  <c r="AN34" i="2"/>
  <c r="AJ34" i="2"/>
  <c r="AJ106" i="2" s="1"/>
  <c r="AI34" i="2"/>
  <c r="AN33" i="2"/>
  <c r="AJ33" i="2"/>
  <c r="AI33" i="2"/>
  <c r="AM29" i="2"/>
  <c r="AL29" i="2"/>
  <c r="AN28" i="2"/>
  <c r="AJ28" i="2"/>
  <c r="AJ29" i="2" s="1"/>
  <c r="AI28" i="2"/>
  <c r="AN27" i="2"/>
  <c r="AJ27" i="2"/>
  <c r="AI27" i="2"/>
  <c r="AK27" i="2" s="1"/>
  <c r="AM26" i="2"/>
  <c r="AL26" i="2"/>
  <c r="AN25" i="2"/>
  <c r="AJ25" i="2"/>
  <c r="AI25" i="2"/>
  <c r="AN24" i="2"/>
  <c r="AJ24" i="2"/>
  <c r="AI24" i="2"/>
  <c r="AK24" i="2" s="1"/>
  <c r="AM23" i="2"/>
  <c r="AL23" i="2"/>
  <c r="AN22" i="2"/>
  <c r="AJ22" i="2"/>
  <c r="AJ23" i="2" s="1"/>
  <c r="AI22" i="2"/>
  <c r="AN21" i="2"/>
  <c r="AJ21" i="2"/>
  <c r="AI21" i="2"/>
  <c r="AK21" i="2" s="1"/>
  <c r="AM20" i="2"/>
  <c r="AL20" i="2"/>
  <c r="AN19" i="2"/>
  <c r="AK19" i="2"/>
  <c r="AJ19" i="2"/>
  <c r="AI19" i="2"/>
  <c r="AN18" i="2"/>
  <c r="AK18" i="2"/>
  <c r="AJ18" i="2"/>
  <c r="AI18" i="2"/>
  <c r="AM17" i="2"/>
  <c r="AL17" i="2"/>
  <c r="AN16" i="2"/>
  <c r="AJ16" i="2"/>
  <c r="AI16" i="2"/>
  <c r="AN15" i="2"/>
  <c r="AJ15" i="2"/>
  <c r="AI15" i="2"/>
  <c r="AM14" i="2"/>
  <c r="AL14" i="2"/>
  <c r="AN13" i="2"/>
  <c r="AJ13" i="2"/>
  <c r="AI13" i="2"/>
  <c r="AK13" i="2" s="1"/>
  <c r="AN12" i="2"/>
  <c r="AJ12" i="2"/>
  <c r="AI12" i="2"/>
  <c r="AM10" i="2"/>
  <c r="AM31" i="2" s="1"/>
  <c r="AL10" i="2"/>
  <c r="AM9" i="2"/>
  <c r="AL9" i="2"/>
  <c r="AM8" i="2"/>
  <c r="AL8" i="2"/>
  <c r="AN7" i="2"/>
  <c r="AJ7" i="2"/>
  <c r="AI7" i="2"/>
  <c r="AK7" i="2" s="1"/>
  <c r="AN6" i="2"/>
  <c r="AJ6" i="2"/>
  <c r="AI6" i="2"/>
  <c r="AM106" i="1"/>
  <c r="AL106" i="1"/>
  <c r="AL107" i="1" s="1"/>
  <c r="AM105" i="1"/>
  <c r="AM107" i="1" s="1"/>
  <c r="AL105" i="1"/>
  <c r="AM104" i="1"/>
  <c r="AL104" i="1"/>
  <c r="AN103" i="1"/>
  <c r="AJ103" i="1"/>
  <c r="AI103" i="1"/>
  <c r="AN102" i="1"/>
  <c r="AJ102" i="1"/>
  <c r="AK102" i="1" s="1"/>
  <c r="AI102" i="1"/>
  <c r="AM101" i="1"/>
  <c r="AN101" i="1" s="1"/>
  <c r="AL101" i="1"/>
  <c r="AN100" i="1"/>
  <c r="AJ100" i="1"/>
  <c r="AI100" i="1"/>
  <c r="AN99" i="1"/>
  <c r="AJ99" i="1"/>
  <c r="AI99" i="1"/>
  <c r="AM97" i="1"/>
  <c r="AL97" i="1"/>
  <c r="AM96" i="1"/>
  <c r="AL96" i="1"/>
  <c r="AM95" i="1"/>
  <c r="AL95" i="1"/>
  <c r="AN94" i="1"/>
  <c r="AJ94" i="1"/>
  <c r="AI94" i="1"/>
  <c r="AI97" i="1" s="1"/>
  <c r="AN93" i="1"/>
  <c r="AJ93" i="1"/>
  <c r="AI93" i="1"/>
  <c r="AM92" i="1"/>
  <c r="AL92" i="1"/>
  <c r="AN91" i="1"/>
  <c r="AJ91" i="1"/>
  <c r="AI91" i="1"/>
  <c r="AK91" i="1" s="1"/>
  <c r="AN90" i="1"/>
  <c r="AJ90" i="1"/>
  <c r="AI90" i="1"/>
  <c r="AM88" i="1"/>
  <c r="AL88" i="1"/>
  <c r="AL89" i="1" s="1"/>
  <c r="AM87" i="1"/>
  <c r="AL87" i="1"/>
  <c r="AM86" i="1"/>
  <c r="AL86" i="1"/>
  <c r="AN85" i="1"/>
  <c r="AJ85" i="1"/>
  <c r="AJ88" i="1" s="1"/>
  <c r="AI85" i="1"/>
  <c r="AN84" i="1"/>
  <c r="AJ84" i="1"/>
  <c r="AI84" i="1"/>
  <c r="AM83" i="1"/>
  <c r="AL83" i="1"/>
  <c r="AN82" i="1"/>
  <c r="AJ82" i="1"/>
  <c r="AI82" i="1"/>
  <c r="AN81" i="1"/>
  <c r="AJ81" i="1"/>
  <c r="AI81" i="1"/>
  <c r="AM79" i="1"/>
  <c r="AM80" i="1" s="1"/>
  <c r="AL79" i="1"/>
  <c r="AM78" i="1"/>
  <c r="AL78" i="1"/>
  <c r="AN77" i="1"/>
  <c r="AM77" i="1"/>
  <c r="AL77" i="1"/>
  <c r="AN76" i="1"/>
  <c r="AJ76" i="1"/>
  <c r="AK76" i="1" s="1"/>
  <c r="AI76" i="1"/>
  <c r="AN75" i="1"/>
  <c r="AJ75" i="1"/>
  <c r="AI75" i="1"/>
  <c r="AM74" i="1"/>
  <c r="AL74" i="1"/>
  <c r="AN73" i="1"/>
  <c r="AK73" i="1"/>
  <c r="AJ73" i="1"/>
  <c r="AI73" i="1"/>
  <c r="AN72" i="1"/>
  <c r="AK72" i="1"/>
  <c r="AJ72" i="1"/>
  <c r="AJ69" i="1" s="1"/>
  <c r="AI72" i="1"/>
  <c r="AM70" i="1"/>
  <c r="AL70" i="1"/>
  <c r="AL71" i="1" s="1"/>
  <c r="AM69" i="1"/>
  <c r="AM71" i="1" s="1"/>
  <c r="AL69" i="1"/>
  <c r="AM68" i="1"/>
  <c r="AL68" i="1"/>
  <c r="AN67" i="1"/>
  <c r="AJ67" i="1"/>
  <c r="AI67" i="1"/>
  <c r="AN66" i="1"/>
  <c r="AJ66" i="1"/>
  <c r="AI66" i="1"/>
  <c r="AN65" i="1"/>
  <c r="AM65" i="1"/>
  <c r="AL65" i="1"/>
  <c r="AN64" i="1"/>
  <c r="AJ64" i="1"/>
  <c r="AK64" i="1" s="1"/>
  <c r="AI64" i="1"/>
  <c r="AN63" i="1"/>
  <c r="AJ63" i="1"/>
  <c r="AI63" i="1"/>
  <c r="AM59" i="1"/>
  <c r="AL59" i="1"/>
  <c r="AN58" i="1"/>
  <c r="AJ58" i="1"/>
  <c r="AI58" i="1"/>
  <c r="AN57" i="1"/>
  <c r="AJ57" i="1"/>
  <c r="AK57" i="1" s="1"/>
  <c r="AI57" i="1"/>
  <c r="AM56" i="1"/>
  <c r="AL56" i="1"/>
  <c r="AN55" i="1"/>
  <c r="AJ55" i="1"/>
  <c r="AK55" i="1" s="1"/>
  <c r="AI55" i="1"/>
  <c r="AN54" i="1"/>
  <c r="AJ54" i="1"/>
  <c r="AK54" i="1" s="1"/>
  <c r="AI54" i="1"/>
  <c r="AM53" i="1"/>
  <c r="AL53" i="1"/>
  <c r="AN53" i="1" s="1"/>
  <c r="AN52" i="1"/>
  <c r="AJ52" i="1"/>
  <c r="AK52" i="1" s="1"/>
  <c r="AI52" i="1"/>
  <c r="AN51" i="1"/>
  <c r="AJ51" i="1"/>
  <c r="AI51" i="1"/>
  <c r="AM50" i="1"/>
  <c r="AL50" i="1"/>
  <c r="AN50" i="1" s="1"/>
  <c r="AN49" i="1"/>
  <c r="AJ49" i="1"/>
  <c r="AI49" i="1"/>
  <c r="AN48" i="1"/>
  <c r="AJ48" i="1"/>
  <c r="AI48" i="1"/>
  <c r="AM47" i="1"/>
  <c r="AL47" i="1"/>
  <c r="AN46" i="1"/>
  <c r="AJ46" i="1"/>
  <c r="AI46" i="1"/>
  <c r="AN45" i="1"/>
  <c r="AJ45" i="1"/>
  <c r="AK45" i="1" s="1"/>
  <c r="AI45" i="1"/>
  <c r="AM44" i="1"/>
  <c r="AL44" i="1"/>
  <c r="AN43" i="1"/>
  <c r="AJ43" i="1"/>
  <c r="AI43" i="1"/>
  <c r="AN42" i="1"/>
  <c r="AJ42" i="1"/>
  <c r="AK42" i="1" s="1"/>
  <c r="AI42" i="1"/>
  <c r="AM40" i="1"/>
  <c r="AP40" i="1" s="1"/>
  <c r="AL40" i="1"/>
  <c r="AM39" i="1"/>
  <c r="AN39" i="1" s="1"/>
  <c r="AL39" i="1"/>
  <c r="AO39" i="1" s="1"/>
  <c r="AO60" i="1" s="1"/>
  <c r="AM38" i="1"/>
  <c r="AL38" i="1"/>
  <c r="AN37" i="1"/>
  <c r="AJ37" i="1"/>
  <c r="AK37" i="1" s="1"/>
  <c r="AI37" i="1"/>
  <c r="AN36" i="1"/>
  <c r="AJ36" i="1"/>
  <c r="AK36" i="1" s="1"/>
  <c r="AI36" i="1"/>
  <c r="AM35" i="1"/>
  <c r="AL35" i="1"/>
  <c r="AN35" i="1" s="1"/>
  <c r="AN34" i="1"/>
  <c r="AJ34" i="1"/>
  <c r="AK34" i="1" s="1"/>
  <c r="AI34" i="1"/>
  <c r="AN33" i="1"/>
  <c r="AJ33" i="1"/>
  <c r="AI33" i="1"/>
  <c r="AM29" i="1"/>
  <c r="AL29" i="1"/>
  <c r="AN28" i="1"/>
  <c r="AJ28" i="1"/>
  <c r="AI28" i="1"/>
  <c r="AI29" i="1" s="1"/>
  <c r="AN27" i="1"/>
  <c r="AJ27" i="1"/>
  <c r="AK27" i="1" s="1"/>
  <c r="AI27" i="1"/>
  <c r="AM26" i="1"/>
  <c r="AL26" i="1"/>
  <c r="AN25" i="1"/>
  <c r="AJ25" i="1"/>
  <c r="AI25" i="1"/>
  <c r="AN24" i="1"/>
  <c r="AJ24" i="1"/>
  <c r="AK24" i="1" s="1"/>
  <c r="AI24" i="1"/>
  <c r="AM23" i="1"/>
  <c r="AN23" i="1" s="1"/>
  <c r="AL23" i="1"/>
  <c r="AN22" i="1"/>
  <c r="AJ22" i="1"/>
  <c r="AI22" i="1"/>
  <c r="AN21" i="1"/>
  <c r="AJ21" i="1"/>
  <c r="AI21" i="1"/>
  <c r="AM20" i="1"/>
  <c r="AL20" i="1"/>
  <c r="AN19" i="1"/>
  <c r="AJ19" i="1"/>
  <c r="AK19" i="1" s="1"/>
  <c r="AI19" i="1"/>
  <c r="AN18" i="1"/>
  <c r="AJ18" i="1"/>
  <c r="AK18" i="1" s="1"/>
  <c r="AI18" i="1"/>
  <c r="AM17" i="1"/>
  <c r="AL17" i="1"/>
  <c r="AN16" i="1"/>
  <c r="AJ16" i="1"/>
  <c r="AI16" i="1"/>
  <c r="AN15" i="1"/>
  <c r="AJ15" i="1"/>
  <c r="AK15" i="1" s="1"/>
  <c r="AI15" i="1"/>
  <c r="AM14" i="1"/>
  <c r="AL14" i="1"/>
  <c r="AN13" i="1"/>
  <c r="AJ13" i="1"/>
  <c r="AK13" i="1" s="1"/>
  <c r="AI13" i="1"/>
  <c r="AN12" i="1"/>
  <c r="AJ12" i="1"/>
  <c r="AK12" i="1" s="1"/>
  <c r="AI12" i="1"/>
  <c r="AM10" i="1"/>
  <c r="AL10" i="1"/>
  <c r="AM9" i="1"/>
  <c r="AL9" i="1"/>
  <c r="AO9" i="1" s="1"/>
  <c r="AO30" i="1" s="1"/>
  <c r="AM8" i="1"/>
  <c r="AL8" i="1"/>
  <c r="AN7" i="1"/>
  <c r="AJ7" i="1"/>
  <c r="AI7" i="1"/>
  <c r="AN6" i="1"/>
  <c r="AJ6" i="1"/>
  <c r="AK6" i="1" s="1"/>
  <c r="AI6" i="1"/>
  <c r="AK55" i="13"/>
  <c r="AN55" i="13" s="1"/>
  <c r="AJ55" i="13"/>
  <c r="AM55" i="13" s="1"/>
  <c r="AK54" i="13"/>
  <c r="AN54" i="13" s="1"/>
  <c r="AJ54" i="13"/>
  <c r="AM54" i="13" s="1"/>
  <c r="AK52" i="13"/>
  <c r="AJ52" i="13"/>
  <c r="AM52" i="13" s="1"/>
  <c r="AK51" i="13"/>
  <c r="AN51" i="13" s="1"/>
  <c r="AJ51" i="13"/>
  <c r="AK49" i="13"/>
  <c r="AN49" i="13" s="1"/>
  <c r="AJ49" i="13"/>
  <c r="AM49" i="13" s="1"/>
  <c r="AK48" i="13"/>
  <c r="AN48" i="13" s="1"/>
  <c r="AJ48" i="13"/>
  <c r="AM48" i="13" s="1"/>
  <c r="AK46" i="13"/>
  <c r="AJ46" i="13"/>
  <c r="AM46" i="13" s="1"/>
  <c r="AK45" i="13"/>
  <c r="AN45" i="13" s="1"/>
  <c r="AJ45" i="13"/>
  <c r="AM45" i="13" s="1"/>
  <c r="AK43" i="13"/>
  <c r="AN43" i="13" s="1"/>
  <c r="AJ43" i="13"/>
  <c r="AM43" i="13" s="1"/>
  <c r="AK42" i="13"/>
  <c r="AN42" i="13" s="1"/>
  <c r="AJ42" i="13"/>
  <c r="AM42" i="13" s="1"/>
  <c r="AK40" i="13"/>
  <c r="AN40" i="13" s="1"/>
  <c r="AJ40" i="13"/>
  <c r="AK39" i="13"/>
  <c r="AN39" i="13" s="1"/>
  <c r="AJ39" i="13"/>
  <c r="AM39" i="13" s="1"/>
  <c r="AK37" i="13"/>
  <c r="AN37" i="13" s="1"/>
  <c r="AJ37" i="13"/>
  <c r="AM37" i="13" s="1"/>
  <c r="AK36" i="13"/>
  <c r="AN36" i="13" s="1"/>
  <c r="AJ36" i="13"/>
  <c r="AM36" i="13" s="1"/>
  <c r="AK25" i="13"/>
  <c r="AN25" i="13" s="1"/>
  <c r="AJ25" i="13"/>
  <c r="AK24" i="13"/>
  <c r="AN24" i="13" s="1"/>
  <c r="AJ24" i="13"/>
  <c r="AK22" i="13"/>
  <c r="AN22" i="13" s="1"/>
  <c r="AJ22" i="13"/>
  <c r="AM22" i="13" s="1"/>
  <c r="AK21" i="13"/>
  <c r="AN21" i="13" s="1"/>
  <c r="AJ21" i="13"/>
  <c r="AK19" i="13"/>
  <c r="AN19" i="13" s="1"/>
  <c r="AJ19" i="13"/>
  <c r="AM19" i="13" s="1"/>
  <c r="AK18" i="13"/>
  <c r="AN18" i="13" s="1"/>
  <c r="AJ18" i="13"/>
  <c r="AK16" i="13"/>
  <c r="AN16" i="13" s="1"/>
  <c r="AJ16" i="13"/>
  <c r="AM16" i="13" s="1"/>
  <c r="AK15" i="13"/>
  <c r="AN15" i="13" s="1"/>
  <c r="AJ15" i="13"/>
  <c r="AK13" i="13"/>
  <c r="AN13" i="13" s="1"/>
  <c r="AJ13" i="13"/>
  <c r="AM13" i="13" s="1"/>
  <c r="AK12" i="13"/>
  <c r="AJ12" i="13"/>
  <c r="AK10" i="13"/>
  <c r="AN10" i="13" s="1"/>
  <c r="AJ10" i="13"/>
  <c r="AM10" i="13" s="1"/>
  <c r="AK9" i="13"/>
  <c r="AN9" i="13" s="1"/>
  <c r="AJ9" i="13"/>
  <c r="AM9" i="13" s="1"/>
  <c r="AK7" i="13"/>
  <c r="AN7" i="13" s="1"/>
  <c r="AJ7" i="13"/>
  <c r="AM7" i="13" s="1"/>
  <c r="AK6" i="13"/>
  <c r="AJ6" i="13"/>
  <c r="AF6" i="10"/>
  <c r="AF5" i="10"/>
  <c r="AE182" i="11"/>
  <c r="AE135" i="11"/>
  <c r="AE67" i="11"/>
  <c r="AE45" i="11"/>
  <c r="AF290" i="10"/>
  <c r="AF83" i="10"/>
  <c r="AF79" i="10"/>
  <c r="AF39" i="10"/>
  <c r="AE40" i="9"/>
  <c r="AE39" i="9"/>
  <c r="AE35" i="9"/>
  <c r="AE30" i="9"/>
  <c r="AF81" i="8"/>
  <c r="AF52" i="8"/>
  <c r="AF39" i="8"/>
  <c r="AF14" i="8"/>
  <c r="AE124" i="7"/>
  <c r="AE108" i="7"/>
  <c r="AE103" i="7"/>
  <c r="AE76" i="7"/>
  <c r="AE65" i="7"/>
  <c r="AE10" i="7"/>
  <c r="AA17" i="16"/>
  <c r="AD15" i="16"/>
  <c r="AD34" i="14"/>
  <c r="AA24" i="14"/>
  <c r="AE28" i="14"/>
  <c r="AA32" i="14"/>
  <c r="AA19" i="14"/>
  <c r="AA5" i="14"/>
  <c r="AE170" i="11"/>
  <c r="AE154" i="11"/>
  <c r="AE158" i="11"/>
  <c r="AA162" i="11"/>
  <c r="AE162" i="11"/>
  <c r="AA167" i="11"/>
  <c r="AA113" i="11"/>
  <c r="AE114" i="11"/>
  <c r="AA117" i="11"/>
  <c r="AE118" i="11"/>
  <c r="AD122" i="11"/>
  <c r="AE72" i="11"/>
  <c r="AA55" i="11"/>
  <c r="AA56" i="11"/>
  <c r="AE59" i="11"/>
  <c r="AE60" i="11"/>
  <c r="AA63" i="11"/>
  <c r="AA64" i="11"/>
  <c r="AA67" i="11"/>
  <c r="AE54" i="11"/>
  <c r="AD46" i="11"/>
  <c r="AE40" i="11"/>
  <c r="AA43" i="11"/>
  <c r="AE44" i="11"/>
  <c r="AA25" i="11"/>
  <c r="AE178" i="10"/>
  <c r="AA43" i="7"/>
  <c r="AA47" i="7"/>
  <c r="AA51" i="7"/>
  <c r="AA55" i="7"/>
  <c r="AA59" i="7"/>
  <c r="AD34" i="7"/>
  <c r="Y158" i="24"/>
  <c r="X158" i="24"/>
  <c r="L158" i="22"/>
  <c r="AF133" i="22"/>
  <c r="AF141" i="22"/>
  <c r="AF145" i="22"/>
  <c r="AF149" i="22"/>
  <c r="AF157" i="22"/>
  <c r="H158" i="22"/>
  <c r="AF137" i="22"/>
  <c r="AF153" i="22"/>
  <c r="AG40" i="2"/>
  <c r="AG39" i="2"/>
  <c r="AG40" i="1"/>
  <c r="AG39" i="1"/>
  <c r="AG10" i="2"/>
  <c r="AG9" i="2"/>
  <c r="AG10" i="1"/>
  <c r="AJ10" i="1" s="1"/>
  <c r="AG9" i="1"/>
  <c r="AJ9" i="1" s="1"/>
  <c r="AC15" i="16"/>
  <c r="Z12" i="16"/>
  <c r="AE6" i="16"/>
  <c r="Z10" i="16"/>
  <c r="Z14" i="16"/>
  <c r="AE24" i="14"/>
  <c r="AE25" i="14"/>
  <c r="AE29" i="14"/>
  <c r="Z32" i="14"/>
  <c r="Z33" i="14"/>
  <c r="AE6" i="14"/>
  <c r="Z10" i="14"/>
  <c r="Z14" i="14"/>
  <c r="AE180" i="11"/>
  <c r="Z182" i="11"/>
  <c r="Z166" i="11"/>
  <c r="Z147" i="11"/>
  <c r="AE131" i="11"/>
  <c r="Z135" i="11"/>
  <c r="AC139" i="11"/>
  <c r="AD47" i="10"/>
  <c r="AF34" i="10"/>
  <c r="AF38" i="10"/>
  <c r="AF42" i="10"/>
  <c r="AA46" i="10"/>
  <c r="AD27" i="10"/>
  <c r="AA18" i="10"/>
  <c r="AA22" i="10"/>
  <c r="AA26" i="10"/>
  <c r="AD90" i="10"/>
  <c r="AF71" i="10"/>
  <c r="AF75" i="10"/>
  <c r="AA79" i="10"/>
  <c r="AA83" i="10"/>
  <c r="AE64" i="7"/>
  <c r="G158" i="22"/>
  <c r="V158" i="24"/>
  <c r="R158" i="24"/>
  <c r="AF10" i="2"/>
  <c r="AF56" i="1"/>
  <c r="AF40" i="2"/>
  <c r="AI40" i="2" s="1"/>
  <c r="AF39" i="2"/>
  <c r="AF40" i="1"/>
  <c r="AF39" i="1"/>
  <c r="AI39" i="1" s="1"/>
  <c r="AF23" i="1"/>
  <c r="AF9" i="2"/>
  <c r="AI9" i="2" s="1"/>
  <c r="AF10" i="1"/>
  <c r="AF9" i="1"/>
  <c r="AI9" i="1" s="1"/>
  <c r="AE24" i="16"/>
  <c r="AA24" i="16"/>
  <c r="Z24" i="16"/>
  <c r="AD23" i="16"/>
  <c r="AC23" i="16"/>
  <c r="AA22" i="16"/>
  <c r="Z22" i="16"/>
  <c r="AA21" i="16"/>
  <c r="Z21" i="16"/>
  <c r="AA20" i="16"/>
  <c r="Z20" i="16"/>
  <c r="AA19" i="16"/>
  <c r="Z19" i="16"/>
  <c r="AA18" i="16"/>
  <c r="Z18" i="16"/>
  <c r="AE17" i="16"/>
  <c r="Z17" i="16"/>
  <c r="AE16" i="16"/>
  <c r="AA16" i="16"/>
  <c r="Z16" i="16"/>
  <c r="AA14" i="16"/>
  <c r="AA13" i="16"/>
  <c r="Z13" i="16"/>
  <c r="AA12" i="16"/>
  <c r="AA11" i="16"/>
  <c r="Z11" i="16"/>
  <c r="AA10" i="16"/>
  <c r="AE9" i="16"/>
  <c r="AA9" i="16"/>
  <c r="Z9" i="16"/>
  <c r="AE8" i="16"/>
  <c r="AA8" i="16"/>
  <c r="Z8" i="16"/>
  <c r="AE7" i="16"/>
  <c r="AA7" i="16"/>
  <c r="Z7" i="16"/>
  <c r="AA6" i="16"/>
  <c r="Z6" i="16"/>
  <c r="AA5" i="16"/>
  <c r="AE35" i="14"/>
  <c r="AA35" i="14"/>
  <c r="Z35" i="14"/>
  <c r="AA33" i="14"/>
  <c r="AA31" i="14"/>
  <c r="Z31" i="14"/>
  <c r="AE30" i="14"/>
  <c r="AA30" i="14"/>
  <c r="Z30" i="14"/>
  <c r="AA29" i="14"/>
  <c r="AB29" i="14" s="1"/>
  <c r="Z29" i="14"/>
  <c r="Z28" i="14"/>
  <c r="AE27" i="14"/>
  <c r="AA27" i="14"/>
  <c r="Z27" i="14"/>
  <c r="AE26" i="14"/>
  <c r="AA26" i="14"/>
  <c r="Z26" i="14"/>
  <c r="AA25" i="14"/>
  <c r="Z25" i="14"/>
  <c r="Z24" i="14"/>
  <c r="AE23" i="14"/>
  <c r="AA23" i="14"/>
  <c r="Z23" i="14"/>
  <c r="AE22" i="14"/>
  <c r="AA22" i="14"/>
  <c r="Z22" i="14"/>
  <c r="AE21" i="14"/>
  <c r="AA21" i="14"/>
  <c r="Z21" i="14"/>
  <c r="Z20" i="14"/>
  <c r="Z19" i="14"/>
  <c r="AE18" i="14"/>
  <c r="AA18" i="14"/>
  <c r="Z18" i="14"/>
  <c r="AA16" i="14"/>
  <c r="Z16" i="14"/>
  <c r="AA15" i="14"/>
  <c r="Z15" i="14"/>
  <c r="AA14" i="14"/>
  <c r="AA13" i="14"/>
  <c r="Z13" i="14"/>
  <c r="AA12" i="14"/>
  <c r="Z12" i="14"/>
  <c r="AE11" i="14"/>
  <c r="AA11" i="14"/>
  <c r="Z11" i="14"/>
  <c r="AA10" i="14"/>
  <c r="AE9" i="14"/>
  <c r="AA9" i="14"/>
  <c r="Z9" i="14"/>
  <c r="AE8" i="14"/>
  <c r="AA8" i="14"/>
  <c r="Z8" i="14"/>
  <c r="AE7" i="14"/>
  <c r="AA7" i="14"/>
  <c r="Z7" i="14"/>
  <c r="AA6" i="14"/>
  <c r="Z5" i="14"/>
  <c r="AE184" i="11"/>
  <c r="AA184" i="11"/>
  <c r="Z184" i="11"/>
  <c r="AA182" i="11"/>
  <c r="AE181" i="11"/>
  <c r="AA181" i="11"/>
  <c r="Z181" i="11"/>
  <c r="AA180" i="11"/>
  <c r="Z180" i="11"/>
  <c r="AE179" i="11"/>
  <c r="AA179" i="11"/>
  <c r="Z179" i="11"/>
  <c r="AA178" i="11"/>
  <c r="Z178" i="11"/>
  <c r="AE177" i="11"/>
  <c r="AA177" i="11"/>
  <c r="Z177" i="11"/>
  <c r="AE176" i="11"/>
  <c r="AA176" i="11"/>
  <c r="Z176" i="11"/>
  <c r="AE175" i="11"/>
  <c r="AA175" i="11"/>
  <c r="Z175" i="11"/>
  <c r="AE174" i="11"/>
  <c r="AA174" i="11"/>
  <c r="Z174" i="11"/>
  <c r="AE173" i="11"/>
  <c r="AA173" i="11"/>
  <c r="Z173" i="11"/>
  <c r="AE172" i="11"/>
  <c r="AA172" i="11"/>
  <c r="Z172" i="11"/>
  <c r="AE171" i="11"/>
  <c r="AA171" i="11"/>
  <c r="Z171" i="11"/>
  <c r="AE169" i="11"/>
  <c r="AA169" i="11"/>
  <c r="Z169" i="11"/>
  <c r="Z167" i="11"/>
  <c r="AA166" i="11"/>
  <c r="AE165" i="11"/>
  <c r="AA165" i="11"/>
  <c r="Z165" i="11"/>
  <c r="AE164" i="11"/>
  <c r="AA164" i="11"/>
  <c r="Z164" i="11"/>
  <c r="AE163" i="11"/>
  <c r="AA163" i="11"/>
  <c r="Z163" i="11"/>
  <c r="Z162" i="11"/>
  <c r="AE161" i="11"/>
  <c r="AA161" i="11"/>
  <c r="Z161" i="11"/>
  <c r="AE160" i="11"/>
  <c r="AA160" i="11"/>
  <c r="Z160" i="11"/>
  <c r="AE159" i="11"/>
  <c r="AA159" i="11"/>
  <c r="Z159" i="11"/>
  <c r="AA158" i="11"/>
  <c r="Z158" i="11"/>
  <c r="AE157" i="11"/>
  <c r="AA157" i="11"/>
  <c r="Z157" i="11"/>
  <c r="AE156" i="11"/>
  <c r="AA156" i="11"/>
  <c r="Z156" i="11"/>
  <c r="AE155" i="11"/>
  <c r="AA155" i="11"/>
  <c r="Z155" i="11"/>
  <c r="AA154" i="11"/>
  <c r="Z154" i="11"/>
  <c r="AE153" i="11"/>
  <c r="AA153" i="11"/>
  <c r="Z153" i="11"/>
  <c r="AE152" i="11"/>
  <c r="AA152" i="11"/>
  <c r="Z152" i="11"/>
  <c r="AE151" i="11"/>
  <c r="AA151" i="11"/>
  <c r="Z151" i="11"/>
  <c r="AE150" i="11"/>
  <c r="AA150" i="11"/>
  <c r="Z150" i="11"/>
  <c r="AE149" i="11"/>
  <c r="AA149" i="11"/>
  <c r="Z149" i="11"/>
  <c r="AE148" i="11"/>
  <c r="AA148" i="11"/>
  <c r="Z148" i="11"/>
  <c r="AA147" i="11"/>
  <c r="AE140" i="11"/>
  <c r="AA140" i="11"/>
  <c r="Z140" i="11"/>
  <c r="AD139" i="11"/>
  <c r="AA138" i="11"/>
  <c r="Z138" i="11"/>
  <c r="AE137" i="11"/>
  <c r="AA137" i="11"/>
  <c r="Z137" i="11"/>
  <c r="AE136" i="11"/>
  <c r="AA136" i="11"/>
  <c r="Z136" i="11"/>
  <c r="AA135" i="11"/>
  <c r="AE134" i="11"/>
  <c r="AA134" i="11"/>
  <c r="Z134" i="11"/>
  <c r="AE133" i="11"/>
  <c r="AA133" i="11"/>
  <c r="Z133" i="11"/>
  <c r="AE132" i="11"/>
  <c r="AA132" i="11"/>
  <c r="Z132" i="11"/>
  <c r="AA131" i="11"/>
  <c r="Z131" i="11"/>
  <c r="AE130" i="11"/>
  <c r="AA130" i="11"/>
  <c r="Z130" i="11"/>
  <c r="AE129" i="11"/>
  <c r="AA129" i="11"/>
  <c r="Z129" i="11"/>
  <c r="AE128" i="11"/>
  <c r="AA128" i="11"/>
  <c r="Z128" i="11"/>
  <c r="AA127" i="11"/>
  <c r="Z127" i="11"/>
  <c r="AE126" i="11"/>
  <c r="AA126" i="11"/>
  <c r="Z126" i="11"/>
  <c r="AE125" i="11"/>
  <c r="AA125" i="11"/>
  <c r="AB125" i="11" s="1"/>
  <c r="Z125" i="11"/>
  <c r="AA124" i="11"/>
  <c r="Z124" i="11"/>
  <c r="AE123" i="11"/>
  <c r="AA123" i="11"/>
  <c r="Z123" i="11"/>
  <c r="Z121" i="11"/>
  <c r="AE120" i="11"/>
  <c r="AA120" i="11"/>
  <c r="Z120" i="11"/>
  <c r="AE119" i="11"/>
  <c r="AA119" i="11"/>
  <c r="Z119" i="11"/>
  <c r="AA118" i="11"/>
  <c r="Z118" i="11"/>
  <c r="Z117" i="11"/>
  <c r="AE116" i="11"/>
  <c r="AA116" i="11"/>
  <c r="Z116" i="11"/>
  <c r="AE115" i="11"/>
  <c r="AA115" i="11"/>
  <c r="Z115" i="11"/>
  <c r="AA114" i="11"/>
  <c r="Z114" i="11"/>
  <c r="Z113" i="11"/>
  <c r="AE112" i="11"/>
  <c r="AA112" i="11"/>
  <c r="Z112" i="11"/>
  <c r="AA111" i="11"/>
  <c r="Z111" i="11"/>
  <c r="AE110" i="11"/>
  <c r="AA110" i="11"/>
  <c r="Z110" i="11"/>
  <c r="AE109" i="11"/>
  <c r="AA109" i="11"/>
  <c r="Z109" i="11"/>
  <c r="AE108" i="11"/>
  <c r="AA108" i="11"/>
  <c r="Z108" i="11"/>
  <c r="AE107" i="11"/>
  <c r="AA107" i="11"/>
  <c r="Z107" i="11"/>
  <c r="AE106" i="11"/>
  <c r="AA106" i="11"/>
  <c r="Z106" i="11"/>
  <c r="AE105" i="11"/>
  <c r="AA105" i="11"/>
  <c r="Z105" i="11"/>
  <c r="AE104" i="11"/>
  <c r="AA104" i="11"/>
  <c r="Z104" i="11"/>
  <c r="AE103" i="11"/>
  <c r="AA103" i="11"/>
  <c r="Z103" i="11"/>
  <c r="AE102" i="11"/>
  <c r="AA102" i="11"/>
  <c r="Z102" i="11"/>
  <c r="AE101" i="11"/>
  <c r="AA101" i="11"/>
  <c r="Z101" i="11"/>
  <c r="AE100" i="11"/>
  <c r="AA100" i="11"/>
  <c r="Z100" i="11"/>
  <c r="AE99" i="11"/>
  <c r="AA99" i="11"/>
  <c r="Z99" i="11"/>
  <c r="AA98" i="11"/>
  <c r="AE91" i="11"/>
  <c r="AA91" i="11"/>
  <c r="Z91" i="11"/>
  <c r="AD90" i="11"/>
  <c r="AA89" i="11"/>
  <c r="Z89" i="11"/>
  <c r="AA88" i="11"/>
  <c r="Z88" i="11"/>
  <c r="AE87" i="11"/>
  <c r="AA87" i="11"/>
  <c r="Z87" i="11"/>
  <c r="AA86" i="11"/>
  <c r="Z86" i="11"/>
  <c r="AE85" i="11"/>
  <c r="AA85" i="11"/>
  <c r="Z85" i="11"/>
  <c r="AE84" i="11"/>
  <c r="AA84" i="11"/>
  <c r="Z84" i="11"/>
  <c r="AE83" i="11"/>
  <c r="AA83" i="11"/>
  <c r="AB83" i="11" s="1"/>
  <c r="Z83" i="11"/>
  <c r="AE82" i="11"/>
  <c r="AA82" i="11"/>
  <c r="Z82" i="11"/>
  <c r="AE81" i="11"/>
  <c r="AA81" i="11"/>
  <c r="Z81" i="11"/>
  <c r="AE80" i="11"/>
  <c r="AA80" i="11"/>
  <c r="Z80" i="11"/>
  <c r="AE79" i="11"/>
  <c r="AA79" i="11"/>
  <c r="Z79" i="11"/>
  <c r="AE78" i="11"/>
  <c r="AA78" i="11"/>
  <c r="Z78" i="11"/>
  <c r="AA77" i="11"/>
  <c r="Z77" i="11"/>
  <c r="AE76" i="11"/>
  <c r="AA76" i="11"/>
  <c r="Z76" i="11"/>
  <c r="AE75" i="11"/>
  <c r="AA75" i="11"/>
  <c r="Z75" i="11"/>
  <c r="AE74" i="11"/>
  <c r="AA74" i="11"/>
  <c r="Z74" i="11"/>
  <c r="AE73" i="11"/>
  <c r="AA73" i="11"/>
  <c r="Z73" i="11"/>
  <c r="AB73" i="11" s="1"/>
  <c r="AA72" i="11"/>
  <c r="AE71" i="11"/>
  <c r="AA71" i="11"/>
  <c r="Z71" i="11"/>
  <c r="AC70" i="11"/>
  <c r="AA69" i="11"/>
  <c r="Z69" i="11"/>
  <c r="AA68" i="11"/>
  <c r="Z68" i="11"/>
  <c r="Z67" i="11"/>
  <c r="AA66" i="11"/>
  <c r="Z66" i="11"/>
  <c r="AE65" i="11"/>
  <c r="AA65" i="11"/>
  <c r="Z65" i="11"/>
  <c r="Z64" i="11"/>
  <c r="Z63" i="11"/>
  <c r="AE62" i="11"/>
  <c r="AA62" i="11"/>
  <c r="Z62" i="11"/>
  <c r="AE61" i="11"/>
  <c r="AA61" i="11"/>
  <c r="Z61" i="11"/>
  <c r="AA60" i="11"/>
  <c r="Z60" i="11"/>
  <c r="Z59" i="11"/>
  <c r="AE58" i="11"/>
  <c r="AA58" i="11"/>
  <c r="Z58" i="11"/>
  <c r="AE57" i="11"/>
  <c r="AA57" i="11"/>
  <c r="Z57" i="11"/>
  <c r="Z56" i="11"/>
  <c r="Z55" i="11"/>
  <c r="AA54" i="11"/>
  <c r="Z54" i="11"/>
  <c r="AE47" i="11"/>
  <c r="AA47" i="11"/>
  <c r="Z47" i="11"/>
  <c r="AC46" i="11"/>
  <c r="AA45" i="11"/>
  <c r="Z45" i="11"/>
  <c r="AA44" i="11"/>
  <c r="Z44" i="11"/>
  <c r="Z43" i="11"/>
  <c r="AE42" i="11"/>
  <c r="AA42" i="11"/>
  <c r="Z42" i="11"/>
  <c r="AE41" i="11"/>
  <c r="AA41" i="11"/>
  <c r="Z41" i="11"/>
  <c r="AA40" i="11"/>
  <c r="Z40" i="11"/>
  <c r="Z39" i="11"/>
  <c r="AE38" i="11"/>
  <c r="AA38" i="11"/>
  <c r="Z38" i="11"/>
  <c r="AE37" i="11"/>
  <c r="AA37" i="11"/>
  <c r="Z37" i="11"/>
  <c r="AE36" i="11"/>
  <c r="AA36" i="11"/>
  <c r="Z36" i="11"/>
  <c r="AE35" i="11"/>
  <c r="AA35" i="11"/>
  <c r="Z35" i="11"/>
  <c r="AE34" i="11"/>
  <c r="AA34" i="11"/>
  <c r="Z34" i="11"/>
  <c r="AA33" i="11"/>
  <c r="Z33" i="11"/>
  <c r="AE32" i="11"/>
  <c r="AA32" i="11"/>
  <c r="Z32" i="11"/>
  <c r="AE31" i="11"/>
  <c r="AA31" i="11"/>
  <c r="Z31" i="11"/>
  <c r="AE30" i="11"/>
  <c r="AA30" i="11"/>
  <c r="Z30" i="11"/>
  <c r="AE29" i="11"/>
  <c r="AA29" i="11"/>
  <c r="Z29" i="11"/>
  <c r="AE28" i="11"/>
  <c r="AA28" i="11"/>
  <c r="Z28" i="11"/>
  <c r="AE27" i="11"/>
  <c r="AA27" i="11"/>
  <c r="Z27" i="11"/>
  <c r="AD26" i="11"/>
  <c r="Z25" i="11"/>
  <c r="AE24" i="11"/>
  <c r="AA24" i="11"/>
  <c r="Z24" i="11"/>
  <c r="AE23" i="11"/>
  <c r="AA23" i="11"/>
  <c r="Z23" i="11"/>
  <c r="AE22" i="11"/>
  <c r="AA22" i="11"/>
  <c r="Z22" i="11"/>
  <c r="AE21" i="11"/>
  <c r="AA21" i="11"/>
  <c r="Z21" i="11"/>
  <c r="AA20" i="11"/>
  <c r="Z20" i="11"/>
  <c r="AE19" i="11"/>
  <c r="AA19" i="11"/>
  <c r="Z19" i="11"/>
  <c r="AE18" i="11"/>
  <c r="AA18" i="11"/>
  <c r="Z18" i="11"/>
  <c r="AE17" i="11"/>
  <c r="AA17" i="11"/>
  <c r="Z17" i="11"/>
  <c r="AE16" i="11"/>
  <c r="AA16" i="11"/>
  <c r="Z16" i="11"/>
  <c r="AE15" i="11"/>
  <c r="AA15" i="11"/>
  <c r="Z15" i="11"/>
  <c r="AE14" i="11"/>
  <c r="AA14" i="11"/>
  <c r="Z14" i="11"/>
  <c r="AE13" i="11"/>
  <c r="AA13" i="11"/>
  <c r="Z13" i="11"/>
  <c r="AE12" i="11"/>
  <c r="AA12" i="11"/>
  <c r="Z12" i="11"/>
  <c r="AE11" i="11"/>
  <c r="AA11" i="11"/>
  <c r="Z11" i="11"/>
  <c r="AE10" i="11"/>
  <c r="AA10" i="11"/>
  <c r="Z10" i="11"/>
  <c r="AE9" i="11"/>
  <c r="AA9" i="11"/>
  <c r="Z9" i="11"/>
  <c r="AE8" i="11"/>
  <c r="AA8" i="11"/>
  <c r="Z8" i="11"/>
  <c r="AE7" i="11"/>
  <c r="AA7" i="11"/>
  <c r="Z7" i="11"/>
  <c r="AE6" i="11"/>
  <c r="AA6" i="11"/>
  <c r="Z6" i="11"/>
  <c r="AE5" i="11"/>
  <c r="AA5" i="11"/>
  <c r="Z5" i="11"/>
  <c r="AE344" i="10"/>
  <c r="AD344" i="10"/>
  <c r="AF343" i="10"/>
  <c r="AB343" i="10"/>
  <c r="AA343" i="10"/>
  <c r="AE342" i="10"/>
  <c r="AD342" i="10"/>
  <c r="AB341" i="10"/>
  <c r="AA341" i="10"/>
  <c r="AB340" i="10"/>
  <c r="AA340" i="10"/>
  <c r="AB339" i="10"/>
  <c r="AA339" i="10"/>
  <c r="AB338" i="10"/>
  <c r="AA338" i="10"/>
  <c r="AF337" i="10"/>
  <c r="AB337" i="10"/>
  <c r="AA337" i="10"/>
  <c r="AB336" i="10"/>
  <c r="AA336" i="10"/>
  <c r="AF335" i="10"/>
  <c r="AB335" i="10"/>
  <c r="AA335" i="10"/>
  <c r="AF334" i="10"/>
  <c r="AB334" i="10"/>
  <c r="AA334" i="10"/>
  <c r="AF333" i="10"/>
  <c r="AB333" i="10"/>
  <c r="AC333" i="10" s="1"/>
  <c r="AA333" i="10"/>
  <c r="AF332" i="10"/>
  <c r="AB332" i="10"/>
  <c r="AA332" i="10"/>
  <c r="AF331" i="10"/>
  <c r="AB331" i="10"/>
  <c r="AA331" i="10"/>
  <c r="AF330" i="10"/>
  <c r="AB330" i="10"/>
  <c r="AA330" i="10"/>
  <c r="AF329" i="10"/>
  <c r="AB329" i="10"/>
  <c r="AA329" i="10"/>
  <c r="AF328" i="10"/>
  <c r="AB328" i="10"/>
  <c r="AA328" i="10"/>
  <c r="AF327" i="10"/>
  <c r="AB327" i="10"/>
  <c r="AA327" i="10"/>
  <c r="AF326" i="10"/>
  <c r="AB326" i="10"/>
  <c r="AA326" i="10"/>
  <c r="AF325" i="10"/>
  <c r="AB325" i="10"/>
  <c r="AA325" i="10"/>
  <c r="AF324" i="10"/>
  <c r="AB324" i="10"/>
  <c r="AA324" i="10"/>
  <c r="AF323" i="10"/>
  <c r="AB323" i="10"/>
  <c r="AA323" i="10"/>
  <c r="AE322" i="10"/>
  <c r="AD322" i="10"/>
  <c r="AB321" i="10"/>
  <c r="AA321" i="10"/>
  <c r="AB320" i="10"/>
  <c r="AA320" i="10"/>
  <c r="AB319" i="10"/>
  <c r="AA319" i="10"/>
  <c r="AB318" i="10"/>
  <c r="AA318" i="10"/>
  <c r="AB317" i="10"/>
  <c r="AA317" i="10"/>
  <c r="AB316" i="10"/>
  <c r="AA316" i="10"/>
  <c r="AB315" i="10"/>
  <c r="AA315" i="10"/>
  <c r="AF314" i="10"/>
  <c r="AB314" i="10"/>
  <c r="AA314" i="10"/>
  <c r="AB313" i="10"/>
  <c r="AA313" i="10"/>
  <c r="AB312" i="10"/>
  <c r="AA312" i="10"/>
  <c r="AF311" i="10"/>
  <c r="AB311" i="10"/>
  <c r="AA311" i="10"/>
  <c r="AF310" i="10"/>
  <c r="AB310" i="10"/>
  <c r="AA310" i="10"/>
  <c r="AF309" i="10"/>
  <c r="AB309" i="10"/>
  <c r="AA309" i="10"/>
  <c r="AF308" i="10"/>
  <c r="AB308" i="10"/>
  <c r="AA308" i="10"/>
  <c r="AF307" i="10"/>
  <c r="AB307" i="10"/>
  <c r="AA307" i="10"/>
  <c r="AF306" i="10"/>
  <c r="AB306" i="10"/>
  <c r="AA306" i="10"/>
  <c r="AF305" i="10"/>
  <c r="AB305" i="10"/>
  <c r="AA305" i="10"/>
  <c r="AF304" i="10"/>
  <c r="AB304" i="10"/>
  <c r="AA304" i="10"/>
  <c r="AE298" i="10"/>
  <c r="AD298" i="10"/>
  <c r="AF297" i="10"/>
  <c r="AB297" i="10"/>
  <c r="AA297" i="10"/>
  <c r="AE296" i="10"/>
  <c r="AB295" i="10"/>
  <c r="AA295" i="10"/>
  <c r="AB294" i="10"/>
  <c r="AA294" i="10"/>
  <c r="AB293" i="10"/>
  <c r="AA293" i="10"/>
  <c r="AF292" i="10"/>
  <c r="AB292" i="10"/>
  <c r="AA292" i="10"/>
  <c r="AF291" i="10"/>
  <c r="AB291" i="10"/>
  <c r="AA291" i="10"/>
  <c r="AB290" i="10"/>
  <c r="AA290" i="10"/>
  <c r="AF289" i="10"/>
  <c r="AB289" i="10"/>
  <c r="AA289" i="10"/>
  <c r="AF288" i="10"/>
  <c r="AB288" i="10"/>
  <c r="AA288" i="10"/>
  <c r="AF287" i="10"/>
  <c r="AB287" i="10"/>
  <c r="AA287" i="10"/>
  <c r="AF286" i="10"/>
  <c r="AB286" i="10"/>
  <c r="AA286" i="10"/>
  <c r="AF285" i="10"/>
  <c r="AB285" i="10"/>
  <c r="AC285" i="10" s="1"/>
  <c r="AA285" i="10"/>
  <c r="AF284" i="10"/>
  <c r="AB284" i="10"/>
  <c r="AA284" i="10"/>
  <c r="AF283" i="10"/>
  <c r="AB283" i="10"/>
  <c r="AA283" i="10"/>
  <c r="AF282" i="10"/>
  <c r="AB282" i="10"/>
  <c r="AA282" i="10"/>
  <c r="AF281" i="10"/>
  <c r="AB281" i="10"/>
  <c r="AA281" i="10"/>
  <c r="AF280" i="10"/>
  <c r="AB280" i="10"/>
  <c r="AA280" i="10"/>
  <c r="AF279" i="10"/>
  <c r="AB279" i="10"/>
  <c r="AA279" i="10"/>
  <c r="AB278" i="10"/>
  <c r="AA278" i="10"/>
  <c r="AF277" i="10"/>
  <c r="AB277" i="10"/>
  <c r="AA277" i="10"/>
  <c r="AE276" i="10"/>
  <c r="AD276" i="10"/>
  <c r="AF275" i="10"/>
  <c r="AB275" i="10"/>
  <c r="AA275" i="10"/>
  <c r="AF274" i="10"/>
  <c r="AB274" i="10"/>
  <c r="AA274" i="10"/>
  <c r="AF273" i="10"/>
  <c r="AB273" i="10"/>
  <c r="AA273" i="10"/>
  <c r="AF272" i="10"/>
  <c r="AB272" i="10"/>
  <c r="AA272" i="10"/>
  <c r="AB271" i="10"/>
  <c r="AA271" i="10"/>
  <c r="AF270" i="10"/>
  <c r="AB270" i="10"/>
  <c r="AA270" i="10"/>
  <c r="AF269" i="10"/>
  <c r="AB269" i="10"/>
  <c r="AA269" i="10"/>
  <c r="AF268" i="10"/>
  <c r="AB268" i="10"/>
  <c r="AA268" i="10"/>
  <c r="AF267" i="10"/>
  <c r="AB267" i="10"/>
  <c r="AA267" i="10"/>
  <c r="AF266" i="10"/>
  <c r="AB266" i="10"/>
  <c r="AA266" i="10"/>
  <c r="AF265" i="10"/>
  <c r="AB265" i="10"/>
  <c r="AA265" i="10"/>
  <c r="AF264" i="10"/>
  <c r="AB264" i="10"/>
  <c r="AA264" i="10"/>
  <c r="AF263" i="10"/>
  <c r="AB263" i="10"/>
  <c r="AA263" i="10"/>
  <c r="AF262" i="10"/>
  <c r="AB262" i="10"/>
  <c r="AA262" i="10"/>
  <c r="AF261" i="10"/>
  <c r="AB261" i="10"/>
  <c r="AA261" i="10"/>
  <c r="AF260" i="10"/>
  <c r="AB260" i="10"/>
  <c r="AA260" i="10"/>
  <c r="AF259" i="10"/>
  <c r="AB259" i="10"/>
  <c r="AA259" i="10"/>
  <c r="AF258" i="10"/>
  <c r="AB258" i="10"/>
  <c r="AA258" i="10"/>
  <c r="AF257" i="10"/>
  <c r="AB257" i="10"/>
  <c r="AA257" i="10"/>
  <c r="AF256" i="10"/>
  <c r="AB256" i="10"/>
  <c r="AA256" i="10"/>
  <c r="AF255" i="10"/>
  <c r="AB255" i="10"/>
  <c r="AA255" i="10"/>
  <c r="AE247" i="10"/>
  <c r="AD247" i="10"/>
  <c r="AF246" i="10"/>
  <c r="AB246" i="10"/>
  <c r="AA246" i="10"/>
  <c r="AE245" i="10"/>
  <c r="AD245" i="10"/>
  <c r="AF244" i="10"/>
  <c r="AF243" i="10"/>
  <c r="AB243" i="10"/>
  <c r="AA243" i="10"/>
  <c r="AF242" i="10"/>
  <c r="AB242" i="10"/>
  <c r="AA242" i="10"/>
  <c r="AF241" i="10"/>
  <c r="AB241" i="10"/>
  <c r="AA241" i="10"/>
  <c r="AF240" i="10"/>
  <c r="AB240" i="10"/>
  <c r="AA240" i="10"/>
  <c r="AF239" i="10"/>
  <c r="AB239" i="10"/>
  <c r="AA239" i="10"/>
  <c r="AF238" i="10"/>
  <c r="AB238" i="10"/>
  <c r="AA238" i="10"/>
  <c r="AF237" i="10"/>
  <c r="AB237" i="10"/>
  <c r="AA237" i="10"/>
  <c r="AF236" i="10"/>
  <c r="AB236" i="10"/>
  <c r="AA236" i="10"/>
  <c r="AF235" i="10"/>
  <c r="AB235" i="10"/>
  <c r="AA235" i="10"/>
  <c r="AF234" i="10"/>
  <c r="AB234" i="10"/>
  <c r="AA234" i="10"/>
  <c r="AF233" i="10"/>
  <c r="AB233" i="10"/>
  <c r="AA233" i="10"/>
  <c r="AF232" i="10"/>
  <c r="AB232" i="10"/>
  <c r="AA232" i="10"/>
  <c r="AF231" i="10"/>
  <c r="AB231" i="10"/>
  <c r="AA231" i="10"/>
  <c r="AF230" i="10"/>
  <c r="AB230" i="10"/>
  <c r="AA230" i="10"/>
  <c r="AF229" i="10"/>
  <c r="AB229" i="10"/>
  <c r="AA229" i="10"/>
  <c r="AF228" i="10"/>
  <c r="AB228" i="10"/>
  <c r="AA228" i="10"/>
  <c r="AF227" i="10"/>
  <c r="AB227" i="10"/>
  <c r="AA227" i="10"/>
  <c r="AF226" i="10"/>
  <c r="AB226" i="10"/>
  <c r="AA226" i="10"/>
  <c r="AF225" i="10"/>
  <c r="AB225" i="10"/>
  <c r="AA225" i="10"/>
  <c r="AA247" i="10" s="1"/>
  <c r="AE224" i="10"/>
  <c r="AD224" i="10"/>
  <c r="AB223" i="10"/>
  <c r="AA223" i="10"/>
  <c r="AF222" i="10"/>
  <c r="AB222" i="10"/>
  <c r="AA222" i="10"/>
  <c r="AF221" i="10"/>
  <c r="AB221" i="10"/>
  <c r="AA221" i="10"/>
  <c r="AF220" i="10"/>
  <c r="AB220" i="10"/>
  <c r="AA220" i="10"/>
  <c r="AB219" i="10"/>
  <c r="AA219" i="10"/>
  <c r="AF218" i="10"/>
  <c r="AB218" i="10"/>
  <c r="AA218" i="10"/>
  <c r="AF217" i="10"/>
  <c r="AB217" i="10"/>
  <c r="AA217" i="10"/>
  <c r="AF216" i="10"/>
  <c r="AB216" i="10"/>
  <c r="AA216" i="10"/>
  <c r="AF215" i="10"/>
  <c r="AB215" i="10"/>
  <c r="AA215" i="10"/>
  <c r="AF214" i="10"/>
  <c r="AB214" i="10"/>
  <c r="AA214" i="10"/>
  <c r="AF213" i="10"/>
  <c r="AB213" i="10"/>
  <c r="AA213" i="10"/>
  <c r="AF212" i="10"/>
  <c r="AB212" i="10"/>
  <c r="AA212" i="10"/>
  <c r="AE206" i="10"/>
  <c r="AD206" i="10"/>
  <c r="AF205" i="10"/>
  <c r="AB205" i="10"/>
  <c r="AA205" i="10"/>
  <c r="AE204" i="10"/>
  <c r="AD204" i="10"/>
  <c r="AF203" i="10"/>
  <c r="AB203" i="10"/>
  <c r="AA203" i="10"/>
  <c r="AF202" i="10"/>
  <c r="AB202" i="10"/>
  <c r="AA202" i="10"/>
  <c r="AF201" i="10"/>
  <c r="AB201" i="10"/>
  <c r="AA201" i="10"/>
  <c r="AF200" i="10"/>
  <c r="AB200" i="10"/>
  <c r="AA200" i="10"/>
  <c r="AF199" i="10"/>
  <c r="AB199" i="10"/>
  <c r="AA199" i="10"/>
  <c r="AF198" i="10"/>
  <c r="AB198" i="10"/>
  <c r="AA198" i="10"/>
  <c r="AF197" i="10"/>
  <c r="AB197" i="10"/>
  <c r="AA197" i="10"/>
  <c r="AF196" i="10"/>
  <c r="AB196" i="10"/>
  <c r="AA196" i="10"/>
  <c r="AF195" i="10"/>
  <c r="AB195" i="10"/>
  <c r="AA195" i="10"/>
  <c r="AF194" i="10"/>
  <c r="AB194" i="10"/>
  <c r="AA194" i="10"/>
  <c r="AF193" i="10"/>
  <c r="AB193" i="10"/>
  <c r="AA193" i="10"/>
  <c r="AF192" i="10"/>
  <c r="AB192" i="10"/>
  <c r="AA192" i="10"/>
  <c r="AF191" i="10"/>
  <c r="AB191" i="10"/>
  <c r="AA191" i="10"/>
  <c r="AF190" i="10"/>
  <c r="AB190" i="10"/>
  <c r="AA190" i="10"/>
  <c r="AF189" i="10"/>
  <c r="AB189" i="10"/>
  <c r="AA189" i="10"/>
  <c r="AF188" i="10"/>
  <c r="AB188" i="10"/>
  <c r="AA188" i="10"/>
  <c r="AF187" i="10"/>
  <c r="AB187" i="10"/>
  <c r="AA187" i="10"/>
  <c r="AF186" i="10"/>
  <c r="AB186" i="10"/>
  <c r="AA186" i="10"/>
  <c r="AF185" i="10"/>
  <c r="AB185" i="10"/>
  <c r="AA185" i="10"/>
  <c r="AF184" i="10"/>
  <c r="AB184" i="10"/>
  <c r="AA184" i="10"/>
  <c r="AF183" i="10"/>
  <c r="AB183" i="10"/>
  <c r="AA183" i="10"/>
  <c r="AF182" i="10"/>
  <c r="AB182" i="10"/>
  <c r="AA182" i="10"/>
  <c r="AF181" i="10"/>
  <c r="AB181" i="10"/>
  <c r="AA181" i="10"/>
  <c r="AF180" i="10"/>
  <c r="AB180" i="10"/>
  <c r="AA180" i="10"/>
  <c r="AF179" i="10"/>
  <c r="AB179" i="10"/>
  <c r="AA179" i="10"/>
  <c r="AD178" i="10"/>
  <c r="AF177" i="10"/>
  <c r="AB177" i="10"/>
  <c r="AA177" i="10"/>
  <c r="AF176" i="10"/>
  <c r="AB176" i="10"/>
  <c r="AA176" i="10"/>
  <c r="AF175" i="10"/>
  <c r="AB175" i="10"/>
  <c r="AA175" i="10"/>
  <c r="AF174" i="10"/>
  <c r="AB174" i="10"/>
  <c r="AA174" i="10"/>
  <c r="AF173" i="10"/>
  <c r="AB173" i="10"/>
  <c r="AA173" i="10"/>
  <c r="AF172" i="10"/>
  <c r="AB172" i="10"/>
  <c r="AA172" i="10"/>
  <c r="AF171" i="10"/>
  <c r="AB171" i="10"/>
  <c r="AA171" i="10"/>
  <c r="AF170" i="10"/>
  <c r="AB170" i="10"/>
  <c r="AA170" i="10"/>
  <c r="AF169" i="10"/>
  <c r="AB169" i="10"/>
  <c r="AA169" i="10"/>
  <c r="AF168" i="10"/>
  <c r="AB168" i="10"/>
  <c r="AA168" i="10"/>
  <c r="AF167" i="10"/>
  <c r="AB167" i="10"/>
  <c r="AA167" i="10"/>
  <c r="AF166" i="10"/>
  <c r="AB166" i="10"/>
  <c r="AA166" i="10"/>
  <c r="AF165" i="10"/>
  <c r="AB165" i="10"/>
  <c r="AA165" i="10"/>
  <c r="AF164" i="10"/>
  <c r="AB164" i="10"/>
  <c r="AA164" i="10"/>
  <c r="AF163" i="10"/>
  <c r="AB163" i="10"/>
  <c r="AA163" i="10"/>
  <c r="AF162" i="10"/>
  <c r="AB162" i="10"/>
  <c r="AA162" i="10"/>
  <c r="AE154" i="10"/>
  <c r="AD154" i="10"/>
  <c r="AF153" i="10"/>
  <c r="AB153" i="10"/>
  <c r="AA153" i="10"/>
  <c r="AE152" i="10"/>
  <c r="AD152" i="10"/>
  <c r="AB151" i="10"/>
  <c r="AA151" i="10"/>
  <c r="AF150" i="10"/>
  <c r="AB150" i="10"/>
  <c r="AA150" i="10"/>
  <c r="AF149" i="10"/>
  <c r="AB149" i="10"/>
  <c r="AA149" i="10"/>
  <c r="AB148" i="10"/>
  <c r="AA148" i="10"/>
  <c r="AF147" i="10"/>
  <c r="AB147" i="10"/>
  <c r="AA147" i="10"/>
  <c r="AF146" i="10"/>
  <c r="AB146" i="10"/>
  <c r="AA146" i="10"/>
  <c r="AF145" i="10"/>
  <c r="AB145" i="10"/>
  <c r="AA145" i="10"/>
  <c r="AF144" i="10"/>
  <c r="AB144" i="10"/>
  <c r="AC144" i="10" s="1"/>
  <c r="AA144" i="10"/>
  <c r="AF143" i="10"/>
  <c r="AB143" i="10"/>
  <c r="AA143" i="10"/>
  <c r="AF142" i="10"/>
  <c r="AB142" i="10"/>
  <c r="AA142" i="10"/>
  <c r="AF141" i="10"/>
  <c r="AB141" i="10"/>
  <c r="AA141" i="10"/>
  <c r="AF140" i="10"/>
  <c r="AB140" i="10"/>
  <c r="AA140" i="10"/>
  <c r="AF139" i="10"/>
  <c r="AB139" i="10"/>
  <c r="AA139" i="10"/>
  <c r="AF138" i="10"/>
  <c r="AB138" i="10"/>
  <c r="AA138" i="10"/>
  <c r="AF137" i="10"/>
  <c r="AB137" i="10"/>
  <c r="AA137" i="10"/>
  <c r="AF136" i="10"/>
  <c r="AB136" i="10"/>
  <c r="AA136" i="10"/>
  <c r="AF135" i="10"/>
  <c r="AB135" i="10"/>
  <c r="AA135" i="10"/>
  <c r="AF134" i="10"/>
  <c r="AB134" i="10"/>
  <c r="AA134" i="10"/>
  <c r="AF133" i="10"/>
  <c r="AB133" i="10"/>
  <c r="AA133" i="10"/>
  <c r="AF132" i="10"/>
  <c r="AB132" i="10"/>
  <c r="AA132" i="10"/>
  <c r="AF131" i="10"/>
  <c r="AB131" i="10"/>
  <c r="AA131" i="10"/>
  <c r="AF130" i="10"/>
  <c r="AB130" i="10"/>
  <c r="AA130" i="10"/>
  <c r="AE129" i="10"/>
  <c r="AD129" i="10"/>
  <c r="AB128" i="10"/>
  <c r="AA128" i="10"/>
  <c r="AB127" i="10"/>
  <c r="AA127" i="10"/>
  <c r="AF126" i="10"/>
  <c r="AB126" i="10"/>
  <c r="AA126" i="10"/>
  <c r="AF125" i="10"/>
  <c r="AB125" i="10"/>
  <c r="AA125" i="10"/>
  <c r="AF124" i="10"/>
  <c r="AB124" i="10"/>
  <c r="AA124" i="10"/>
  <c r="AF123" i="10"/>
  <c r="AB123" i="10"/>
  <c r="AA123" i="10"/>
  <c r="AB122" i="10"/>
  <c r="AA122" i="10"/>
  <c r="AF121" i="10"/>
  <c r="AB121" i="10"/>
  <c r="AA121" i="10"/>
  <c r="AF120" i="10"/>
  <c r="AB120" i="10"/>
  <c r="AA120" i="10"/>
  <c r="AF119" i="10"/>
  <c r="AB119" i="10"/>
  <c r="AA119" i="10"/>
  <c r="AF118" i="10"/>
  <c r="AB118" i="10"/>
  <c r="AA118" i="10"/>
  <c r="AF117" i="10"/>
  <c r="AB117" i="10"/>
  <c r="AA117" i="10"/>
  <c r="AF116" i="10"/>
  <c r="AB116" i="10"/>
  <c r="AC116" i="10" s="1"/>
  <c r="AA116" i="10"/>
  <c r="AF115" i="10"/>
  <c r="AB115" i="10"/>
  <c r="AA115" i="10"/>
  <c r="AF114" i="10"/>
  <c r="AB114" i="10"/>
  <c r="AA114" i="10"/>
  <c r="AF113" i="10"/>
  <c r="AB113" i="10"/>
  <c r="AA113" i="10"/>
  <c r="AF112" i="10"/>
  <c r="AB112" i="10"/>
  <c r="AA112" i="10"/>
  <c r="AF111" i="10"/>
  <c r="AB111" i="10"/>
  <c r="AA111" i="10"/>
  <c r="AF105" i="10"/>
  <c r="AB105" i="10"/>
  <c r="AA105" i="10"/>
  <c r="AE104" i="10"/>
  <c r="AD104" i="10"/>
  <c r="AB103" i="10"/>
  <c r="AA103" i="10"/>
  <c r="AB102" i="10"/>
  <c r="AA102" i="10"/>
  <c r="AF101" i="10"/>
  <c r="AB101" i="10"/>
  <c r="AA101" i="10"/>
  <c r="AF100" i="10"/>
  <c r="AB100" i="10"/>
  <c r="AA100" i="10"/>
  <c r="AF99" i="10"/>
  <c r="AB99" i="10"/>
  <c r="AA99" i="10"/>
  <c r="AF98" i="10"/>
  <c r="AB98" i="10"/>
  <c r="AA98" i="10"/>
  <c r="AF97" i="10"/>
  <c r="AB97" i="10"/>
  <c r="AA97" i="10"/>
  <c r="AF96" i="10"/>
  <c r="AB96" i="10"/>
  <c r="AA96" i="10"/>
  <c r="AB95" i="10"/>
  <c r="AA95" i="10"/>
  <c r="AF94" i="10"/>
  <c r="AB94" i="10"/>
  <c r="AA94" i="10"/>
  <c r="AF93" i="10"/>
  <c r="AB93" i="10"/>
  <c r="AA93" i="10"/>
  <c r="AF92" i="10"/>
  <c r="AB92" i="10"/>
  <c r="AA92" i="10"/>
  <c r="AF91" i="10"/>
  <c r="AB91" i="10"/>
  <c r="AA91" i="10"/>
  <c r="AE90" i="10"/>
  <c r="AB89" i="10"/>
  <c r="AA89" i="10"/>
  <c r="AB88" i="10"/>
  <c r="AA88" i="10"/>
  <c r="AB87" i="10"/>
  <c r="AA87" i="10"/>
  <c r="AB86" i="10"/>
  <c r="AA86" i="10"/>
  <c r="AB85" i="10"/>
  <c r="AA85" i="10"/>
  <c r="AF84" i="10"/>
  <c r="AB84" i="10"/>
  <c r="AA84" i="10"/>
  <c r="AB83" i="10"/>
  <c r="AC83" i="10" s="1"/>
  <c r="AB82" i="10"/>
  <c r="AA82" i="10"/>
  <c r="AB81" i="10"/>
  <c r="AA81" i="10"/>
  <c r="AB80" i="10"/>
  <c r="AA80" i="10"/>
  <c r="AB79" i="10"/>
  <c r="AC79" i="10" s="1"/>
  <c r="AF78" i="10"/>
  <c r="AB78" i="10"/>
  <c r="AA78" i="10"/>
  <c r="AF77" i="10"/>
  <c r="AB77" i="10"/>
  <c r="AA77" i="10"/>
  <c r="AB76" i="10"/>
  <c r="AA76" i="10"/>
  <c r="AB75" i="10"/>
  <c r="AF74" i="10"/>
  <c r="AB74" i="10"/>
  <c r="AA74" i="10"/>
  <c r="AF73" i="10"/>
  <c r="AB73" i="10"/>
  <c r="AA73" i="10"/>
  <c r="AF72" i="10"/>
  <c r="AB72" i="10"/>
  <c r="AA72" i="10"/>
  <c r="AB71" i="10"/>
  <c r="AF70" i="10"/>
  <c r="AB70" i="10"/>
  <c r="AA70" i="10"/>
  <c r="AF69" i="10"/>
  <c r="AB69" i="10"/>
  <c r="AA69" i="10"/>
  <c r="AF68" i="10"/>
  <c r="AB68" i="10"/>
  <c r="AA68" i="10"/>
  <c r="AB67" i="10"/>
  <c r="AF66" i="10"/>
  <c r="AB66" i="10"/>
  <c r="AA66" i="10"/>
  <c r="AE60" i="10"/>
  <c r="AD60" i="10"/>
  <c r="AG60" i="10" s="1"/>
  <c r="AF59" i="10"/>
  <c r="AB59" i="10"/>
  <c r="AA59" i="10"/>
  <c r="AE58" i="10"/>
  <c r="AD58" i="10"/>
  <c r="AB57" i="10"/>
  <c r="AA57" i="10"/>
  <c r="AF56" i="10"/>
  <c r="AB56" i="10"/>
  <c r="AA56" i="10"/>
  <c r="AB55" i="10"/>
  <c r="AA55" i="10"/>
  <c r="AF54" i="10"/>
  <c r="AB54" i="10"/>
  <c r="AA54" i="10"/>
  <c r="AB53" i="10"/>
  <c r="AA53" i="10"/>
  <c r="AF52" i="10"/>
  <c r="AB52" i="10"/>
  <c r="AA52" i="10"/>
  <c r="AF51" i="10"/>
  <c r="AB51" i="10"/>
  <c r="AA51" i="10"/>
  <c r="AF50" i="10"/>
  <c r="AB50" i="10"/>
  <c r="AA50" i="10"/>
  <c r="AF49" i="10"/>
  <c r="AB49" i="10"/>
  <c r="AA49" i="10"/>
  <c r="AF48" i="10"/>
  <c r="AB48" i="10"/>
  <c r="AA48" i="10"/>
  <c r="AE47" i="10"/>
  <c r="AB46" i="10"/>
  <c r="AB45" i="10"/>
  <c r="AA45" i="10"/>
  <c r="AF44" i="10"/>
  <c r="AB44" i="10"/>
  <c r="AA44" i="10"/>
  <c r="AF43" i="10"/>
  <c r="AB43" i="10"/>
  <c r="AA43" i="10"/>
  <c r="AB42" i="10"/>
  <c r="AA42" i="10"/>
  <c r="AF41" i="10"/>
  <c r="AB41" i="10"/>
  <c r="AA41" i="10"/>
  <c r="AF40" i="10"/>
  <c r="AB40" i="10"/>
  <c r="AA40" i="10"/>
  <c r="AB39" i="10"/>
  <c r="AA39" i="10"/>
  <c r="AB38" i="10"/>
  <c r="AA38" i="10"/>
  <c r="AF37" i="10"/>
  <c r="AB37" i="10"/>
  <c r="AA37" i="10"/>
  <c r="AF36" i="10"/>
  <c r="AB36" i="10"/>
  <c r="AA36" i="10"/>
  <c r="AF35" i="10"/>
  <c r="AB35" i="10"/>
  <c r="AA35" i="10"/>
  <c r="AB34" i="10"/>
  <c r="AA34" i="10"/>
  <c r="AF33" i="10"/>
  <c r="AB33" i="10"/>
  <c r="AA33" i="10"/>
  <c r="AF32" i="10"/>
  <c r="AB32" i="10"/>
  <c r="AA32" i="10"/>
  <c r="AF31" i="10"/>
  <c r="AB31" i="10"/>
  <c r="AA31" i="10"/>
  <c r="AF30" i="10"/>
  <c r="AB30" i="10"/>
  <c r="AA30" i="10"/>
  <c r="AF29" i="10"/>
  <c r="AB29" i="10"/>
  <c r="AA29" i="10"/>
  <c r="AF28" i="10"/>
  <c r="AB28" i="10"/>
  <c r="AA28" i="10"/>
  <c r="AE27" i="10"/>
  <c r="AB26" i="10"/>
  <c r="AB25" i="10"/>
  <c r="AA25" i="10"/>
  <c r="AB24" i="10"/>
  <c r="AA24" i="10"/>
  <c r="AF23" i="10"/>
  <c r="AB23" i="10"/>
  <c r="AA23" i="10"/>
  <c r="AB22" i="10"/>
  <c r="AF21" i="10"/>
  <c r="AB21" i="10"/>
  <c r="AA21" i="10"/>
  <c r="AF20" i="10"/>
  <c r="AB20" i="10"/>
  <c r="AA20" i="10"/>
  <c r="AF19" i="10"/>
  <c r="AB19" i="10"/>
  <c r="AA19" i="10"/>
  <c r="AB18" i="10"/>
  <c r="AF17" i="10"/>
  <c r="AB17" i="10"/>
  <c r="AA17" i="10"/>
  <c r="AF16" i="10"/>
  <c r="AB16" i="10"/>
  <c r="AA16" i="10"/>
  <c r="AF15" i="10"/>
  <c r="AB15" i="10"/>
  <c r="AA15" i="10"/>
  <c r="AB14" i="10"/>
  <c r="AF13" i="10"/>
  <c r="AB13" i="10"/>
  <c r="AA13" i="10"/>
  <c r="AF12" i="10"/>
  <c r="AB12" i="10"/>
  <c r="AA12" i="10"/>
  <c r="AE11" i="10"/>
  <c r="AB10" i="10"/>
  <c r="AA10" i="10"/>
  <c r="AB9" i="10"/>
  <c r="AA9" i="10"/>
  <c r="AB8" i="10"/>
  <c r="AA8" i="10"/>
  <c r="AB7" i="10"/>
  <c r="AA7" i="10"/>
  <c r="AB6" i="10"/>
  <c r="AA6" i="10"/>
  <c r="AB5" i="10"/>
  <c r="AE49" i="9"/>
  <c r="AA49" i="9"/>
  <c r="Z49" i="9"/>
  <c r="AD48" i="9"/>
  <c r="AC48" i="9"/>
  <c r="AA47" i="9"/>
  <c r="Z47" i="9"/>
  <c r="AA46" i="9"/>
  <c r="Z46" i="9"/>
  <c r="AA45" i="9"/>
  <c r="Z45" i="9"/>
  <c r="AA44" i="9"/>
  <c r="Z44" i="9"/>
  <c r="AA43" i="9"/>
  <c r="Z43" i="9"/>
  <c r="AA42" i="9"/>
  <c r="Z42" i="9"/>
  <c r="AA41" i="9"/>
  <c r="Z41" i="9"/>
  <c r="AA40" i="9"/>
  <c r="Z40" i="9"/>
  <c r="AA39" i="9"/>
  <c r="Z39" i="9"/>
  <c r="AE38" i="9"/>
  <c r="AA38" i="9"/>
  <c r="Z38" i="9"/>
  <c r="AE37" i="9"/>
  <c r="AA37" i="9"/>
  <c r="Z37" i="9"/>
  <c r="AE36" i="9"/>
  <c r="AA36" i="9"/>
  <c r="Z36" i="9"/>
  <c r="AA35" i="9"/>
  <c r="Z35" i="9"/>
  <c r="AE34" i="9"/>
  <c r="AA34" i="9"/>
  <c r="Z34" i="9"/>
  <c r="AE33" i="9"/>
  <c r="AA33" i="9"/>
  <c r="Z33" i="9"/>
  <c r="AD32" i="9"/>
  <c r="AC32" i="9"/>
  <c r="AA31" i="9"/>
  <c r="Z31" i="9"/>
  <c r="AA30" i="9"/>
  <c r="Z30" i="9"/>
  <c r="AE29" i="9"/>
  <c r="AA29" i="9"/>
  <c r="Z29" i="9"/>
  <c r="AE28" i="9"/>
  <c r="AA28" i="9"/>
  <c r="AB28" i="9" s="1"/>
  <c r="Z28" i="9"/>
  <c r="AE27" i="9"/>
  <c r="AA27" i="9"/>
  <c r="Z27" i="9"/>
  <c r="AE26" i="9"/>
  <c r="AA26" i="9"/>
  <c r="Z26" i="9"/>
  <c r="AE25" i="9"/>
  <c r="AA25" i="9"/>
  <c r="Z25" i="9"/>
  <c r="AE24" i="9"/>
  <c r="AA24" i="9"/>
  <c r="AB24" i="9" s="1"/>
  <c r="Z24" i="9"/>
  <c r="AE23" i="9"/>
  <c r="AA23" i="9"/>
  <c r="Z23" i="9"/>
  <c r="AE22" i="9"/>
  <c r="AA22" i="9"/>
  <c r="Z22" i="9"/>
  <c r="AE21" i="9"/>
  <c r="AA21" i="9"/>
  <c r="Z21" i="9"/>
  <c r="AE20" i="9"/>
  <c r="AA20" i="9"/>
  <c r="Z20" i="9"/>
  <c r="AE19" i="9"/>
  <c r="AA19" i="9"/>
  <c r="Z19" i="9"/>
  <c r="AA18" i="9"/>
  <c r="Z18" i="9"/>
  <c r="AE17" i="9"/>
  <c r="AA17" i="9"/>
  <c r="Z17" i="9"/>
  <c r="AE16" i="9"/>
  <c r="AA16" i="9"/>
  <c r="Z16" i="9"/>
  <c r="AE15" i="9"/>
  <c r="AA15" i="9"/>
  <c r="Z15" i="9"/>
  <c r="AE14" i="9"/>
  <c r="AA14" i="9"/>
  <c r="Z14" i="9"/>
  <c r="AE13" i="9"/>
  <c r="AA13" i="9"/>
  <c r="Z13" i="9"/>
  <c r="AE12" i="9"/>
  <c r="AA12" i="9"/>
  <c r="Z12" i="9"/>
  <c r="AE11" i="9"/>
  <c r="AA11" i="9"/>
  <c r="Z11" i="9"/>
  <c r="AE10" i="9"/>
  <c r="AA10" i="9"/>
  <c r="Z10" i="9"/>
  <c r="AE9" i="9"/>
  <c r="AA9" i="9"/>
  <c r="Z9" i="9"/>
  <c r="AE8" i="9"/>
  <c r="AA8" i="9"/>
  <c r="Z8" i="9"/>
  <c r="AE7" i="9"/>
  <c r="AA7" i="9"/>
  <c r="Z7" i="9"/>
  <c r="AE6" i="9"/>
  <c r="AA6" i="9"/>
  <c r="Z6" i="9"/>
  <c r="AE5" i="9"/>
  <c r="AA5" i="9"/>
  <c r="Z5" i="9"/>
  <c r="AE98" i="8"/>
  <c r="AD98" i="8"/>
  <c r="AB97" i="8"/>
  <c r="AC97" i="8" s="1"/>
  <c r="AA97" i="8"/>
  <c r="AE96" i="8"/>
  <c r="AD96" i="8"/>
  <c r="AB95" i="8"/>
  <c r="AA95" i="8"/>
  <c r="AB94" i="8"/>
  <c r="AA94" i="8"/>
  <c r="AB93" i="8"/>
  <c r="AA93" i="8"/>
  <c r="AB92" i="8"/>
  <c r="AA92" i="8"/>
  <c r="AB91" i="8"/>
  <c r="AA91" i="8"/>
  <c r="AB90" i="8"/>
  <c r="AA90" i="8"/>
  <c r="AB89" i="8"/>
  <c r="AA89" i="8"/>
  <c r="AF88" i="8"/>
  <c r="AB88" i="8"/>
  <c r="AA88" i="8"/>
  <c r="AF87" i="8"/>
  <c r="AB87" i="8"/>
  <c r="AA87" i="8"/>
  <c r="AF86" i="8"/>
  <c r="AB86" i="8"/>
  <c r="AA86" i="8"/>
  <c r="AF85" i="8"/>
  <c r="AB85" i="8"/>
  <c r="AA85" i="8"/>
  <c r="AF84" i="8"/>
  <c r="AB84" i="8"/>
  <c r="AA84" i="8"/>
  <c r="AF83" i="8"/>
  <c r="AB83" i="8"/>
  <c r="AA83" i="8"/>
  <c r="AF82" i="8"/>
  <c r="AB82" i="8"/>
  <c r="AA82" i="8"/>
  <c r="AB81" i="8"/>
  <c r="AA81" i="8"/>
  <c r="AF80" i="8"/>
  <c r="AB80" i="8"/>
  <c r="AA80" i="8"/>
  <c r="AF79" i="8"/>
  <c r="AB79" i="8"/>
  <c r="AA79" i="8"/>
  <c r="AF78" i="8"/>
  <c r="AB78" i="8"/>
  <c r="AA78" i="8"/>
  <c r="AF77" i="8"/>
  <c r="AB77" i="8"/>
  <c r="AA77" i="8"/>
  <c r="AF76" i="8"/>
  <c r="AB76" i="8"/>
  <c r="AA76" i="8"/>
  <c r="AF75" i="8"/>
  <c r="AB75" i="8"/>
  <c r="AA75" i="8"/>
  <c r="AF74" i="8"/>
  <c r="AB74" i="8"/>
  <c r="AA74" i="8"/>
  <c r="AF73" i="8"/>
  <c r="AB73" i="8"/>
  <c r="AA73" i="8"/>
  <c r="AF72" i="8"/>
  <c r="AB72" i="8"/>
  <c r="AA72" i="8"/>
  <c r="AB71" i="8"/>
  <c r="AA71" i="8"/>
  <c r="AA98" i="8" s="1"/>
  <c r="AE70" i="8"/>
  <c r="AD70" i="8"/>
  <c r="AB69" i="8"/>
  <c r="AA69" i="8"/>
  <c r="AB68" i="8"/>
  <c r="AA68" i="8"/>
  <c r="AB67" i="8"/>
  <c r="AA67" i="8"/>
  <c r="AB66" i="8"/>
  <c r="AA66" i="8"/>
  <c r="AB65" i="8"/>
  <c r="AA65" i="8"/>
  <c r="AB64" i="8"/>
  <c r="AA64" i="8"/>
  <c r="AB63" i="8"/>
  <c r="AA63" i="8"/>
  <c r="AB62" i="8"/>
  <c r="AA62" i="8"/>
  <c r="AB61" i="8"/>
  <c r="AA61" i="8"/>
  <c r="AF60" i="8"/>
  <c r="AB60" i="8"/>
  <c r="AA60" i="8"/>
  <c r="AF59" i="8"/>
  <c r="AB59" i="8"/>
  <c r="AA59" i="8"/>
  <c r="AB58" i="8"/>
  <c r="AA58" i="8"/>
  <c r="AF57" i="8"/>
  <c r="AB57" i="8"/>
  <c r="AA57" i="8"/>
  <c r="AF56" i="8"/>
  <c r="AB56" i="8"/>
  <c r="AA56" i="8"/>
  <c r="AF55" i="8"/>
  <c r="AB55" i="8"/>
  <c r="AA55" i="8"/>
  <c r="AF54" i="8"/>
  <c r="AB54" i="8"/>
  <c r="AA54" i="8"/>
  <c r="AF53" i="8"/>
  <c r="AB53" i="8"/>
  <c r="AA53" i="8"/>
  <c r="AB52" i="8"/>
  <c r="AA52" i="8"/>
  <c r="AF51" i="8"/>
  <c r="AB51" i="8"/>
  <c r="AA51" i="8"/>
  <c r="AF50" i="8"/>
  <c r="AB50" i="8"/>
  <c r="AA50" i="8"/>
  <c r="AE49" i="8"/>
  <c r="AD49" i="8"/>
  <c r="AB48" i="8"/>
  <c r="AA48" i="8"/>
  <c r="AE47" i="8"/>
  <c r="AD47" i="8"/>
  <c r="AB46" i="8"/>
  <c r="AA46" i="8"/>
  <c r="AB45" i="8"/>
  <c r="AA45" i="8"/>
  <c r="AB44" i="8"/>
  <c r="AA44" i="8"/>
  <c r="AB43" i="8"/>
  <c r="AA43" i="8"/>
  <c r="AB42" i="8"/>
  <c r="AA42" i="8"/>
  <c r="AB41" i="8"/>
  <c r="AA41" i="8"/>
  <c r="AB40" i="8"/>
  <c r="AA40" i="8"/>
  <c r="AB39" i="8"/>
  <c r="AA39" i="8"/>
  <c r="AB38" i="8"/>
  <c r="AA38" i="8"/>
  <c r="AF37" i="8"/>
  <c r="AB37" i="8"/>
  <c r="AA37" i="8"/>
  <c r="AF36" i="8"/>
  <c r="AB36" i="8"/>
  <c r="AA36" i="8"/>
  <c r="AF35" i="8"/>
  <c r="AB35" i="8"/>
  <c r="AA35" i="8"/>
  <c r="AF34" i="8"/>
  <c r="AB34" i="8"/>
  <c r="AA34" i="8"/>
  <c r="AF33" i="8"/>
  <c r="AB33" i="8"/>
  <c r="AA33" i="8"/>
  <c r="AF32" i="8"/>
  <c r="AB32" i="8"/>
  <c r="AA32" i="8"/>
  <c r="AF31" i="8"/>
  <c r="AB31" i="8"/>
  <c r="AA31" i="8"/>
  <c r="AF30" i="8"/>
  <c r="AB30" i="8"/>
  <c r="AA30" i="8"/>
  <c r="AF29" i="8"/>
  <c r="AB29" i="8"/>
  <c r="AA29" i="8"/>
  <c r="AE28" i="8"/>
  <c r="AD28" i="8"/>
  <c r="AB27" i="8"/>
  <c r="AA27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F19" i="8"/>
  <c r="AB19" i="8"/>
  <c r="AA19" i="8"/>
  <c r="AB18" i="8"/>
  <c r="AA18" i="8"/>
  <c r="AF17" i="8"/>
  <c r="AB17" i="8"/>
  <c r="AA17" i="8"/>
  <c r="AF16" i="8"/>
  <c r="AB16" i="8"/>
  <c r="AA16" i="8"/>
  <c r="AF15" i="8"/>
  <c r="AB15" i="8"/>
  <c r="AA15" i="8"/>
  <c r="AB14" i="8"/>
  <c r="AA14" i="8"/>
  <c r="AF13" i="8"/>
  <c r="AB13" i="8"/>
  <c r="AA13" i="8"/>
  <c r="AF12" i="8"/>
  <c r="AB12" i="8"/>
  <c r="AA12" i="8"/>
  <c r="AF11" i="8"/>
  <c r="AB11" i="8"/>
  <c r="AA11" i="8"/>
  <c r="AF10" i="8"/>
  <c r="AB10" i="8"/>
  <c r="AA10" i="8"/>
  <c r="AF9" i="8"/>
  <c r="AB9" i="8"/>
  <c r="AA9" i="8"/>
  <c r="AF8" i="8"/>
  <c r="AB8" i="8"/>
  <c r="AA8" i="8"/>
  <c r="AF7" i="8"/>
  <c r="AB7" i="8"/>
  <c r="AA7" i="8"/>
  <c r="AF6" i="8"/>
  <c r="AB6" i="8"/>
  <c r="AA6" i="8"/>
  <c r="AE266" i="7"/>
  <c r="AA266" i="7"/>
  <c r="Z266" i="7"/>
  <c r="AD265" i="7"/>
  <c r="AC265" i="7"/>
  <c r="AA264" i="7"/>
  <c r="Z264" i="7"/>
  <c r="AA263" i="7"/>
  <c r="Z263" i="7"/>
  <c r="AA262" i="7"/>
  <c r="Z262" i="7"/>
  <c r="AA261" i="7"/>
  <c r="Z261" i="7"/>
  <c r="AE260" i="7"/>
  <c r="AA260" i="7"/>
  <c r="Z260" i="7"/>
  <c r="AA259" i="7"/>
  <c r="Z259" i="7"/>
  <c r="AE258" i="7"/>
  <c r="AA258" i="7"/>
  <c r="Z258" i="7"/>
  <c r="AE257" i="7"/>
  <c r="AA257" i="7"/>
  <c r="Z257" i="7"/>
  <c r="AE256" i="7"/>
  <c r="AA256" i="7"/>
  <c r="Z256" i="7"/>
  <c r="AE255" i="7"/>
  <c r="AA255" i="7"/>
  <c r="Z255" i="7"/>
  <c r="AE254" i="7"/>
  <c r="AA254" i="7"/>
  <c r="Z254" i="7"/>
  <c r="AE253" i="7"/>
  <c r="AA253" i="7"/>
  <c r="Z253" i="7"/>
  <c r="AE252" i="7"/>
  <c r="AA252" i="7"/>
  <c r="Z252" i="7"/>
  <c r="AE251" i="7"/>
  <c r="AA251" i="7"/>
  <c r="Z251" i="7"/>
  <c r="AE250" i="7"/>
  <c r="AA250" i="7"/>
  <c r="Z250" i="7"/>
  <c r="AD249" i="7"/>
  <c r="AC249" i="7"/>
  <c r="AE248" i="7"/>
  <c r="AA248" i="7"/>
  <c r="Z248" i="7"/>
  <c r="AE247" i="7"/>
  <c r="AA247" i="7"/>
  <c r="Z247" i="7"/>
  <c r="AE246" i="7"/>
  <c r="AA246" i="7"/>
  <c r="AB246" i="7" s="1"/>
  <c r="Z246" i="7"/>
  <c r="AE245" i="7"/>
  <c r="AA245" i="7"/>
  <c r="Z245" i="7"/>
  <c r="AE244" i="7"/>
  <c r="AA244" i="7"/>
  <c r="Z244" i="7"/>
  <c r="AE243" i="7"/>
  <c r="AA243" i="7"/>
  <c r="Z243" i="7"/>
  <c r="AE242" i="7"/>
  <c r="AA242" i="7"/>
  <c r="Z242" i="7"/>
  <c r="AE241" i="7"/>
  <c r="AA241" i="7"/>
  <c r="Z241" i="7"/>
  <c r="AE240" i="7"/>
  <c r="AA240" i="7"/>
  <c r="Z240" i="7"/>
  <c r="AE239" i="7"/>
  <c r="AA239" i="7"/>
  <c r="Z239" i="7"/>
  <c r="AE238" i="7"/>
  <c r="AA238" i="7"/>
  <c r="Z238" i="7"/>
  <c r="AE237" i="7"/>
  <c r="AA237" i="7"/>
  <c r="Z237" i="7"/>
  <c r="AE236" i="7"/>
  <c r="AA236" i="7"/>
  <c r="Z236" i="7"/>
  <c r="AE235" i="7"/>
  <c r="AA235" i="7"/>
  <c r="Z235" i="7"/>
  <c r="AE234" i="7"/>
  <c r="AA234" i="7"/>
  <c r="Z234" i="7"/>
  <c r="AE233" i="7"/>
  <c r="AA233" i="7"/>
  <c r="Z233" i="7"/>
  <c r="AE232" i="7"/>
  <c r="AA232" i="7"/>
  <c r="Z232" i="7"/>
  <c r="AE231" i="7"/>
  <c r="AA231" i="7"/>
  <c r="Z231" i="7"/>
  <c r="AE230" i="7"/>
  <c r="AA230" i="7"/>
  <c r="Z230" i="7"/>
  <c r="AE229" i="7"/>
  <c r="AA229" i="7"/>
  <c r="Z229" i="7"/>
  <c r="AE228" i="7"/>
  <c r="AA228" i="7"/>
  <c r="Z228" i="7"/>
  <c r="AE227" i="7"/>
  <c r="AA227" i="7"/>
  <c r="Z227" i="7"/>
  <c r="AE226" i="7"/>
  <c r="AA226" i="7"/>
  <c r="Z226" i="7"/>
  <c r="AE225" i="7"/>
  <c r="AA225" i="7"/>
  <c r="Z225" i="7"/>
  <c r="AE224" i="7"/>
  <c r="AA224" i="7"/>
  <c r="Z224" i="7"/>
  <c r="AE217" i="7"/>
  <c r="AA217" i="7"/>
  <c r="Z217" i="7"/>
  <c r="AD216" i="7"/>
  <c r="AC216" i="7"/>
  <c r="AE215" i="7"/>
  <c r="AA215" i="7"/>
  <c r="Z215" i="7"/>
  <c r="AE214" i="7"/>
  <c r="AA214" i="7"/>
  <c r="AB214" i="7" s="1"/>
  <c r="Z214" i="7"/>
  <c r="AE213" i="7"/>
  <c r="AA213" i="7"/>
  <c r="AB213" i="7" s="1"/>
  <c r="Z213" i="7"/>
  <c r="AA212" i="7"/>
  <c r="Z212" i="7"/>
  <c r="AE211" i="7"/>
  <c r="AA211" i="7"/>
  <c r="Z211" i="7"/>
  <c r="AE210" i="7"/>
  <c r="AA210" i="7"/>
  <c r="Z210" i="7"/>
  <c r="AE209" i="7"/>
  <c r="AA209" i="7"/>
  <c r="Z209" i="7"/>
  <c r="AE208" i="7"/>
  <c r="AA208" i="7"/>
  <c r="Z208" i="7"/>
  <c r="AE207" i="7"/>
  <c r="AA207" i="7"/>
  <c r="Z207" i="7"/>
  <c r="AE206" i="7"/>
  <c r="AA206" i="7"/>
  <c r="Z206" i="7"/>
  <c r="AE205" i="7"/>
  <c r="AA205" i="7"/>
  <c r="Z205" i="7"/>
  <c r="AE204" i="7"/>
  <c r="AA204" i="7"/>
  <c r="Z204" i="7"/>
  <c r="AE203" i="7"/>
  <c r="AA203" i="7"/>
  <c r="Z203" i="7"/>
  <c r="AE202" i="7"/>
  <c r="AA202" i="7"/>
  <c r="Z202" i="7"/>
  <c r="AD201" i="7"/>
  <c r="AC201" i="7"/>
  <c r="AA200" i="7"/>
  <c r="Z200" i="7"/>
  <c r="AA199" i="7"/>
  <c r="Z199" i="7"/>
  <c r="AA198" i="7"/>
  <c r="Z198" i="7"/>
  <c r="AE197" i="7"/>
  <c r="AA197" i="7"/>
  <c r="Z197" i="7"/>
  <c r="AE196" i="7"/>
  <c r="AA196" i="7"/>
  <c r="Z196" i="7"/>
  <c r="AE195" i="7"/>
  <c r="AA195" i="7"/>
  <c r="Z195" i="7"/>
  <c r="AE194" i="7"/>
  <c r="AA194" i="7"/>
  <c r="AB194" i="7" s="1"/>
  <c r="Z194" i="7"/>
  <c r="AE193" i="7"/>
  <c r="AA193" i="7"/>
  <c r="Z193" i="7"/>
  <c r="AE192" i="7"/>
  <c r="AA192" i="7"/>
  <c r="Z192" i="7"/>
  <c r="AE191" i="7"/>
  <c r="AA191" i="7"/>
  <c r="Z191" i="7"/>
  <c r="AE190" i="7"/>
  <c r="AA190" i="7"/>
  <c r="AB190" i="7" s="1"/>
  <c r="Z190" i="7"/>
  <c r="AE189" i="7"/>
  <c r="AA189" i="7"/>
  <c r="Z189" i="7"/>
  <c r="AE188" i="7"/>
  <c r="AA188" i="7"/>
  <c r="Z188" i="7"/>
  <c r="AE187" i="7"/>
  <c r="AA187" i="7"/>
  <c r="Z187" i="7"/>
  <c r="AE186" i="7"/>
  <c r="AA186" i="7"/>
  <c r="AB186" i="7" s="1"/>
  <c r="Z186" i="7"/>
  <c r="AE185" i="7"/>
  <c r="AA185" i="7"/>
  <c r="Z185" i="7"/>
  <c r="AE184" i="7"/>
  <c r="AA184" i="7"/>
  <c r="Z184" i="7"/>
  <c r="AE183" i="7"/>
  <c r="AA183" i="7"/>
  <c r="Z183" i="7"/>
  <c r="AE182" i="7"/>
  <c r="AA182" i="7"/>
  <c r="AB182" i="7" s="1"/>
  <c r="Z182" i="7"/>
  <c r="AE181" i="7"/>
  <c r="AA181" i="7"/>
  <c r="Z181" i="7"/>
  <c r="AE174" i="7"/>
  <c r="AA174" i="7"/>
  <c r="Z174" i="7"/>
  <c r="AD173" i="7"/>
  <c r="AC173" i="7"/>
  <c r="AA172" i="7"/>
  <c r="Z172" i="7"/>
  <c r="AA171" i="7"/>
  <c r="Z171" i="7"/>
  <c r="AA170" i="7"/>
  <c r="Z170" i="7"/>
  <c r="AE169" i="7"/>
  <c r="AA169" i="7"/>
  <c r="Z169" i="7"/>
  <c r="AE168" i="7"/>
  <c r="AA168" i="7"/>
  <c r="Z168" i="7"/>
  <c r="AE167" i="7"/>
  <c r="AA167" i="7"/>
  <c r="Z167" i="7"/>
  <c r="AE166" i="7"/>
  <c r="AA166" i="7"/>
  <c r="Z166" i="7"/>
  <c r="AE165" i="7"/>
  <c r="AA165" i="7"/>
  <c r="Z165" i="7"/>
  <c r="AE164" i="7"/>
  <c r="AA164" i="7"/>
  <c r="Z164" i="7"/>
  <c r="AE163" i="7"/>
  <c r="AA163" i="7"/>
  <c r="Z163" i="7"/>
  <c r="AE162" i="7"/>
  <c r="AA162" i="7"/>
  <c r="Z162" i="7"/>
  <c r="AE161" i="7"/>
  <c r="AA161" i="7"/>
  <c r="Z161" i="7"/>
  <c r="AE160" i="7"/>
  <c r="AA160" i="7"/>
  <c r="Z160" i="7"/>
  <c r="AE159" i="7"/>
  <c r="AA159" i="7"/>
  <c r="Z159" i="7"/>
  <c r="AE158" i="7"/>
  <c r="AA158" i="7"/>
  <c r="Z158" i="7"/>
  <c r="AE157" i="7"/>
  <c r="AA157" i="7"/>
  <c r="Z157" i="7"/>
  <c r="AE156" i="7"/>
  <c r="AA156" i="7"/>
  <c r="Z156" i="7"/>
  <c r="AD155" i="7"/>
  <c r="AC155" i="7"/>
  <c r="AE154" i="7"/>
  <c r="AA154" i="7"/>
  <c r="Z154" i="7"/>
  <c r="AE153" i="7"/>
  <c r="AA153" i="7"/>
  <c r="AB153" i="7" s="1"/>
  <c r="Z153" i="7"/>
  <c r="AE152" i="7"/>
  <c r="AA152" i="7"/>
  <c r="Z152" i="7"/>
  <c r="AE151" i="7"/>
  <c r="AA151" i="7"/>
  <c r="Z151" i="7"/>
  <c r="AE150" i="7"/>
  <c r="AA150" i="7"/>
  <c r="Z150" i="7"/>
  <c r="AA149" i="7"/>
  <c r="Z149" i="7"/>
  <c r="AE148" i="7"/>
  <c r="AA148" i="7"/>
  <c r="Z148" i="7"/>
  <c r="AE147" i="7"/>
  <c r="AA147" i="7"/>
  <c r="Z147" i="7"/>
  <c r="AE146" i="7"/>
  <c r="AA146" i="7"/>
  <c r="Z146" i="7"/>
  <c r="AE145" i="7"/>
  <c r="AA145" i="7"/>
  <c r="Z145" i="7"/>
  <c r="AE144" i="7"/>
  <c r="AA144" i="7"/>
  <c r="Z144" i="7"/>
  <c r="AE143" i="7"/>
  <c r="AA143" i="7"/>
  <c r="Z143" i="7"/>
  <c r="AE142" i="7"/>
  <c r="AA142" i="7"/>
  <c r="Z142" i="7"/>
  <c r="AE141" i="7"/>
  <c r="AA141" i="7"/>
  <c r="Z141" i="7"/>
  <c r="AE140" i="7"/>
  <c r="AA140" i="7"/>
  <c r="Z140" i="7"/>
  <c r="AE139" i="7"/>
  <c r="AA139" i="7"/>
  <c r="Z139" i="7"/>
  <c r="AE138" i="7"/>
  <c r="AA138" i="7"/>
  <c r="Z138" i="7"/>
  <c r="AE131" i="7"/>
  <c r="AA131" i="7"/>
  <c r="Z131" i="7"/>
  <c r="AD130" i="7"/>
  <c r="AA129" i="7"/>
  <c r="Z129" i="7"/>
  <c r="AA128" i="7"/>
  <c r="Z128" i="7"/>
  <c r="AA127" i="7"/>
  <c r="Z127" i="7"/>
  <c r="AE126" i="7"/>
  <c r="AA126" i="7"/>
  <c r="Z126" i="7"/>
  <c r="AE125" i="7"/>
  <c r="AA125" i="7"/>
  <c r="Z125" i="7"/>
  <c r="AA124" i="7"/>
  <c r="Z124" i="7"/>
  <c r="AA123" i="7"/>
  <c r="Z123" i="7"/>
  <c r="AE122" i="7"/>
  <c r="AA122" i="7"/>
  <c r="Z122" i="7"/>
  <c r="AE121" i="7"/>
  <c r="AA121" i="7"/>
  <c r="Z121" i="7"/>
  <c r="AE120" i="7"/>
  <c r="AA120" i="7"/>
  <c r="Z120" i="7"/>
  <c r="AE119" i="7"/>
  <c r="AA119" i="7"/>
  <c r="Z119" i="7"/>
  <c r="AE118" i="7"/>
  <c r="AA118" i="7"/>
  <c r="Z118" i="7"/>
  <c r="AB118" i="7" s="1"/>
  <c r="AE117" i="7"/>
  <c r="AA117" i="7"/>
  <c r="Z117" i="7"/>
  <c r="AA116" i="7"/>
  <c r="AE115" i="7"/>
  <c r="AA115" i="7"/>
  <c r="Z115" i="7"/>
  <c r="AD114" i="7"/>
  <c r="AC114" i="7"/>
  <c r="AA113" i="7"/>
  <c r="Z113" i="7"/>
  <c r="AA112" i="7"/>
  <c r="Z112" i="7"/>
  <c r="AE111" i="7"/>
  <c r="AA111" i="7"/>
  <c r="Z111" i="7"/>
  <c r="AE110" i="7"/>
  <c r="AA110" i="7"/>
  <c r="Z110" i="7"/>
  <c r="AE109" i="7"/>
  <c r="AA109" i="7"/>
  <c r="Z109" i="7"/>
  <c r="AA108" i="7"/>
  <c r="Z108" i="7"/>
  <c r="AE107" i="7"/>
  <c r="AA107" i="7"/>
  <c r="Z107" i="7"/>
  <c r="AE106" i="7"/>
  <c r="AA106" i="7"/>
  <c r="Z106" i="7"/>
  <c r="AE105" i="7"/>
  <c r="AA105" i="7"/>
  <c r="Z105" i="7"/>
  <c r="AA104" i="7"/>
  <c r="Z104" i="7"/>
  <c r="AA103" i="7"/>
  <c r="AB103" i="7" s="1"/>
  <c r="Z103" i="7"/>
  <c r="AE102" i="7"/>
  <c r="AA102" i="7"/>
  <c r="Z102" i="7"/>
  <c r="AE101" i="7"/>
  <c r="AA101" i="7"/>
  <c r="Z101" i="7"/>
  <c r="AE100" i="7"/>
  <c r="AA100" i="7"/>
  <c r="Z100" i="7"/>
  <c r="AE99" i="7"/>
  <c r="AA99" i="7"/>
  <c r="Z99" i="7"/>
  <c r="AE98" i="7"/>
  <c r="AA98" i="7"/>
  <c r="Z98" i="7"/>
  <c r="AE97" i="7"/>
  <c r="AA97" i="7"/>
  <c r="Z97" i="7"/>
  <c r="AE96" i="7"/>
  <c r="AA96" i="7"/>
  <c r="Z96" i="7"/>
  <c r="AE95" i="7"/>
  <c r="AA95" i="7"/>
  <c r="Z95" i="7"/>
  <c r="AE94" i="7"/>
  <c r="AA94" i="7"/>
  <c r="Z94" i="7"/>
  <c r="AE93" i="7"/>
  <c r="AA93" i="7"/>
  <c r="Z93" i="7"/>
  <c r="AE92" i="7"/>
  <c r="AA92" i="7"/>
  <c r="Z92" i="7"/>
  <c r="AE91" i="7"/>
  <c r="AA91" i="7"/>
  <c r="Z91" i="7"/>
  <c r="AE90" i="7"/>
  <c r="AA90" i="7"/>
  <c r="Z90" i="7"/>
  <c r="AE89" i="7"/>
  <c r="AA89" i="7"/>
  <c r="Z89" i="7"/>
  <c r="AE82" i="7"/>
  <c r="AA82" i="7"/>
  <c r="Z82" i="7"/>
  <c r="AD81" i="7"/>
  <c r="AA80" i="7"/>
  <c r="Z80" i="7"/>
  <c r="AA79" i="7"/>
  <c r="Z79" i="7"/>
  <c r="AA78" i="7"/>
  <c r="Z78" i="7"/>
  <c r="AE77" i="7"/>
  <c r="AA77" i="7"/>
  <c r="Z77" i="7"/>
  <c r="AA76" i="7"/>
  <c r="Z76" i="7"/>
  <c r="AA75" i="7"/>
  <c r="Z75" i="7"/>
  <c r="AE74" i="7"/>
  <c r="AA74" i="7"/>
  <c r="Z74" i="7"/>
  <c r="AE73" i="7"/>
  <c r="AA73" i="7"/>
  <c r="AB73" i="7" s="1"/>
  <c r="Z73" i="7"/>
  <c r="AE72" i="7"/>
  <c r="AA72" i="7"/>
  <c r="AB72" i="7" s="1"/>
  <c r="Z72" i="7"/>
  <c r="AE71" i="7"/>
  <c r="AA71" i="7"/>
  <c r="Z71" i="7"/>
  <c r="AE70" i="7"/>
  <c r="AA70" i="7"/>
  <c r="Z70" i="7"/>
  <c r="AE69" i="7"/>
  <c r="AA69" i="7"/>
  <c r="AB69" i="7" s="1"/>
  <c r="Z69" i="7"/>
  <c r="AE68" i="7"/>
  <c r="AA68" i="7"/>
  <c r="Z68" i="7"/>
  <c r="AE67" i="7"/>
  <c r="AA67" i="7"/>
  <c r="Z67" i="7"/>
  <c r="AE66" i="7"/>
  <c r="AA66" i="7"/>
  <c r="Z66" i="7"/>
  <c r="AA65" i="7"/>
  <c r="Z65" i="7"/>
  <c r="AA64" i="7"/>
  <c r="AE63" i="7"/>
  <c r="AA63" i="7"/>
  <c r="Z63" i="7"/>
  <c r="AD62" i="7"/>
  <c r="AC62" i="7"/>
  <c r="AA61" i="7"/>
  <c r="Z61" i="7"/>
  <c r="AA60" i="7"/>
  <c r="Z60" i="7"/>
  <c r="Z59" i="7"/>
  <c r="AE58" i="7"/>
  <c r="AA58" i="7"/>
  <c r="Z58" i="7"/>
  <c r="AE57" i="7"/>
  <c r="AA57" i="7"/>
  <c r="Z57" i="7"/>
  <c r="AE56" i="7"/>
  <c r="AA56" i="7"/>
  <c r="Z56" i="7"/>
  <c r="Z55" i="7"/>
  <c r="AE54" i="7"/>
  <c r="AA54" i="7"/>
  <c r="Z54" i="7"/>
  <c r="AE53" i="7"/>
  <c r="AA53" i="7"/>
  <c r="Z53" i="7"/>
  <c r="AE52" i="7"/>
  <c r="AA52" i="7"/>
  <c r="Z52" i="7"/>
  <c r="Z51" i="7"/>
  <c r="AE50" i="7"/>
  <c r="AA50" i="7"/>
  <c r="Z50" i="7"/>
  <c r="AE49" i="7"/>
  <c r="AA49" i="7"/>
  <c r="Z49" i="7"/>
  <c r="AE48" i="7"/>
  <c r="AA48" i="7"/>
  <c r="Z48" i="7"/>
  <c r="Z47" i="7"/>
  <c r="AE46" i="7"/>
  <c r="AA46" i="7"/>
  <c r="Z46" i="7"/>
  <c r="AE45" i="7"/>
  <c r="AA45" i="7"/>
  <c r="Z45" i="7"/>
  <c r="AE44" i="7"/>
  <c r="AA44" i="7"/>
  <c r="Z44" i="7"/>
  <c r="Z43" i="7"/>
  <c r="AE42" i="7"/>
  <c r="AA42" i="7"/>
  <c r="Z42" i="7"/>
  <c r="AE35" i="7"/>
  <c r="AA35" i="7"/>
  <c r="Z35" i="7"/>
  <c r="AC34" i="7"/>
  <c r="AA33" i="7"/>
  <c r="Z33" i="7"/>
  <c r="AA32" i="7"/>
  <c r="Z32" i="7"/>
  <c r="AA31" i="7"/>
  <c r="Z31" i="7"/>
  <c r="AA30" i="7"/>
  <c r="Z30" i="7"/>
  <c r="AA29" i="7"/>
  <c r="Z29" i="7"/>
  <c r="AE28" i="7"/>
  <c r="AA28" i="7"/>
  <c r="Z28" i="7"/>
  <c r="AE27" i="7"/>
  <c r="AA27" i="7"/>
  <c r="Z27" i="7"/>
  <c r="AE26" i="7"/>
  <c r="AA26" i="7"/>
  <c r="Z26" i="7"/>
  <c r="AE25" i="7"/>
  <c r="AA25" i="7"/>
  <c r="Z25" i="7"/>
  <c r="AE24" i="7"/>
  <c r="AA24" i="7"/>
  <c r="Z24" i="7"/>
  <c r="AE23" i="7"/>
  <c r="AA23" i="7"/>
  <c r="Z23" i="7"/>
  <c r="AE22" i="7"/>
  <c r="AA22" i="7"/>
  <c r="Z22" i="7"/>
  <c r="AE21" i="7"/>
  <c r="AA21" i="7"/>
  <c r="Z21" i="7"/>
  <c r="AE20" i="7"/>
  <c r="AA20" i="7"/>
  <c r="Z20" i="7"/>
  <c r="Z19" i="7"/>
  <c r="AE18" i="7"/>
  <c r="AA18" i="7"/>
  <c r="Z18" i="7"/>
  <c r="AD17" i="7"/>
  <c r="AC17" i="7"/>
  <c r="AA16" i="7"/>
  <c r="Z16" i="7"/>
  <c r="AA15" i="7"/>
  <c r="Z15" i="7"/>
  <c r="AA14" i="7"/>
  <c r="Z14" i="7"/>
  <c r="AA13" i="7"/>
  <c r="Z13" i="7"/>
  <c r="AA12" i="7"/>
  <c r="Z12" i="7"/>
  <c r="AA11" i="7"/>
  <c r="Z11" i="7"/>
  <c r="AA10" i="7"/>
  <c r="Z10" i="7"/>
  <c r="AE9" i="7"/>
  <c r="AA9" i="7"/>
  <c r="Z9" i="7"/>
  <c r="AE8" i="7"/>
  <c r="AA8" i="7"/>
  <c r="Z8" i="7"/>
  <c r="AE7" i="7"/>
  <c r="AA7" i="7"/>
  <c r="Z7" i="7"/>
  <c r="AE6" i="7"/>
  <c r="AA6" i="7"/>
  <c r="Z6" i="7"/>
  <c r="AE5" i="7"/>
  <c r="AA5" i="7"/>
  <c r="Z5" i="7"/>
  <c r="AH159" i="24"/>
  <c r="AF159" i="24"/>
  <c r="AE159" i="24"/>
  <c r="AD159" i="24"/>
  <c r="AC158" i="24"/>
  <c r="AB158" i="24"/>
  <c r="AA158" i="24"/>
  <c r="Z158" i="24"/>
  <c r="W158" i="24"/>
  <c r="U158" i="24"/>
  <c r="T158" i="24"/>
  <c r="S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B158" i="24"/>
  <c r="AH157" i="24"/>
  <c r="AF157" i="24"/>
  <c r="AE157" i="24"/>
  <c r="AD157" i="24"/>
  <c r="AH156" i="24"/>
  <c r="AF156" i="24"/>
  <c r="AE156" i="24"/>
  <c r="AD156" i="24"/>
  <c r="AH155" i="24"/>
  <c r="AF155" i="24"/>
  <c r="AE155" i="24"/>
  <c r="AD155" i="24"/>
  <c r="AH154" i="24"/>
  <c r="AF154" i="24"/>
  <c r="AE154" i="24"/>
  <c r="AD154" i="24"/>
  <c r="AH153" i="24"/>
  <c r="AF153" i="24"/>
  <c r="AE153" i="24"/>
  <c r="AD153" i="24"/>
  <c r="AH152" i="24"/>
  <c r="AF152" i="24"/>
  <c r="AE152" i="24"/>
  <c r="AD152" i="24"/>
  <c r="AH151" i="24"/>
  <c r="AF151" i="24"/>
  <c r="AE151" i="24"/>
  <c r="AD151" i="24"/>
  <c r="AH150" i="24"/>
  <c r="AF150" i="24"/>
  <c r="AE150" i="24"/>
  <c r="AD150" i="24"/>
  <c r="AH149" i="24"/>
  <c r="AF149" i="24"/>
  <c r="AE149" i="24"/>
  <c r="AD149" i="24"/>
  <c r="AH148" i="24"/>
  <c r="AF148" i="24"/>
  <c r="AE148" i="24"/>
  <c r="AD148" i="24"/>
  <c r="AH147" i="24"/>
  <c r="AF147" i="24"/>
  <c r="AE147" i="24"/>
  <c r="AD147" i="24"/>
  <c r="AH146" i="24"/>
  <c r="AF146" i="24"/>
  <c r="AE146" i="24"/>
  <c r="AD146" i="24"/>
  <c r="AH145" i="24"/>
  <c r="AF145" i="24"/>
  <c r="AE145" i="24"/>
  <c r="AD145" i="24"/>
  <c r="AH144" i="24"/>
  <c r="AF144" i="24"/>
  <c r="AE144" i="24"/>
  <c r="AD144" i="24"/>
  <c r="AH143" i="24"/>
  <c r="AF143" i="24"/>
  <c r="AE143" i="24"/>
  <c r="AD143" i="24"/>
  <c r="AH142" i="24"/>
  <c r="AF142" i="24"/>
  <c r="AE142" i="24"/>
  <c r="AD142" i="24"/>
  <c r="AH141" i="24"/>
  <c r="AF141" i="24"/>
  <c r="AE141" i="24"/>
  <c r="AD141" i="24"/>
  <c r="AH140" i="24"/>
  <c r="AF140" i="24"/>
  <c r="AE140" i="24"/>
  <c r="AD140" i="24"/>
  <c r="AH139" i="24"/>
  <c r="AF139" i="24"/>
  <c r="AE139" i="24"/>
  <c r="AD139" i="24"/>
  <c r="AH138" i="24"/>
  <c r="AF138" i="24"/>
  <c r="AE138" i="24"/>
  <c r="AD138" i="24"/>
  <c r="AH137" i="24"/>
  <c r="AF137" i="24"/>
  <c r="AE137" i="24"/>
  <c r="AD137" i="24"/>
  <c r="AH136" i="24"/>
  <c r="AF136" i="24"/>
  <c r="AE136" i="24"/>
  <c r="AD136" i="24"/>
  <c r="AH135" i="24"/>
  <c r="AF135" i="24"/>
  <c r="AE135" i="24"/>
  <c r="AD135" i="24"/>
  <c r="AH134" i="24"/>
  <c r="AF134" i="24"/>
  <c r="AE134" i="24"/>
  <c r="AD134" i="24"/>
  <c r="AH133" i="24"/>
  <c r="AF133" i="24"/>
  <c r="AE133" i="24"/>
  <c r="AD133" i="24"/>
  <c r="AH132" i="24"/>
  <c r="AF132" i="24"/>
  <c r="AE132" i="24"/>
  <c r="AD132" i="24"/>
  <c r="AH131" i="24"/>
  <c r="AF131" i="24"/>
  <c r="AE131" i="24"/>
  <c r="AD131" i="24"/>
  <c r="AH130" i="24"/>
  <c r="AF130" i="24"/>
  <c r="AE130" i="24"/>
  <c r="AD130" i="24"/>
  <c r="AH129" i="24"/>
  <c r="AF129" i="24"/>
  <c r="AE129" i="24"/>
  <c r="AD129" i="24"/>
  <c r="AH128" i="24"/>
  <c r="AE128" i="24"/>
  <c r="AH159" i="22"/>
  <c r="AF159" i="22"/>
  <c r="AE159" i="22"/>
  <c r="AD159" i="22"/>
  <c r="AC158" i="22"/>
  <c r="AB158" i="22"/>
  <c r="AA158" i="22"/>
  <c r="Z158" i="22"/>
  <c r="Y158" i="22"/>
  <c r="X158" i="22"/>
  <c r="W158" i="22"/>
  <c r="V158" i="22"/>
  <c r="U158" i="22"/>
  <c r="T158" i="22"/>
  <c r="S158" i="22"/>
  <c r="Q158" i="22"/>
  <c r="P158" i="22"/>
  <c r="O158" i="22"/>
  <c r="N158" i="22"/>
  <c r="M158" i="22"/>
  <c r="K158" i="22"/>
  <c r="J158" i="22"/>
  <c r="I158" i="22"/>
  <c r="F158" i="22"/>
  <c r="E158" i="22"/>
  <c r="D158" i="22"/>
  <c r="C158" i="22"/>
  <c r="B158" i="22"/>
  <c r="AH157" i="22"/>
  <c r="AE157" i="22"/>
  <c r="AD157" i="22"/>
  <c r="AH156" i="22"/>
  <c r="AF156" i="22"/>
  <c r="AE156" i="22"/>
  <c r="AD156" i="22"/>
  <c r="AH155" i="22"/>
  <c r="AF155" i="22"/>
  <c r="AE155" i="22"/>
  <c r="AD155" i="22"/>
  <c r="AH154" i="22"/>
  <c r="AF154" i="22"/>
  <c r="AE154" i="22"/>
  <c r="AD154" i="22"/>
  <c r="AH153" i="22"/>
  <c r="AE153" i="22"/>
  <c r="AD153" i="22"/>
  <c r="AH152" i="22"/>
  <c r="AF152" i="22"/>
  <c r="AE152" i="22"/>
  <c r="AD152" i="22"/>
  <c r="AH151" i="22"/>
  <c r="AF151" i="22"/>
  <c r="AE151" i="22"/>
  <c r="AD151" i="22"/>
  <c r="AH150" i="22"/>
  <c r="AF150" i="22"/>
  <c r="AE150" i="22"/>
  <c r="AD150" i="22"/>
  <c r="AH149" i="22"/>
  <c r="AE149" i="22"/>
  <c r="AD149" i="22"/>
  <c r="AH148" i="22"/>
  <c r="AF148" i="22"/>
  <c r="AE148" i="22"/>
  <c r="AD148" i="22"/>
  <c r="AH147" i="22"/>
  <c r="AF147" i="22"/>
  <c r="AE147" i="22"/>
  <c r="AD147" i="22"/>
  <c r="AH146" i="22"/>
  <c r="AF146" i="22"/>
  <c r="AE146" i="22"/>
  <c r="AD146" i="22"/>
  <c r="AH145" i="22"/>
  <c r="AE145" i="22"/>
  <c r="AD145" i="22"/>
  <c r="AH144" i="22"/>
  <c r="AF144" i="22"/>
  <c r="AE144" i="22"/>
  <c r="AD144" i="22"/>
  <c r="AH143" i="22"/>
  <c r="AF143" i="22"/>
  <c r="AE143" i="22"/>
  <c r="AD143" i="22"/>
  <c r="AH142" i="22"/>
  <c r="AF142" i="22"/>
  <c r="AE142" i="22"/>
  <c r="AD142" i="22"/>
  <c r="AH141" i="22"/>
  <c r="AE141" i="22"/>
  <c r="AD141" i="22"/>
  <c r="AH140" i="22"/>
  <c r="AF140" i="22"/>
  <c r="AE140" i="22"/>
  <c r="AD140" i="22"/>
  <c r="AH139" i="22"/>
  <c r="AF139" i="22"/>
  <c r="AE139" i="22"/>
  <c r="AD139" i="22"/>
  <c r="AH138" i="22"/>
  <c r="AF138" i="22"/>
  <c r="AE138" i="22"/>
  <c r="AD138" i="22"/>
  <c r="AH137" i="22"/>
  <c r="AE137" i="22"/>
  <c r="AD137" i="22"/>
  <c r="AH136" i="22"/>
  <c r="AF136" i="22"/>
  <c r="AE136" i="22"/>
  <c r="AD136" i="22"/>
  <c r="AH135" i="22"/>
  <c r="AF135" i="22"/>
  <c r="AE135" i="22"/>
  <c r="AD135" i="22"/>
  <c r="AH134" i="22"/>
  <c r="AF134" i="22"/>
  <c r="AE134" i="22"/>
  <c r="AD134" i="22"/>
  <c r="AH133" i="22"/>
  <c r="AE133" i="22"/>
  <c r="AD133" i="22"/>
  <c r="AH132" i="22"/>
  <c r="AF132" i="22"/>
  <c r="AE132" i="22"/>
  <c r="AD132" i="22"/>
  <c r="AH131" i="22"/>
  <c r="AF131" i="22"/>
  <c r="AE131" i="22"/>
  <c r="AD131" i="22"/>
  <c r="AH130" i="22"/>
  <c r="AF130" i="22"/>
  <c r="AE130" i="22"/>
  <c r="AD130" i="22"/>
  <c r="AH129" i="22"/>
  <c r="AE129" i="22"/>
  <c r="AD129" i="22"/>
  <c r="AH128" i="22"/>
  <c r="AF128" i="22"/>
  <c r="BK65" i="12"/>
  <c r="BI65" i="12"/>
  <c r="BD65" i="12"/>
  <c r="BB65" i="12"/>
  <c r="BA65" i="12"/>
  <c r="AZ65" i="12"/>
  <c r="BK64" i="12"/>
  <c r="BI64" i="12"/>
  <c r="BD64" i="12"/>
  <c r="BB64" i="12"/>
  <c r="BA64" i="12"/>
  <c r="AZ64" i="12"/>
  <c r="BJ59" i="12"/>
  <c r="BH59" i="12"/>
  <c r="BG59" i="12"/>
  <c r="BF59" i="12"/>
  <c r="BJ58" i="12"/>
  <c r="BH58" i="12"/>
  <c r="BG58" i="12"/>
  <c r="BF58" i="12"/>
  <c r="BJ57" i="12"/>
  <c r="BH57" i="12"/>
  <c r="BG57" i="12"/>
  <c r="BF57" i="12"/>
  <c r="BJ56" i="12"/>
  <c r="BH56" i="12"/>
  <c r="BG56" i="12"/>
  <c r="BF56" i="12"/>
  <c r="BK55" i="12"/>
  <c r="BI55" i="12"/>
  <c r="BD55" i="12"/>
  <c r="BB55" i="12"/>
  <c r="BA55" i="12"/>
  <c r="AZ55" i="12"/>
  <c r="BK54" i="12"/>
  <c r="BI54" i="12"/>
  <c r="BD54" i="12"/>
  <c r="BE54" i="12" s="1"/>
  <c r="BB54" i="12"/>
  <c r="BA54" i="12"/>
  <c r="AZ54" i="12"/>
  <c r="BJ53" i="12"/>
  <c r="BH53" i="12"/>
  <c r="BG53" i="12"/>
  <c r="BF53" i="12"/>
  <c r="BJ52" i="12"/>
  <c r="BH52" i="12"/>
  <c r="BG52" i="12"/>
  <c r="BF52" i="12"/>
  <c r="BK51" i="12"/>
  <c r="BI51" i="12"/>
  <c r="BD51" i="12"/>
  <c r="BB51" i="12"/>
  <c r="BA51" i="12"/>
  <c r="AZ51" i="12"/>
  <c r="BK50" i="12"/>
  <c r="BI50" i="12"/>
  <c r="BD50" i="12"/>
  <c r="BB50" i="12"/>
  <c r="BA50" i="12"/>
  <c r="AZ50" i="12"/>
  <c r="BK49" i="12"/>
  <c r="BI49" i="12"/>
  <c r="BD49" i="12"/>
  <c r="BD53" i="12" s="1"/>
  <c r="BB49" i="12"/>
  <c r="BB53" i="12" s="1"/>
  <c r="BA49" i="12"/>
  <c r="BA53" i="12" s="1"/>
  <c r="AZ49" i="12"/>
  <c r="AZ53" i="12" s="1"/>
  <c r="BK48" i="12"/>
  <c r="BI48" i="12"/>
  <c r="BD48" i="12"/>
  <c r="BD52" i="12" s="1"/>
  <c r="BB48" i="12"/>
  <c r="BB52" i="12" s="1"/>
  <c r="BA48" i="12"/>
  <c r="BA52" i="12" s="1"/>
  <c r="AZ48" i="12"/>
  <c r="AZ52" i="12" s="1"/>
  <c r="BK47" i="12"/>
  <c r="BI47" i="12"/>
  <c r="BD47" i="12"/>
  <c r="BB47" i="12"/>
  <c r="BA47" i="12"/>
  <c r="AZ47" i="12"/>
  <c r="BK46" i="12"/>
  <c r="BI46" i="12"/>
  <c r="BD46" i="12"/>
  <c r="BE46" i="12" s="1"/>
  <c r="BB46" i="12"/>
  <c r="BA46" i="12"/>
  <c r="AZ46" i="12"/>
  <c r="BJ45" i="12"/>
  <c r="BH45" i="12"/>
  <c r="BG45" i="12"/>
  <c r="BF45" i="12"/>
  <c r="BJ44" i="12"/>
  <c r="BH44" i="12"/>
  <c r="BG44" i="12"/>
  <c r="BF44" i="12"/>
  <c r="BK43" i="12"/>
  <c r="BI43" i="12"/>
  <c r="BD43" i="12"/>
  <c r="BB43" i="12"/>
  <c r="BA43" i="12"/>
  <c r="AZ43" i="12"/>
  <c r="BK42" i="12"/>
  <c r="BI42" i="12"/>
  <c r="BD42" i="12"/>
  <c r="BE42" i="12" s="1"/>
  <c r="BB42" i="12"/>
  <c r="BC42" i="12" s="1"/>
  <c r="BA42" i="12"/>
  <c r="AZ42" i="12"/>
  <c r="BK41" i="12"/>
  <c r="BI41" i="12"/>
  <c r="BD41" i="12"/>
  <c r="BD45" i="12" s="1"/>
  <c r="BB41" i="12"/>
  <c r="BB45" i="12" s="1"/>
  <c r="BA41" i="12"/>
  <c r="BA45" i="12" s="1"/>
  <c r="AZ41" i="12"/>
  <c r="AZ45" i="12" s="1"/>
  <c r="BK40" i="12"/>
  <c r="BI40" i="12"/>
  <c r="BD40" i="12"/>
  <c r="BB40" i="12"/>
  <c r="BB44" i="12" s="1"/>
  <c r="BA40" i="12"/>
  <c r="BA44" i="12" s="1"/>
  <c r="AZ40" i="12"/>
  <c r="AZ44" i="12" s="1"/>
  <c r="BK39" i="12"/>
  <c r="BI39" i="12"/>
  <c r="BD39" i="12"/>
  <c r="BB39" i="12"/>
  <c r="BA39" i="12"/>
  <c r="AZ39" i="12"/>
  <c r="BK38" i="12"/>
  <c r="BI38" i="12"/>
  <c r="BD38" i="12"/>
  <c r="BB38" i="12"/>
  <c r="BC38" i="12" s="1"/>
  <c r="BA38" i="12"/>
  <c r="AZ38" i="12"/>
  <c r="BJ37" i="12"/>
  <c r="BH37" i="12"/>
  <c r="BG37" i="12"/>
  <c r="BF37" i="12"/>
  <c r="BJ36" i="12"/>
  <c r="BH36" i="12"/>
  <c r="BG36" i="12"/>
  <c r="BF36" i="12"/>
  <c r="BK35" i="12"/>
  <c r="BI35" i="12"/>
  <c r="BD35" i="12"/>
  <c r="BB35" i="12"/>
  <c r="BA35" i="12"/>
  <c r="AZ35" i="12"/>
  <c r="BK34" i="12"/>
  <c r="BI34" i="12"/>
  <c r="BD34" i="12"/>
  <c r="BB34" i="12"/>
  <c r="BA34" i="12"/>
  <c r="AZ34" i="12"/>
  <c r="BK33" i="12"/>
  <c r="BI33" i="12"/>
  <c r="BD33" i="12"/>
  <c r="BD37" i="12" s="1"/>
  <c r="BB33" i="12"/>
  <c r="BB37" i="12" s="1"/>
  <c r="BA33" i="12"/>
  <c r="BA37" i="12" s="1"/>
  <c r="AZ33" i="12"/>
  <c r="AZ37" i="12" s="1"/>
  <c r="BK32" i="12"/>
  <c r="BI32" i="12"/>
  <c r="BD32" i="12"/>
  <c r="BD36" i="12" s="1"/>
  <c r="BB32" i="12"/>
  <c r="BB36" i="12" s="1"/>
  <c r="BA32" i="12"/>
  <c r="BA36" i="12" s="1"/>
  <c r="AZ32" i="12"/>
  <c r="AZ36" i="12" s="1"/>
  <c r="BK31" i="12"/>
  <c r="BI31" i="12"/>
  <c r="BD31" i="12"/>
  <c r="BB31" i="12"/>
  <c r="BA31" i="12"/>
  <c r="AZ31" i="12"/>
  <c r="BK30" i="12"/>
  <c r="BI30" i="12"/>
  <c r="BD30" i="12"/>
  <c r="BE30" i="12" s="1"/>
  <c r="BB30" i="12"/>
  <c r="BC30" i="12" s="1"/>
  <c r="BA30" i="12"/>
  <c r="AZ30" i="12"/>
  <c r="BJ29" i="12"/>
  <c r="BK29" i="12" s="1"/>
  <c r="BH29" i="12"/>
  <c r="BG29" i="12"/>
  <c r="BF29" i="12"/>
  <c r="BJ28" i="12"/>
  <c r="BK28" i="12" s="1"/>
  <c r="BH28" i="12"/>
  <c r="BG28" i="12"/>
  <c r="BF28" i="12"/>
  <c r="BK27" i="12"/>
  <c r="BI27" i="12"/>
  <c r="BD27" i="12"/>
  <c r="BB27" i="12"/>
  <c r="BA27" i="12"/>
  <c r="AZ27" i="12"/>
  <c r="BK26" i="12"/>
  <c r="BI26" i="12"/>
  <c r="BD26" i="12"/>
  <c r="BE26" i="12" s="1"/>
  <c r="BB26" i="12"/>
  <c r="BA26" i="12"/>
  <c r="AZ26" i="12"/>
  <c r="BK25" i="12"/>
  <c r="BI25" i="12"/>
  <c r="BD25" i="12"/>
  <c r="BD29" i="12" s="1"/>
  <c r="BB25" i="12"/>
  <c r="BB29" i="12" s="1"/>
  <c r="BA25" i="12"/>
  <c r="BA29" i="12" s="1"/>
  <c r="AZ25" i="12"/>
  <c r="AZ29" i="12" s="1"/>
  <c r="BK24" i="12"/>
  <c r="BI24" i="12"/>
  <c r="BD24" i="12"/>
  <c r="BD28" i="12" s="1"/>
  <c r="BB24" i="12"/>
  <c r="BB28" i="12" s="1"/>
  <c r="BA24" i="12"/>
  <c r="BA28" i="12" s="1"/>
  <c r="AZ24" i="12"/>
  <c r="AZ28" i="12" s="1"/>
  <c r="BK23" i="12"/>
  <c r="BI23" i="12"/>
  <c r="BD23" i="12"/>
  <c r="BB23" i="12"/>
  <c r="BA23" i="12"/>
  <c r="AZ23" i="12"/>
  <c r="BK22" i="12"/>
  <c r="BI22" i="12"/>
  <c r="BD22" i="12"/>
  <c r="BE22" i="12" s="1"/>
  <c r="BB22" i="12"/>
  <c r="BA22" i="12"/>
  <c r="AZ22" i="12"/>
  <c r="BJ21" i="12"/>
  <c r="BH21" i="12"/>
  <c r="BG21" i="12"/>
  <c r="BF21" i="12"/>
  <c r="BJ20" i="12"/>
  <c r="BH20" i="12"/>
  <c r="BG20" i="12"/>
  <c r="BF20" i="12"/>
  <c r="BK19" i="12"/>
  <c r="BI19" i="12"/>
  <c r="BD19" i="12"/>
  <c r="BB19" i="12"/>
  <c r="BA19" i="12"/>
  <c r="AZ19" i="12"/>
  <c r="BK18" i="12"/>
  <c r="BI18" i="12"/>
  <c r="BD18" i="12"/>
  <c r="BE18" i="12" s="1"/>
  <c r="BB18" i="12"/>
  <c r="BC18" i="12" s="1"/>
  <c r="BA18" i="12"/>
  <c r="AZ18" i="12"/>
  <c r="BK17" i="12"/>
  <c r="BI17" i="12"/>
  <c r="BD17" i="12"/>
  <c r="BD21" i="12" s="1"/>
  <c r="BB17" i="12"/>
  <c r="BB21" i="12" s="1"/>
  <c r="BA17" i="12"/>
  <c r="BA21" i="12" s="1"/>
  <c r="AZ17" i="12"/>
  <c r="AZ21" i="12" s="1"/>
  <c r="BK16" i="12"/>
  <c r="BI16" i="12"/>
  <c r="BD16" i="12"/>
  <c r="BD20" i="12" s="1"/>
  <c r="BB16" i="12"/>
  <c r="BB20" i="12" s="1"/>
  <c r="BA16" i="12"/>
  <c r="BA20" i="12" s="1"/>
  <c r="AZ16" i="12"/>
  <c r="AZ20" i="12" s="1"/>
  <c r="BK15" i="12"/>
  <c r="BI15" i="12"/>
  <c r="BD15" i="12"/>
  <c r="BB15" i="12"/>
  <c r="BA15" i="12"/>
  <c r="AZ15" i="12"/>
  <c r="BK14" i="12"/>
  <c r="BI14" i="12"/>
  <c r="BD14" i="12"/>
  <c r="BE14" i="12" s="1"/>
  <c r="BB14" i="12"/>
  <c r="BC14" i="12" s="1"/>
  <c r="BA14" i="12"/>
  <c r="AZ14" i="12"/>
  <c r="BJ13" i="12"/>
  <c r="BJ61" i="12" s="1"/>
  <c r="BH13" i="12"/>
  <c r="BH61" i="12" s="1"/>
  <c r="BG13" i="12"/>
  <c r="BG61" i="12" s="1"/>
  <c r="BF13" i="12"/>
  <c r="BF61" i="12" s="1"/>
  <c r="BJ12" i="12"/>
  <c r="BJ60" i="12" s="1"/>
  <c r="BH12" i="12"/>
  <c r="BH60" i="12" s="1"/>
  <c r="BG12" i="12"/>
  <c r="BG60" i="12" s="1"/>
  <c r="BF12" i="12"/>
  <c r="BF60" i="12" s="1"/>
  <c r="BK11" i="12"/>
  <c r="BI11" i="12"/>
  <c r="BD11" i="12"/>
  <c r="BD59" i="12" s="1"/>
  <c r="BB11" i="12"/>
  <c r="BB59" i="12" s="1"/>
  <c r="BA11" i="12"/>
  <c r="BA59" i="12" s="1"/>
  <c r="AZ11" i="12"/>
  <c r="AZ59" i="12" s="1"/>
  <c r="BK10" i="12"/>
  <c r="BI10" i="12"/>
  <c r="BD10" i="12"/>
  <c r="BD58" i="12" s="1"/>
  <c r="BB10" i="12"/>
  <c r="BB58" i="12" s="1"/>
  <c r="BA10" i="12"/>
  <c r="BA58" i="12" s="1"/>
  <c r="AZ10" i="12"/>
  <c r="AZ58" i="12" s="1"/>
  <c r="BK9" i="12"/>
  <c r="BI9" i="12"/>
  <c r="BD9" i="12"/>
  <c r="BD57" i="12" s="1"/>
  <c r="BB9" i="12"/>
  <c r="BB57" i="12" s="1"/>
  <c r="BA9" i="12"/>
  <c r="BA57" i="12" s="1"/>
  <c r="AZ9" i="12"/>
  <c r="AZ57" i="12" s="1"/>
  <c r="BK8" i="12"/>
  <c r="BI8" i="12"/>
  <c r="BD8" i="12"/>
  <c r="BD56" i="12" s="1"/>
  <c r="BB8" i="12"/>
  <c r="BB56" i="12" s="1"/>
  <c r="BA8" i="12"/>
  <c r="BA56" i="12" s="1"/>
  <c r="AZ8" i="12"/>
  <c r="AZ56" i="12" s="1"/>
  <c r="AG106" i="2"/>
  <c r="AF106" i="2"/>
  <c r="AG105" i="2"/>
  <c r="AF105" i="2"/>
  <c r="AG104" i="2"/>
  <c r="AF104" i="2"/>
  <c r="AH103" i="2"/>
  <c r="AD103" i="2"/>
  <c r="AC103" i="2"/>
  <c r="AH102" i="2"/>
  <c r="AD102" i="2"/>
  <c r="AC102" i="2"/>
  <c r="AG101" i="2"/>
  <c r="AF101" i="2"/>
  <c r="AH100" i="2"/>
  <c r="AD100" i="2"/>
  <c r="AC100" i="2"/>
  <c r="AH99" i="2"/>
  <c r="AD99" i="2"/>
  <c r="AC99" i="2"/>
  <c r="AG97" i="2"/>
  <c r="AF97" i="2"/>
  <c r="AG96" i="2"/>
  <c r="AF96" i="2"/>
  <c r="AG95" i="2"/>
  <c r="AF95" i="2"/>
  <c r="AH94" i="2"/>
  <c r="AD94" i="2"/>
  <c r="AD97" i="2" s="1"/>
  <c r="AC94" i="2"/>
  <c r="AH93" i="2"/>
  <c r="AD93" i="2"/>
  <c r="AD96" i="2" s="1"/>
  <c r="AC93" i="2"/>
  <c r="AC96" i="2" s="1"/>
  <c r="AG92" i="2"/>
  <c r="AF92" i="2"/>
  <c r="AH91" i="2"/>
  <c r="AD91" i="2"/>
  <c r="AC91" i="2"/>
  <c r="AH90" i="2"/>
  <c r="AD90" i="2"/>
  <c r="AC90" i="2"/>
  <c r="AG88" i="2"/>
  <c r="AF88" i="2"/>
  <c r="AG87" i="2"/>
  <c r="AF87" i="2"/>
  <c r="AG86" i="2"/>
  <c r="AF86" i="2"/>
  <c r="AH85" i="2"/>
  <c r="AD85" i="2"/>
  <c r="AD88" i="2" s="1"/>
  <c r="AC85" i="2"/>
  <c r="AC88" i="2" s="1"/>
  <c r="AH84" i="2"/>
  <c r="AD84" i="2"/>
  <c r="AD87" i="2" s="1"/>
  <c r="AC84" i="2"/>
  <c r="AG83" i="2"/>
  <c r="AF83" i="2"/>
  <c r="AH82" i="2"/>
  <c r="AD82" i="2"/>
  <c r="AC82" i="2"/>
  <c r="AH81" i="2"/>
  <c r="AD81" i="2"/>
  <c r="AC81" i="2"/>
  <c r="AG79" i="2"/>
  <c r="AF79" i="2"/>
  <c r="AG78" i="2"/>
  <c r="AF78" i="2"/>
  <c r="AG77" i="2"/>
  <c r="AF77" i="2"/>
  <c r="AH76" i="2"/>
  <c r="AD76" i="2"/>
  <c r="AD79" i="2" s="1"/>
  <c r="AC76" i="2"/>
  <c r="AC79" i="2" s="1"/>
  <c r="AH75" i="2"/>
  <c r="AD75" i="2"/>
  <c r="AD78" i="2" s="1"/>
  <c r="AC75" i="2"/>
  <c r="AC78" i="2" s="1"/>
  <c r="AG74" i="2"/>
  <c r="AF74" i="2"/>
  <c r="AH73" i="2"/>
  <c r="AD73" i="2"/>
  <c r="AC73" i="2"/>
  <c r="AH72" i="2"/>
  <c r="AD72" i="2"/>
  <c r="AC72" i="2"/>
  <c r="AG70" i="2"/>
  <c r="AF70" i="2"/>
  <c r="AG69" i="2"/>
  <c r="AF69" i="2"/>
  <c r="AG68" i="2"/>
  <c r="AF68" i="2"/>
  <c r="AH67" i="2"/>
  <c r="AD67" i="2"/>
  <c r="AD70" i="2" s="1"/>
  <c r="AC67" i="2"/>
  <c r="AC70" i="2" s="1"/>
  <c r="AH66" i="2"/>
  <c r="AD66" i="2"/>
  <c r="AD69" i="2" s="1"/>
  <c r="AC66" i="2"/>
  <c r="AG65" i="2"/>
  <c r="AF65" i="2"/>
  <c r="AH64" i="2"/>
  <c r="AD64" i="2"/>
  <c r="AC64" i="2"/>
  <c r="AH63" i="2"/>
  <c r="AD63" i="2"/>
  <c r="AC63" i="2"/>
  <c r="AG59" i="2"/>
  <c r="AF59" i="2"/>
  <c r="AH58" i="2"/>
  <c r="AD58" i="2"/>
  <c r="AC58" i="2"/>
  <c r="AH57" i="2"/>
  <c r="AD57" i="2"/>
  <c r="AC57" i="2"/>
  <c r="AG56" i="2"/>
  <c r="AF56" i="2"/>
  <c r="AH55" i="2"/>
  <c r="AD55" i="2"/>
  <c r="AC55" i="2"/>
  <c r="AH54" i="2"/>
  <c r="AD54" i="2"/>
  <c r="AC54" i="2"/>
  <c r="AG53" i="2"/>
  <c r="AF53" i="2"/>
  <c r="AH52" i="2"/>
  <c r="AD52" i="2"/>
  <c r="AC52" i="2"/>
  <c r="AH51" i="2"/>
  <c r="AD51" i="2"/>
  <c r="AC51" i="2"/>
  <c r="AG50" i="2"/>
  <c r="AF50" i="2"/>
  <c r="AH49" i="2"/>
  <c r="AD49" i="2"/>
  <c r="AC49" i="2"/>
  <c r="AH48" i="2"/>
  <c r="AD48" i="2"/>
  <c r="AC48" i="2"/>
  <c r="AG47" i="2"/>
  <c r="AF47" i="2"/>
  <c r="AH46" i="2"/>
  <c r="AD46" i="2"/>
  <c r="AC46" i="2"/>
  <c r="AH45" i="2"/>
  <c r="AD45" i="2"/>
  <c r="AC45" i="2"/>
  <c r="AG44" i="2"/>
  <c r="AF44" i="2"/>
  <c r="AH43" i="2"/>
  <c r="AD43" i="2"/>
  <c r="AC43" i="2"/>
  <c r="AH42" i="2"/>
  <c r="AD42" i="2"/>
  <c r="AC42" i="2"/>
  <c r="AF61" i="2"/>
  <c r="AG60" i="2"/>
  <c r="AF60" i="2"/>
  <c r="AG38" i="2"/>
  <c r="AF38" i="2"/>
  <c r="AH37" i="2"/>
  <c r="AD37" i="2"/>
  <c r="AC37" i="2"/>
  <c r="AH36" i="2"/>
  <c r="AD36" i="2"/>
  <c r="AC36" i="2"/>
  <c r="AG35" i="2"/>
  <c r="AF35" i="2"/>
  <c r="AH34" i="2"/>
  <c r="AD34" i="2"/>
  <c r="AC34" i="2"/>
  <c r="AH33" i="2"/>
  <c r="AD33" i="2"/>
  <c r="AC33" i="2"/>
  <c r="AG29" i="2"/>
  <c r="AF29" i="2"/>
  <c r="AH28" i="2"/>
  <c r="AD28" i="2"/>
  <c r="AC28" i="2"/>
  <c r="AH27" i="2"/>
  <c r="AD27" i="2"/>
  <c r="AC27" i="2"/>
  <c r="AG26" i="2"/>
  <c r="AF26" i="2"/>
  <c r="AH25" i="2"/>
  <c r="AD25" i="2"/>
  <c r="AC25" i="2"/>
  <c r="AH24" i="2"/>
  <c r="AD24" i="2"/>
  <c r="AC24" i="2"/>
  <c r="AG23" i="2"/>
  <c r="AF23" i="2"/>
  <c r="AH22" i="2"/>
  <c r="AD22" i="2"/>
  <c r="AC22" i="2"/>
  <c r="AH21" i="2"/>
  <c r="AD21" i="2"/>
  <c r="AC21" i="2"/>
  <c r="AG20" i="2"/>
  <c r="AF20" i="2"/>
  <c r="AH19" i="2"/>
  <c r="AD19" i="2"/>
  <c r="AC19" i="2"/>
  <c r="AH18" i="2"/>
  <c r="AD18" i="2"/>
  <c r="AC18" i="2"/>
  <c r="AG17" i="2"/>
  <c r="AF17" i="2"/>
  <c r="AH16" i="2"/>
  <c r="AD16" i="2"/>
  <c r="AC16" i="2"/>
  <c r="AH15" i="2"/>
  <c r="AD15" i="2"/>
  <c r="AC15" i="2"/>
  <c r="AG14" i="2"/>
  <c r="AF14" i="2"/>
  <c r="AH13" i="2"/>
  <c r="AD13" i="2"/>
  <c r="AC13" i="2"/>
  <c r="AH12" i="2"/>
  <c r="AD12" i="2"/>
  <c r="AC12" i="2"/>
  <c r="AF31" i="2"/>
  <c r="AG30" i="2"/>
  <c r="AF30" i="2"/>
  <c r="AG8" i="2"/>
  <c r="AF8" i="2"/>
  <c r="AH7" i="2"/>
  <c r="AD7" i="2"/>
  <c r="AC7" i="2"/>
  <c r="AH6" i="2"/>
  <c r="AD6" i="2"/>
  <c r="AC6" i="2"/>
  <c r="AG106" i="1"/>
  <c r="AF106" i="1"/>
  <c r="AG105" i="1"/>
  <c r="AF105" i="1"/>
  <c r="AG104" i="1"/>
  <c r="AF104" i="1"/>
  <c r="AH103" i="1"/>
  <c r="AD103" i="1"/>
  <c r="AC103" i="1"/>
  <c r="AH102" i="1"/>
  <c r="AD102" i="1"/>
  <c r="AC102" i="1"/>
  <c r="AG101" i="1"/>
  <c r="AF101" i="1"/>
  <c r="AH100" i="1"/>
  <c r="AD100" i="1"/>
  <c r="AC100" i="1"/>
  <c r="AH99" i="1"/>
  <c r="AD99" i="1"/>
  <c r="AC99" i="1"/>
  <c r="AG97" i="1"/>
  <c r="AF97" i="1"/>
  <c r="AG96" i="1"/>
  <c r="AF96" i="1"/>
  <c r="AG95" i="1"/>
  <c r="AF95" i="1"/>
  <c r="AH94" i="1"/>
  <c r="AD94" i="1"/>
  <c r="AD97" i="1" s="1"/>
  <c r="AC94" i="1"/>
  <c r="AH93" i="1"/>
  <c r="AD93" i="1"/>
  <c r="AD96" i="1" s="1"/>
  <c r="AC93" i="1"/>
  <c r="AC96" i="1" s="1"/>
  <c r="AG92" i="1"/>
  <c r="AF92" i="1"/>
  <c r="AH91" i="1"/>
  <c r="AD91" i="1"/>
  <c r="AC91" i="1"/>
  <c r="AH90" i="1"/>
  <c r="AD90" i="1"/>
  <c r="AC90" i="1"/>
  <c r="AG88" i="1"/>
  <c r="AF88" i="1"/>
  <c r="AG87" i="1"/>
  <c r="AF87" i="1"/>
  <c r="AG86" i="1"/>
  <c r="AF86" i="1"/>
  <c r="AH85" i="1"/>
  <c r="AD85" i="1"/>
  <c r="AD88" i="1" s="1"/>
  <c r="AC85" i="1"/>
  <c r="AC88" i="1" s="1"/>
  <c r="AH84" i="1"/>
  <c r="AD84" i="1"/>
  <c r="AD87" i="1" s="1"/>
  <c r="AC84" i="1"/>
  <c r="AC87" i="1" s="1"/>
  <c r="AG83" i="1"/>
  <c r="AF83" i="1"/>
  <c r="AH82" i="1"/>
  <c r="AD82" i="1"/>
  <c r="AC82" i="1"/>
  <c r="AH81" i="1"/>
  <c r="AD81" i="1"/>
  <c r="AC81" i="1"/>
  <c r="AG79" i="1"/>
  <c r="AF79" i="1"/>
  <c r="AG78" i="1"/>
  <c r="AF78" i="1"/>
  <c r="AG77" i="1"/>
  <c r="AF77" i="1"/>
  <c r="AH76" i="1"/>
  <c r="AD76" i="1"/>
  <c r="AD79" i="1" s="1"/>
  <c r="AC76" i="1"/>
  <c r="AH75" i="1"/>
  <c r="AD75" i="1"/>
  <c r="AD78" i="1" s="1"/>
  <c r="AC75" i="1"/>
  <c r="AC78" i="1" s="1"/>
  <c r="AG74" i="1"/>
  <c r="AF74" i="1"/>
  <c r="AH73" i="1"/>
  <c r="AD73" i="1"/>
  <c r="AC73" i="1"/>
  <c r="AH72" i="1"/>
  <c r="AD72" i="1"/>
  <c r="AC72" i="1"/>
  <c r="AG70" i="1"/>
  <c r="AF70" i="1"/>
  <c r="AG69" i="1"/>
  <c r="AF69" i="1"/>
  <c r="AG68" i="1"/>
  <c r="AF68" i="1"/>
  <c r="AH67" i="1"/>
  <c r="AD67" i="1"/>
  <c r="AD70" i="1" s="1"/>
  <c r="AC67" i="1"/>
  <c r="AC70" i="1" s="1"/>
  <c r="AH66" i="1"/>
  <c r="AD66" i="1"/>
  <c r="AD69" i="1" s="1"/>
  <c r="AC66" i="1"/>
  <c r="AC69" i="1" s="1"/>
  <c r="AG65" i="1"/>
  <c r="AF65" i="1"/>
  <c r="AH64" i="1"/>
  <c r="AD64" i="1"/>
  <c r="AC64" i="1"/>
  <c r="AH63" i="1"/>
  <c r="AD63" i="1"/>
  <c r="AC63" i="1"/>
  <c r="AG59" i="1"/>
  <c r="AF59" i="1"/>
  <c r="AH58" i="1"/>
  <c r="AD58" i="1"/>
  <c r="AC58" i="1"/>
  <c r="AH57" i="1"/>
  <c r="AD57" i="1"/>
  <c r="AC57" i="1"/>
  <c r="AG56" i="1"/>
  <c r="AH56" i="1" s="1"/>
  <c r="AH55" i="1"/>
  <c r="AD55" i="1"/>
  <c r="AC55" i="1"/>
  <c r="AH54" i="1"/>
  <c r="AD54" i="1"/>
  <c r="AC54" i="1"/>
  <c r="AG53" i="1"/>
  <c r="AF53" i="1"/>
  <c r="AH52" i="1"/>
  <c r="AD52" i="1"/>
  <c r="AC52" i="1"/>
  <c r="AH51" i="1"/>
  <c r="AD51" i="1"/>
  <c r="AC51" i="1"/>
  <c r="AG50" i="1"/>
  <c r="AF50" i="1"/>
  <c r="AH49" i="1"/>
  <c r="AD49" i="1"/>
  <c r="AC49" i="1"/>
  <c r="AH48" i="1"/>
  <c r="AD48" i="1"/>
  <c r="AC48" i="1"/>
  <c r="AG47" i="1"/>
  <c r="AF47" i="1"/>
  <c r="AH46" i="1"/>
  <c r="AD46" i="1"/>
  <c r="AC46" i="1"/>
  <c r="AH45" i="1"/>
  <c r="AD45" i="1"/>
  <c r="AC45" i="1"/>
  <c r="AG44" i="1"/>
  <c r="AF44" i="1"/>
  <c r="AH43" i="1"/>
  <c r="AD43" i="1"/>
  <c r="AC43" i="1"/>
  <c r="AH42" i="1"/>
  <c r="AD42" i="1"/>
  <c r="AC42" i="1"/>
  <c r="AF61" i="1"/>
  <c r="AG60" i="1"/>
  <c r="AF60" i="1"/>
  <c r="AG38" i="1"/>
  <c r="AF38" i="1"/>
  <c r="AH37" i="1"/>
  <c r="AD37" i="1"/>
  <c r="AC37" i="1"/>
  <c r="AH36" i="1"/>
  <c r="AD36" i="1"/>
  <c r="AC36" i="1"/>
  <c r="AG35" i="1"/>
  <c r="AF35" i="1"/>
  <c r="AH34" i="1"/>
  <c r="AD34" i="1"/>
  <c r="AC34" i="1"/>
  <c r="AH33" i="1"/>
  <c r="AD33" i="1"/>
  <c r="AC33" i="1"/>
  <c r="AG29" i="1"/>
  <c r="AF29" i="1"/>
  <c r="AH28" i="1"/>
  <c r="AD28" i="1"/>
  <c r="AC28" i="1"/>
  <c r="AH27" i="1"/>
  <c r="AD27" i="1"/>
  <c r="AC27" i="1"/>
  <c r="AG26" i="1"/>
  <c r="AF26" i="1"/>
  <c r="AH25" i="1"/>
  <c r="AD25" i="1"/>
  <c r="AC25" i="1"/>
  <c r="AH24" i="1"/>
  <c r="AD24" i="1"/>
  <c r="AC24" i="1"/>
  <c r="AG23" i="1"/>
  <c r="AH23" i="1" s="1"/>
  <c r="AH22" i="1"/>
  <c r="AD22" i="1"/>
  <c r="AC22" i="1"/>
  <c r="AH21" i="1"/>
  <c r="AD21" i="1"/>
  <c r="AC21" i="1"/>
  <c r="AG20" i="1"/>
  <c r="AF20" i="1"/>
  <c r="AH19" i="1"/>
  <c r="AD19" i="1"/>
  <c r="AC19" i="1"/>
  <c r="AH18" i="1"/>
  <c r="AD18" i="1"/>
  <c r="AC18" i="1"/>
  <c r="AG17" i="1"/>
  <c r="AF17" i="1"/>
  <c r="AH16" i="1"/>
  <c r="AD16" i="1"/>
  <c r="AC16" i="1"/>
  <c r="AH15" i="1"/>
  <c r="AD15" i="1"/>
  <c r="AC15" i="1"/>
  <c r="AG14" i="1"/>
  <c r="AF14" i="1"/>
  <c r="AH13" i="1"/>
  <c r="AD13" i="1"/>
  <c r="AC13" i="1"/>
  <c r="AH12" i="1"/>
  <c r="AD12" i="1"/>
  <c r="AC12" i="1"/>
  <c r="AF31" i="1"/>
  <c r="AG30" i="1"/>
  <c r="AF30" i="1"/>
  <c r="AG8" i="1"/>
  <c r="AF8" i="1"/>
  <c r="AH7" i="1"/>
  <c r="AD7" i="1"/>
  <c r="AC7" i="1"/>
  <c r="AH6" i="1"/>
  <c r="AD6" i="1"/>
  <c r="AC6" i="1"/>
  <c r="AE55" i="13"/>
  <c r="AD55" i="13"/>
  <c r="AE54" i="13"/>
  <c r="AD54" i="13"/>
  <c r="AE52" i="13"/>
  <c r="AD52" i="13"/>
  <c r="AE51" i="13"/>
  <c r="AD51" i="13"/>
  <c r="AE49" i="13"/>
  <c r="AD49" i="13"/>
  <c r="AE48" i="13"/>
  <c r="AD48" i="13"/>
  <c r="AE46" i="13"/>
  <c r="AD46" i="13"/>
  <c r="AE45" i="13"/>
  <c r="AD45" i="13"/>
  <c r="AE43" i="13"/>
  <c r="AD43" i="13"/>
  <c r="AE42" i="13"/>
  <c r="AD42" i="13"/>
  <c r="AE40" i="13"/>
  <c r="AD40" i="13"/>
  <c r="AE39" i="13"/>
  <c r="AD39" i="13"/>
  <c r="AE37" i="13"/>
  <c r="AE58" i="13" s="1"/>
  <c r="AD37" i="13"/>
  <c r="AE36" i="13"/>
  <c r="AD36" i="13"/>
  <c r="AE25" i="13"/>
  <c r="AD25" i="13"/>
  <c r="AE24" i="13"/>
  <c r="AD24" i="13"/>
  <c r="AE22" i="13"/>
  <c r="AD22" i="13"/>
  <c r="AE21" i="13"/>
  <c r="AD21" i="13"/>
  <c r="AE19" i="13"/>
  <c r="AD19" i="13"/>
  <c r="AE18" i="13"/>
  <c r="AD18" i="13"/>
  <c r="AE16" i="13"/>
  <c r="AD16" i="13"/>
  <c r="AE15" i="13"/>
  <c r="AD15" i="13"/>
  <c r="AE13" i="13"/>
  <c r="AD13" i="13"/>
  <c r="AE12" i="13"/>
  <c r="AD12" i="13"/>
  <c r="AE10" i="13"/>
  <c r="AD10" i="13"/>
  <c r="AE9" i="13"/>
  <c r="AD9" i="13"/>
  <c r="AE7" i="13"/>
  <c r="AD7" i="13"/>
  <c r="AE6" i="13"/>
  <c r="AD6" i="13"/>
  <c r="Z215" i="10"/>
  <c r="Z77" i="10"/>
  <c r="Y151" i="7"/>
  <c r="Y125" i="7"/>
  <c r="Y110" i="7"/>
  <c r="Y58" i="7"/>
  <c r="Y9" i="16"/>
  <c r="Y11" i="14"/>
  <c r="Y181" i="11"/>
  <c r="Y164" i="11"/>
  <c r="Y131" i="11"/>
  <c r="Y132" i="11"/>
  <c r="Y118" i="11"/>
  <c r="Y110" i="11"/>
  <c r="Y82" i="11"/>
  <c r="Y85" i="11"/>
  <c r="Y41" i="11"/>
  <c r="Z334" i="10"/>
  <c r="Z337" i="10"/>
  <c r="Z244" i="10"/>
  <c r="Z176" i="10"/>
  <c r="Z138" i="10"/>
  <c r="Z142" i="10"/>
  <c r="Z100" i="10"/>
  <c r="Z56" i="10"/>
  <c r="Z44" i="10"/>
  <c r="Z41" i="10"/>
  <c r="Z38" i="10"/>
  <c r="Z22" i="10"/>
  <c r="Y37" i="9"/>
  <c r="Y20" i="9"/>
  <c r="Z77" i="8"/>
  <c r="Z84" i="8"/>
  <c r="Z83" i="8"/>
  <c r="Z82" i="8"/>
  <c r="Z17" i="8"/>
  <c r="Y23" i="7"/>
  <c r="X46" i="11"/>
  <c r="U36" i="11"/>
  <c r="U38" i="11"/>
  <c r="Y40" i="11"/>
  <c r="U42" i="11"/>
  <c r="U44" i="11"/>
  <c r="X23" i="16"/>
  <c r="Y7" i="16"/>
  <c r="U13" i="16"/>
  <c r="U6" i="16"/>
  <c r="U11" i="16"/>
  <c r="U21" i="14"/>
  <c r="U23" i="14"/>
  <c r="U25" i="14"/>
  <c r="U27" i="14"/>
  <c r="U29" i="14"/>
  <c r="U31" i="14"/>
  <c r="U33" i="14"/>
  <c r="Y9" i="14"/>
  <c r="X183" i="11"/>
  <c r="Y174" i="11"/>
  <c r="U176" i="11"/>
  <c r="U178" i="11"/>
  <c r="Y180" i="11"/>
  <c r="U148" i="11"/>
  <c r="U152" i="11"/>
  <c r="X168" i="11"/>
  <c r="U160" i="11"/>
  <c r="U167" i="11"/>
  <c r="U149" i="11"/>
  <c r="U151" i="11"/>
  <c r="U153" i="11"/>
  <c r="U155" i="11"/>
  <c r="U157" i="11"/>
  <c r="U159" i="11"/>
  <c r="U161" i="11"/>
  <c r="Y162" i="11"/>
  <c r="U163" i="11"/>
  <c r="X122" i="11"/>
  <c r="Y120" i="11"/>
  <c r="Y121" i="11"/>
  <c r="U89" i="11"/>
  <c r="X70" i="11"/>
  <c r="U68" i="11"/>
  <c r="Y62" i="11"/>
  <c r="U25" i="11"/>
  <c r="Y15" i="11"/>
  <c r="U19" i="11"/>
  <c r="Y21" i="11"/>
  <c r="U23" i="11"/>
  <c r="Z288" i="10"/>
  <c r="Y296" i="10"/>
  <c r="Z145" i="10"/>
  <c r="Z149" i="10"/>
  <c r="Y58" i="10"/>
  <c r="V57" i="10"/>
  <c r="V55" i="10"/>
  <c r="Y129" i="10"/>
  <c r="V125" i="10"/>
  <c r="V127" i="10"/>
  <c r="Y104" i="10"/>
  <c r="V96" i="10"/>
  <c r="Z99" i="10"/>
  <c r="V103" i="10"/>
  <c r="V19" i="10"/>
  <c r="Z21" i="10"/>
  <c r="V25" i="10"/>
  <c r="Z17" i="10"/>
  <c r="V21" i="10"/>
  <c r="Z13" i="10"/>
  <c r="V9" i="10"/>
  <c r="V5" i="10"/>
  <c r="V8" i="10"/>
  <c r="U185" i="7"/>
  <c r="U189" i="7"/>
  <c r="U193" i="7"/>
  <c r="U197" i="7"/>
  <c r="U181" i="7"/>
  <c r="T212" i="7"/>
  <c r="T204" i="7"/>
  <c r="T208" i="7"/>
  <c r="AF89" i="24"/>
  <c r="AF90" i="24"/>
  <c r="AF93" i="24"/>
  <c r="AF94" i="24"/>
  <c r="AF97" i="24"/>
  <c r="AF98" i="24"/>
  <c r="AF101" i="24"/>
  <c r="AF105" i="24"/>
  <c r="AF106" i="24"/>
  <c r="AF109" i="24"/>
  <c r="AF110" i="24"/>
  <c r="AF113" i="24"/>
  <c r="AF115" i="24"/>
  <c r="AF117" i="24"/>
  <c r="AH114" i="22"/>
  <c r="AH115" i="22"/>
  <c r="AH102" i="22"/>
  <c r="AH110" i="22"/>
  <c r="AF114" i="24"/>
  <c r="X118" i="24"/>
  <c r="AF95" i="24"/>
  <c r="AF103" i="24"/>
  <c r="AA40" i="2"/>
  <c r="AA39" i="2"/>
  <c r="AA40" i="1"/>
  <c r="AA61" i="1" s="1"/>
  <c r="AA39" i="1"/>
  <c r="AA60" i="1" s="1"/>
  <c r="AA10" i="2"/>
  <c r="AA9" i="2"/>
  <c r="AA10" i="1"/>
  <c r="AA9" i="1"/>
  <c r="AA30" i="1" s="1"/>
  <c r="T22" i="14"/>
  <c r="T23" i="14"/>
  <c r="T26" i="14"/>
  <c r="T27" i="14"/>
  <c r="T30" i="14"/>
  <c r="T31" i="14"/>
  <c r="W34" i="14"/>
  <c r="T7" i="14"/>
  <c r="T172" i="11"/>
  <c r="T176" i="11"/>
  <c r="T178" i="11"/>
  <c r="T182" i="11"/>
  <c r="W168" i="11"/>
  <c r="T163" i="11"/>
  <c r="T165" i="11"/>
  <c r="T166" i="11"/>
  <c r="T167" i="11"/>
  <c r="T125" i="11"/>
  <c r="T129" i="11"/>
  <c r="Y133" i="11"/>
  <c r="T136" i="11"/>
  <c r="T137" i="11"/>
  <c r="T112" i="11"/>
  <c r="T116" i="11"/>
  <c r="T118" i="11"/>
  <c r="T120" i="11"/>
  <c r="Y98" i="11"/>
  <c r="Y74" i="11"/>
  <c r="T76" i="11"/>
  <c r="Y84" i="11"/>
  <c r="T88" i="11"/>
  <c r="Y58" i="11"/>
  <c r="T66" i="11"/>
  <c r="T56" i="11"/>
  <c r="T60" i="11"/>
  <c r="T64" i="11"/>
  <c r="T68" i="11"/>
  <c r="W46" i="11"/>
  <c r="T34" i="11"/>
  <c r="Y11" i="11"/>
  <c r="Y19" i="11"/>
  <c r="Y23" i="11"/>
  <c r="T25" i="11"/>
  <c r="T13" i="11"/>
  <c r="T17" i="11"/>
  <c r="Y25" i="11"/>
  <c r="U334" i="10"/>
  <c r="X296" i="10"/>
  <c r="U286" i="10"/>
  <c r="U290" i="10"/>
  <c r="U294" i="10"/>
  <c r="X204" i="10"/>
  <c r="U184" i="10"/>
  <c r="Z186" i="10"/>
  <c r="U188" i="10"/>
  <c r="Z190" i="10"/>
  <c r="U192" i="10"/>
  <c r="Z194" i="10"/>
  <c r="U196" i="10"/>
  <c r="Z198" i="10"/>
  <c r="U200" i="10"/>
  <c r="Z202" i="10"/>
  <c r="X178" i="10"/>
  <c r="X152" i="10"/>
  <c r="U151" i="10"/>
  <c r="X58" i="10"/>
  <c r="U57" i="10"/>
  <c r="U55" i="10"/>
  <c r="X104" i="10"/>
  <c r="U95" i="10"/>
  <c r="U98" i="10"/>
  <c r="U99" i="10"/>
  <c r="U102" i="10"/>
  <c r="U23" i="10"/>
  <c r="X27" i="10"/>
  <c r="U19" i="10"/>
  <c r="U25" i="10"/>
  <c r="U88" i="10"/>
  <c r="U7" i="10"/>
  <c r="U9" i="10"/>
  <c r="X11" i="10"/>
  <c r="U68" i="8"/>
  <c r="Y24" i="16"/>
  <c r="U24" i="16"/>
  <c r="T24" i="16"/>
  <c r="W23" i="16"/>
  <c r="U22" i="16"/>
  <c r="T22" i="16"/>
  <c r="U21" i="16"/>
  <c r="T21" i="16"/>
  <c r="U20" i="16"/>
  <c r="T20" i="16"/>
  <c r="U19" i="16"/>
  <c r="T19" i="16"/>
  <c r="U18" i="16"/>
  <c r="T18" i="16"/>
  <c r="U17" i="16"/>
  <c r="T17" i="16"/>
  <c r="Y16" i="16"/>
  <c r="U16" i="16"/>
  <c r="T16" i="16"/>
  <c r="W15" i="16"/>
  <c r="U14" i="16"/>
  <c r="T14" i="16"/>
  <c r="T13" i="16"/>
  <c r="U12" i="16"/>
  <c r="T12" i="16"/>
  <c r="T11" i="16"/>
  <c r="U10" i="16"/>
  <c r="T10" i="16"/>
  <c r="U9" i="16"/>
  <c r="T9" i="16"/>
  <c r="Y8" i="16"/>
  <c r="U8" i="16"/>
  <c r="T8" i="16"/>
  <c r="T7" i="16"/>
  <c r="T6" i="16"/>
  <c r="U5" i="16"/>
  <c r="T5" i="16"/>
  <c r="Y35" i="14"/>
  <c r="U35" i="14"/>
  <c r="T35" i="14"/>
  <c r="T33" i="14"/>
  <c r="U32" i="14"/>
  <c r="T32" i="14"/>
  <c r="Y30" i="14"/>
  <c r="U30" i="14"/>
  <c r="Y29" i="14"/>
  <c r="T29" i="14"/>
  <c r="Y28" i="14"/>
  <c r="U28" i="14"/>
  <c r="T28" i="14"/>
  <c r="Y27" i="14"/>
  <c r="Y26" i="14"/>
  <c r="U26" i="14"/>
  <c r="Y25" i="14"/>
  <c r="T25" i="14"/>
  <c r="Y24" i="14"/>
  <c r="U24" i="14"/>
  <c r="T24" i="14"/>
  <c r="Y23" i="14"/>
  <c r="Y22" i="14"/>
  <c r="U22" i="14"/>
  <c r="Y21" i="14"/>
  <c r="T21" i="14"/>
  <c r="Y20" i="14"/>
  <c r="U20" i="14"/>
  <c r="T20" i="14"/>
  <c r="U19" i="14"/>
  <c r="Y18" i="14"/>
  <c r="U18" i="14"/>
  <c r="T18" i="14"/>
  <c r="X17" i="14"/>
  <c r="W17" i="14"/>
  <c r="U16" i="14"/>
  <c r="T16" i="14"/>
  <c r="U15" i="14"/>
  <c r="T15" i="14"/>
  <c r="U14" i="14"/>
  <c r="T14" i="14"/>
  <c r="U13" i="14"/>
  <c r="T13" i="14"/>
  <c r="U12" i="14"/>
  <c r="T12" i="14"/>
  <c r="U11" i="14"/>
  <c r="T11" i="14"/>
  <c r="U10" i="14"/>
  <c r="T10" i="14"/>
  <c r="U9" i="14"/>
  <c r="Y8" i="14"/>
  <c r="U8" i="14"/>
  <c r="T8" i="14"/>
  <c r="U7" i="14"/>
  <c r="Y6" i="14"/>
  <c r="U6" i="14"/>
  <c r="T6" i="14"/>
  <c r="Y5" i="14"/>
  <c r="U5" i="14"/>
  <c r="T5" i="14"/>
  <c r="Y184" i="11"/>
  <c r="U184" i="11"/>
  <c r="T184" i="11"/>
  <c r="U182" i="11"/>
  <c r="U181" i="11"/>
  <c r="T181" i="11"/>
  <c r="U180" i="11"/>
  <c r="T180" i="11"/>
  <c r="Y179" i="11"/>
  <c r="U179" i="11"/>
  <c r="T179" i="11"/>
  <c r="Y177" i="11"/>
  <c r="U177" i="11"/>
  <c r="T177" i="11"/>
  <c r="Y175" i="11"/>
  <c r="U175" i="11"/>
  <c r="T175" i="11"/>
  <c r="Y173" i="11"/>
  <c r="U173" i="11"/>
  <c r="T173" i="11"/>
  <c r="Y171" i="11"/>
  <c r="U171" i="11"/>
  <c r="T171" i="11"/>
  <c r="U170" i="11"/>
  <c r="Y169" i="11"/>
  <c r="U169" i="11"/>
  <c r="T169" i="11"/>
  <c r="Y166" i="11"/>
  <c r="U166" i="11"/>
  <c r="U165" i="11"/>
  <c r="U164" i="11"/>
  <c r="T164" i="11"/>
  <c r="U162" i="11"/>
  <c r="T162" i="11"/>
  <c r="Y161" i="11"/>
  <c r="T161" i="11"/>
  <c r="T160" i="11"/>
  <c r="Y159" i="11"/>
  <c r="T159" i="11"/>
  <c r="Y158" i="11"/>
  <c r="U158" i="11"/>
  <c r="T158" i="11"/>
  <c r="Y157" i="11"/>
  <c r="T157" i="11"/>
  <c r="T156" i="11"/>
  <c r="Y155" i="11"/>
  <c r="T155" i="11"/>
  <c r="Y154" i="11"/>
  <c r="U154" i="11"/>
  <c r="T154" i="11"/>
  <c r="Y153" i="11"/>
  <c r="T153" i="11"/>
  <c r="T152" i="11"/>
  <c r="Y151" i="11"/>
  <c r="T151" i="11"/>
  <c r="Y150" i="11"/>
  <c r="U150" i="11"/>
  <c r="T150" i="11"/>
  <c r="Y149" i="11"/>
  <c r="T149" i="11"/>
  <c r="Y148" i="11"/>
  <c r="T148" i="11"/>
  <c r="Y147" i="11"/>
  <c r="U147" i="11"/>
  <c r="T147" i="11"/>
  <c r="Y140" i="11"/>
  <c r="U140" i="11"/>
  <c r="T140" i="11"/>
  <c r="X139" i="11"/>
  <c r="U138" i="11"/>
  <c r="T138" i="11"/>
  <c r="Y137" i="11"/>
  <c r="U137" i="11"/>
  <c r="Y136" i="11"/>
  <c r="U136" i="11"/>
  <c r="U135" i="11"/>
  <c r="T135" i="11"/>
  <c r="Y134" i="11"/>
  <c r="U134" i="11"/>
  <c r="T134" i="11"/>
  <c r="U133" i="11"/>
  <c r="U132" i="11"/>
  <c r="T132" i="11"/>
  <c r="U131" i="11"/>
  <c r="T131" i="11"/>
  <c r="Y130" i="11"/>
  <c r="U130" i="11"/>
  <c r="T130" i="11"/>
  <c r="U129" i="11"/>
  <c r="Y128" i="11"/>
  <c r="U128" i="11"/>
  <c r="T128" i="11"/>
  <c r="U127" i="11"/>
  <c r="T127" i="11"/>
  <c r="Y126" i="11"/>
  <c r="U126" i="11"/>
  <c r="T126" i="11"/>
  <c r="Y125" i="11"/>
  <c r="U125" i="11"/>
  <c r="Y124" i="11"/>
  <c r="U124" i="11"/>
  <c r="T124" i="11"/>
  <c r="Y123" i="11"/>
  <c r="U123" i="11"/>
  <c r="T123" i="11"/>
  <c r="W122" i="11"/>
  <c r="U121" i="11"/>
  <c r="U120" i="11"/>
  <c r="Y119" i="11"/>
  <c r="U119" i="11"/>
  <c r="T119" i="11"/>
  <c r="U118" i="11"/>
  <c r="Y117" i="11"/>
  <c r="U117" i="11"/>
  <c r="T117" i="11"/>
  <c r="U116" i="11"/>
  <c r="Y115" i="11"/>
  <c r="U115" i="11"/>
  <c r="T115" i="11"/>
  <c r="Y114" i="11"/>
  <c r="U114" i="11"/>
  <c r="T114" i="11"/>
  <c r="Y113" i="11"/>
  <c r="U113" i="11"/>
  <c r="T113" i="11"/>
  <c r="U112" i="11"/>
  <c r="U111" i="11"/>
  <c r="T111" i="11"/>
  <c r="U110" i="11"/>
  <c r="T110" i="11"/>
  <c r="Y109" i="11"/>
  <c r="U109" i="11"/>
  <c r="T109" i="11"/>
  <c r="Y108" i="11"/>
  <c r="U108" i="11"/>
  <c r="T108" i="11"/>
  <c r="Y107" i="11"/>
  <c r="U107" i="11"/>
  <c r="T107" i="11"/>
  <c r="Y106" i="11"/>
  <c r="U106" i="11"/>
  <c r="T106" i="11"/>
  <c r="Y105" i="11"/>
  <c r="U105" i="11"/>
  <c r="T105" i="11"/>
  <c r="Y104" i="11"/>
  <c r="U104" i="11"/>
  <c r="T104" i="11"/>
  <c r="Y103" i="11"/>
  <c r="U103" i="11"/>
  <c r="T103" i="11"/>
  <c r="Y102" i="11"/>
  <c r="U102" i="11"/>
  <c r="T102" i="11"/>
  <c r="Y101" i="11"/>
  <c r="U101" i="11"/>
  <c r="T101" i="11"/>
  <c r="Y100" i="11"/>
  <c r="U100" i="11"/>
  <c r="T100" i="11"/>
  <c r="Y99" i="11"/>
  <c r="U99" i="11"/>
  <c r="T99" i="11"/>
  <c r="U98" i="11"/>
  <c r="Y91" i="11"/>
  <c r="U91" i="11"/>
  <c r="T91" i="11"/>
  <c r="X90" i="11"/>
  <c r="T89" i="11"/>
  <c r="U88" i="11"/>
  <c r="Y87" i="11"/>
  <c r="U87" i="11"/>
  <c r="T87" i="11"/>
  <c r="U86" i="11"/>
  <c r="T86" i="11"/>
  <c r="U85" i="11"/>
  <c r="T85" i="11"/>
  <c r="U84" i="11"/>
  <c r="Y83" i="11"/>
  <c r="U83" i="11"/>
  <c r="T83" i="11"/>
  <c r="U82" i="11"/>
  <c r="T82" i="11"/>
  <c r="Y81" i="11"/>
  <c r="U81" i="11"/>
  <c r="T81" i="11"/>
  <c r="Y80" i="11"/>
  <c r="U80" i="11"/>
  <c r="T80" i="11"/>
  <c r="Y79" i="11"/>
  <c r="U79" i="11"/>
  <c r="T79" i="11"/>
  <c r="Y78" i="11"/>
  <c r="U78" i="11"/>
  <c r="T78" i="11"/>
  <c r="U77" i="11"/>
  <c r="T77" i="11"/>
  <c r="U76" i="11"/>
  <c r="Y75" i="11"/>
  <c r="U75" i="11"/>
  <c r="T75" i="11"/>
  <c r="U74" i="11"/>
  <c r="Y73" i="11"/>
  <c r="U73" i="11"/>
  <c r="T73" i="11"/>
  <c r="U72" i="11"/>
  <c r="Y71" i="11"/>
  <c r="U71" i="11"/>
  <c r="T71" i="11"/>
  <c r="U69" i="11"/>
  <c r="T69" i="11"/>
  <c r="U67" i="11"/>
  <c r="T67" i="11"/>
  <c r="U66" i="11"/>
  <c r="Y65" i="11"/>
  <c r="U65" i="11"/>
  <c r="T65" i="11"/>
  <c r="U64" i="11"/>
  <c r="Y63" i="11"/>
  <c r="U63" i="11"/>
  <c r="T63" i="11"/>
  <c r="U62" i="11"/>
  <c r="Y61" i="11"/>
  <c r="U61" i="11"/>
  <c r="T61" i="11"/>
  <c r="U60" i="11"/>
  <c r="Y59" i="11"/>
  <c r="U59" i="11"/>
  <c r="T59" i="11"/>
  <c r="U58" i="11"/>
  <c r="Y57" i="11"/>
  <c r="U57" i="11"/>
  <c r="T57" i="11"/>
  <c r="U56" i="11"/>
  <c r="Y55" i="11"/>
  <c r="U55" i="11"/>
  <c r="T55" i="11"/>
  <c r="Y54" i="11"/>
  <c r="U54" i="11"/>
  <c r="T54" i="11"/>
  <c r="Y47" i="11"/>
  <c r="U47" i="11"/>
  <c r="T47" i="11"/>
  <c r="U45" i="11"/>
  <c r="T45" i="11"/>
  <c r="Y44" i="11"/>
  <c r="T44" i="11"/>
  <c r="Y43" i="11"/>
  <c r="U43" i="11"/>
  <c r="T43" i="11"/>
  <c r="Y42" i="11"/>
  <c r="T42" i="11"/>
  <c r="U41" i="11"/>
  <c r="T41" i="11"/>
  <c r="U39" i="11"/>
  <c r="T39" i="11"/>
  <c r="Y38" i="11"/>
  <c r="T38" i="11"/>
  <c r="Y37" i="11"/>
  <c r="U37" i="11"/>
  <c r="T37" i="11"/>
  <c r="Y36" i="11"/>
  <c r="T36" i="11"/>
  <c r="Y35" i="11"/>
  <c r="U35" i="11"/>
  <c r="T35" i="11"/>
  <c r="Y34" i="11"/>
  <c r="U34" i="11"/>
  <c r="U33" i="11"/>
  <c r="T33" i="11"/>
  <c r="Y32" i="11"/>
  <c r="U32" i="11"/>
  <c r="T32" i="11"/>
  <c r="Y31" i="11"/>
  <c r="U31" i="11"/>
  <c r="T31" i="11"/>
  <c r="Y30" i="11"/>
  <c r="U30" i="11"/>
  <c r="T30" i="11"/>
  <c r="Y29" i="11"/>
  <c r="U29" i="11"/>
  <c r="T29" i="11"/>
  <c r="Y28" i="11"/>
  <c r="U28" i="11"/>
  <c r="T28" i="11"/>
  <c r="Y27" i="11"/>
  <c r="U27" i="11"/>
  <c r="T27" i="11"/>
  <c r="W26" i="11"/>
  <c r="Y24" i="11"/>
  <c r="U24" i="11"/>
  <c r="T24" i="11"/>
  <c r="Y22" i="11"/>
  <c r="U22" i="11"/>
  <c r="T22" i="11"/>
  <c r="T21" i="11"/>
  <c r="U20" i="11"/>
  <c r="T20" i="11"/>
  <c r="Y18" i="11"/>
  <c r="U18" i="11"/>
  <c r="T18" i="11"/>
  <c r="U17" i="11"/>
  <c r="Y16" i="11"/>
  <c r="U16" i="11"/>
  <c r="T16" i="11"/>
  <c r="U15" i="11"/>
  <c r="Y14" i="11"/>
  <c r="U14" i="11"/>
  <c r="T14" i="11"/>
  <c r="U13" i="11"/>
  <c r="Y12" i="11"/>
  <c r="U12" i="11"/>
  <c r="T12" i="11"/>
  <c r="U11" i="11"/>
  <c r="T11" i="11"/>
  <c r="Y10" i="11"/>
  <c r="U10" i="11"/>
  <c r="T10" i="11"/>
  <c r="Y9" i="11"/>
  <c r="U9" i="11"/>
  <c r="T9" i="11"/>
  <c r="Y8" i="11"/>
  <c r="U8" i="11"/>
  <c r="T8" i="11"/>
  <c r="Y7" i="11"/>
  <c r="U7" i="11"/>
  <c r="T7" i="11"/>
  <c r="Y6" i="11"/>
  <c r="U6" i="11"/>
  <c r="T6" i="11"/>
  <c r="Y5" i="11"/>
  <c r="U5" i="11"/>
  <c r="T5" i="11"/>
  <c r="Y344" i="10"/>
  <c r="X344" i="10"/>
  <c r="Z343" i="10"/>
  <c r="V343" i="10"/>
  <c r="U343" i="10"/>
  <c r="Y342" i="10"/>
  <c r="X342" i="10"/>
  <c r="V341" i="10"/>
  <c r="U341" i="10"/>
  <c r="V340" i="10"/>
  <c r="U340" i="10"/>
  <c r="V339" i="10"/>
  <c r="U339" i="10"/>
  <c r="V338" i="10"/>
  <c r="U338" i="10"/>
  <c r="V337" i="10"/>
  <c r="U337" i="10"/>
  <c r="V336" i="10"/>
  <c r="U336" i="10"/>
  <c r="Z335" i="10"/>
  <c r="V335" i="10"/>
  <c r="U335" i="10"/>
  <c r="V334" i="10"/>
  <c r="W334" i="10" s="1"/>
  <c r="Z333" i="10"/>
  <c r="V333" i="10"/>
  <c r="U333" i="10"/>
  <c r="Z332" i="10"/>
  <c r="V332" i="10"/>
  <c r="U332" i="10"/>
  <c r="Z331" i="10"/>
  <c r="V331" i="10"/>
  <c r="U331" i="10"/>
  <c r="Z330" i="10"/>
  <c r="V330" i="10"/>
  <c r="U330" i="10"/>
  <c r="Z329" i="10"/>
  <c r="V329" i="10"/>
  <c r="U329" i="10"/>
  <c r="Z328" i="10"/>
  <c r="V328" i="10"/>
  <c r="U328" i="10"/>
  <c r="Z327" i="10"/>
  <c r="V327" i="10"/>
  <c r="U327" i="10"/>
  <c r="Z326" i="10"/>
  <c r="V326" i="10"/>
  <c r="U326" i="10"/>
  <c r="Z325" i="10"/>
  <c r="V325" i="10"/>
  <c r="U325" i="10"/>
  <c r="Z324" i="10"/>
  <c r="V324" i="10"/>
  <c r="U324" i="10"/>
  <c r="Z323" i="10"/>
  <c r="V323" i="10"/>
  <c r="U323" i="10"/>
  <c r="Y322" i="10"/>
  <c r="X322" i="10"/>
  <c r="V321" i="10"/>
  <c r="U321" i="10"/>
  <c r="V320" i="10"/>
  <c r="U320" i="10"/>
  <c r="V319" i="10"/>
  <c r="U319" i="10"/>
  <c r="V318" i="10"/>
  <c r="U318" i="10"/>
  <c r="V317" i="10"/>
  <c r="U317" i="10"/>
  <c r="V316" i="10"/>
  <c r="U316" i="10"/>
  <c r="V315" i="10"/>
  <c r="U315" i="10"/>
  <c r="Z314" i="10"/>
  <c r="V314" i="10"/>
  <c r="U314" i="10"/>
  <c r="V313" i="10"/>
  <c r="U313" i="10"/>
  <c r="V312" i="10"/>
  <c r="U312" i="10"/>
  <c r="Z311" i="10"/>
  <c r="V311" i="10"/>
  <c r="U311" i="10"/>
  <c r="Z310" i="10"/>
  <c r="V310" i="10"/>
  <c r="U310" i="10"/>
  <c r="Z309" i="10"/>
  <c r="V309" i="10"/>
  <c r="U309" i="10"/>
  <c r="Z308" i="10"/>
  <c r="V308" i="10"/>
  <c r="U308" i="10"/>
  <c r="Z307" i="10"/>
  <c r="V307" i="10"/>
  <c r="U307" i="10"/>
  <c r="Z306" i="10"/>
  <c r="V306" i="10"/>
  <c r="U306" i="10"/>
  <c r="Z305" i="10"/>
  <c r="V305" i="10"/>
  <c r="U305" i="10"/>
  <c r="Z304" i="10"/>
  <c r="V304" i="10"/>
  <c r="U304" i="10"/>
  <c r="Y298" i="10"/>
  <c r="X298" i="10"/>
  <c r="Z297" i="10"/>
  <c r="V297" i="10"/>
  <c r="U297" i="10"/>
  <c r="V295" i="10"/>
  <c r="U295" i="10"/>
  <c r="V294" i="10"/>
  <c r="V293" i="10"/>
  <c r="U293" i="10"/>
  <c r="V292" i="10"/>
  <c r="U292" i="10"/>
  <c r="Z291" i="10"/>
  <c r="V291" i="10"/>
  <c r="U291" i="10"/>
  <c r="V290" i="10"/>
  <c r="Z289" i="10"/>
  <c r="V289" i="10"/>
  <c r="U289" i="10"/>
  <c r="V288" i="10"/>
  <c r="Z287" i="10"/>
  <c r="V287" i="10"/>
  <c r="U287" i="10"/>
  <c r="V286" i="10"/>
  <c r="Z285" i="10"/>
  <c r="V285" i="10"/>
  <c r="U285" i="10"/>
  <c r="Z284" i="10"/>
  <c r="V284" i="10"/>
  <c r="U284" i="10"/>
  <c r="Z283" i="10"/>
  <c r="V283" i="10"/>
  <c r="U283" i="10"/>
  <c r="Z282" i="10"/>
  <c r="V282" i="10"/>
  <c r="U282" i="10"/>
  <c r="Z281" i="10"/>
  <c r="V281" i="10"/>
  <c r="U281" i="10"/>
  <c r="Z280" i="10"/>
  <c r="V280" i="10"/>
  <c r="U280" i="10"/>
  <c r="Z279" i="10"/>
  <c r="V279" i="10"/>
  <c r="U279" i="10"/>
  <c r="Z278" i="10"/>
  <c r="V278" i="10"/>
  <c r="U278" i="10"/>
  <c r="Z277" i="10"/>
  <c r="V277" i="10"/>
  <c r="U277" i="10"/>
  <c r="Y276" i="10"/>
  <c r="X276" i="10"/>
  <c r="Z275" i="10"/>
  <c r="V275" i="10"/>
  <c r="U275" i="10"/>
  <c r="Z274" i="10"/>
  <c r="V274" i="10"/>
  <c r="U274" i="10"/>
  <c r="Z273" i="10"/>
  <c r="V273" i="10"/>
  <c r="U273" i="10"/>
  <c r="Z272" i="10"/>
  <c r="V272" i="10"/>
  <c r="U272" i="10"/>
  <c r="V271" i="10"/>
  <c r="U271" i="10"/>
  <c r="Z270" i="10"/>
  <c r="V270" i="10"/>
  <c r="U270" i="10"/>
  <c r="Z269" i="10"/>
  <c r="V269" i="10"/>
  <c r="U269" i="10"/>
  <c r="Z268" i="10"/>
  <c r="V268" i="10"/>
  <c r="U268" i="10"/>
  <c r="Z267" i="10"/>
  <c r="V267" i="10"/>
  <c r="U267" i="10"/>
  <c r="Z266" i="10"/>
  <c r="V266" i="10"/>
  <c r="U266" i="10"/>
  <c r="Z265" i="10"/>
  <c r="V265" i="10"/>
  <c r="U265" i="10"/>
  <c r="Z264" i="10"/>
  <c r="V264" i="10"/>
  <c r="U264" i="10"/>
  <c r="Z263" i="10"/>
  <c r="V263" i="10"/>
  <c r="U263" i="10"/>
  <c r="Z262" i="10"/>
  <c r="V262" i="10"/>
  <c r="U262" i="10"/>
  <c r="Z261" i="10"/>
  <c r="V261" i="10"/>
  <c r="U261" i="10"/>
  <c r="Z260" i="10"/>
  <c r="V260" i="10"/>
  <c r="U260" i="10"/>
  <c r="Z259" i="10"/>
  <c r="V259" i="10"/>
  <c r="U259" i="10"/>
  <c r="Z258" i="10"/>
  <c r="V258" i="10"/>
  <c r="U258" i="10"/>
  <c r="Z257" i="10"/>
  <c r="V257" i="10"/>
  <c r="U257" i="10"/>
  <c r="Z256" i="10"/>
  <c r="V256" i="10"/>
  <c r="U256" i="10"/>
  <c r="Z255" i="10"/>
  <c r="V255" i="10"/>
  <c r="U255" i="10"/>
  <c r="Y247" i="10"/>
  <c r="X247" i="10"/>
  <c r="Z246" i="10"/>
  <c r="V246" i="10"/>
  <c r="U246" i="10"/>
  <c r="Y245" i="10"/>
  <c r="X245" i="10"/>
  <c r="Z243" i="10"/>
  <c r="V243" i="10"/>
  <c r="U243" i="10"/>
  <c r="Z242" i="10"/>
  <c r="V242" i="10"/>
  <c r="U242" i="10"/>
  <c r="Z241" i="10"/>
  <c r="V241" i="10"/>
  <c r="U241" i="10"/>
  <c r="Z240" i="10"/>
  <c r="V240" i="10"/>
  <c r="U240" i="10"/>
  <c r="Z239" i="10"/>
  <c r="V239" i="10"/>
  <c r="U239" i="10"/>
  <c r="Z238" i="10"/>
  <c r="V238" i="10"/>
  <c r="U238" i="10"/>
  <c r="Z237" i="10"/>
  <c r="V237" i="10"/>
  <c r="U237" i="10"/>
  <c r="Z236" i="10"/>
  <c r="V236" i="10"/>
  <c r="U236" i="10"/>
  <c r="Z235" i="10"/>
  <c r="V235" i="10"/>
  <c r="U235" i="10"/>
  <c r="Z234" i="10"/>
  <c r="V234" i="10"/>
  <c r="U234" i="10"/>
  <c r="Z233" i="10"/>
  <c r="V233" i="10"/>
  <c r="U233" i="10"/>
  <c r="Z232" i="10"/>
  <c r="V232" i="10"/>
  <c r="U232" i="10"/>
  <c r="Z231" i="10"/>
  <c r="V231" i="10"/>
  <c r="U231" i="10"/>
  <c r="Z230" i="10"/>
  <c r="V230" i="10"/>
  <c r="U230" i="10"/>
  <c r="Z229" i="10"/>
  <c r="V229" i="10"/>
  <c r="U229" i="10"/>
  <c r="Z228" i="10"/>
  <c r="V228" i="10"/>
  <c r="U228" i="10"/>
  <c r="Z227" i="10"/>
  <c r="V227" i="10"/>
  <c r="U227" i="10"/>
  <c r="Z226" i="10"/>
  <c r="V226" i="10"/>
  <c r="U226" i="10"/>
  <c r="Z225" i="10"/>
  <c r="V225" i="10"/>
  <c r="U225" i="10"/>
  <c r="Y224" i="10"/>
  <c r="X224" i="10"/>
  <c r="V223" i="10"/>
  <c r="U223" i="10"/>
  <c r="Z222" i="10"/>
  <c r="V222" i="10"/>
  <c r="U222" i="10"/>
  <c r="Z221" i="10"/>
  <c r="V221" i="10"/>
  <c r="U221" i="10"/>
  <c r="Z220" i="10"/>
  <c r="V220" i="10"/>
  <c r="U220" i="10"/>
  <c r="V219" i="10"/>
  <c r="U219" i="10"/>
  <c r="Z218" i="10"/>
  <c r="V218" i="10"/>
  <c r="U218" i="10"/>
  <c r="Z217" i="10"/>
  <c r="V217" i="10"/>
  <c r="U217" i="10"/>
  <c r="Z216" i="10"/>
  <c r="V216" i="10"/>
  <c r="U216" i="10"/>
  <c r="V215" i="10"/>
  <c r="U215" i="10"/>
  <c r="Z214" i="10"/>
  <c r="V214" i="10"/>
  <c r="U214" i="10"/>
  <c r="Z213" i="10"/>
  <c r="V213" i="10"/>
  <c r="U213" i="10"/>
  <c r="Z212" i="10"/>
  <c r="V212" i="10"/>
  <c r="U212" i="10"/>
  <c r="Y206" i="10"/>
  <c r="X206" i="10"/>
  <c r="Z205" i="10"/>
  <c r="V205" i="10"/>
  <c r="U205" i="10"/>
  <c r="Y204" i="10"/>
  <c r="Z203" i="10"/>
  <c r="V203" i="10"/>
  <c r="U203" i="10"/>
  <c r="V202" i="10"/>
  <c r="Z201" i="10"/>
  <c r="V201" i="10"/>
  <c r="U201" i="10"/>
  <c r="V200" i="10"/>
  <c r="Z199" i="10"/>
  <c r="V199" i="10"/>
  <c r="U199" i="10"/>
  <c r="V198" i="10"/>
  <c r="Z197" i="10"/>
  <c r="V197" i="10"/>
  <c r="U197" i="10"/>
  <c r="V196" i="10"/>
  <c r="Z195" i="10"/>
  <c r="V195" i="10"/>
  <c r="U195" i="10"/>
  <c r="V194" i="10"/>
  <c r="Z193" i="10"/>
  <c r="V193" i="10"/>
  <c r="U193" i="10"/>
  <c r="V192" i="10"/>
  <c r="Z191" i="10"/>
  <c r="V191" i="10"/>
  <c r="U191" i="10"/>
  <c r="V190" i="10"/>
  <c r="Z189" i="10"/>
  <c r="V189" i="10"/>
  <c r="U189" i="10"/>
  <c r="V188" i="10"/>
  <c r="Z187" i="10"/>
  <c r="V187" i="10"/>
  <c r="U187" i="10"/>
  <c r="V186" i="10"/>
  <c r="Z185" i="10"/>
  <c r="V185" i="10"/>
  <c r="U185" i="10"/>
  <c r="V184" i="10"/>
  <c r="Z183" i="10"/>
  <c r="V183" i="10"/>
  <c r="U183" i="10"/>
  <c r="V182" i="10"/>
  <c r="Z181" i="10"/>
  <c r="V181" i="10"/>
  <c r="U181" i="10"/>
  <c r="Z180" i="10"/>
  <c r="V180" i="10"/>
  <c r="U180" i="10"/>
  <c r="Z179" i="10"/>
  <c r="V179" i="10"/>
  <c r="U179" i="10"/>
  <c r="Y178" i="10"/>
  <c r="Z177" i="10"/>
  <c r="V177" i="10"/>
  <c r="U177" i="10"/>
  <c r="V176" i="10"/>
  <c r="U176" i="10"/>
  <c r="Z175" i="10"/>
  <c r="V175" i="10"/>
  <c r="U175" i="10"/>
  <c r="Z174" i="10"/>
  <c r="V174" i="10"/>
  <c r="U174" i="10"/>
  <c r="Z173" i="10"/>
  <c r="V173" i="10"/>
  <c r="U173" i="10"/>
  <c r="Z172" i="10"/>
  <c r="V172" i="10"/>
  <c r="U172" i="10"/>
  <c r="Z171" i="10"/>
  <c r="V171" i="10"/>
  <c r="U171" i="10"/>
  <c r="Z170" i="10"/>
  <c r="V170" i="10"/>
  <c r="U170" i="10"/>
  <c r="Z169" i="10"/>
  <c r="V169" i="10"/>
  <c r="U169" i="10"/>
  <c r="Z168" i="10"/>
  <c r="V168" i="10"/>
  <c r="U168" i="10"/>
  <c r="Z167" i="10"/>
  <c r="V167" i="10"/>
  <c r="U167" i="10"/>
  <c r="Z166" i="10"/>
  <c r="V166" i="10"/>
  <c r="U166" i="10"/>
  <c r="Z165" i="10"/>
  <c r="V165" i="10"/>
  <c r="U165" i="10"/>
  <c r="Z164" i="10"/>
  <c r="V164" i="10"/>
  <c r="U164" i="10"/>
  <c r="Z163" i="10"/>
  <c r="V163" i="10"/>
  <c r="U163" i="10"/>
  <c r="Z162" i="10"/>
  <c r="V162" i="10"/>
  <c r="U162" i="10"/>
  <c r="Y154" i="10"/>
  <c r="X154" i="10"/>
  <c r="Z153" i="10"/>
  <c r="V153" i="10"/>
  <c r="U153" i="10"/>
  <c r="V151" i="10"/>
  <c r="Z150" i="10"/>
  <c r="V150" i="10"/>
  <c r="U150" i="10"/>
  <c r="V149" i="10"/>
  <c r="V148" i="10"/>
  <c r="U148" i="10"/>
  <c r="Z147" i="10"/>
  <c r="V147" i="10"/>
  <c r="U147" i="10"/>
  <c r="Z146" i="10"/>
  <c r="V146" i="10"/>
  <c r="U146" i="10"/>
  <c r="V145" i="10"/>
  <c r="U145" i="10"/>
  <c r="Z144" i="10"/>
  <c r="V144" i="10"/>
  <c r="U144" i="10"/>
  <c r="Z143" i="10"/>
  <c r="V143" i="10"/>
  <c r="U143" i="10"/>
  <c r="V142" i="10"/>
  <c r="U142" i="10"/>
  <c r="Z141" i="10"/>
  <c r="V141" i="10"/>
  <c r="U141" i="10"/>
  <c r="Z140" i="10"/>
  <c r="V140" i="10"/>
  <c r="U140" i="10"/>
  <c r="Z139" i="10"/>
  <c r="V139" i="10"/>
  <c r="U139" i="10"/>
  <c r="V138" i="10"/>
  <c r="U138" i="10"/>
  <c r="Z137" i="10"/>
  <c r="V137" i="10"/>
  <c r="U137" i="10"/>
  <c r="Z136" i="10"/>
  <c r="V136" i="10"/>
  <c r="U136" i="10"/>
  <c r="Z135" i="10"/>
  <c r="V135" i="10"/>
  <c r="U135" i="10"/>
  <c r="Z134" i="10"/>
  <c r="V134" i="10"/>
  <c r="U134" i="10"/>
  <c r="Z133" i="10"/>
  <c r="V133" i="10"/>
  <c r="U133" i="10"/>
  <c r="Z132" i="10"/>
  <c r="V132" i="10"/>
  <c r="U132" i="10"/>
  <c r="U131" i="10"/>
  <c r="Z130" i="10"/>
  <c r="V130" i="10"/>
  <c r="U130" i="10"/>
  <c r="X129" i="10"/>
  <c r="V128" i="10"/>
  <c r="U128" i="10"/>
  <c r="U127" i="10"/>
  <c r="Z126" i="10"/>
  <c r="V126" i="10"/>
  <c r="U126" i="10"/>
  <c r="Z125" i="10"/>
  <c r="U125" i="10"/>
  <c r="Z124" i="10"/>
  <c r="V124" i="10"/>
  <c r="U124" i="10"/>
  <c r="Z123" i="10"/>
  <c r="V123" i="10"/>
  <c r="U123" i="10"/>
  <c r="V122" i="10"/>
  <c r="U122" i="10"/>
  <c r="Z121" i="10"/>
  <c r="V121" i="10"/>
  <c r="U121" i="10"/>
  <c r="Z120" i="10"/>
  <c r="V120" i="10"/>
  <c r="U120" i="10"/>
  <c r="Z119" i="10"/>
  <c r="V119" i="10"/>
  <c r="U119" i="10"/>
  <c r="Z118" i="10"/>
  <c r="V118" i="10"/>
  <c r="U118" i="10"/>
  <c r="Z117" i="10"/>
  <c r="V117" i="10"/>
  <c r="U117" i="10"/>
  <c r="Z116" i="10"/>
  <c r="V116" i="10"/>
  <c r="U116" i="10"/>
  <c r="Z115" i="10"/>
  <c r="V115" i="10"/>
  <c r="U115" i="10"/>
  <c r="Z114" i="10"/>
  <c r="V114" i="10"/>
  <c r="U114" i="10"/>
  <c r="Z113" i="10"/>
  <c r="V113" i="10"/>
  <c r="U113" i="10"/>
  <c r="Z112" i="10"/>
  <c r="V112" i="10"/>
  <c r="U112" i="10"/>
  <c r="Z111" i="10"/>
  <c r="V111" i="10"/>
  <c r="U111" i="10"/>
  <c r="Z105" i="10"/>
  <c r="V105" i="10"/>
  <c r="U105" i="10"/>
  <c r="U103" i="10"/>
  <c r="V102" i="10"/>
  <c r="Z101" i="10"/>
  <c r="V101" i="10"/>
  <c r="U101" i="10"/>
  <c r="V100" i="10"/>
  <c r="U100" i="10"/>
  <c r="V99" i="10"/>
  <c r="Z98" i="10"/>
  <c r="V98" i="10"/>
  <c r="Z97" i="10"/>
  <c r="V97" i="10"/>
  <c r="U97" i="10"/>
  <c r="U96" i="10"/>
  <c r="V95" i="10"/>
  <c r="Z94" i="10"/>
  <c r="V94" i="10"/>
  <c r="U94" i="10"/>
  <c r="Z93" i="10"/>
  <c r="V93" i="10"/>
  <c r="U93" i="10"/>
  <c r="Z92" i="10"/>
  <c r="V92" i="10"/>
  <c r="U92" i="10"/>
  <c r="Z91" i="10"/>
  <c r="V91" i="10"/>
  <c r="U91" i="10"/>
  <c r="Y90" i="10"/>
  <c r="X90" i="10"/>
  <c r="V89" i="10"/>
  <c r="U89" i="10"/>
  <c r="V88" i="10"/>
  <c r="V87" i="10"/>
  <c r="U87" i="10"/>
  <c r="V86" i="10"/>
  <c r="U86" i="10"/>
  <c r="V85" i="10"/>
  <c r="U85" i="10"/>
  <c r="Z84" i="10"/>
  <c r="V84" i="10"/>
  <c r="U84" i="10"/>
  <c r="V83" i="10"/>
  <c r="U83" i="10"/>
  <c r="V82" i="10"/>
  <c r="U82" i="10"/>
  <c r="V81" i="10"/>
  <c r="U81" i="10"/>
  <c r="V80" i="10"/>
  <c r="U80" i="10"/>
  <c r="V79" i="10"/>
  <c r="U79" i="10"/>
  <c r="Z78" i="10"/>
  <c r="V78" i="10"/>
  <c r="U78" i="10"/>
  <c r="V77" i="10"/>
  <c r="U77" i="10"/>
  <c r="V76" i="10"/>
  <c r="U76" i="10"/>
  <c r="Z75" i="10"/>
  <c r="V75" i="10"/>
  <c r="U75" i="10"/>
  <c r="Z74" i="10"/>
  <c r="V74" i="10"/>
  <c r="U74" i="10"/>
  <c r="Z73" i="10"/>
  <c r="V73" i="10"/>
  <c r="U73" i="10"/>
  <c r="Z72" i="10"/>
  <c r="V72" i="10"/>
  <c r="U72" i="10"/>
  <c r="Z71" i="10"/>
  <c r="V71" i="10"/>
  <c r="U71" i="10"/>
  <c r="Z70" i="10"/>
  <c r="V70" i="10"/>
  <c r="U70" i="10"/>
  <c r="Z69" i="10"/>
  <c r="V69" i="10"/>
  <c r="U69" i="10"/>
  <c r="Z68" i="10"/>
  <c r="V68" i="10"/>
  <c r="U68" i="10"/>
  <c r="Z67" i="10"/>
  <c r="V67" i="10"/>
  <c r="U67" i="10"/>
  <c r="Z66" i="10"/>
  <c r="V66" i="10"/>
  <c r="U66" i="10"/>
  <c r="Y60" i="10"/>
  <c r="X60" i="10"/>
  <c r="Z59" i="10"/>
  <c r="V59" i="10"/>
  <c r="U59" i="10"/>
  <c r="V56" i="10"/>
  <c r="U56" i="10"/>
  <c r="Z54" i="10"/>
  <c r="V54" i="10"/>
  <c r="U54" i="10"/>
  <c r="U53" i="10"/>
  <c r="Z52" i="10"/>
  <c r="V52" i="10"/>
  <c r="U52" i="10"/>
  <c r="Z51" i="10"/>
  <c r="V51" i="10"/>
  <c r="U51" i="10"/>
  <c r="Z50" i="10"/>
  <c r="V50" i="10"/>
  <c r="U50" i="10"/>
  <c r="Z49" i="10"/>
  <c r="V49" i="10"/>
  <c r="U49" i="10"/>
  <c r="Z48" i="10"/>
  <c r="V48" i="10"/>
  <c r="U48" i="10"/>
  <c r="Y47" i="10"/>
  <c r="X47" i="10"/>
  <c r="V46" i="10"/>
  <c r="U46" i="10"/>
  <c r="V45" i="10"/>
  <c r="U45" i="10"/>
  <c r="V44" i="10"/>
  <c r="U44" i="10"/>
  <c r="Z43" i="10"/>
  <c r="V43" i="10"/>
  <c r="U43" i="10"/>
  <c r="Z42" i="10"/>
  <c r="V42" i="10"/>
  <c r="U42" i="10"/>
  <c r="V41" i="10"/>
  <c r="U41" i="10"/>
  <c r="Z40" i="10"/>
  <c r="V40" i="10"/>
  <c r="U40" i="10"/>
  <c r="V39" i="10"/>
  <c r="U39" i="10"/>
  <c r="V38" i="10"/>
  <c r="U38" i="10"/>
  <c r="Z37" i="10"/>
  <c r="V37" i="10"/>
  <c r="U37" i="10"/>
  <c r="Z36" i="10"/>
  <c r="V36" i="10"/>
  <c r="U36" i="10"/>
  <c r="Z35" i="10"/>
  <c r="V35" i="10"/>
  <c r="U35" i="10"/>
  <c r="Z34" i="10"/>
  <c r="V34" i="10"/>
  <c r="U34" i="10"/>
  <c r="Z33" i="10"/>
  <c r="V33" i="10"/>
  <c r="U33" i="10"/>
  <c r="Z32" i="10"/>
  <c r="V32" i="10"/>
  <c r="U32" i="10"/>
  <c r="Z31" i="10"/>
  <c r="V31" i="10"/>
  <c r="U31" i="10"/>
  <c r="Z30" i="10"/>
  <c r="V30" i="10"/>
  <c r="U30" i="10"/>
  <c r="Z29" i="10"/>
  <c r="V29" i="10"/>
  <c r="U29" i="10"/>
  <c r="Z28" i="10"/>
  <c r="V28" i="10"/>
  <c r="U28" i="10"/>
  <c r="V26" i="10"/>
  <c r="U26" i="10"/>
  <c r="V24" i="10"/>
  <c r="U24" i="10"/>
  <c r="V23" i="10"/>
  <c r="V22" i="10"/>
  <c r="U22" i="10"/>
  <c r="Z20" i="10"/>
  <c r="V20" i="10"/>
  <c r="U20" i="10"/>
  <c r="Z18" i="10"/>
  <c r="V18" i="10"/>
  <c r="U18" i="10"/>
  <c r="V17" i="10"/>
  <c r="Z16" i="10"/>
  <c r="V16" i="10"/>
  <c r="U16" i="10"/>
  <c r="V15" i="10"/>
  <c r="Z14" i="10"/>
  <c r="V14" i="10"/>
  <c r="U14" i="10"/>
  <c r="V13" i="10"/>
  <c r="U13" i="10"/>
  <c r="Z12" i="10"/>
  <c r="V12" i="10"/>
  <c r="U12" i="10"/>
  <c r="V10" i="10"/>
  <c r="U10" i="10"/>
  <c r="U8" i="10"/>
  <c r="V7" i="10"/>
  <c r="V6" i="10"/>
  <c r="U6" i="10"/>
  <c r="Y49" i="9"/>
  <c r="U49" i="9"/>
  <c r="T49" i="9"/>
  <c r="X48" i="9"/>
  <c r="W48" i="9"/>
  <c r="U47" i="9"/>
  <c r="T47" i="9"/>
  <c r="U46" i="9"/>
  <c r="T46" i="9"/>
  <c r="U45" i="9"/>
  <c r="T45" i="9"/>
  <c r="U44" i="9"/>
  <c r="T44" i="9"/>
  <c r="U43" i="9"/>
  <c r="T43" i="9"/>
  <c r="U42" i="9"/>
  <c r="T42" i="9"/>
  <c r="U41" i="9"/>
  <c r="T41" i="9"/>
  <c r="U40" i="9"/>
  <c r="T40" i="9"/>
  <c r="U39" i="9"/>
  <c r="T39" i="9"/>
  <c r="Y38" i="9"/>
  <c r="U38" i="9"/>
  <c r="T38" i="9"/>
  <c r="U37" i="9"/>
  <c r="T37" i="9"/>
  <c r="Y36" i="9"/>
  <c r="U36" i="9"/>
  <c r="T36" i="9"/>
  <c r="U35" i="9"/>
  <c r="T35" i="9"/>
  <c r="Y34" i="9"/>
  <c r="U34" i="9"/>
  <c r="T34" i="9"/>
  <c r="Y33" i="9"/>
  <c r="U33" i="9"/>
  <c r="T33" i="9"/>
  <c r="X32" i="9"/>
  <c r="W32" i="9"/>
  <c r="U31" i="9"/>
  <c r="T31" i="9"/>
  <c r="U30" i="9"/>
  <c r="T30" i="9"/>
  <c r="Y29" i="9"/>
  <c r="U29" i="9"/>
  <c r="T29" i="9"/>
  <c r="Y28" i="9"/>
  <c r="U28" i="9"/>
  <c r="T28" i="9"/>
  <c r="Y27" i="9"/>
  <c r="U27" i="9"/>
  <c r="T27" i="9"/>
  <c r="Y26" i="9"/>
  <c r="U26" i="9"/>
  <c r="T26" i="9"/>
  <c r="Y25" i="9"/>
  <c r="U25" i="9"/>
  <c r="T25" i="9"/>
  <c r="Y24" i="9"/>
  <c r="U24" i="9"/>
  <c r="T24" i="9"/>
  <c r="Y23" i="9"/>
  <c r="U23" i="9"/>
  <c r="T23" i="9"/>
  <c r="Y22" i="9"/>
  <c r="U22" i="9"/>
  <c r="T22" i="9"/>
  <c r="Y21" i="9"/>
  <c r="U21" i="9"/>
  <c r="T21" i="9"/>
  <c r="U20" i="9"/>
  <c r="T20" i="9"/>
  <c r="Y19" i="9"/>
  <c r="U19" i="9"/>
  <c r="T19" i="9"/>
  <c r="U18" i="9"/>
  <c r="T18" i="9"/>
  <c r="Y17" i="9"/>
  <c r="U17" i="9"/>
  <c r="T17" i="9"/>
  <c r="Y16" i="9"/>
  <c r="U16" i="9"/>
  <c r="T16" i="9"/>
  <c r="Y15" i="9"/>
  <c r="U15" i="9"/>
  <c r="T15" i="9"/>
  <c r="Y14" i="9"/>
  <c r="U14" i="9"/>
  <c r="T14" i="9"/>
  <c r="Y13" i="9"/>
  <c r="U13" i="9"/>
  <c r="T13" i="9"/>
  <c r="Y12" i="9"/>
  <c r="U12" i="9"/>
  <c r="T12" i="9"/>
  <c r="Y11" i="9"/>
  <c r="U11" i="9"/>
  <c r="T11" i="9"/>
  <c r="Y10" i="9"/>
  <c r="U10" i="9"/>
  <c r="T10" i="9"/>
  <c r="Y9" i="9"/>
  <c r="U9" i="9"/>
  <c r="T9" i="9"/>
  <c r="Y8" i="9"/>
  <c r="U8" i="9"/>
  <c r="T8" i="9"/>
  <c r="Y7" i="9"/>
  <c r="U7" i="9"/>
  <c r="T7" i="9"/>
  <c r="Y6" i="9"/>
  <c r="U6" i="9"/>
  <c r="T6" i="9"/>
  <c r="Y5" i="9"/>
  <c r="U5" i="9"/>
  <c r="T5" i="9"/>
  <c r="Y98" i="8"/>
  <c r="X98" i="8"/>
  <c r="V97" i="8"/>
  <c r="U97" i="8"/>
  <c r="Y96" i="8"/>
  <c r="X96" i="8"/>
  <c r="V95" i="8"/>
  <c r="U95" i="8"/>
  <c r="V94" i="8"/>
  <c r="U94" i="8"/>
  <c r="V93" i="8"/>
  <c r="U93" i="8"/>
  <c r="V92" i="8"/>
  <c r="U92" i="8"/>
  <c r="V91" i="8"/>
  <c r="U91" i="8"/>
  <c r="V90" i="8"/>
  <c r="U90" i="8"/>
  <c r="V89" i="8"/>
  <c r="U89" i="8"/>
  <c r="Z88" i="8"/>
  <c r="V88" i="8"/>
  <c r="U88" i="8"/>
  <c r="Z87" i="8"/>
  <c r="V87" i="8"/>
  <c r="U87" i="8"/>
  <c r="Z86" i="8"/>
  <c r="V86" i="8"/>
  <c r="U86" i="8"/>
  <c r="Z85" i="8"/>
  <c r="V85" i="8"/>
  <c r="U85" i="8"/>
  <c r="V84" i="8"/>
  <c r="U84" i="8"/>
  <c r="V83" i="8"/>
  <c r="U83" i="8"/>
  <c r="V82" i="8"/>
  <c r="U82" i="8"/>
  <c r="V81" i="8"/>
  <c r="U81" i="8"/>
  <c r="Z80" i="8"/>
  <c r="V80" i="8"/>
  <c r="U80" i="8"/>
  <c r="Z79" i="8"/>
  <c r="V79" i="8"/>
  <c r="U79" i="8"/>
  <c r="Z78" i="8"/>
  <c r="V78" i="8"/>
  <c r="U78" i="8"/>
  <c r="V77" i="8"/>
  <c r="U77" i="8"/>
  <c r="Z76" i="8"/>
  <c r="V76" i="8"/>
  <c r="U76" i="8"/>
  <c r="Z75" i="8"/>
  <c r="V75" i="8"/>
  <c r="U75" i="8"/>
  <c r="Z74" i="8"/>
  <c r="V74" i="8"/>
  <c r="U74" i="8"/>
  <c r="Z73" i="8"/>
  <c r="V73" i="8"/>
  <c r="U73" i="8"/>
  <c r="Z72" i="8"/>
  <c r="V72" i="8"/>
  <c r="U72" i="8"/>
  <c r="V71" i="8"/>
  <c r="U71" i="8"/>
  <c r="U98" i="8" s="1"/>
  <c r="Y70" i="8"/>
  <c r="X70" i="8"/>
  <c r="V69" i="8"/>
  <c r="U69" i="8"/>
  <c r="V68" i="8"/>
  <c r="V67" i="8"/>
  <c r="U67" i="8"/>
  <c r="V66" i="8"/>
  <c r="U66" i="8"/>
  <c r="V65" i="8"/>
  <c r="U65" i="8"/>
  <c r="V64" i="8"/>
  <c r="U64" i="8"/>
  <c r="V63" i="8"/>
  <c r="U63" i="8"/>
  <c r="V62" i="8"/>
  <c r="U62" i="8"/>
  <c r="V61" i="8"/>
  <c r="U61" i="8"/>
  <c r="Z60" i="8"/>
  <c r="V60" i="8"/>
  <c r="U60" i="8"/>
  <c r="Z59" i="8"/>
  <c r="V59" i="8"/>
  <c r="U59" i="8"/>
  <c r="V58" i="8"/>
  <c r="U58" i="8"/>
  <c r="Z57" i="8"/>
  <c r="V57" i="8"/>
  <c r="U57" i="8"/>
  <c r="Z56" i="8"/>
  <c r="V56" i="8"/>
  <c r="U56" i="8"/>
  <c r="Z55" i="8"/>
  <c r="V55" i="8"/>
  <c r="U55" i="8"/>
  <c r="Z54" i="8"/>
  <c r="V54" i="8"/>
  <c r="U54" i="8"/>
  <c r="Z53" i="8"/>
  <c r="V53" i="8"/>
  <c r="U53" i="8"/>
  <c r="V52" i="8"/>
  <c r="U52" i="8"/>
  <c r="Z51" i="8"/>
  <c r="V51" i="8"/>
  <c r="U51" i="8"/>
  <c r="Z50" i="8"/>
  <c r="V50" i="8"/>
  <c r="U50" i="8"/>
  <c r="Y49" i="8"/>
  <c r="X49" i="8"/>
  <c r="V48" i="8"/>
  <c r="U48" i="8"/>
  <c r="Y47" i="8"/>
  <c r="X47" i="8"/>
  <c r="V46" i="8"/>
  <c r="U46" i="8"/>
  <c r="V45" i="8"/>
  <c r="U45" i="8"/>
  <c r="V44" i="8"/>
  <c r="U44" i="8"/>
  <c r="V43" i="8"/>
  <c r="U43" i="8"/>
  <c r="V42" i="8"/>
  <c r="U42" i="8"/>
  <c r="V41" i="8"/>
  <c r="U41" i="8"/>
  <c r="V40" i="8"/>
  <c r="U40" i="8"/>
  <c r="V39" i="8"/>
  <c r="U39" i="8"/>
  <c r="V38" i="8"/>
  <c r="U38" i="8"/>
  <c r="Z37" i="8"/>
  <c r="V37" i="8"/>
  <c r="U37" i="8"/>
  <c r="Z36" i="8"/>
  <c r="V36" i="8"/>
  <c r="U36" i="8"/>
  <c r="Z35" i="8"/>
  <c r="V35" i="8"/>
  <c r="U35" i="8"/>
  <c r="Z34" i="8"/>
  <c r="V34" i="8"/>
  <c r="U34" i="8"/>
  <c r="Z33" i="8"/>
  <c r="V33" i="8"/>
  <c r="U33" i="8"/>
  <c r="Z32" i="8"/>
  <c r="V32" i="8"/>
  <c r="U32" i="8"/>
  <c r="Z31" i="8"/>
  <c r="V31" i="8"/>
  <c r="U31" i="8"/>
  <c r="Z30" i="8"/>
  <c r="V30" i="8"/>
  <c r="U30" i="8"/>
  <c r="Z29" i="8"/>
  <c r="V29" i="8"/>
  <c r="U29" i="8"/>
  <c r="Y28" i="8"/>
  <c r="X28" i="8"/>
  <c r="V27" i="8"/>
  <c r="U27" i="8"/>
  <c r="V26" i="8"/>
  <c r="U26" i="8"/>
  <c r="V25" i="8"/>
  <c r="U25" i="8"/>
  <c r="V24" i="8"/>
  <c r="U24" i="8"/>
  <c r="V23" i="8"/>
  <c r="U23" i="8"/>
  <c r="V22" i="8"/>
  <c r="U22" i="8"/>
  <c r="V21" i="8"/>
  <c r="U21" i="8"/>
  <c r="V20" i="8"/>
  <c r="U20" i="8"/>
  <c r="Z19" i="8"/>
  <c r="V19" i="8"/>
  <c r="U19" i="8"/>
  <c r="V18" i="8"/>
  <c r="U18" i="8"/>
  <c r="V17" i="8"/>
  <c r="U17" i="8"/>
  <c r="Z16" i="8"/>
  <c r="V16" i="8"/>
  <c r="U16" i="8"/>
  <c r="Z15" i="8"/>
  <c r="V15" i="8"/>
  <c r="U15" i="8"/>
  <c r="V14" i="8"/>
  <c r="U14" i="8"/>
  <c r="Z13" i="8"/>
  <c r="V13" i="8"/>
  <c r="U13" i="8"/>
  <c r="Z12" i="8"/>
  <c r="V12" i="8"/>
  <c r="U12" i="8"/>
  <c r="Z11" i="8"/>
  <c r="V11" i="8"/>
  <c r="U11" i="8"/>
  <c r="Z10" i="8"/>
  <c r="V10" i="8"/>
  <c r="U10" i="8"/>
  <c r="Z9" i="8"/>
  <c r="V9" i="8"/>
  <c r="U9" i="8"/>
  <c r="Z8" i="8"/>
  <c r="V8" i="8"/>
  <c r="U8" i="8"/>
  <c r="Z7" i="8"/>
  <c r="V7" i="8"/>
  <c r="U7" i="8"/>
  <c r="Z6" i="8"/>
  <c r="V6" i="8"/>
  <c r="U6" i="8"/>
  <c r="Y266" i="7"/>
  <c r="U266" i="7"/>
  <c r="T266" i="7"/>
  <c r="X265" i="7"/>
  <c r="W265" i="7"/>
  <c r="U264" i="7"/>
  <c r="T264" i="7"/>
  <c r="U263" i="7"/>
  <c r="T263" i="7"/>
  <c r="U262" i="7"/>
  <c r="T262" i="7"/>
  <c r="U261" i="7"/>
  <c r="T261" i="7"/>
  <c r="Y260" i="7"/>
  <c r="U260" i="7"/>
  <c r="T260" i="7"/>
  <c r="U259" i="7"/>
  <c r="T259" i="7"/>
  <c r="Y258" i="7"/>
  <c r="U258" i="7"/>
  <c r="T258" i="7"/>
  <c r="Y257" i="7"/>
  <c r="U257" i="7"/>
  <c r="T257" i="7"/>
  <c r="Y256" i="7"/>
  <c r="U256" i="7"/>
  <c r="T256" i="7"/>
  <c r="Y255" i="7"/>
  <c r="U255" i="7"/>
  <c r="T255" i="7"/>
  <c r="V255" i="7" s="1"/>
  <c r="Y254" i="7"/>
  <c r="U254" i="7"/>
  <c r="T254" i="7"/>
  <c r="Y253" i="7"/>
  <c r="U253" i="7"/>
  <c r="T253" i="7"/>
  <c r="Y252" i="7"/>
  <c r="U252" i="7"/>
  <c r="T252" i="7"/>
  <c r="Y251" i="7"/>
  <c r="U251" i="7"/>
  <c r="T251" i="7"/>
  <c r="Y250" i="7"/>
  <c r="U250" i="7"/>
  <c r="T250" i="7"/>
  <c r="X249" i="7"/>
  <c r="W249" i="7"/>
  <c r="Y248" i="7"/>
  <c r="U248" i="7"/>
  <c r="T248" i="7"/>
  <c r="Y247" i="7"/>
  <c r="U247" i="7"/>
  <c r="T247" i="7"/>
  <c r="Y246" i="7"/>
  <c r="U246" i="7"/>
  <c r="T246" i="7"/>
  <c r="Y245" i="7"/>
  <c r="U245" i="7"/>
  <c r="T245" i="7"/>
  <c r="Y244" i="7"/>
  <c r="U244" i="7"/>
  <c r="T244" i="7"/>
  <c r="Y243" i="7"/>
  <c r="U243" i="7"/>
  <c r="T243" i="7"/>
  <c r="Y242" i="7"/>
  <c r="U242" i="7"/>
  <c r="T242" i="7"/>
  <c r="Y241" i="7"/>
  <c r="U241" i="7"/>
  <c r="T241" i="7"/>
  <c r="Y240" i="7"/>
  <c r="U240" i="7"/>
  <c r="T240" i="7"/>
  <c r="Y239" i="7"/>
  <c r="U239" i="7"/>
  <c r="T239" i="7"/>
  <c r="Y238" i="7"/>
  <c r="U238" i="7"/>
  <c r="T238" i="7"/>
  <c r="Y237" i="7"/>
  <c r="U237" i="7"/>
  <c r="T237" i="7"/>
  <c r="Y236" i="7"/>
  <c r="U236" i="7"/>
  <c r="T236" i="7"/>
  <c r="Y235" i="7"/>
  <c r="U235" i="7"/>
  <c r="T235" i="7"/>
  <c r="Y234" i="7"/>
  <c r="U234" i="7"/>
  <c r="T234" i="7"/>
  <c r="Y233" i="7"/>
  <c r="U233" i="7"/>
  <c r="T233" i="7"/>
  <c r="Y232" i="7"/>
  <c r="U232" i="7"/>
  <c r="T232" i="7"/>
  <c r="Y231" i="7"/>
  <c r="U231" i="7"/>
  <c r="T231" i="7"/>
  <c r="Y230" i="7"/>
  <c r="U230" i="7"/>
  <c r="T230" i="7"/>
  <c r="Y229" i="7"/>
  <c r="U229" i="7"/>
  <c r="T229" i="7"/>
  <c r="Y228" i="7"/>
  <c r="U228" i="7"/>
  <c r="T228" i="7"/>
  <c r="Y227" i="7"/>
  <c r="U227" i="7"/>
  <c r="T227" i="7"/>
  <c r="Y226" i="7"/>
  <c r="U226" i="7"/>
  <c r="T226" i="7"/>
  <c r="Y225" i="7"/>
  <c r="U225" i="7"/>
  <c r="T225" i="7"/>
  <c r="Y224" i="7"/>
  <c r="U224" i="7"/>
  <c r="T224" i="7"/>
  <c r="Y217" i="7"/>
  <c r="U217" i="7"/>
  <c r="T217" i="7"/>
  <c r="X216" i="7"/>
  <c r="W216" i="7"/>
  <c r="Y215" i="7"/>
  <c r="U215" i="7"/>
  <c r="T215" i="7"/>
  <c r="Y214" i="7"/>
  <c r="U214" i="7"/>
  <c r="T214" i="7"/>
  <c r="Y213" i="7"/>
  <c r="U213" i="7"/>
  <c r="T213" i="7"/>
  <c r="U212" i="7"/>
  <c r="Y211" i="7"/>
  <c r="U211" i="7"/>
  <c r="T211" i="7"/>
  <c r="Y210" i="7"/>
  <c r="U210" i="7"/>
  <c r="T210" i="7"/>
  <c r="Y209" i="7"/>
  <c r="U209" i="7"/>
  <c r="T209" i="7"/>
  <c r="U208" i="7"/>
  <c r="Y207" i="7"/>
  <c r="U207" i="7"/>
  <c r="T207" i="7"/>
  <c r="Y206" i="7"/>
  <c r="U206" i="7"/>
  <c r="T206" i="7"/>
  <c r="Y205" i="7"/>
  <c r="U205" i="7"/>
  <c r="T205" i="7"/>
  <c r="U204" i="7"/>
  <c r="Y203" i="7"/>
  <c r="U203" i="7"/>
  <c r="T203" i="7"/>
  <c r="Y202" i="7"/>
  <c r="U202" i="7"/>
  <c r="T202" i="7"/>
  <c r="W201" i="7"/>
  <c r="U200" i="7"/>
  <c r="T200" i="7"/>
  <c r="U199" i="7"/>
  <c r="T199" i="7"/>
  <c r="U198" i="7"/>
  <c r="T198" i="7"/>
  <c r="T197" i="7"/>
  <c r="Y196" i="7"/>
  <c r="U196" i="7"/>
  <c r="T196" i="7"/>
  <c r="Y195" i="7"/>
  <c r="U195" i="7"/>
  <c r="T195" i="7"/>
  <c r="Y194" i="7"/>
  <c r="U194" i="7"/>
  <c r="T194" i="7"/>
  <c r="T193" i="7"/>
  <c r="Y192" i="7"/>
  <c r="U192" i="7"/>
  <c r="T192" i="7"/>
  <c r="Y191" i="7"/>
  <c r="U191" i="7"/>
  <c r="T191" i="7"/>
  <c r="Y190" i="7"/>
  <c r="U190" i="7"/>
  <c r="T190" i="7"/>
  <c r="T189" i="7"/>
  <c r="Y188" i="7"/>
  <c r="U188" i="7"/>
  <c r="T188" i="7"/>
  <c r="Y187" i="7"/>
  <c r="U187" i="7"/>
  <c r="T187" i="7"/>
  <c r="Y186" i="7"/>
  <c r="U186" i="7"/>
  <c r="T186" i="7"/>
  <c r="T185" i="7"/>
  <c r="Y184" i="7"/>
  <c r="U184" i="7"/>
  <c r="T184" i="7"/>
  <c r="Y183" i="7"/>
  <c r="U183" i="7"/>
  <c r="T183" i="7"/>
  <c r="Y182" i="7"/>
  <c r="U182" i="7"/>
  <c r="T182" i="7"/>
  <c r="T181" i="7"/>
  <c r="Y174" i="7"/>
  <c r="U174" i="7"/>
  <c r="T174" i="7"/>
  <c r="X173" i="7"/>
  <c r="W173" i="7"/>
  <c r="U172" i="7"/>
  <c r="T172" i="7"/>
  <c r="U171" i="7"/>
  <c r="T171" i="7"/>
  <c r="U170" i="7"/>
  <c r="T170" i="7"/>
  <c r="Y169" i="7"/>
  <c r="U169" i="7"/>
  <c r="T169" i="7"/>
  <c r="Y168" i="7"/>
  <c r="U168" i="7"/>
  <c r="T168" i="7"/>
  <c r="Y167" i="7"/>
  <c r="U167" i="7"/>
  <c r="T167" i="7"/>
  <c r="Y166" i="7"/>
  <c r="U166" i="7"/>
  <c r="T166" i="7"/>
  <c r="Y165" i="7"/>
  <c r="U165" i="7"/>
  <c r="T165" i="7"/>
  <c r="Y164" i="7"/>
  <c r="U164" i="7"/>
  <c r="T164" i="7"/>
  <c r="Y163" i="7"/>
  <c r="U163" i="7"/>
  <c r="T163" i="7"/>
  <c r="Y162" i="7"/>
  <c r="U162" i="7"/>
  <c r="T162" i="7"/>
  <c r="Y161" i="7"/>
  <c r="U161" i="7"/>
  <c r="T161" i="7"/>
  <c r="Y160" i="7"/>
  <c r="U160" i="7"/>
  <c r="T160" i="7"/>
  <c r="Y159" i="7"/>
  <c r="U159" i="7"/>
  <c r="V159" i="7" s="1"/>
  <c r="T159" i="7"/>
  <c r="Y158" i="7"/>
  <c r="U158" i="7"/>
  <c r="T158" i="7"/>
  <c r="Y157" i="7"/>
  <c r="U157" i="7"/>
  <c r="V157" i="7" s="1"/>
  <c r="T157" i="7"/>
  <c r="Y156" i="7"/>
  <c r="U156" i="7"/>
  <c r="T156" i="7"/>
  <c r="X155" i="7"/>
  <c r="W155" i="7"/>
  <c r="Y154" i="7"/>
  <c r="U154" i="7"/>
  <c r="T154" i="7"/>
  <c r="Y153" i="7"/>
  <c r="U153" i="7"/>
  <c r="T153" i="7"/>
  <c r="Y152" i="7"/>
  <c r="U152" i="7"/>
  <c r="T152" i="7"/>
  <c r="U151" i="7"/>
  <c r="T151" i="7"/>
  <c r="Y150" i="7"/>
  <c r="U150" i="7"/>
  <c r="T150" i="7"/>
  <c r="U149" i="7"/>
  <c r="T149" i="7"/>
  <c r="Y148" i="7"/>
  <c r="U148" i="7"/>
  <c r="T148" i="7"/>
  <c r="Y147" i="7"/>
  <c r="U147" i="7"/>
  <c r="T147" i="7"/>
  <c r="Y146" i="7"/>
  <c r="U146" i="7"/>
  <c r="T146" i="7"/>
  <c r="Y145" i="7"/>
  <c r="U145" i="7"/>
  <c r="T145" i="7"/>
  <c r="Y144" i="7"/>
  <c r="U144" i="7"/>
  <c r="T144" i="7"/>
  <c r="Y143" i="7"/>
  <c r="U143" i="7"/>
  <c r="T143" i="7"/>
  <c r="Y142" i="7"/>
  <c r="U142" i="7"/>
  <c r="T142" i="7"/>
  <c r="Y141" i="7"/>
  <c r="U141" i="7"/>
  <c r="T141" i="7"/>
  <c r="Y140" i="7"/>
  <c r="U140" i="7"/>
  <c r="T140" i="7"/>
  <c r="Y139" i="7"/>
  <c r="U139" i="7"/>
  <c r="T139" i="7"/>
  <c r="Y138" i="7"/>
  <c r="U138" i="7"/>
  <c r="T138" i="7"/>
  <c r="Y131" i="7"/>
  <c r="U131" i="7"/>
  <c r="T131" i="7"/>
  <c r="X130" i="7"/>
  <c r="W130" i="7"/>
  <c r="U129" i="7"/>
  <c r="T129" i="7"/>
  <c r="U128" i="7"/>
  <c r="T128" i="7"/>
  <c r="U127" i="7"/>
  <c r="T127" i="7"/>
  <c r="Y126" i="7"/>
  <c r="U126" i="7"/>
  <c r="T126" i="7"/>
  <c r="U125" i="7"/>
  <c r="V125" i="7" s="1"/>
  <c r="T125" i="7"/>
  <c r="U124" i="7"/>
  <c r="T124" i="7"/>
  <c r="U123" i="7"/>
  <c r="T123" i="7"/>
  <c r="Y122" i="7"/>
  <c r="U122" i="7"/>
  <c r="T122" i="7"/>
  <c r="Y121" i="7"/>
  <c r="U121" i="7"/>
  <c r="T121" i="7"/>
  <c r="Y120" i="7"/>
  <c r="U120" i="7"/>
  <c r="T120" i="7"/>
  <c r="Y119" i="7"/>
  <c r="U119" i="7"/>
  <c r="T119" i="7"/>
  <c r="Y118" i="7"/>
  <c r="U118" i="7"/>
  <c r="T118" i="7"/>
  <c r="Y117" i="7"/>
  <c r="U117" i="7"/>
  <c r="T117" i="7"/>
  <c r="Y116" i="7"/>
  <c r="U116" i="7"/>
  <c r="T116" i="7"/>
  <c r="Y115" i="7"/>
  <c r="U115" i="7"/>
  <c r="T115" i="7"/>
  <c r="X114" i="7"/>
  <c r="W114" i="7"/>
  <c r="U113" i="7"/>
  <c r="T113" i="7"/>
  <c r="U112" i="7"/>
  <c r="T112" i="7"/>
  <c r="Y111" i="7"/>
  <c r="U111" i="7"/>
  <c r="T111" i="7"/>
  <c r="U110" i="7"/>
  <c r="T110" i="7"/>
  <c r="V110" i="7" s="1"/>
  <c r="Y109" i="7"/>
  <c r="U109" i="7"/>
  <c r="T109" i="7"/>
  <c r="U108" i="7"/>
  <c r="T108" i="7"/>
  <c r="Y107" i="7"/>
  <c r="U107" i="7"/>
  <c r="T107" i="7"/>
  <c r="Y106" i="7"/>
  <c r="U106" i="7"/>
  <c r="T106" i="7"/>
  <c r="Y105" i="7"/>
  <c r="U105" i="7"/>
  <c r="T105" i="7"/>
  <c r="U104" i="7"/>
  <c r="T104" i="7"/>
  <c r="U103" i="7"/>
  <c r="T103" i="7"/>
  <c r="Y102" i="7"/>
  <c r="U102" i="7"/>
  <c r="T102" i="7"/>
  <c r="Y101" i="7"/>
  <c r="U101" i="7"/>
  <c r="T101" i="7"/>
  <c r="Y100" i="7"/>
  <c r="U100" i="7"/>
  <c r="T100" i="7"/>
  <c r="Y99" i="7"/>
  <c r="U99" i="7"/>
  <c r="T99" i="7"/>
  <c r="Y98" i="7"/>
  <c r="U98" i="7"/>
  <c r="T98" i="7"/>
  <c r="Y97" i="7"/>
  <c r="U97" i="7"/>
  <c r="T97" i="7"/>
  <c r="Y96" i="7"/>
  <c r="U96" i="7"/>
  <c r="T96" i="7"/>
  <c r="Y95" i="7"/>
  <c r="U95" i="7"/>
  <c r="T95" i="7"/>
  <c r="Y94" i="7"/>
  <c r="U94" i="7"/>
  <c r="T94" i="7"/>
  <c r="Y93" i="7"/>
  <c r="U93" i="7"/>
  <c r="T93" i="7"/>
  <c r="Y92" i="7"/>
  <c r="U92" i="7"/>
  <c r="T92" i="7"/>
  <c r="Y91" i="7"/>
  <c r="U91" i="7"/>
  <c r="T91" i="7"/>
  <c r="Y90" i="7"/>
  <c r="U90" i="7"/>
  <c r="T90" i="7"/>
  <c r="Y89" i="7"/>
  <c r="U89" i="7"/>
  <c r="T89" i="7"/>
  <c r="Y82" i="7"/>
  <c r="U82" i="7"/>
  <c r="T82" i="7"/>
  <c r="X81" i="7"/>
  <c r="W81" i="7"/>
  <c r="U80" i="7"/>
  <c r="T80" i="7"/>
  <c r="U79" i="7"/>
  <c r="T79" i="7"/>
  <c r="U78" i="7"/>
  <c r="T78" i="7"/>
  <c r="Y77" i="7"/>
  <c r="U77" i="7"/>
  <c r="T77" i="7"/>
  <c r="U76" i="7"/>
  <c r="T76" i="7"/>
  <c r="U75" i="7"/>
  <c r="T75" i="7"/>
  <c r="Y74" i="7"/>
  <c r="U74" i="7"/>
  <c r="T74" i="7"/>
  <c r="Y73" i="7"/>
  <c r="U73" i="7"/>
  <c r="T73" i="7"/>
  <c r="Y72" i="7"/>
  <c r="U72" i="7"/>
  <c r="T72" i="7"/>
  <c r="Y71" i="7"/>
  <c r="U71" i="7"/>
  <c r="T71" i="7"/>
  <c r="Y70" i="7"/>
  <c r="U70" i="7"/>
  <c r="T70" i="7"/>
  <c r="Y69" i="7"/>
  <c r="U69" i="7"/>
  <c r="T69" i="7"/>
  <c r="Y68" i="7"/>
  <c r="U68" i="7"/>
  <c r="T68" i="7"/>
  <c r="Y67" i="7"/>
  <c r="U67" i="7"/>
  <c r="T67" i="7"/>
  <c r="Y66" i="7"/>
  <c r="U66" i="7"/>
  <c r="T66" i="7"/>
  <c r="U65" i="7"/>
  <c r="T65" i="7"/>
  <c r="Y64" i="7"/>
  <c r="U64" i="7"/>
  <c r="T64" i="7"/>
  <c r="Y63" i="7"/>
  <c r="U63" i="7"/>
  <c r="T63" i="7"/>
  <c r="X62" i="7"/>
  <c r="W62" i="7"/>
  <c r="U61" i="7"/>
  <c r="T61" i="7"/>
  <c r="U60" i="7"/>
  <c r="T60" i="7"/>
  <c r="Y59" i="7"/>
  <c r="U59" i="7"/>
  <c r="T59" i="7"/>
  <c r="U58" i="7"/>
  <c r="T58" i="7"/>
  <c r="Y57" i="7"/>
  <c r="U57" i="7"/>
  <c r="T57" i="7"/>
  <c r="Y56" i="7"/>
  <c r="U56" i="7"/>
  <c r="T56" i="7"/>
  <c r="Y55" i="7"/>
  <c r="U55" i="7"/>
  <c r="T55" i="7"/>
  <c r="Y54" i="7"/>
  <c r="U54" i="7"/>
  <c r="T54" i="7"/>
  <c r="Y53" i="7"/>
  <c r="U53" i="7"/>
  <c r="T53" i="7"/>
  <c r="Y52" i="7"/>
  <c r="U52" i="7"/>
  <c r="T52" i="7"/>
  <c r="Y51" i="7"/>
  <c r="U51" i="7"/>
  <c r="T51" i="7"/>
  <c r="Y50" i="7"/>
  <c r="U50" i="7"/>
  <c r="T50" i="7"/>
  <c r="Y49" i="7"/>
  <c r="U49" i="7"/>
  <c r="T49" i="7"/>
  <c r="Y48" i="7"/>
  <c r="U48" i="7"/>
  <c r="T48" i="7"/>
  <c r="Y47" i="7"/>
  <c r="U47" i="7"/>
  <c r="T47" i="7"/>
  <c r="Y46" i="7"/>
  <c r="U46" i="7"/>
  <c r="T46" i="7"/>
  <c r="Y45" i="7"/>
  <c r="U45" i="7"/>
  <c r="T45" i="7"/>
  <c r="Y44" i="7"/>
  <c r="U44" i="7"/>
  <c r="T44" i="7"/>
  <c r="Y43" i="7"/>
  <c r="U43" i="7"/>
  <c r="T43" i="7"/>
  <c r="Y42" i="7"/>
  <c r="U42" i="7"/>
  <c r="T42" i="7"/>
  <c r="Y35" i="7"/>
  <c r="U35" i="7"/>
  <c r="T35" i="7"/>
  <c r="X34" i="7"/>
  <c r="W34" i="7"/>
  <c r="U33" i="7"/>
  <c r="T33" i="7"/>
  <c r="U32" i="7"/>
  <c r="T32" i="7"/>
  <c r="U31" i="7"/>
  <c r="T31" i="7"/>
  <c r="U30" i="7"/>
  <c r="T30" i="7"/>
  <c r="U29" i="7"/>
  <c r="T29" i="7"/>
  <c r="Y28" i="7"/>
  <c r="U28" i="7"/>
  <c r="T28" i="7"/>
  <c r="Y27" i="7"/>
  <c r="U27" i="7"/>
  <c r="T27" i="7"/>
  <c r="Y26" i="7"/>
  <c r="U26" i="7"/>
  <c r="T26" i="7"/>
  <c r="Y25" i="7"/>
  <c r="U25" i="7"/>
  <c r="T25" i="7"/>
  <c r="Y24" i="7"/>
  <c r="U24" i="7"/>
  <c r="T24" i="7"/>
  <c r="U23" i="7"/>
  <c r="T23" i="7"/>
  <c r="Y22" i="7"/>
  <c r="U22" i="7"/>
  <c r="T22" i="7"/>
  <c r="Y21" i="7"/>
  <c r="U21" i="7"/>
  <c r="T21" i="7"/>
  <c r="Y20" i="7"/>
  <c r="U20" i="7"/>
  <c r="T20" i="7"/>
  <c r="Y19" i="7"/>
  <c r="U19" i="7"/>
  <c r="T19" i="7"/>
  <c r="Y18" i="7"/>
  <c r="U18" i="7"/>
  <c r="T18" i="7"/>
  <c r="X17" i="7"/>
  <c r="W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Y9" i="7"/>
  <c r="U9" i="7"/>
  <c r="T9" i="7"/>
  <c r="Y8" i="7"/>
  <c r="U8" i="7"/>
  <c r="T8" i="7"/>
  <c r="Y7" i="7"/>
  <c r="U7" i="7"/>
  <c r="T7" i="7"/>
  <c r="Y6" i="7"/>
  <c r="U6" i="7"/>
  <c r="T6" i="7"/>
  <c r="Y5" i="7"/>
  <c r="U5" i="7"/>
  <c r="T5" i="7"/>
  <c r="AE113" i="24"/>
  <c r="AE89" i="22"/>
  <c r="AE90" i="22"/>
  <c r="AE93" i="22"/>
  <c r="AE94" i="22"/>
  <c r="AE101" i="22"/>
  <c r="AE102" i="22"/>
  <c r="AE109" i="22"/>
  <c r="AE110" i="22"/>
  <c r="AE113" i="22"/>
  <c r="AE114" i="22"/>
  <c r="AE115" i="22"/>
  <c r="AE117" i="22"/>
  <c r="AE115" i="24"/>
  <c r="AE116" i="24"/>
  <c r="AE117" i="24"/>
  <c r="W118" i="22"/>
  <c r="AE111" i="24"/>
  <c r="S118" i="24"/>
  <c r="O118" i="24"/>
  <c r="K118" i="24"/>
  <c r="AE109" i="24"/>
  <c r="G118" i="24"/>
  <c r="G118" i="22"/>
  <c r="C118" i="24"/>
  <c r="AD102" i="24"/>
  <c r="AD104" i="24"/>
  <c r="AD108" i="24"/>
  <c r="AD114" i="24"/>
  <c r="AD116" i="24"/>
  <c r="Z118" i="24"/>
  <c r="Z118" i="22"/>
  <c r="AD115" i="22"/>
  <c r="AD117" i="22"/>
  <c r="AD113" i="24"/>
  <c r="AD100" i="22"/>
  <c r="R118" i="22"/>
  <c r="AD108" i="22"/>
  <c r="AD110" i="22"/>
  <c r="AD116" i="22"/>
  <c r="AD111" i="24"/>
  <c r="N118" i="24"/>
  <c r="AD110" i="24"/>
  <c r="AD117" i="24"/>
  <c r="J118" i="24"/>
  <c r="AD106" i="24"/>
  <c r="AD112" i="24"/>
  <c r="F118" i="24"/>
  <c r="AD111" i="22"/>
  <c r="AD114" i="22"/>
  <c r="F118" i="22"/>
  <c r="B118" i="22"/>
  <c r="AD95" i="22"/>
  <c r="AD99" i="22"/>
  <c r="AD103" i="22"/>
  <c r="AD107" i="22"/>
  <c r="AH119" i="24"/>
  <c r="AF119" i="24"/>
  <c r="AE119" i="24"/>
  <c r="AD119" i="24"/>
  <c r="AC118" i="24"/>
  <c r="AB118" i="24"/>
  <c r="Y118" i="24"/>
  <c r="W118" i="24"/>
  <c r="V118" i="24"/>
  <c r="U118" i="24"/>
  <c r="T118" i="24"/>
  <c r="R118" i="24"/>
  <c r="Q118" i="24"/>
  <c r="M118" i="24"/>
  <c r="L118" i="24"/>
  <c r="I118" i="24"/>
  <c r="H118" i="24"/>
  <c r="E118" i="24"/>
  <c r="AH117" i="24"/>
  <c r="AH116" i="24"/>
  <c r="AF116" i="24"/>
  <c r="AH115" i="24"/>
  <c r="AD115" i="24"/>
  <c r="AH114" i="24"/>
  <c r="AE114" i="24"/>
  <c r="AH113" i="24"/>
  <c r="AH112" i="24"/>
  <c r="AF112" i="24"/>
  <c r="AE112" i="24"/>
  <c r="AH111" i="24"/>
  <c r="AF111" i="24"/>
  <c r="AH110" i="24"/>
  <c r="AE110" i="24"/>
  <c r="AH109" i="24"/>
  <c r="AD109" i="24"/>
  <c r="AH108" i="24"/>
  <c r="AF108" i="24"/>
  <c r="AE108" i="24"/>
  <c r="AH107" i="24"/>
  <c r="AF107" i="24"/>
  <c r="AE107" i="24"/>
  <c r="AD107" i="24"/>
  <c r="AH106" i="24"/>
  <c r="AE106" i="24"/>
  <c r="AH105" i="24"/>
  <c r="AE105" i="24"/>
  <c r="AD105" i="24"/>
  <c r="AH104" i="24"/>
  <c r="AF104" i="24"/>
  <c r="AE104" i="24"/>
  <c r="AH103" i="24"/>
  <c r="AE103" i="24"/>
  <c r="AD103" i="24"/>
  <c r="AH102" i="24"/>
  <c r="AF102" i="24"/>
  <c r="AE102" i="24"/>
  <c r="AH101" i="24"/>
  <c r="AE101" i="24"/>
  <c r="AD101" i="24"/>
  <c r="AH100" i="24"/>
  <c r="AF100" i="24"/>
  <c r="AE100" i="24"/>
  <c r="AD100" i="24"/>
  <c r="AH99" i="24"/>
  <c r="AF99" i="24"/>
  <c r="AE99" i="24"/>
  <c r="AD99" i="24"/>
  <c r="AH98" i="24"/>
  <c r="AE98" i="24"/>
  <c r="AD98" i="24"/>
  <c r="AH97" i="24"/>
  <c r="AE97" i="24"/>
  <c r="AD97" i="24"/>
  <c r="AH96" i="24"/>
  <c r="AF96" i="24"/>
  <c r="AE96" i="24"/>
  <c r="AD96" i="24"/>
  <c r="AH95" i="24"/>
  <c r="AE95" i="24"/>
  <c r="AD95" i="24"/>
  <c r="AH94" i="24"/>
  <c r="AE94" i="24"/>
  <c r="AD94" i="24"/>
  <c r="AH93" i="24"/>
  <c r="AE93" i="24"/>
  <c r="AD93" i="24"/>
  <c r="AH92" i="24"/>
  <c r="AF92" i="24"/>
  <c r="AE92" i="24"/>
  <c r="AD92" i="24"/>
  <c r="AH91" i="24"/>
  <c r="AF91" i="24"/>
  <c r="AE91" i="24"/>
  <c r="AD91" i="24"/>
  <c r="AH90" i="24"/>
  <c r="AE90" i="24"/>
  <c r="AD90" i="24"/>
  <c r="AH89" i="24"/>
  <c r="AE89" i="24"/>
  <c r="AD89" i="24"/>
  <c r="AH88" i="24"/>
  <c r="AH119" i="22"/>
  <c r="AF119" i="22"/>
  <c r="AE119" i="22"/>
  <c r="AD119" i="22"/>
  <c r="AC118" i="22"/>
  <c r="AB118" i="22"/>
  <c r="Y118" i="22"/>
  <c r="X118" i="22"/>
  <c r="V118" i="22"/>
  <c r="U118" i="22"/>
  <c r="T118" i="22"/>
  <c r="Q118" i="22"/>
  <c r="P118" i="22"/>
  <c r="N118" i="22"/>
  <c r="M118" i="22"/>
  <c r="L118" i="22"/>
  <c r="I118" i="22"/>
  <c r="H118" i="22"/>
  <c r="D118" i="22"/>
  <c r="AH117" i="22"/>
  <c r="AF117" i="22"/>
  <c r="AH116" i="22"/>
  <c r="AF116" i="22"/>
  <c r="AE116" i="22"/>
  <c r="AF115" i="22"/>
  <c r="AF114" i="22"/>
  <c r="AH113" i="22"/>
  <c r="AF113" i="22"/>
  <c r="AD113" i="22"/>
  <c r="AH112" i="22"/>
  <c r="AF112" i="22"/>
  <c r="AE112" i="22"/>
  <c r="AD112" i="22"/>
  <c r="AH111" i="22"/>
  <c r="AF111" i="22"/>
  <c r="AE111" i="22"/>
  <c r="AF110" i="22"/>
  <c r="AH109" i="22"/>
  <c r="AF109" i="22"/>
  <c r="AD109" i="22"/>
  <c r="AH108" i="22"/>
  <c r="AF108" i="22"/>
  <c r="AE108" i="22"/>
  <c r="AH107" i="22"/>
  <c r="AF107" i="22"/>
  <c r="AE107" i="22"/>
  <c r="AH106" i="22"/>
  <c r="AF106" i="22"/>
  <c r="AE106" i="22"/>
  <c r="AD106" i="22"/>
  <c r="AH105" i="22"/>
  <c r="AF105" i="22"/>
  <c r="AE105" i="22"/>
  <c r="AD105" i="22"/>
  <c r="AH104" i="22"/>
  <c r="AF104" i="22"/>
  <c r="AE104" i="22"/>
  <c r="AH103" i="22"/>
  <c r="AF103" i="22"/>
  <c r="AE103" i="22"/>
  <c r="AF102" i="22"/>
  <c r="AD102" i="22"/>
  <c r="AH101" i="22"/>
  <c r="AF101" i="22"/>
  <c r="AD101" i="22"/>
  <c r="AH100" i="22"/>
  <c r="AF100" i="22"/>
  <c r="AE100" i="22"/>
  <c r="AH99" i="22"/>
  <c r="AF99" i="22"/>
  <c r="AE99" i="22"/>
  <c r="AH98" i="22"/>
  <c r="AF98" i="22"/>
  <c r="AE98" i="22"/>
  <c r="AD98" i="22"/>
  <c r="AH97" i="22"/>
  <c r="AF97" i="22"/>
  <c r="AE97" i="22"/>
  <c r="AD97" i="22"/>
  <c r="AH96" i="22"/>
  <c r="AF96" i="22"/>
  <c r="AE96" i="22"/>
  <c r="AD96" i="22"/>
  <c r="AH95" i="22"/>
  <c r="AF95" i="22"/>
  <c r="AE95" i="22"/>
  <c r="AH94" i="22"/>
  <c r="AF94" i="22"/>
  <c r="AD94" i="22"/>
  <c r="AH93" i="22"/>
  <c r="AF93" i="22"/>
  <c r="AD93" i="22"/>
  <c r="AH92" i="22"/>
  <c r="AF92" i="22"/>
  <c r="AE92" i="22"/>
  <c r="AD92" i="22"/>
  <c r="AH91" i="22"/>
  <c r="AF91" i="22"/>
  <c r="AE91" i="22"/>
  <c r="AH90" i="22"/>
  <c r="AF90" i="22"/>
  <c r="AD90" i="22"/>
  <c r="AH89" i="22"/>
  <c r="AF89" i="22"/>
  <c r="AD89" i="22"/>
  <c r="AH88" i="22"/>
  <c r="AF88" i="22"/>
  <c r="AT20" i="12"/>
  <c r="Z40" i="2"/>
  <c r="Z61" i="2" s="1"/>
  <c r="Z39" i="2"/>
  <c r="Z40" i="1"/>
  <c r="Z39" i="1"/>
  <c r="Z10" i="2"/>
  <c r="Z31" i="2" s="1"/>
  <c r="Z9" i="2"/>
  <c r="Z30" i="2" s="1"/>
  <c r="Z10" i="1"/>
  <c r="Z9" i="1"/>
  <c r="AY65" i="12"/>
  <c r="AW65" i="12"/>
  <c r="AR65" i="12"/>
  <c r="AP65" i="12"/>
  <c r="AO65" i="12"/>
  <c r="AS65" i="12" s="1"/>
  <c r="AN65" i="12"/>
  <c r="AY64" i="12"/>
  <c r="AW64" i="12"/>
  <c r="AR64" i="12"/>
  <c r="AP64" i="12"/>
  <c r="AO64" i="12"/>
  <c r="AN64" i="12"/>
  <c r="AX59" i="12"/>
  <c r="AV59" i="12"/>
  <c r="AU59" i="12"/>
  <c r="AT59" i="12"/>
  <c r="AX58" i="12"/>
  <c r="AV58" i="12"/>
  <c r="AU58" i="12"/>
  <c r="AT58" i="12"/>
  <c r="AX57" i="12"/>
  <c r="AV57" i="12"/>
  <c r="AU57" i="12"/>
  <c r="AT57" i="12"/>
  <c r="AX56" i="12"/>
  <c r="AV56" i="12"/>
  <c r="AU56" i="12"/>
  <c r="AT56" i="12"/>
  <c r="AY55" i="12"/>
  <c r="AW55" i="12"/>
  <c r="AR55" i="12"/>
  <c r="AP55" i="12"/>
  <c r="AO55" i="12"/>
  <c r="AN55" i="12"/>
  <c r="AY54" i="12"/>
  <c r="AW54" i="12"/>
  <c r="AR54" i="12"/>
  <c r="AP54" i="12"/>
  <c r="AO54" i="12"/>
  <c r="AN54" i="12"/>
  <c r="AX53" i="12"/>
  <c r="AV53" i="12"/>
  <c r="AU53" i="12"/>
  <c r="AT53" i="12"/>
  <c r="AX52" i="12"/>
  <c r="AV52" i="12"/>
  <c r="AU52" i="12"/>
  <c r="AT52" i="12"/>
  <c r="AY51" i="12"/>
  <c r="AW51" i="12"/>
  <c r="AR51" i="12"/>
  <c r="AP51" i="12"/>
  <c r="AO51" i="12"/>
  <c r="AN51" i="12"/>
  <c r="AY50" i="12"/>
  <c r="AW50" i="12"/>
  <c r="AR50" i="12"/>
  <c r="AP50" i="12"/>
  <c r="AO50" i="12"/>
  <c r="AN50" i="12"/>
  <c r="AY49" i="12"/>
  <c r="AW49" i="12"/>
  <c r="AR49" i="12"/>
  <c r="AR53" i="12" s="1"/>
  <c r="AP49" i="12"/>
  <c r="AP53" i="12" s="1"/>
  <c r="AO49" i="12"/>
  <c r="AO53" i="12" s="1"/>
  <c r="AN49" i="12"/>
  <c r="AN53" i="12" s="1"/>
  <c r="AY48" i="12"/>
  <c r="AW48" i="12"/>
  <c r="AR48" i="12"/>
  <c r="AR52" i="12" s="1"/>
  <c r="AP48" i="12"/>
  <c r="AP52" i="12" s="1"/>
  <c r="AO48" i="12"/>
  <c r="AO52" i="12" s="1"/>
  <c r="AN48" i="12"/>
  <c r="AN52" i="12" s="1"/>
  <c r="AY47" i="12"/>
  <c r="AW47" i="12"/>
  <c r="AR47" i="12"/>
  <c r="AP47" i="12"/>
  <c r="AO47" i="12"/>
  <c r="AS47" i="12" s="1"/>
  <c r="AN47" i="12"/>
  <c r="AY46" i="12"/>
  <c r="AW46" i="12"/>
  <c r="AR46" i="12"/>
  <c r="AP46" i="12"/>
  <c r="AO46" i="12"/>
  <c r="AN46" i="12"/>
  <c r="AX45" i="12"/>
  <c r="AV45" i="12"/>
  <c r="AU45" i="12"/>
  <c r="AT45" i="12"/>
  <c r="AX44" i="12"/>
  <c r="AV44" i="12"/>
  <c r="AU44" i="12"/>
  <c r="AT44" i="12"/>
  <c r="AY43" i="12"/>
  <c r="AW43" i="12"/>
  <c r="AR43" i="12"/>
  <c r="AP43" i="12"/>
  <c r="AO43" i="12"/>
  <c r="AN43" i="12"/>
  <c r="AY42" i="12"/>
  <c r="AW42" i="12"/>
  <c r="AR42" i="12"/>
  <c r="AS42" i="12" s="1"/>
  <c r="AP42" i="12"/>
  <c r="AO42" i="12"/>
  <c r="AN42" i="12"/>
  <c r="AY41" i="12"/>
  <c r="AW41" i="12"/>
  <c r="AR41" i="12"/>
  <c r="AR45" i="12" s="1"/>
  <c r="AP41" i="12"/>
  <c r="AP45" i="12" s="1"/>
  <c r="AO41" i="12"/>
  <c r="AO45" i="12" s="1"/>
  <c r="AN41" i="12"/>
  <c r="AN45" i="12" s="1"/>
  <c r="AY40" i="12"/>
  <c r="AW40" i="12"/>
  <c r="AR40" i="12"/>
  <c r="AR44" i="12" s="1"/>
  <c r="AP40" i="12"/>
  <c r="AP44" i="12" s="1"/>
  <c r="AO40" i="12"/>
  <c r="AO44" i="12" s="1"/>
  <c r="AN40" i="12"/>
  <c r="AN44" i="12" s="1"/>
  <c r="AY39" i="12"/>
  <c r="AW39" i="12"/>
  <c r="AR39" i="12"/>
  <c r="AP39" i="12"/>
  <c r="AO39" i="12"/>
  <c r="AN39" i="12"/>
  <c r="AY38" i="12"/>
  <c r="AW38" i="12"/>
  <c r="AR38" i="12"/>
  <c r="AP38" i="12"/>
  <c r="AO38" i="12"/>
  <c r="AN38" i="12"/>
  <c r="AX37" i="12"/>
  <c r="AV37" i="12"/>
  <c r="AU37" i="12"/>
  <c r="AT37" i="12"/>
  <c r="AX36" i="12"/>
  <c r="AV36" i="12"/>
  <c r="AU36" i="12"/>
  <c r="AT36" i="12"/>
  <c r="AY35" i="12"/>
  <c r="AW35" i="12"/>
  <c r="AR35" i="12"/>
  <c r="AP35" i="12"/>
  <c r="AO35" i="12"/>
  <c r="AN35" i="12"/>
  <c r="AY34" i="12"/>
  <c r="AW34" i="12"/>
  <c r="AR34" i="12"/>
  <c r="AP34" i="12"/>
  <c r="AO34" i="12"/>
  <c r="AN34" i="12"/>
  <c r="AY33" i="12"/>
  <c r="AW33" i="12"/>
  <c r="AR33" i="12"/>
  <c r="AR37" i="12" s="1"/>
  <c r="AP33" i="12"/>
  <c r="AP37" i="12" s="1"/>
  <c r="AO33" i="12"/>
  <c r="AO37" i="12" s="1"/>
  <c r="AN33" i="12"/>
  <c r="AN37" i="12" s="1"/>
  <c r="AY32" i="12"/>
  <c r="AW32" i="12"/>
  <c r="AR32" i="12"/>
  <c r="AR36" i="12" s="1"/>
  <c r="AP32" i="12"/>
  <c r="AP36" i="12" s="1"/>
  <c r="AO32" i="12"/>
  <c r="AO36" i="12" s="1"/>
  <c r="AN32" i="12"/>
  <c r="AN36" i="12" s="1"/>
  <c r="AY31" i="12"/>
  <c r="AW31" i="12"/>
  <c r="AR31" i="12"/>
  <c r="AP31" i="12"/>
  <c r="AO31" i="12"/>
  <c r="AN31" i="12"/>
  <c r="AY30" i="12"/>
  <c r="AW30" i="12"/>
  <c r="AR30" i="12"/>
  <c r="AS30" i="12" s="1"/>
  <c r="AP30" i="12"/>
  <c r="AO30" i="12"/>
  <c r="AN30" i="12"/>
  <c r="AX29" i="12"/>
  <c r="AV29" i="12"/>
  <c r="AU29" i="12"/>
  <c r="AT29" i="12"/>
  <c r="AX28" i="12"/>
  <c r="AV28" i="12"/>
  <c r="AU28" i="12"/>
  <c r="AT28" i="12"/>
  <c r="AY27" i="12"/>
  <c r="AW27" i="12"/>
  <c r="AR27" i="12"/>
  <c r="AP27" i="12"/>
  <c r="AO27" i="12"/>
  <c r="AN27" i="12"/>
  <c r="AY26" i="12"/>
  <c r="AW26" i="12"/>
  <c r="AR26" i="12"/>
  <c r="AP26" i="12"/>
  <c r="AO26" i="12"/>
  <c r="AN26" i="12"/>
  <c r="AY25" i="12"/>
  <c r="AW25" i="12"/>
  <c r="AR25" i="12"/>
  <c r="AR29" i="12" s="1"/>
  <c r="AP25" i="12"/>
  <c r="AP29" i="12" s="1"/>
  <c r="AO25" i="12"/>
  <c r="AO29" i="12" s="1"/>
  <c r="AN25" i="12"/>
  <c r="AN29" i="12" s="1"/>
  <c r="AY24" i="12"/>
  <c r="AW24" i="12"/>
  <c r="AR24" i="12"/>
  <c r="AR28" i="12" s="1"/>
  <c r="AP24" i="12"/>
  <c r="AP28" i="12" s="1"/>
  <c r="AO24" i="12"/>
  <c r="AO28" i="12" s="1"/>
  <c r="AN24" i="12"/>
  <c r="AN28" i="12" s="1"/>
  <c r="AY23" i="12"/>
  <c r="AW23" i="12"/>
  <c r="AR23" i="12"/>
  <c r="AP23" i="12"/>
  <c r="AO23" i="12"/>
  <c r="AN23" i="12"/>
  <c r="AY22" i="12"/>
  <c r="AW22" i="12"/>
  <c r="AR22" i="12"/>
  <c r="AS22" i="12" s="1"/>
  <c r="AP22" i="12"/>
  <c r="AO22" i="12"/>
  <c r="AN22" i="12"/>
  <c r="AX21" i="12"/>
  <c r="AV21" i="12"/>
  <c r="AU21" i="12"/>
  <c r="AT21" i="12"/>
  <c r="AX20" i="12"/>
  <c r="AV20" i="12"/>
  <c r="AU20" i="12"/>
  <c r="AY19" i="12"/>
  <c r="AW19" i="12"/>
  <c r="AR19" i="12"/>
  <c r="AP19" i="12"/>
  <c r="AO19" i="12"/>
  <c r="AN19" i="12"/>
  <c r="AY18" i="12"/>
  <c r="AW18" i="12"/>
  <c r="AR18" i="12"/>
  <c r="AP18" i="12"/>
  <c r="AO18" i="12"/>
  <c r="AN18" i="12"/>
  <c r="AY17" i="12"/>
  <c r="AW17" i="12"/>
  <c r="AR17" i="12"/>
  <c r="AP17" i="12"/>
  <c r="AO17" i="12"/>
  <c r="AN17" i="12"/>
  <c r="AY16" i="12"/>
  <c r="AW16" i="12"/>
  <c r="AR16" i="12"/>
  <c r="AP16" i="12"/>
  <c r="AO16" i="12"/>
  <c r="AN16" i="12"/>
  <c r="AN20" i="12" s="1"/>
  <c r="AY15" i="12"/>
  <c r="AW15" i="12"/>
  <c r="AR15" i="12"/>
  <c r="AP15" i="12"/>
  <c r="AO15" i="12"/>
  <c r="AN15" i="12"/>
  <c r="AY14" i="12"/>
  <c r="AW14" i="12"/>
  <c r="AR14" i="12"/>
  <c r="AP14" i="12"/>
  <c r="AQ14" i="12" s="1"/>
  <c r="AO14" i="12"/>
  <c r="AN14" i="12"/>
  <c r="AX13" i="12"/>
  <c r="AV13" i="12"/>
  <c r="AU13" i="12"/>
  <c r="AT13" i="12"/>
  <c r="AX12" i="12"/>
  <c r="AV12" i="12"/>
  <c r="AU12" i="12"/>
  <c r="AT12" i="12"/>
  <c r="AY11" i="12"/>
  <c r="AW11" i="12"/>
  <c r="AR11" i="12"/>
  <c r="AP11" i="12"/>
  <c r="AO11" i="12"/>
  <c r="AN11" i="12"/>
  <c r="AY10" i="12"/>
  <c r="AW10" i="12"/>
  <c r="AR10" i="12"/>
  <c r="AP10" i="12"/>
  <c r="AO10" i="12"/>
  <c r="AN10" i="12"/>
  <c r="AY9" i="12"/>
  <c r="AW9" i="12"/>
  <c r="AR9" i="12"/>
  <c r="AP9" i="12"/>
  <c r="AO9" i="12"/>
  <c r="AN9" i="12"/>
  <c r="AY8" i="12"/>
  <c r="AW8" i="12"/>
  <c r="AR8" i="12"/>
  <c r="AP8" i="12"/>
  <c r="AO8" i="12"/>
  <c r="AN8" i="12"/>
  <c r="AA106" i="2"/>
  <c r="Z106" i="2"/>
  <c r="AA105" i="2"/>
  <c r="Z105" i="2"/>
  <c r="AA104" i="2"/>
  <c r="Z104" i="2"/>
  <c r="AB103" i="2"/>
  <c r="X103" i="2"/>
  <c r="W103" i="2"/>
  <c r="AB102" i="2"/>
  <c r="X102" i="2"/>
  <c r="W102" i="2"/>
  <c r="AA101" i="2"/>
  <c r="Z101" i="2"/>
  <c r="AB100" i="2"/>
  <c r="X100" i="2"/>
  <c r="W100" i="2"/>
  <c r="AB99" i="2"/>
  <c r="X99" i="2"/>
  <c r="W99" i="2"/>
  <c r="AA97" i="2"/>
  <c r="Z97" i="2"/>
  <c r="AA96" i="2"/>
  <c r="Z96" i="2"/>
  <c r="AA95" i="2"/>
  <c r="Z95" i="2"/>
  <c r="AB94" i="2"/>
  <c r="X94" i="2"/>
  <c r="X97" i="2" s="1"/>
  <c r="W94" i="2"/>
  <c r="W97" i="2" s="1"/>
  <c r="AB93" i="2"/>
  <c r="X93" i="2"/>
  <c r="X96" i="2" s="1"/>
  <c r="W93" i="2"/>
  <c r="W96" i="2" s="1"/>
  <c r="AA92" i="2"/>
  <c r="Z92" i="2"/>
  <c r="AB91" i="2"/>
  <c r="X91" i="2"/>
  <c r="W91" i="2"/>
  <c r="AB90" i="2"/>
  <c r="X90" i="2"/>
  <c r="W90" i="2"/>
  <c r="AA88" i="2"/>
  <c r="Z88" i="2"/>
  <c r="AA87" i="2"/>
  <c r="Z87" i="2"/>
  <c r="AA86" i="2"/>
  <c r="Z86" i="2"/>
  <c r="AB85" i="2"/>
  <c r="X85" i="2"/>
  <c r="X88" i="2" s="1"/>
  <c r="W85" i="2"/>
  <c r="W88" i="2" s="1"/>
  <c r="AB84" i="2"/>
  <c r="X84" i="2"/>
  <c r="X87" i="2" s="1"/>
  <c r="W84" i="2"/>
  <c r="AA83" i="2"/>
  <c r="Z83" i="2"/>
  <c r="AB82" i="2"/>
  <c r="X82" i="2"/>
  <c r="W82" i="2"/>
  <c r="AB81" i="2"/>
  <c r="X81" i="2"/>
  <c r="W81" i="2"/>
  <c r="AA79" i="2"/>
  <c r="Z79" i="2"/>
  <c r="AA78" i="2"/>
  <c r="Z78" i="2"/>
  <c r="AA77" i="2"/>
  <c r="Z77" i="2"/>
  <c r="AB76" i="2"/>
  <c r="X76" i="2"/>
  <c r="X79" i="2" s="1"/>
  <c r="W76" i="2"/>
  <c r="W79" i="2" s="1"/>
  <c r="AB75" i="2"/>
  <c r="X75" i="2"/>
  <c r="X78" i="2" s="1"/>
  <c r="W75" i="2"/>
  <c r="W78" i="2" s="1"/>
  <c r="AA74" i="2"/>
  <c r="Z74" i="2"/>
  <c r="AB73" i="2"/>
  <c r="X73" i="2"/>
  <c r="W73" i="2"/>
  <c r="AB72" i="2"/>
  <c r="X72" i="2"/>
  <c r="W72" i="2"/>
  <c r="AA70" i="2"/>
  <c r="Z70" i="2"/>
  <c r="AA69" i="2"/>
  <c r="Z69" i="2"/>
  <c r="AA68" i="2"/>
  <c r="Z68" i="2"/>
  <c r="AB67" i="2"/>
  <c r="X67" i="2"/>
  <c r="X70" i="2" s="1"/>
  <c r="W67" i="2"/>
  <c r="W70" i="2" s="1"/>
  <c r="AB66" i="2"/>
  <c r="X66" i="2"/>
  <c r="X69" i="2" s="1"/>
  <c r="W66" i="2"/>
  <c r="AA65" i="2"/>
  <c r="Z65" i="2"/>
  <c r="AB64" i="2"/>
  <c r="X64" i="2"/>
  <c r="W64" i="2"/>
  <c r="AB63" i="2"/>
  <c r="X63" i="2"/>
  <c r="W63" i="2"/>
  <c r="AA59" i="2"/>
  <c r="Z59" i="2"/>
  <c r="AB58" i="2"/>
  <c r="X58" i="2"/>
  <c r="W58" i="2"/>
  <c r="AB57" i="2"/>
  <c r="X57" i="2"/>
  <c r="W57" i="2"/>
  <c r="AA56" i="2"/>
  <c r="Z56" i="2"/>
  <c r="AB55" i="2"/>
  <c r="X55" i="2"/>
  <c r="W55" i="2"/>
  <c r="AB54" i="2"/>
  <c r="X54" i="2"/>
  <c r="W54" i="2"/>
  <c r="AA53" i="2"/>
  <c r="Z53" i="2"/>
  <c r="AB52" i="2"/>
  <c r="X52" i="2"/>
  <c r="W52" i="2"/>
  <c r="AB51" i="2"/>
  <c r="X51" i="2"/>
  <c r="W51" i="2"/>
  <c r="AA50" i="2"/>
  <c r="Z50" i="2"/>
  <c r="AB49" i="2"/>
  <c r="X49" i="2"/>
  <c r="W49" i="2"/>
  <c r="AB48" i="2"/>
  <c r="X48" i="2"/>
  <c r="W48" i="2"/>
  <c r="AA47" i="2"/>
  <c r="Z47" i="2"/>
  <c r="AB46" i="2"/>
  <c r="X46" i="2"/>
  <c r="W46" i="2"/>
  <c r="AB45" i="2"/>
  <c r="X45" i="2"/>
  <c r="W45" i="2"/>
  <c r="AA44" i="2"/>
  <c r="Z44" i="2"/>
  <c r="AB43" i="2"/>
  <c r="X43" i="2"/>
  <c r="W43" i="2"/>
  <c r="AB42" i="2"/>
  <c r="X42" i="2"/>
  <c r="W42" i="2"/>
  <c r="AA60" i="2"/>
  <c r="Z60" i="2"/>
  <c r="AA38" i="2"/>
  <c r="Z38" i="2"/>
  <c r="AB37" i="2"/>
  <c r="X37" i="2"/>
  <c r="W37" i="2"/>
  <c r="AB36" i="2"/>
  <c r="X36" i="2"/>
  <c r="W36" i="2"/>
  <c r="AA35" i="2"/>
  <c r="Z35" i="2"/>
  <c r="AB34" i="2"/>
  <c r="X34" i="2"/>
  <c r="X106" i="2" s="1"/>
  <c r="W34" i="2"/>
  <c r="W106" i="2" s="1"/>
  <c r="AB33" i="2"/>
  <c r="X33" i="2"/>
  <c r="W33" i="2"/>
  <c r="AA29" i="2"/>
  <c r="Z29" i="2"/>
  <c r="AB28" i="2"/>
  <c r="X28" i="2"/>
  <c r="W28" i="2"/>
  <c r="AB27" i="2"/>
  <c r="X27" i="2"/>
  <c r="W27" i="2"/>
  <c r="AA26" i="2"/>
  <c r="Z26" i="2"/>
  <c r="AB25" i="2"/>
  <c r="X25" i="2"/>
  <c r="W25" i="2"/>
  <c r="AB24" i="2"/>
  <c r="X24" i="2"/>
  <c r="W24" i="2"/>
  <c r="AA23" i="2"/>
  <c r="Z23" i="2"/>
  <c r="AB22" i="2"/>
  <c r="X22" i="2"/>
  <c r="W22" i="2"/>
  <c r="AB21" i="2"/>
  <c r="X21" i="2"/>
  <c r="W21" i="2"/>
  <c r="AA20" i="2"/>
  <c r="Z20" i="2"/>
  <c r="AB19" i="2"/>
  <c r="X19" i="2"/>
  <c r="W19" i="2"/>
  <c r="AB18" i="2"/>
  <c r="X18" i="2"/>
  <c r="W18" i="2"/>
  <c r="AA17" i="2"/>
  <c r="Z17" i="2"/>
  <c r="AB16" i="2"/>
  <c r="X16" i="2"/>
  <c r="W16" i="2"/>
  <c r="AB15" i="2"/>
  <c r="X15" i="2"/>
  <c r="W15" i="2"/>
  <c r="AA14" i="2"/>
  <c r="Z14" i="2"/>
  <c r="AB13" i="2"/>
  <c r="X13" i="2"/>
  <c r="W13" i="2"/>
  <c r="AB12" i="2"/>
  <c r="X12" i="2"/>
  <c r="W12" i="2"/>
  <c r="AA30" i="2"/>
  <c r="AA8" i="2"/>
  <c r="Z8" i="2"/>
  <c r="AB7" i="2"/>
  <c r="X7" i="2"/>
  <c r="W7" i="2"/>
  <c r="AB6" i="2"/>
  <c r="X6" i="2"/>
  <c r="W6" i="2"/>
  <c r="AA106" i="1"/>
  <c r="Z106" i="1"/>
  <c r="AA105" i="1"/>
  <c r="Z105" i="1"/>
  <c r="AA104" i="1"/>
  <c r="Z104" i="1"/>
  <c r="AB103" i="1"/>
  <c r="X103" i="1"/>
  <c r="W103" i="1"/>
  <c r="AB102" i="1"/>
  <c r="X102" i="1"/>
  <c r="W102" i="1"/>
  <c r="AA101" i="1"/>
  <c r="Z101" i="1"/>
  <c r="AB100" i="1"/>
  <c r="X100" i="1"/>
  <c r="W100" i="1"/>
  <c r="AB99" i="1"/>
  <c r="X99" i="1"/>
  <c r="W99" i="1"/>
  <c r="AA97" i="1"/>
  <c r="Z97" i="1"/>
  <c r="AA96" i="1"/>
  <c r="Z96" i="1"/>
  <c r="AA95" i="1"/>
  <c r="Z95" i="1"/>
  <c r="AB94" i="1"/>
  <c r="X94" i="1"/>
  <c r="X97" i="1" s="1"/>
  <c r="W94" i="1"/>
  <c r="AB93" i="1"/>
  <c r="X93" i="1"/>
  <c r="X96" i="1" s="1"/>
  <c r="W93" i="1"/>
  <c r="W96" i="1" s="1"/>
  <c r="AA92" i="1"/>
  <c r="Z92" i="1"/>
  <c r="AB91" i="1"/>
  <c r="X91" i="1"/>
  <c r="W91" i="1"/>
  <c r="AB90" i="1"/>
  <c r="X90" i="1"/>
  <c r="W90" i="1"/>
  <c r="AA88" i="1"/>
  <c r="Z88" i="1"/>
  <c r="AA87" i="1"/>
  <c r="Z87" i="1"/>
  <c r="AA86" i="1"/>
  <c r="Z86" i="1"/>
  <c r="AB85" i="1"/>
  <c r="X85" i="1"/>
  <c r="X88" i="1" s="1"/>
  <c r="W85" i="1"/>
  <c r="W88" i="1" s="1"/>
  <c r="AB84" i="1"/>
  <c r="X84" i="1"/>
  <c r="X87" i="1" s="1"/>
  <c r="W84" i="1"/>
  <c r="W87" i="1" s="1"/>
  <c r="AA83" i="1"/>
  <c r="Z83" i="1"/>
  <c r="AB82" i="1"/>
  <c r="X82" i="1"/>
  <c r="W82" i="1"/>
  <c r="AB81" i="1"/>
  <c r="X81" i="1"/>
  <c r="W81" i="1"/>
  <c r="AA79" i="1"/>
  <c r="Z79" i="1"/>
  <c r="AA78" i="1"/>
  <c r="Z78" i="1"/>
  <c r="AA77" i="1"/>
  <c r="Z77" i="1"/>
  <c r="AB76" i="1"/>
  <c r="X76" i="1"/>
  <c r="X79" i="1" s="1"/>
  <c r="W76" i="1"/>
  <c r="AB75" i="1"/>
  <c r="X75" i="1"/>
  <c r="X78" i="1" s="1"/>
  <c r="W75" i="1"/>
  <c r="AA74" i="1"/>
  <c r="Z74" i="1"/>
  <c r="AB73" i="1"/>
  <c r="X73" i="1"/>
  <c r="W73" i="1"/>
  <c r="AB72" i="1"/>
  <c r="X72" i="1"/>
  <c r="W72" i="1"/>
  <c r="AA70" i="1"/>
  <c r="Z70" i="1"/>
  <c r="AA69" i="1"/>
  <c r="Z69" i="1"/>
  <c r="AA68" i="1"/>
  <c r="Z68" i="1"/>
  <c r="AB67" i="1"/>
  <c r="X67" i="1"/>
  <c r="X70" i="1" s="1"/>
  <c r="W67" i="1"/>
  <c r="W70" i="1" s="1"/>
  <c r="AB66" i="1"/>
  <c r="X66" i="1"/>
  <c r="X69" i="1" s="1"/>
  <c r="W66" i="1"/>
  <c r="W69" i="1" s="1"/>
  <c r="AA65" i="1"/>
  <c r="Z65" i="1"/>
  <c r="AB64" i="1"/>
  <c r="X64" i="1"/>
  <c r="W64" i="1"/>
  <c r="AB63" i="1"/>
  <c r="X63" i="1"/>
  <c r="W63" i="1"/>
  <c r="AA59" i="1"/>
  <c r="Z59" i="1"/>
  <c r="AB58" i="1"/>
  <c r="X58" i="1"/>
  <c r="W58" i="1"/>
  <c r="AB57" i="1"/>
  <c r="X57" i="1"/>
  <c r="W57" i="1"/>
  <c r="AA56" i="1"/>
  <c r="Z56" i="1"/>
  <c r="AB55" i="1"/>
  <c r="X55" i="1"/>
  <c r="W55" i="1"/>
  <c r="AB54" i="1"/>
  <c r="X54" i="1"/>
  <c r="W54" i="1"/>
  <c r="AA53" i="1"/>
  <c r="Z53" i="1"/>
  <c r="AB52" i="1"/>
  <c r="X52" i="1"/>
  <c r="W52" i="1"/>
  <c r="AB51" i="1"/>
  <c r="X51" i="1"/>
  <c r="W51" i="1"/>
  <c r="AA50" i="1"/>
  <c r="Z50" i="1"/>
  <c r="AB49" i="1"/>
  <c r="X49" i="1"/>
  <c r="W49" i="1"/>
  <c r="AB48" i="1"/>
  <c r="X48" i="1"/>
  <c r="W48" i="1"/>
  <c r="AA47" i="1"/>
  <c r="Z47" i="1"/>
  <c r="AB46" i="1"/>
  <c r="X46" i="1"/>
  <c r="W46" i="1"/>
  <c r="AB45" i="1"/>
  <c r="X45" i="1"/>
  <c r="W45" i="1"/>
  <c r="AA44" i="1"/>
  <c r="Z44" i="1"/>
  <c r="AB43" i="1"/>
  <c r="X43" i="1"/>
  <c r="W43" i="1"/>
  <c r="AB42" i="1"/>
  <c r="X42" i="1"/>
  <c r="W42" i="1"/>
  <c r="Z61" i="1"/>
  <c r="Z60" i="1"/>
  <c r="AA38" i="1"/>
  <c r="Z38" i="1"/>
  <c r="AB37" i="1"/>
  <c r="X37" i="1"/>
  <c r="W37" i="1"/>
  <c r="AB36" i="1"/>
  <c r="X36" i="1"/>
  <c r="W36" i="1"/>
  <c r="AA35" i="1"/>
  <c r="Z35" i="1"/>
  <c r="AB34" i="1"/>
  <c r="X34" i="1"/>
  <c r="W34" i="1"/>
  <c r="AB33" i="1"/>
  <c r="X33" i="1"/>
  <c r="W33" i="1"/>
  <c r="AA29" i="1"/>
  <c r="Z29" i="1"/>
  <c r="AB28" i="1"/>
  <c r="X28" i="1"/>
  <c r="W28" i="1"/>
  <c r="AB27" i="1"/>
  <c r="X27" i="1"/>
  <c r="W27" i="1"/>
  <c r="AA26" i="1"/>
  <c r="Z26" i="1"/>
  <c r="AB25" i="1"/>
  <c r="X25" i="1"/>
  <c r="W25" i="1"/>
  <c r="AB24" i="1"/>
  <c r="X24" i="1"/>
  <c r="W24" i="1"/>
  <c r="AA23" i="1"/>
  <c r="Z23" i="1"/>
  <c r="AB22" i="1"/>
  <c r="X22" i="1"/>
  <c r="W22" i="1"/>
  <c r="AB21" i="1"/>
  <c r="X21" i="1"/>
  <c r="W21" i="1"/>
  <c r="AA20" i="1"/>
  <c r="Z20" i="1"/>
  <c r="AB19" i="1"/>
  <c r="X19" i="1"/>
  <c r="W19" i="1"/>
  <c r="AB18" i="1"/>
  <c r="X18" i="1"/>
  <c r="W18" i="1"/>
  <c r="AA17" i="1"/>
  <c r="Z17" i="1"/>
  <c r="AB16" i="1"/>
  <c r="X16" i="1"/>
  <c r="W16" i="1"/>
  <c r="AB15" i="1"/>
  <c r="X15" i="1"/>
  <c r="W15" i="1"/>
  <c r="AA14" i="1"/>
  <c r="Z14" i="1"/>
  <c r="AB13" i="1"/>
  <c r="X13" i="1"/>
  <c r="W13" i="1"/>
  <c r="AB12" i="1"/>
  <c r="X12" i="1"/>
  <c r="W12" i="1"/>
  <c r="AA31" i="1"/>
  <c r="Z31" i="1"/>
  <c r="Z30" i="1"/>
  <c r="AA8" i="1"/>
  <c r="Z8" i="1"/>
  <c r="AB7" i="1"/>
  <c r="X7" i="1"/>
  <c r="W7" i="1"/>
  <c r="AB6" i="1"/>
  <c r="X6" i="1"/>
  <c r="W6" i="1"/>
  <c r="Y55" i="13"/>
  <c r="X55" i="13"/>
  <c r="Y54" i="13"/>
  <c r="X54" i="13"/>
  <c r="Y52" i="13"/>
  <c r="X52" i="13"/>
  <c r="Y51" i="13"/>
  <c r="X51" i="13"/>
  <c r="Y49" i="13"/>
  <c r="X49" i="13"/>
  <c r="Y48" i="13"/>
  <c r="X48" i="13"/>
  <c r="Y46" i="13"/>
  <c r="X46" i="13"/>
  <c r="Y45" i="13"/>
  <c r="X45" i="13"/>
  <c r="Y43" i="13"/>
  <c r="X43" i="13"/>
  <c r="Y42" i="13"/>
  <c r="X42" i="13"/>
  <c r="Y40" i="13"/>
  <c r="X40" i="13"/>
  <c r="Y39" i="13"/>
  <c r="X39" i="13"/>
  <c r="Y37" i="13"/>
  <c r="X37" i="13"/>
  <c r="X58" i="13" s="1"/>
  <c r="Y36" i="13"/>
  <c r="X36" i="13"/>
  <c r="Y25" i="13"/>
  <c r="X25" i="13"/>
  <c r="Y24" i="13"/>
  <c r="X24" i="13"/>
  <c r="Y22" i="13"/>
  <c r="X22" i="13"/>
  <c r="Y21" i="13"/>
  <c r="X21" i="13"/>
  <c r="Y19" i="13"/>
  <c r="X19" i="13"/>
  <c r="Y18" i="13"/>
  <c r="X18" i="13"/>
  <c r="Y16" i="13"/>
  <c r="X16" i="13"/>
  <c r="Y15" i="13"/>
  <c r="X15" i="13"/>
  <c r="Y13" i="13"/>
  <c r="X13" i="13"/>
  <c r="Y12" i="13"/>
  <c r="X12" i="13"/>
  <c r="Y10" i="13"/>
  <c r="X10" i="13"/>
  <c r="Y9" i="13"/>
  <c r="X9" i="13"/>
  <c r="Y7" i="13"/>
  <c r="Y28" i="13" s="1"/>
  <c r="X7" i="13"/>
  <c r="Y6" i="13"/>
  <c r="X6" i="13"/>
  <c r="S27" i="14"/>
  <c r="S9" i="14"/>
  <c r="S133" i="11"/>
  <c r="S115" i="11"/>
  <c r="S114" i="11"/>
  <c r="S87" i="11"/>
  <c r="S44" i="11"/>
  <c r="S42" i="11"/>
  <c r="S40" i="11"/>
  <c r="S35" i="11"/>
  <c r="S37" i="11"/>
  <c r="S17" i="11"/>
  <c r="T331" i="10"/>
  <c r="T275" i="10"/>
  <c r="T274" i="10"/>
  <c r="T266" i="10"/>
  <c r="T222" i="10"/>
  <c r="T150" i="10"/>
  <c r="T141" i="10"/>
  <c r="T137" i="10"/>
  <c r="T126" i="10"/>
  <c r="T99" i="10"/>
  <c r="T75" i="10"/>
  <c r="T73" i="10"/>
  <c r="T37" i="10"/>
  <c r="S38" i="9"/>
  <c r="S21" i="9"/>
  <c r="S25" i="9"/>
  <c r="T78" i="8"/>
  <c r="T60" i="8"/>
  <c r="T54" i="8"/>
  <c r="T56" i="8"/>
  <c r="T19" i="8"/>
  <c r="S246" i="7"/>
  <c r="S239" i="7"/>
  <c r="S189" i="7"/>
  <c r="S168" i="7"/>
  <c r="S166" i="7"/>
  <c r="S165" i="7"/>
  <c r="S122" i="7"/>
  <c r="S99" i="7"/>
  <c r="S59" i="7"/>
  <c r="S28" i="7"/>
  <c r="S26" i="7"/>
  <c r="P59" i="10"/>
  <c r="O59" i="10"/>
  <c r="O19" i="16"/>
  <c r="O21" i="16"/>
  <c r="S17" i="16"/>
  <c r="O9" i="16"/>
  <c r="O11" i="16"/>
  <c r="O13" i="16"/>
  <c r="O7" i="16"/>
  <c r="O29" i="14"/>
  <c r="O31" i="14"/>
  <c r="S7" i="14"/>
  <c r="O11" i="14"/>
  <c r="O15" i="14"/>
  <c r="O172" i="11"/>
  <c r="O174" i="11"/>
  <c r="O176" i="11"/>
  <c r="O178" i="11"/>
  <c r="O180" i="11"/>
  <c r="O182" i="11"/>
  <c r="O170" i="11"/>
  <c r="O166" i="11"/>
  <c r="O155" i="11"/>
  <c r="O157" i="11"/>
  <c r="O159" i="11"/>
  <c r="S161" i="11"/>
  <c r="O163" i="11"/>
  <c r="O167" i="11"/>
  <c r="O128" i="11"/>
  <c r="O130" i="11"/>
  <c r="O136" i="11"/>
  <c r="O138" i="11"/>
  <c r="S124" i="11"/>
  <c r="S120" i="11"/>
  <c r="O98" i="11"/>
  <c r="R90" i="11"/>
  <c r="S78" i="11"/>
  <c r="S72" i="11"/>
  <c r="S58" i="11"/>
  <c r="S62" i="11"/>
  <c r="O64" i="11"/>
  <c r="O66" i="11"/>
  <c r="R70" i="11"/>
  <c r="O60" i="11"/>
  <c r="O68" i="11"/>
  <c r="O28" i="11"/>
  <c r="O15" i="11"/>
  <c r="O17" i="11"/>
  <c r="S19" i="11"/>
  <c r="O21" i="11"/>
  <c r="O25" i="11"/>
  <c r="S23" i="11"/>
  <c r="S342" i="10"/>
  <c r="P324" i="10"/>
  <c r="T292" i="10"/>
  <c r="S204" i="10"/>
  <c r="T131" i="10"/>
  <c r="P49" i="10"/>
  <c r="P45" i="10"/>
  <c r="T17" i="10"/>
  <c r="T21" i="10"/>
  <c r="S204" i="7"/>
  <c r="O208" i="7"/>
  <c r="S167" i="7"/>
  <c r="O128" i="7"/>
  <c r="Y78" i="24"/>
  <c r="AF69" i="24"/>
  <c r="AF72" i="22"/>
  <c r="AF74" i="22"/>
  <c r="AF75" i="22"/>
  <c r="AF56" i="22"/>
  <c r="AF58" i="22"/>
  <c r="AF60" i="22"/>
  <c r="AF62" i="22"/>
  <c r="AF68" i="22"/>
  <c r="AF70" i="22"/>
  <c r="AF75" i="24"/>
  <c r="AF66" i="22"/>
  <c r="L78" i="24"/>
  <c r="AF55" i="22"/>
  <c r="AF71" i="22"/>
  <c r="AF63" i="22"/>
  <c r="AF67" i="22"/>
  <c r="AF50" i="22"/>
  <c r="AF59" i="22"/>
  <c r="AF64" i="22"/>
  <c r="D78" i="22"/>
  <c r="U40" i="2"/>
  <c r="U61" i="2" s="1"/>
  <c r="U39" i="2"/>
  <c r="U40" i="1"/>
  <c r="U39" i="1"/>
  <c r="U10" i="2"/>
  <c r="U31" i="2" s="1"/>
  <c r="U9" i="2"/>
  <c r="U10" i="1"/>
  <c r="U9" i="1"/>
  <c r="S8" i="16"/>
  <c r="N9" i="16"/>
  <c r="N13" i="16"/>
  <c r="Q15" i="16"/>
  <c r="N24" i="14"/>
  <c r="S28" i="14"/>
  <c r="N32" i="14"/>
  <c r="N19" i="14"/>
  <c r="N15" i="14"/>
  <c r="N9" i="14"/>
  <c r="N11" i="14"/>
  <c r="N13" i="14"/>
  <c r="N180" i="11"/>
  <c r="N182" i="11"/>
  <c r="N170" i="11"/>
  <c r="Q168" i="11"/>
  <c r="N165" i="11"/>
  <c r="N166" i="11"/>
  <c r="S165" i="11"/>
  <c r="N147" i="11"/>
  <c r="N127" i="11"/>
  <c r="N131" i="11"/>
  <c r="N135" i="11"/>
  <c r="N121" i="11"/>
  <c r="Q90" i="11"/>
  <c r="S80" i="11"/>
  <c r="N5" i="11"/>
  <c r="O324" i="10"/>
  <c r="R276" i="10"/>
  <c r="T123" i="10"/>
  <c r="T125" i="10"/>
  <c r="T43" i="10"/>
  <c r="O25" i="10"/>
  <c r="Q265" i="7"/>
  <c r="N242" i="7"/>
  <c r="N244" i="7"/>
  <c r="N246" i="7"/>
  <c r="N248" i="7"/>
  <c r="Q216" i="7"/>
  <c r="N209" i="7"/>
  <c r="N211" i="7"/>
  <c r="S213" i="7"/>
  <c r="N215" i="7"/>
  <c r="N197" i="7"/>
  <c r="Q173" i="7"/>
  <c r="N140" i="7"/>
  <c r="N142" i="7"/>
  <c r="N144" i="7"/>
  <c r="N146" i="7"/>
  <c r="N148" i="7"/>
  <c r="N150" i="7"/>
  <c r="N152" i="7"/>
  <c r="N154" i="7"/>
  <c r="N113" i="7"/>
  <c r="S89" i="7"/>
  <c r="N74" i="7"/>
  <c r="N76" i="7"/>
  <c r="N78" i="7"/>
  <c r="N80" i="7"/>
  <c r="AA78" i="22"/>
  <c r="AE72" i="22"/>
  <c r="AE76" i="22"/>
  <c r="AE77" i="24"/>
  <c r="S78" i="22"/>
  <c r="G78" i="24"/>
  <c r="G78" i="22"/>
  <c r="AD76" i="24"/>
  <c r="AD52" i="22"/>
  <c r="Z78" i="22"/>
  <c r="AD72" i="22"/>
  <c r="AD76" i="22"/>
  <c r="V78" i="22"/>
  <c r="AD55" i="22"/>
  <c r="AD74" i="22"/>
  <c r="AD53" i="22"/>
  <c r="F78" i="24"/>
  <c r="B78" i="22"/>
  <c r="T40" i="2"/>
  <c r="T61" i="2" s="1"/>
  <c r="T39" i="2"/>
  <c r="T40" i="1"/>
  <c r="T39" i="1"/>
  <c r="T10" i="2"/>
  <c r="T31" i="2" s="1"/>
  <c r="T9" i="2"/>
  <c r="T10" i="1"/>
  <c r="T9" i="1"/>
  <c r="O24" i="16"/>
  <c r="N24" i="16"/>
  <c r="O22" i="16"/>
  <c r="N22" i="16"/>
  <c r="N21" i="16"/>
  <c r="O20" i="16"/>
  <c r="N20" i="16"/>
  <c r="N19" i="16"/>
  <c r="O18" i="16"/>
  <c r="N18" i="16"/>
  <c r="O17" i="16"/>
  <c r="N17" i="16"/>
  <c r="O16" i="16"/>
  <c r="N16" i="16"/>
  <c r="O14" i="16"/>
  <c r="N14" i="16"/>
  <c r="O12" i="16"/>
  <c r="N12" i="16"/>
  <c r="N11" i="16"/>
  <c r="O10" i="16"/>
  <c r="N10" i="16"/>
  <c r="O8" i="16"/>
  <c r="N8" i="16"/>
  <c r="N7" i="16"/>
  <c r="O6" i="16"/>
  <c r="N6" i="16"/>
  <c r="O5" i="16"/>
  <c r="N5" i="16"/>
  <c r="S24" i="16"/>
  <c r="R23" i="16"/>
  <c r="Q23" i="16"/>
  <c r="S16" i="16"/>
  <c r="R15" i="16"/>
  <c r="S6" i="16"/>
  <c r="O18" i="14"/>
  <c r="N18" i="14"/>
  <c r="O16" i="14"/>
  <c r="N16" i="14"/>
  <c r="O14" i="14"/>
  <c r="N14" i="14"/>
  <c r="O13" i="14"/>
  <c r="O12" i="14"/>
  <c r="N12" i="14"/>
  <c r="O10" i="14"/>
  <c r="N10" i="14"/>
  <c r="O9" i="14"/>
  <c r="O8" i="14"/>
  <c r="N8" i="14"/>
  <c r="O6" i="14"/>
  <c r="N6" i="14"/>
  <c r="O5" i="14"/>
  <c r="N5" i="14"/>
  <c r="O35" i="14"/>
  <c r="N35" i="14"/>
  <c r="O33" i="14"/>
  <c r="N33" i="14"/>
  <c r="O32" i="14"/>
  <c r="N31" i="14"/>
  <c r="O30" i="14"/>
  <c r="N30" i="14"/>
  <c r="N29" i="14"/>
  <c r="O28" i="14"/>
  <c r="O27" i="14"/>
  <c r="N27" i="14"/>
  <c r="O26" i="14"/>
  <c r="N26" i="14"/>
  <c r="O25" i="14"/>
  <c r="N25" i="14"/>
  <c r="O24" i="14"/>
  <c r="O23" i="14"/>
  <c r="N23" i="14"/>
  <c r="O22" i="14"/>
  <c r="N22" i="14"/>
  <c r="O21" i="14"/>
  <c r="N21" i="14"/>
  <c r="O20" i="14"/>
  <c r="N20" i="14"/>
  <c r="S35" i="14"/>
  <c r="S30" i="14"/>
  <c r="S26" i="14"/>
  <c r="S25" i="14"/>
  <c r="S24" i="14"/>
  <c r="S23" i="14"/>
  <c r="S22" i="14"/>
  <c r="S21" i="14"/>
  <c r="S20" i="14"/>
  <c r="S18" i="14"/>
  <c r="S8" i="14"/>
  <c r="S6" i="14"/>
  <c r="O184" i="11"/>
  <c r="N184" i="11"/>
  <c r="O181" i="11"/>
  <c r="N181" i="11"/>
  <c r="O179" i="11"/>
  <c r="N179" i="11"/>
  <c r="N178" i="11"/>
  <c r="O177" i="11"/>
  <c r="N177" i="11"/>
  <c r="N176" i="11"/>
  <c r="O175" i="11"/>
  <c r="N175" i="11"/>
  <c r="N174" i="11"/>
  <c r="O173" i="11"/>
  <c r="N173" i="11"/>
  <c r="N172" i="11"/>
  <c r="O171" i="11"/>
  <c r="P171" i="11" s="1"/>
  <c r="N171" i="11"/>
  <c r="O169" i="11"/>
  <c r="P169" i="11" s="1"/>
  <c r="N169" i="11"/>
  <c r="N167" i="11"/>
  <c r="O165" i="11"/>
  <c r="O164" i="11"/>
  <c r="N164" i="11"/>
  <c r="N163" i="11"/>
  <c r="O162" i="11"/>
  <c r="N162" i="11"/>
  <c r="N161" i="11"/>
  <c r="O160" i="11"/>
  <c r="N160" i="11"/>
  <c r="N159" i="11"/>
  <c r="O158" i="11"/>
  <c r="N158" i="11"/>
  <c r="N157" i="11"/>
  <c r="O156" i="11"/>
  <c r="N156" i="11"/>
  <c r="N155" i="11"/>
  <c r="O154" i="11"/>
  <c r="N154" i="11"/>
  <c r="O153" i="11"/>
  <c r="N153" i="11"/>
  <c r="O152" i="11"/>
  <c r="N152" i="11"/>
  <c r="O151" i="11"/>
  <c r="N151" i="11"/>
  <c r="O150" i="11"/>
  <c r="N150" i="11"/>
  <c r="O149" i="11"/>
  <c r="N149" i="11"/>
  <c r="O148" i="11"/>
  <c r="N148" i="11"/>
  <c r="O147" i="11"/>
  <c r="O140" i="11"/>
  <c r="P140" i="11" s="1"/>
  <c r="N140" i="11"/>
  <c r="N138" i="11"/>
  <c r="O137" i="11"/>
  <c r="N137" i="11"/>
  <c r="N136" i="11"/>
  <c r="O135" i="11"/>
  <c r="O134" i="11"/>
  <c r="N134" i="11"/>
  <c r="O133" i="11"/>
  <c r="N133" i="11"/>
  <c r="O132" i="11"/>
  <c r="N132" i="11"/>
  <c r="O131" i="11"/>
  <c r="N130" i="11"/>
  <c r="O129" i="11"/>
  <c r="N129" i="11"/>
  <c r="N128" i="11"/>
  <c r="O127" i="11"/>
  <c r="O126" i="11"/>
  <c r="N126" i="11"/>
  <c r="O125" i="11"/>
  <c r="N125" i="11"/>
  <c r="O124" i="11"/>
  <c r="O123" i="11"/>
  <c r="P123" i="11" s="1"/>
  <c r="N123" i="11"/>
  <c r="O121" i="11"/>
  <c r="O120" i="11"/>
  <c r="N120" i="11"/>
  <c r="O119" i="11"/>
  <c r="N119" i="11"/>
  <c r="O118" i="11"/>
  <c r="N118" i="11"/>
  <c r="O117" i="11"/>
  <c r="N117" i="11"/>
  <c r="O116" i="11"/>
  <c r="N116" i="11"/>
  <c r="O115" i="11"/>
  <c r="N115" i="11"/>
  <c r="O114" i="11"/>
  <c r="N114" i="11"/>
  <c r="O113" i="11"/>
  <c r="N113" i="11"/>
  <c r="O112" i="11"/>
  <c r="N112" i="11"/>
  <c r="O111" i="11"/>
  <c r="N111" i="11"/>
  <c r="O110" i="11"/>
  <c r="N110" i="11"/>
  <c r="O109" i="11"/>
  <c r="N109" i="11"/>
  <c r="O108" i="11"/>
  <c r="P108" i="11" s="1"/>
  <c r="N108" i="11"/>
  <c r="O107" i="11"/>
  <c r="N107" i="11"/>
  <c r="O106" i="11"/>
  <c r="N106" i="11"/>
  <c r="O105" i="11"/>
  <c r="N105" i="11"/>
  <c r="O104" i="11"/>
  <c r="N104" i="11"/>
  <c r="O103" i="11"/>
  <c r="N103" i="11"/>
  <c r="O102" i="11"/>
  <c r="N102" i="11"/>
  <c r="O101" i="11"/>
  <c r="N101" i="11"/>
  <c r="O100" i="11"/>
  <c r="N100" i="11"/>
  <c r="O99" i="11"/>
  <c r="N99" i="11"/>
  <c r="N98" i="11"/>
  <c r="O91" i="11"/>
  <c r="P91" i="11" s="1"/>
  <c r="N91" i="11"/>
  <c r="O89" i="11"/>
  <c r="N89" i="11"/>
  <c r="O88" i="11"/>
  <c r="N88" i="11"/>
  <c r="O87" i="11"/>
  <c r="N87" i="11"/>
  <c r="O86" i="11"/>
  <c r="N86" i="11"/>
  <c r="O85" i="11"/>
  <c r="N85" i="11"/>
  <c r="O84" i="11"/>
  <c r="N84" i="11"/>
  <c r="O83" i="11"/>
  <c r="N83" i="11"/>
  <c r="O82" i="11"/>
  <c r="N82" i="11"/>
  <c r="O81" i="11"/>
  <c r="N81" i="11"/>
  <c r="O80" i="11"/>
  <c r="P80" i="11" s="1"/>
  <c r="N80" i="11"/>
  <c r="O79" i="11"/>
  <c r="N79" i="11"/>
  <c r="O78" i="11"/>
  <c r="N78" i="11"/>
  <c r="O77" i="11"/>
  <c r="N77" i="11"/>
  <c r="O76" i="11"/>
  <c r="N76" i="11"/>
  <c r="O75" i="11"/>
  <c r="N75" i="11"/>
  <c r="O74" i="11"/>
  <c r="N74" i="11"/>
  <c r="O73" i="11"/>
  <c r="N73" i="11"/>
  <c r="O71" i="11"/>
  <c r="P71" i="11" s="1"/>
  <c r="N71" i="11"/>
  <c r="O69" i="11"/>
  <c r="N69" i="11"/>
  <c r="N68" i="11"/>
  <c r="O67" i="11"/>
  <c r="N67" i="11"/>
  <c r="N66" i="11"/>
  <c r="O65" i="11"/>
  <c r="N65" i="11"/>
  <c r="N64" i="11"/>
  <c r="O63" i="11"/>
  <c r="N63" i="11"/>
  <c r="N62" i="11"/>
  <c r="O61" i="11"/>
  <c r="N61" i="11"/>
  <c r="N60" i="11"/>
  <c r="O59" i="11"/>
  <c r="N59" i="11"/>
  <c r="N58" i="11"/>
  <c r="O57" i="11"/>
  <c r="N57" i="11"/>
  <c r="N56" i="11"/>
  <c r="O55" i="11"/>
  <c r="N55" i="11"/>
  <c r="O54" i="11"/>
  <c r="N54" i="11"/>
  <c r="O47" i="11"/>
  <c r="N47" i="11"/>
  <c r="O45" i="11"/>
  <c r="N45" i="11"/>
  <c r="O44" i="11"/>
  <c r="N44" i="11"/>
  <c r="O43" i="11"/>
  <c r="N43" i="11"/>
  <c r="O42" i="11"/>
  <c r="N42" i="11"/>
  <c r="O41" i="11"/>
  <c r="N41" i="11"/>
  <c r="O40" i="11"/>
  <c r="N40" i="11"/>
  <c r="O39" i="11"/>
  <c r="N39" i="11"/>
  <c r="O38" i="11"/>
  <c r="N38" i="11"/>
  <c r="O37" i="11"/>
  <c r="N37" i="11"/>
  <c r="O36" i="11"/>
  <c r="N36" i="11"/>
  <c r="O35" i="11"/>
  <c r="N35" i="11"/>
  <c r="O34" i="11"/>
  <c r="N34" i="11"/>
  <c r="O33" i="11"/>
  <c r="N33" i="11"/>
  <c r="O32" i="11"/>
  <c r="N32" i="11"/>
  <c r="O31" i="11"/>
  <c r="N31" i="11"/>
  <c r="O30" i="11"/>
  <c r="N30" i="11"/>
  <c r="O29" i="11"/>
  <c r="N29" i="11"/>
  <c r="O27" i="11"/>
  <c r="N27" i="11"/>
  <c r="N25" i="11"/>
  <c r="O24" i="11"/>
  <c r="N24" i="11"/>
  <c r="O23" i="11"/>
  <c r="N23" i="11"/>
  <c r="O22" i="11"/>
  <c r="N22" i="11"/>
  <c r="N21" i="11"/>
  <c r="O20" i="11"/>
  <c r="N20" i="11"/>
  <c r="N19" i="11"/>
  <c r="O18" i="11"/>
  <c r="N18" i="11"/>
  <c r="N17" i="11"/>
  <c r="O16" i="11"/>
  <c r="N16" i="11"/>
  <c r="N15" i="11"/>
  <c r="O14" i="11"/>
  <c r="N14" i="11"/>
  <c r="O13" i="11"/>
  <c r="N13" i="11"/>
  <c r="O12" i="11"/>
  <c r="N12" i="11"/>
  <c r="O11" i="11"/>
  <c r="P11" i="11" s="1"/>
  <c r="N11" i="11"/>
  <c r="O10" i="11"/>
  <c r="N10" i="11"/>
  <c r="O9" i="11"/>
  <c r="N9" i="11"/>
  <c r="O8" i="11"/>
  <c r="N8" i="11"/>
  <c r="O7" i="11"/>
  <c r="P7" i="11" s="1"/>
  <c r="N7" i="11"/>
  <c r="O6" i="11"/>
  <c r="N6" i="11"/>
  <c r="O5" i="11"/>
  <c r="S184" i="11"/>
  <c r="Q183" i="11"/>
  <c r="S179" i="11"/>
  <c r="S177" i="11"/>
  <c r="S175" i="11"/>
  <c r="S173" i="11"/>
  <c r="S171" i="11"/>
  <c r="S170" i="11"/>
  <c r="S169" i="11"/>
  <c r="R168" i="11"/>
  <c r="S162" i="11"/>
  <c r="S160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0" i="11"/>
  <c r="S137" i="11"/>
  <c r="S134" i="11"/>
  <c r="S129" i="11"/>
  <c r="S126" i="11"/>
  <c r="S125" i="11"/>
  <c r="S123" i="11"/>
  <c r="R122" i="11"/>
  <c r="Q122" i="11"/>
  <c r="S121" i="11"/>
  <c r="S119" i="11"/>
  <c r="S117" i="11"/>
  <c r="S116" i="11"/>
  <c r="S113" i="11"/>
  <c r="S112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1" i="11"/>
  <c r="S84" i="11"/>
  <c r="S83" i="11"/>
  <c r="S81" i="11"/>
  <c r="S79" i="11"/>
  <c r="S76" i="11"/>
  <c r="S75" i="11"/>
  <c r="S74" i="11"/>
  <c r="S73" i="11"/>
  <c r="S71" i="11"/>
  <c r="S65" i="11"/>
  <c r="S63" i="11"/>
  <c r="S61" i="11"/>
  <c r="S59" i="11"/>
  <c r="S57" i="11"/>
  <c r="S55" i="11"/>
  <c r="S47" i="11"/>
  <c r="S43" i="11"/>
  <c r="S38" i="11"/>
  <c r="S36" i="11"/>
  <c r="S34" i="11"/>
  <c r="S32" i="11"/>
  <c r="S31" i="11"/>
  <c r="S30" i="11"/>
  <c r="S29" i="11"/>
  <c r="S27" i="11"/>
  <c r="S24" i="11"/>
  <c r="S22" i="11"/>
  <c r="S18" i="11"/>
  <c r="S16" i="11"/>
  <c r="S15" i="11"/>
  <c r="S14" i="11"/>
  <c r="S13" i="11"/>
  <c r="S12" i="11"/>
  <c r="S11" i="11"/>
  <c r="S10" i="11"/>
  <c r="S9" i="11"/>
  <c r="S8" i="11"/>
  <c r="S7" i="11"/>
  <c r="S6" i="11"/>
  <c r="P184" i="11"/>
  <c r="P75" i="11"/>
  <c r="P343" i="10"/>
  <c r="O343" i="10"/>
  <c r="P341" i="10"/>
  <c r="O341" i="10"/>
  <c r="P340" i="10"/>
  <c r="O340" i="10"/>
  <c r="P339" i="10"/>
  <c r="O339" i="10"/>
  <c r="P338" i="10"/>
  <c r="O338" i="10"/>
  <c r="P337" i="10"/>
  <c r="O337" i="10"/>
  <c r="P336" i="10"/>
  <c r="O336" i="10"/>
  <c r="P335" i="10"/>
  <c r="O335" i="10"/>
  <c r="P334" i="10"/>
  <c r="O334" i="10"/>
  <c r="P333" i="10"/>
  <c r="O333" i="10"/>
  <c r="P332" i="10"/>
  <c r="O332" i="10"/>
  <c r="P331" i="10"/>
  <c r="O331" i="10"/>
  <c r="P330" i="10"/>
  <c r="O330" i="10"/>
  <c r="P329" i="10"/>
  <c r="O329" i="10"/>
  <c r="P328" i="10"/>
  <c r="O328" i="10"/>
  <c r="P327" i="10"/>
  <c r="O327" i="10"/>
  <c r="P326" i="10"/>
  <c r="O326" i="10"/>
  <c r="P325" i="10"/>
  <c r="O325" i="10"/>
  <c r="P323" i="10"/>
  <c r="O323" i="10"/>
  <c r="O344" i="10" s="1"/>
  <c r="P321" i="10"/>
  <c r="O321" i="10"/>
  <c r="P320" i="10"/>
  <c r="O320" i="10"/>
  <c r="P319" i="10"/>
  <c r="O319" i="10"/>
  <c r="P318" i="10"/>
  <c r="O318" i="10"/>
  <c r="P317" i="10"/>
  <c r="O317" i="10"/>
  <c r="P316" i="10"/>
  <c r="O316" i="10"/>
  <c r="P315" i="10"/>
  <c r="O315" i="10"/>
  <c r="P314" i="10"/>
  <c r="O314" i="10"/>
  <c r="P313" i="10"/>
  <c r="O313" i="10"/>
  <c r="P312" i="10"/>
  <c r="O312" i="10"/>
  <c r="P311" i="10"/>
  <c r="O311" i="10"/>
  <c r="P310" i="10"/>
  <c r="O310" i="10"/>
  <c r="P309" i="10"/>
  <c r="O309" i="10"/>
  <c r="P308" i="10"/>
  <c r="O308" i="10"/>
  <c r="P307" i="10"/>
  <c r="O307" i="10"/>
  <c r="P306" i="10"/>
  <c r="O306" i="10"/>
  <c r="P305" i="10"/>
  <c r="O305" i="10"/>
  <c r="P304" i="10"/>
  <c r="O304" i="10"/>
  <c r="P297" i="10"/>
  <c r="O297" i="10"/>
  <c r="P295" i="10"/>
  <c r="O295" i="10"/>
  <c r="P294" i="10"/>
  <c r="O294" i="10"/>
  <c r="P293" i="10"/>
  <c r="O293" i="10"/>
  <c r="P292" i="10"/>
  <c r="O292" i="10"/>
  <c r="P291" i="10"/>
  <c r="O291" i="10"/>
  <c r="P290" i="10"/>
  <c r="O290" i="10"/>
  <c r="P289" i="10"/>
  <c r="O289" i="10"/>
  <c r="P288" i="10"/>
  <c r="O288" i="10"/>
  <c r="P287" i="10"/>
  <c r="O287" i="10"/>
  <c r="P286" i="10"/>
  <c r="O286" i="10"/>
  <c r="P285" i="10"/>
  <c r="O285" i="10"/>
  <c r="P284" i="10"/>
  <c r="O284" i="10"/>
  <c r="P283" i="10"/>
  <c r="O283" i="10"/>
  <c r="P282" i="10"/>
  <c r="O282" i="10"/>
  <c r="P281" i="10"/>
  <c r="O281" i="10"/>
  <c r="P280" i="10"/>
  <c r="O280" i="10"/>
  <c r="P279" i="10"/>
  <c r="O279" i="10"/>
  <c r="P278" i="10"/>
  <c r="O278" i="10"/>
  <c r="P277" i="10"/>
  <c r="O277" i="10"/>
  <c r="P275" i="10"/>
  <c r="O275" i="10"/>
  <c r="P274" i="10"/>
  <c r="O274" i="10"/>
  <c r="P273" i="10"/>
  <c r="O273" i="10"/>
  <c r="P272" i="10"/>
  <c r="O272" i="10"/>
  <c r="P271" i="10"/>
  <c r="O271" i="10"/>
  <c r="P270" i="10"/>
  <c r="O270" i="10"/>
  <c r="P269" i="10"/>
  <c r="O269" i="10"/>
  <c r="P268" i="10"/>
  <c r="O268" i="10"/>
  <c r="P267" i="10"/>
  <c r="O267" i="10"/>
  <c r="P266" i="10"/>
  <c r="O266" i="10"/>
  <c r="P265" i="10"/>
  <c r="O265" i="10"/>
  <c r="P264" i="10"/>
  <c r="O264" i="10"/>
  <c r="P263" i="10"/>
  <c r="O263" i="10"/>
  <c r="P262" i="10"/>
  <c r="O262" i="10"/>
  <c r="P261" i="10"/>
  <c r="O261" i="10"/>
  <c r="P260" i="10"/>
  <c r="O260" i="10"/>
  <c r="P259" i="10"/>
  <c r="O259" i="10"/>
  <c r="P258" i="10"/>
  <c r="O258" i="10"/>
  <c r="P257" i="10"/>
  <c r="O257" i="10"/>
  <c r="P256" i="10"/>
  <c r="O256" i="10"/>
  <c r="P255" i="10"/>
  <c r="O255" i="10"/>
  <c r="P246" i="10"/>
  <c r="O246" i="10"/>
  <c r="P243" i="10"/>
  <c r="O243" i="10"/>
  <c r="P242" i="10"/>
  <c r="O242" i="10"/>
  <c r="P241" i="10"/>
  <c r="O241" i="10"/>
  <c r="P240" i="10"/>
  <c r="O240" i="10"/>
  <c r="P239" i="10"/>
  <c r="O239" i="10"/>
  <c r="P238" i="10"/>
  <c r="O238" i="10"/>
  <c r="P237" i="10"/>
  <c r="O237" i="10"/>
  <c r="P236" i="10"/>
  <c r="O236" i="10"/>
  <c r="P235" i="10"/>
  <c r="O235" i="10"/>
  <c r="P234" i="10"/>
  <c r="O234" i="10"/>
  <c r="P233" i="10"/>
  <c r="O233" i="10"/>
  <c r="P232" i="10"/>
  <c r="O232" i="10"/>
  <c r="P231" i="10"/>
  <c r="O231" i="10"/>
  <c r="P230" i="10"/>
  <c r="O230" i="10"/>
  <c r="P229" i="10"/>
  <c r="O229" i="10"/>
  <c r="P228" i="10"/>
  <c r="O228" i="10"/>
  <c r="P227" i="10"/>
  <c r="O227" i="10"/>
  <c r="P226" i="10"/>
  <c r="O226" i="10"/>
  <c r="P225" i="10"/>
  <c r="O225" i="10"/>
  <c r="P223" i="10"/>
  <c r="O223" i="10"/>
  <c r="P222" i="10"/>
  <c r="O222" i="10"/>
  <c r="P221" i="10"/>
  <c r="O221" i="10"/>
  <c r="P220" i="10"/>
  <c r="O220" i="10"/>
  <c r="P219" i="10"/>
  <c r="O219" i="10"/>
  <c r="P218" i="10"/>
  <c r="O218" i="10"/>
  <c r="P217" i="10"/>
  <c r="O217" i="10"/>
  <c r="P216" i="10"/>
  <c r="O216" i="10"/>
  <c r="P215" i="10"/>
  <c r="O215" i="10"/>
  <c r="P214" i="10"/>
  <c r="O214" i="10"/>
  <c r="P213" i="10"/>
  <c r="O213" i="10"/>
  <c r="P212" i="10"/>
  <c r="O212" i="10"/>
  <c r="P205" i="10"/>
  <c r="O205" i="10"/>
  <c r="P203" i="10"/>
  <c r="O203" i="10"/>
  <c r="P202" i="10"/>
  <c r="O202" i="10"/>
  <c r="P201" i="10"/>
  <c r="O201" i="10"/>
  <c r="P200" i="10"/>
  <c r="O200" i="10"/>
  <c r="P199" i="10"/>
  <c r="O199" i="10"/>
  <c r="P198" i="10"/>
  <c r="O198" i="10"/>
  <c r="P197" i="10"/>
  <c r="O197" i="10"/>
  <c r="P196" i="10"/>
  <c r="O196" i="10"/>
  <c r="P195" i="10"/>
  <c r="O195" i="10"/>
  <c r="P194" i="10"/>
  <c r="O194" i="10"/>
  <c r="P193" i="10"/>
  <c r="O193" i="10"/>
  <c r="P192" i="10"/>
  <c r="O192" i="10"/>
  <c r="P191" i="10"/>
  <c r="O191" i="10"/>
  <c r="P190" i="10"/>
  <c r="O190" i="10"/>
  <c r="P189" i="10"/>
  <c r="O189" i="10"/>
  <c r="P188" i="10"/>
  <c r="O188" i="10"/>
  <c r="P187" i="10"/>
  <c r="O187" i="10"/>
  <c r="P186" i="10"/>
  <c r="O186" i="10"/>
  <c r="P185" i="10"/>
  <c r="O185" i="10"/>
  <c r="P184" i="10"/>
  <c r="O184" i="10"/>
  <c r="P183" i="10"/>
  <c r="O183" i="10"/>
  <c r="P182" i="10"/>
  <c r="O182" i="10"/>
  <c r="P181" i="10"/>
  <c r="O181" i="10"/>
  <c r="P180" i="10"/>
  <c r="O180" i="10"/>
  <c r="P179" i="10"/>
  <c r="O179" i="10"/>
  <c r="P177" i="10"/>
  <c r="O177" i="10"/>
  <c r="P176" i="10"/>
  <c r="O176" i="10"/>
  <c r="P175" i="10"/>
  <c r="O175" i="10"/>
  <c r="P174" i="10"/>
  <c r="O174" i="10"/>
  <c r="P173" i="10"/>
  <c r="O173" i="10"/>
  <c r="P172" i="10"/>
  <c r="O172" i="10"/>
  <c r="P171" i="10"/>
  <c r="O171" i="10"/>
  <c r="P170" i="10"/>
  <c r="O170" i="10"/>
  <c r="P169" i="10"/>
  <c r="O169" i="10"/>
  <c r="P168" i="10"/>
  <c r="O168" i="10"/>
  <c r="P167" i="10"/>
  <c r="O167" i="10"/>
  <c r="P166" i="10"/>
  <c r="O166" i="10"/>
  <c r="P165" i="10"/>
  <c r="O165" i="10"/>
  <c r="P164" i="10"/>
  <c r="O164" i="10"/>
  <c r="P163" i="10"/>
  <c r="O163" i="10"/>
  <c r="P162" i="10"/>
  <c r="O162" i="10"/>
  <c r="P153" i="10"/>
  <c r="O153" i="10"/>
  <c r="P151" i="10"/>
  <c r="O151" i="10"/>
  <c r="P150" i="10"/>
  <c r="O150" i="10"/>
  <c r="P149" i="10"/>
  <c r="O149" i="10"/>
  <c r="P148" i="10"/>
  <c r="O148" i="10"/>
  <c r="P147" i="10"/>
  <c r="O147" i="10"/>
  <c r="P146" i="10"/>
  <c r="O146" i="10"/>
  <c r="P145" i="10"/>
  <c r="O145" i="10"/>
  <c r="P144" i="10"/>
  <c r="O144" i="10"/>
  <c r="P143" i="10"/>
  <c r="O143" i="10"/>
  <c r="P142" i="10"/>
  <c r="O142" i="10"/>
  <c r="P141" i="10"/>
  <c r="O141" i="10"/>
  <c r="P140" i="10"/>
  <c r="O140" i="10"/>
  <c r="P139" i="10"/>
  <c r="O139" i="10"/>
  <c r="P138" i="10"/>
  <c r="O138" i="10"/>
  <c r="P137" i="10"/>
  <c r="O137" i="10"/>
  <c r="P136" i="10"/>
  <c r="O136" i="10"/>
  <c r="P135" i="10"/>
  <c r="O135" i="10"/>
  <c r="P134" i="10"/>
  <c r="O134" i="10"/>
  <c r="P133" i="10"/>
  <c r="O133" i="10"/>
  <c r="P132" i="10"/>
  <c r="O132" i="10"/>
  <c r="P131" i="10"/>
  <c r="P130" i="10"/>
  <c r="O130" i="10"/>
  <c r="P128" i="10"/>
  <c r="O128" i="10"/>
  <c r="P127" i="10"/>
  <c r="O127" i="10"/>
  <c r="P126" i="10"/>
  <c r="O126" i="10"/>
  <c r="P125" i="10"/>
  <c r="O125" i="10"/>
  <c r="P124" i="10"/>
  <c r="O124" i="10"/>
  <c r="P123" i="10"/>
  <c r="O123" i="10"/>
  <c r="P122" i="10"/>
  <c r="O122" i="10"/>
  <c r="P121" i="10"/>
  <c r="O121" i="10"/>
  <c r="P120" i="10"/>
  <c r="O120" i="10"/>
  <c r="P119" i="10"/>
  <c r="O119" i="10"/>
  <c r="P118" i="10"/>
  <c r="O118" i="10"/>
  <c r="P117" i="10"/>
  <c r="O117" i="10"/>
  <c r="P116" i="10"/>
  <c r="O116" i="10"/>
  <c r="P115" i="10"/>
  <c r="O115" i="10"/>
  <c r="P114" i="10"/>
  <c r="O114" i="10"/>
  <c r="P113" i="10"/>
  <c r="O113" i="10"/>
  <c r="P112" i="10"/>
  <c r="O112" i="10"/>
  <c r="P111" i="10"/>
  <c r="O111" i="10"/>
  <c r="P105" i="10"/>
  <c r="O105" i="10"/>
  <c r="P103" i="10"/>
  <c r="O103" i="10"/>
  <c r="P102" i="10"/>
  <c r="O102" i="10"/>
  <c r="P101" i="10"/>
  <c r="O101" i="10"/>
  <c r="P100" i="10"/>
  <c r="O100" i="10"/>
  <c r="P99" i="10"/>
  <c r="O99" i="10"/>
  <c r="P98" i="10"/>
  <c r="O98" i="10"/>
  <c r="P97" i="10"/>
  <c r="O97" i="10"/>
  <c r="P96" i="10"/>
  <c r="O96" i="10"/>
  <c r="P95" i="10"/>
  <c r="O95" i="10"/>
  <c r="P94" i="10"/>
  <c r="O94" i="10"/>
  <c r="P93" i="10"/>
  <c r="O93" i="10"/>
  <c r="P92" i="10"/>
  <c r="O92" i="10"/>
  <c r="P91" i="10"/>
  <c r="O91" i="10"/>
  <c r="P89" i="10"/>
  <c r="O89" i="10"/>
  <c r="P88" i="10"/>
  <c r="O88" i="10"/>
  <c r="P87" i="10"/>
  <c r="O87" i="10"/>
  <c r="P86" i="10"/>
  <c r="O86" i="10"/>
  <c r="P85" i="10"/>
  <c r="O85" i="10"/>
  <c r="P84" i="10"/>
  <c r="O84" i="10"/>
  <c r="P83" i="10"/>
  <c r="O83" i="10"/>
  <c r="P82" i="10"/>
  <c r="O82" i="10"/>
  <c r="P81" i="10"/>
  <c r="O81" i="10"/>
  <c r="P80" i="10"/>
  <c r="O80" i="10"/>
  <c r="P79" i="10"/>
  <c r="O79" i="10"/>
  <c r="P78" i="10"/>
  <c r="O78" i="10"/>
  <c r="P77" i="10"/>
  <c r="O77" i="10"/>
  <c r="P76" i="10"/>
  <c r="O76" i="10"/>
  <c r="P75" i="10"/>
  <c r="O75" i="10"/>
  <c r="P74" i="10"/>
  <c r="O74" i="10"/>
  <c r="P73" i="10"/>
  <c r="O73" i="10"/>
  <c r="P72" i="10"/>
  <c r="O72" i="10"/>
  <c r="P71" i="10"/>
  <c r="O71" i="10"/>
  <c r="P70" i="10"/>
  <c r="O70" i="10"/>
  <c r="P69" i="10"/>
  <c r="O69" i="10"/>
  <c r="P68" i="10"/>
  <c r="O68" i="10"/>
  <c r="P67" i="10"/>
  <c r="O67" i="10"/>
  <c r="P66" i="10"/>
  <c r="O66" i="10"/>
  <c r="P57" i="10"/>
  <c r="O57" i="10"/>
  <c r="P56" i="10"/>
  <c r="O56" i="10"/>
  <c r="P55" i="10"/>
  <c r="O55" i="10"/>
  <c r="P54" i="10"/>
  <c r="O54" i="10"/>
  <c r="P53" i="10"/>
  <c r="O53" i="10"/>
  <c r="P52" i="10"/>
  <c r="O52" i="10"/>
  <c r="P51" i="10"/>
  <c r="O51" i="10"/>
  <c r="P50" i="10"/>
  <c r="O50" i="10"/>
  <c r="O49" i="10"/>
  <c r="P48" i="10"/>
  <c r="O48" i="10"/>
  <c r="P46" i="10"/>
  <c r="O46" i="10"/>
  <c r="O45" i="10"/>
  <c r="P44" i="10"/>
  <c r="O44" i="10"/>
  <c r="P43" i="10"/>
  <c r="O43" i="10"/>
  <c r="P42" i="10"/>
  <c r="O42" i="10"/>
  <c r="P41" i="10"/>
  <c r="O41" i="10"/>
  <c r="P40" i="10"/>
  <c r="O40" i="10"/>
  <c r="P39" i="10"/>
  <c r="O39" i="10"/>
  <c r="P38" i="10"/>
  <c r="O38" i="10"/>
  <c r="P37" i="10"/>
  <c r="O37" i="10"/>
  <c r="P36" i="10"/>
  <c r="O36" i="10"/>
  <c r="P35" i="10"/>
  <c r="O35" i="10"/>
  <c r="P34" i="10"/>
  <c r="O34" i="10"/>
  <c r="P33" i="10"/>
  <c r="O33" i="10"/>
  <c r="P32" i="10"/>
  <c r="O32" i="10"/>
  <c r="P31" i="10"/>
  <c r="O31" i="10"/>
  <c r="P30" i="10"/>
  <c r="O30" i="10"/>
  <c r="P29" i="10"/>
  <c r="O29" i="10"/>
  <c r="P28" i="10"/>
  <c r="O28" i="10"/>
  <c r="P26" i="10"/>
  <c r="O26" i="10"/>
  <c r="P25" i="10"/>
  <c r="P24" i="10"/>
  <c r="O24" i="10"/>
  <c r="P23" i="10"/>
  <c r="O23" i="10"/>
  <c r="P22" i="10"/>
  <c r="O22" i="10"/>
  <c r="P20" i="10"/>
  <c r="O20" i="10"/>
  <c r="P19" i="10"/>
  <c r="O19" i="10"/>
  <c r="P18" i="10"/>
  <c r="O18" i="10"/>
  <c r="P17" i="10"/>
  <c r="P16" i="10"/>
  <c r="O16" i="10"/>
  <c r="P15" i="10"/>
  <c r="O15" i="10"/>
  <c r="P14" i="10"/>
  <c r="O14" i="10"/>
  <c r="O13" i="10"/>
  <c r="P12" i="10"/>
  <c r="O12" i="10"/>
  <c r="P10" i="10"/>
  <c r="O10" i="10"/>
  <c r="P9" i="10"/>
  <c r="O9" i="10"/>
  <c r="P8" i="10"/>
  <c r="O8" i="10"/>
  <c r="P7" i="10"/>
  <c r="O7" i="10"/>
  <c r="P6" i="10"/>
  <c r="O6" i="10"/>
  <c r="P5" i="10"/>
  <c r="O5" i="10"/>
  <c r="S344" i="10"/>
  <c r="R344" i="10"/>
  <c r="T343" i="10"/>
  <c r="R342" i="10"/>
  <c r="T335" i="10"/>
  <c r="T333" i="10"/>
  <c r="T332" i="10"/>
  <c r="T330" i="10"/>
  <c r="T329" i="10"/>
  <c r="T328" i="10"/>
  <c r="T327" i="10"/>
  <c r="T326" i="10"/>
  <c r="T325" i="10"/>
  <c r="T324" i="10"/>
  <c r="T323" i="10"/>
  <c r="S322" i="10"/>
  <c r="R322" i="10"/>
  <c r="T314" i="10"/>
  <c r="T311" i="10"/>
  <c r="T310" i="10"/>
  <c r="T309" i="10"/>
  <c r="T308" i="10"/>
  <c r="T307" i="10"/>
  <c r="T306" i="10"/>
  <c r="T305" i="10"/>
  <c r="T304" i="10"/>
  <c r="S298" i="10"/>
  <c r="R298" i="10"/>
  <c r="T297" i="10"/>
  <c r="R296" i="10"/>
  <c r="T291" i="10"/>
  <c r="T289" i="10"/>
  <c r="T288" i="10"/>
  <c r="T287" i="10"/>
  <c r="T286" i="10"/>
  <c r="T285" i="10"/>
  <c r="T284" i="10"/>
  <c r="T283" i="10"/>
  <c r="T282" i="10"/>
  <c r="T281" i="10"/>
  <c r="T280" i="10"/>
  <c r="T279" i="10"/>
  <c r="T277" i="10"/>
  <c r="S276" i="10"/>
  <c r="T273" i="10"/>
  <c r="T272" i="10"/>
  <c r="T270" i="10"/>
  <c r="T269" i="10"/>
  <c r="T268" i="10"/>
  <c r="T267" i="10"/>
  <c r="T265" i="10"/>
  <c r="T264" i="10"/>
  <c r="T263" i="10"/>
  <c r="T262" i="10"/>
  <c r="T261" i="10"/>
  <c r="T260" i="10"/>
  <c r="T259" i="10"/>
  <c r="T258" i="10"/>
  <c r="T257" i="10"/>
  <c r="T256" i="10"/>
  <c r="T255" i="10"/>
  <c r="S247" i="10"/>
  <c r="R247" i="10"/>
  <c r="T246" i="10"/>
  <c r="S245" i="10"/>
  <c r="R245" i="10"/>
  <c r="T243" i="10"/>
  <c r="T242" i="10"/>
  <c r="T241" i="10"/>
  <c r="T240" i="10"/>
  <c r="T239" i="10"/>
  <c r="T238" i="10"/>
  <c r="T237" i="10"/>
  <c r="T236" i="10"/>
  <c r="T235" i="10"/>
  <c r="T234" i="10"/>
  <c r="T233" i="10"/>
  <c r="T232" i="10"/>
  <c r="T231" i="10"/>
  <c r="T230" i="10"/>
  <c r="T229" i="10"/>
  <c r="T228" i="10"/>
  <c r="T227" i="10"/>
  <c r="T226" i="10"/>
  <c r="T225" i="10"/>
  <c r="S224" i="10"/>
  <c r="R224" i="10"/>
  <c r="T221" i="10"/>
  <c r="T220" i="10"/>
  <c r="T218" i="10"/>
  <c r="T217" i="10"/>
  <c r="T216" i="10"/>
  <c r="T214" i="10"/>
  <c r="T213" i="10"/>
  <c r="T212" i="10"/>
  <c r="S206" i="10"/>
  <c r="R206" i="10"/>
  <c r="T205" i="10"/>
  <c r="R204" i="10"/>
  <c r="T203" i="10"/>
  <c r="T202" i="10"/>
  <c r="T201" i="10"/>
  <c r="T200" i="10"/>
  <c r="T199" i="10"/>
  <c r="T198" i="10"/>
  <c r="T197" i="10"/>
  <c r="T196" i="10"/>
  <c r="T195" i="10"/>
  <c r="T194" i="10"/>
  <c r="T193" i="10"/>
  <c r="T192" i="10"/>
  <c r="T191" i="10"/>
  <c r="T190" i="10"/>
  <c r="T189" i="10"/>
  <c r="T188" i="10"/>
  <c r="T187" i="10"/>
  <c r="T186" i="10"/>
  <c r="T185" i="10"/>
  <c r="T184" i="10"/>
  <c r="T183" i="10"/>
  <c r="T182" i="10"/>
  <c r="T181" i="10"/>
  <c r="T180" i="10"/>
  <c r="T179" i="10"/>
  <c r="S178" i="10"/>
  <c r="R178" i="10"/>
  <c r="T177" i="10"/>
  <c r="T175" i="10"/>
  <c r="T174" i="10"/>
  <c r="T173" i="10"/>
  <c r="T172" i="10"/>
  <c r="T171" i="10"/>
  <c r="T170" i="10"/>
  <c r="T169" i="10"/>
  <c r="T168" i="10"/>
  <c r="T167" i="10"/>
  <c r="T166" i="10"/>
  <c r="T165" i="10"/>
  <c r="T164" i="10"/>
  <c r="T163" i="10"/>
  <c r="T162" i="10"/>
  <c r="S154" i="10"/>
  <c r="R154" i="10"/>
  <c r="T153" i="10"/>
  <c r="S152" i="10"/>
  <c r="T149" i="10"/>
  <c r="T147" i="10"/>
  <c r="T146" i="10"/>
  <c r="T145" i="10"/>
  <c r="T144" i="10"/>
  <c r="T143" i="10"/>
  <c r="T140" i="10"/>
  <c r="T139" i="10"/>
  <c r="T136" i="10"/>
  <c r="T135" i="10"/>
  <c r="T134" i="10"/>
  <c r="T133" i="10"/>
  <c r="T132" i="10"/>
  <c r="T130" i="10"/>
  <c r="S129" i="10"/>
  <c r="R129" i="10"/>
  <c r="T124" i="10"/>
  <c r="T121" i="10"/>
  <c r="T120" i="10"/>
  <c r="T119" i="10"/>
  <c r="T118" i="10"/>
  <c r="T117" i="10"/>
  <c r="T116" i="10"/>
  <c r="T115" i="10"/>
  <c r="T114" i="10"/>
  <c r="T113" i="10"/>
  <c r="T112" i="10"/>
  <c r="T111" i="10"/>
  <c r="T105" i="10"/>
  <c r="S104" i="10"/>
  <c r="R104" i="10"/>
  <c r="T101" i="10"/>
  <c r="T98" i="10"/>
  <c r="T97" i="10"/>
  <c r="T96" i="10"/>
  <c r="T94" i="10"/>
  <c r="T93" i="10"/>
  <c r="T92" i="10"/>
  <c r="T91" i="10"/>
  <c r="S90" i="10"/>
  <c r="R90" i="10"/>
  <c r="T84" i="10"/>
  <c r="T78" i="10"/>
  <c r="T74" i="10"/>
  <c r="T72" i="10"/>
  <c r="T71" i="10"/>
  <c r="T70" i="10"/>
  <c r="T69" i="10"/>
  <c r="T68" i="10"/>
  <c r="T67" i="10"/>
  <c r="T66" i="10"/>
  <c r="S60" i="10"/>
  <c r="R60" i="10"/>
  <c r="T59" i="10"/>
  <c r="S58" i="10"/>
  <c r="R58" i="10"/>
  <c r="T54" i="10"/>
  <c r="T52" i="10"/>
  <c r="T51" i="10"/>
  <c r="T50" i="10"/>
  <c r="T49" i="10"/>
  <c r="T48" i="10"/>
  <c r="S47" i="10"/>
  <c r="R47" i="10"/>
  <c r="T42" i="10"/>
  <c r="T40" i="10"/>
  <c r="T36" i="10"/>
  <c r="T35" i="10"/>
  <c r="T34" i="10"/>
  <c r="T33" i="10"/>
  <c r="T32" i="10"/>
  <c r="T31" i="10"/>
  <c r="T30" i="10"/>
  <c r="T29" i="10"/>
  <c r="T28" i="10"/>
  <c r="R27" i="10"/>
  <c r="T23" i="10"/>
  <c r="T20" i="10"/>
  <c r="T19" i="10"/>
  <c r="T18" i="10"/>
  <c r="T16" i="10"/>
  <c r="T15" i="10"/>
  <c r="T14" i="10"/>
  <c r="T13" i="10"/>
  <c r="T12" i="10"/>
  <c r="S11" i="10"/>
  <c r="R11" i="10"/>
  <c r="T5" i="10"/>
  <c r="O49" i="9"/>
  <c r="N49" i="9"/>
  <c r="O47" i="9"/>
  <c r="N47" i="9"/>
  <c r="O46" i="9"/>
  <c r="N46" i="9"/>
  <c r="O45" i="9"/>
  <c r="N45" i="9"/>
  <c r="O44" i="9"/>
  <c r="N44" i="9"/>
  <c r="O43" i="9"/>
  <c r="N43" i="9"/>
  <c r="O42" i="9"/>
  <c r="N42" i="9"/>
  <c r="O41" i="9"/>
  <c r="N41" i="9"/>
  <c r="O40" i="9"/>
  <c r="N40" i="9"/>
  <c r="O39" i="9"/>
  <c r="N39" i="9"/>
  <c r="O38" i="9"/>
  <c r="N38" i="9"/>
  <c r="O37" i="9"/>
  <c r="N37" i="9"/>
  <c r="O36" i="9"/>
  <c r="N36" i="9"/>
  <c r="O35" i="9"/>
  <c r="N35" i="9"/>
  <c r="O34" i="9"/>
  <c r="N34" i="9"/>
  <c r="O33" i="9"/>
  <c r="N33" i="9"/>
  <c r="O31" i="9"/>
  <c r="N31" i="9"/>
  <c r="O30" i="9"/>
  <c r="N30" i="9"/>
  <c r="O29" i="9"/>
  <c r="N29" i="9"/>
  <c r="O28" i="9"/>
  <c r="N28" i="9"/>
  <c r="O27" i="9"/>
  <c r="N27" i="9"/>
  <c r="O26" i="9"/>
  <c r="O25" i="9"/>
  <c r="N25" i="9"/>
  <c r="O24" i="9"/>
  <c r="N24" i="9"/>
  <c r="O23" i="9"/>
  <c r="N23" i="9"/>
  <c r="O22" i="9"/>
  <c r="P22" i="9" s="1"/>
  <c r="N22" i="9"/>
  <c r="O21" i="9"/>
  <c r="N21" i="9"/>
  <c r="O20" i="9"/>
  <c r="N20" i="9"/>
  <c r="O19" i="9"/>
  <c r="N19" i="9"/>
  <c r="O18" i="9"/>
  <c r="N18" i="9"/>
  <c r="O17" i="9"/>
  <c r="N17" i="9"/>
  <c r="O16" i="9"/>
  <c r="N16" i="9"/>
  <c r="O15" i="9"/>
  <c r="N15" i="9"/>
  <c r="O14" i="9"/>
  <c r="N14" i="9"/>
  <c r="O13" i="9"/>
  <c r="N13" i="9"/>
  <c r="O12" i="9"/>
  <c r="N12" i="9"/>
  <c r="O11" i="9"/>
  <c r="N11" i="9"/>
  <c r="O10" i="9"/>
  <c r="N10" i="9"/>
  <c r="O9" i="9"/>
  <c r="N9" i="9"/>
  <c r="O8" i="9"/>
  <c r="N8" i="9"/>
  <c r="O7" i="9"/>
  <c r="N7" i="9"/>
  <c r="O6" i="9"/>
  <c r="N6" i="9"/>
  <c r="O5" i="9"/>
  <c r="N5" i="9"/>
  <c r="S49" i="9"/>
  <c r="R48" i="9"/>
  <c r="Q48" i="9"/>
  <c r="S36" i="9"/>
  <c r="S34" i="9"/>
  <c r="S33" i="9"/>
  <c r="R32" i="9"/>
  <c r="S29" i="9"/>
  <c r="S28" i="9"/>
  <c r="S27" i="9"/>
  <c r="S24" i="9"/>
  <c r="S23" i="9"/>
  <c r="S22" i="9"/>
  <c r="S19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O48" i="9"/>
  <c r="P97" i="8"/>
  <c r="Q97" i="8" s="1"/>
  <c r="O97" i="8"/>
  <c r="P95" i="8"/>
  <c r="O95" i="8"/>
  <c r="P94" i="8"/>
  <c r="O94" i="8"/>
  <c r="P93" i="8"/>
  <c r="O93" i="8"/>
  <c r="P92" i="8"/>
  <c r="O92" i="8"/>
  <c r="P91" i="8"/>
  <c r="O91" i="8"/>
  <c r="P90" i="8"/>
  <c r="O90" i="8"/>
  <c r="P89" i="8"/>
  <c r="O89" i="8"/>
  <c r="P88" i="8"/>
  <c r="O88" i="8"/>
  <c r="P87" i="8"/>
  <c r="O87" i="8"/>
  <c r="P86" i="8"/>
  <c r="O86" i="8"/>
  <c r="P85" i="8"/>
  <c r="O85" i="8"/>
  <c r="P84" i="8"/>
  <c r="O84" i="8"/>
  <c r="P83" i="8"/>
  <c r="O83" i="8"/>
  <c r="P82" i="8"/>
  <c r="O82" i="8"/>
  <c r="P81" i="8"/>
  <c r="O81" i="8"/>
  <c r="P80" i="8"/>
  <c r="O80" i="8"/>
  <c r="P79" i="8"/>
  <c r="O79" i="8"/>
  <c r="P78" i="8"/>
  <c r="O78" i="8"/>
  <c r="P77" i="8"/>
  <c r="O77" i="8"/>
  <c r="P76" i="8"/>
  <c r="O76" i="8"/>
  <c r="P75" i="8"/>
  <c r="O75" i="8"/>
  <c r="P74" i="8"/>
  <c r="O74" i="8"/>
  <c r="P73" i="8"/>
  <c r="O73" i="8"/>
  <c r="P72" i="8"/>
  <c r="O72" i="8"/>
  <c r="P71" i="8"/>
  <c r="O71" i="8"/>
  <c r="P69" i="8"/>
  <c r="O69" i="8"/>
  <c r="P68" i="8"/>
  <c r="O68" i="8"/>
  <c r="P67" i="8"/>
  <c r="O67" i="8"/>
  <c r="P66" i="8"/>
  <c r="O66" i="8"/>
  <c r="P65" i="8"/>
  <c r="O65" i="8"/>
  <c r="P64" i="8"/>
  <c r="O64" i="8"/>
  <c r="P63" i="8"/>
  <c r="O63" i="8"/>
  <c r="P62" i="8"/>
  <c r="O62" i="8"/>
  <c r="P61" i="8"/>
  <c r="O61" i="8"/>
  <c r="P60" i="8"/>
  <c r="O60" i="8"/>
  <c r="P59" i="8"/>
  <c r="O59" i="8"/>
  <c r="P58" i="8"/>
  <c r="O58" i="8"/>
  <c r="P57" i="8"/>
  <c r="O57" i="8"/>
  <c r="P56" i="8"/>
  <c r="O56" i="8"/>
  <c r="P55" i="8"/>
  <c r="O55" i="8"/>
  <c r="P54" i="8"/>
  <c r="O54" i="8"/>
  <c r="P53" i="8"/>
  <c r="O53" i="8"/>
  <c r="P52" i="8"/>
  <c r="O52" i="8"/>
  <c r="P51" i="8"/>
  <c r="O51" i="8"/>
  <c r="P50" i="8"/>
  <c r="O50" i="8"/>
  <c r="P48" i="8"/>
  <c r="Q48" i="8" s="1"/>
  <c r="O48" i="8"/>
  <c r="P46" i="8"/>
  <c r="O46" i="8"/>
  <c r="P45" i="8"/>
  <c r="O45" i="8"/>
  <c r="P44" i="8"/>
  <c r="O44" i="8"/>
  <c r="P43" i="8"/>
  <c r="O43" i="8"/>
  <c r="P42" i="8"/>
  <c r="O42" i="8"/>
  <c r="P41" i="8"/>
  <c r="O41" i="8"/>
  <c r="P40" i="8"/>
  <c r="O40" i="8"/>
  <c r="P39" i="8"/>
  <c r="O39" i="8"/>
  <c r="P38" i="8"/>
  <c r="O38" i="8"/>
  <c r="P37" i="8"/>
  <c r="O37" i="8"/>
  <c r="P36" i="8"/>
  <c r="O36" i="8"/>
  <c r="P35" i="8"/>
  <c r="O35" i="8"/>
  <c r="P34" i="8"/>
  <c r="O34" i="8"/>
  <c r="P33" i="8"/>
  <c r="O33" i="8"/>
  <c r="P32" i="8"/>
  <c r="O32" i="8"/>
  <c r="P31" i="8"/>
  <c r="O31" i="8"/>
  <c r="P30" i="8"/>
  <c r="O30" i="8"/>
  <c r="P29" i="8"/>
  <c r="O29" i="8"/>
  <c r="P27" i="8"/>
  <c r="O27" i="8"/>
  <c r="P26" i="8"/>
  <c r="O26" i="8"/>
  <c r="P25" i="8"/>
  <c r="O25" i="8"/>
  <c r="P24" i="8"/>
  <c r="O24" i="8"/>
  <c r="P23" i="8"/>
  <c r="O23" i="8"/>
  <c r="P22" i="8"/>
  <c r="O22" i="8"/>
  <c r="P21" i="8"/>
  <c r="O21" i="8"/>
  <c r="P20" i="8"/>
  <c r="O20" i="8"/>
  <c r="P19" i="8"/>
  <c r="O19" i="8"/>
  <c r="P18" i="8"/>
  <c r="O18" i="8"/>
  <c r="P17" i="8"/>
  <c r="O17" i="8"/>
  <c r="P16" i="8"/>
  <c r="O16" i="8"/>
  <c r="P15" i="8"/>
  <c r="O15" i="8"/>
  <c r="P14" i="8"/>
  <c r="O14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S98" i="8"/>
  <c r="R98" i="8"/>
  <c r="S96" i="8"/>
  <c r="R96" i="8"/>
  <c r="T88" i="8"/>
  <c r="T87" i="8"/>
  <c r="T86" i="8"/>
  <c r="T85" i="8"/>
  <c r="T80" i="8"/>
  <c r="T79" i="8"/>
  <c r="T76" i="8"/>
  <c r="T75" i="8"/>
  <c r="T74" i="8"/>
  <c r="T73" i="8"/>
  <c r="T72" i="8"/>
  <c r="S70" i="8"/>
  <c r="R70" i="8"/>
  <c r="T59" i="8"/>
  <c r="T57" i="8"/>
  <c r="T55" i="8"/>
  <c r="T53" i="8"/>
  <c r="T51" i="8"/>
  <c r="T50" i="8"/>
  <c r="S49" i="8"/>
  <c r="R49" i="8"/>
  <c r="S47" i="8"/>
  <c r="R47" i="8"/>
  <c r="T37" i="8"/>
  <c r="T36" i="8"/>
  <c r="T35" i="8"/>
  <c r="T34" i="8"/>
  <c r="T33" i="8"/>
  <c r="T32" i="8"/>
  <c r="T31" i="8"/>
  <c r="T30" i="8"/>
  <c r="T29" i="8"/>
  <c r="S28" i="8"/>
  <c r="R28" i="8"/>
  <c r="T16" i="8"/>
  <c r="T15" i="8"/>
  <c r="T13" i="8"/>
  <c r="T12" i="8"/>
  <c r="T11" i="8"/>
  <c r="T10" i="8"/>
  <c r="T9" i="8"/>
  <c r="T8" i="8"/>
  <c r="T7" i="8"/>
  <c r="T6" i="8"/>
  <c r="O266" i="7"/>
  <c r="N266" i="7"/>
  <c r="O264" i="7"/>
  <c r="N264" i="7"/>
  <c r="O263" i="7"/>
  <c r="N263" i="7"/>
  <c r="O262" i="7"/>
  <c r="N262" i="7"/>
  <c r="O261" i="7"/>
  <c r="N261" i="7"/>
  <c r="O260" i="7"/>
  <c r="N260" i="7"/>
  <c r="O259" i="7"/>
  <c r="N259" i="7"/>
  <c r="O258" i="7"/>
  <c r="P258" i="7" s="1"/>
  <c r="N258" i="7"/>
  <c r="O257" i="7"/>
  <c r="N257" i="7"/>
  <c r="O256" i="7"/>
  <c r="N256" i="7"/>
  <c r="O255" i="7"/>
  <c r="N255" i="7"/>
  <c r="O254" i="7"/>
  <c r="N254" i="7"/>
  <c r="O253" i="7"/>
  <c r="N253" i="7"/>
  <c r="O252" i="7"/>
  <c r="N252" i="7"/>
  <c r="O251" i="7"/>
  <c r="N251" i="7"/>
  <c r="O250" i="7"/>
  <c r="N250" i="7"/>
  <c r="O248" i="7"/>
  <c r="O247" i="7"/>
  <c r="N247" i="7"/>
  <c r="O246" i="7"/>
  <c r="O245" i="7"/>
  <c r="N245" i="7"/>
  <c r="O244" i="7"/>
  <c r="O243" i="7"/>
  <c r="N243" i="7"/>
  <c r="O242" i="7"/>
  <c r="O241" i="7"/>
  <c r="N241" i="7"/>
  <c r="O240" i="7"/>
  <c r="N240" i="7"/>
  <c r="O239" i="7"/>
  <c r="P239" i="7" s="1"/>
  <c r="N239" i="7"/>
  <c r="O238" i="7"/>
  <c r="N238" i="7"/>
  <c r="O237" i="7"/>
  <c r="N237" i="7"/>
  <c r="O236" i="7"/>
  <c r="N236" i="7"/>
  <c r="O235" i="7"/>
  <c r="P235" i="7" s="1"/>
  <c r="N235" i="7"/>
  <c r="O234" i="7"/>
  <c r="N234" i="7"/>
  <c r="O233" i="7"/>
  <c r="N233" i="7"/>
  <c r="O232" i="7"/>
  <c r="N232" i="7"/>
  <c r="O231" i="7"/>
  <c r="N231" i="7"/>
  <c r="O230" i="7"/>
  <c r="N230" i="7"/>
  <c r="O229" i="7"/>
  <c r="N229" i="7"/>
  <c r="O228" i="7"/>
  <c r="N228" i="7"/>
  <c r="O227" i="7"/>
  <c r="N227" i="7"/>
  <c r="O226" i="7"/>
  <c r="N226" i="7"/>
  <c r="O225" i="7"/>
  <c r="N225" i="7"/>
  <c r="O224" i="7"/>
  <c r="N224" i="7"/>
  <c r="O217" i="7"/>
  <c r="N217" i="7"/>
  <c r="O215" i="7"/>
  <c r="O214" i="7"/>
  <c r="N214" i="7"/>
  <c r="O213" i="7"/>
  <c r="O212" i="7"/>
  <c r="N212" i="7"/>
  <c r="O211" i="7"/>
  <c r="O210" i="7"/>
  <c r="N210" i="7"/>
  <c r="P210" i="7" s="1"/>
  <c r="O209" i="7"/>
  <c r="N208" i="7"/>
  <c r="O207" i="7"/>
  <c r="O206" i="7"/>
  <c r="N206" i="7"/>
  <c r="O205" i="7"/>
  <c r="N205" i="7"/>
  <c r="N204" i="7"/>
  <c r="O203" i="7"/>
  <c r="N203" i="7"/>
  <c r="O202" i="7"/>
  <c r="N202" i="7"/>
  <c r="P202" i="7" s="1"/>
  <c r="O200" i="7"/>
  <c r="N200" i="7"/>
  <c r="O199" i="7"/>
  <c r="N199" i="7"/>
  <c r="O198" i="7"/>
  <c r="N198" i="7"/>
  <c r="O197" i="7"/>
  <c r="O196" i="7"/>
  <c r="N196" i="7"/>
  <c r="O195" i="7"/>
  <c r="N195" i="7"/>
  <c r="O194" i="7"/>
  <c r="N194" i="7"/>
  <c r="O193" i="7"/>
  <c r="N193" i="7"/>
  <c r="O192" i="7"/>
  <c r="N192" i="7"/>
  <c r="O191" i="7"/>
  <c r="N191" i="7"/>
  <c r="O190" i="7"/>
  <c r="N190" i="7"/>
  <c r="O189" i="7"/>
  <c r="P189" i="7" s="1"/>
  <c r="N189" i="7"/>
  <c r="O188" i="7"/>
  <c r="N188" i="7"/>
  <c r="O187" i="7"/>
  <c r="N187" i="7"/>
  <c r="O186" i="7"/>
  <c r="N186" i="7"/>
  <c r="O185" i="7"/>
  <c r="N185" i="7"/>
  <c r="O184" i="7"/>
  <c r="N184" i="7"/>
  <c r="O183" i="7"/>
  <c r="N183" i="7"/>
  <c r="O182" i="7"/>
  <c r="N182" i="7"/>
  <c r="O181" i="7"/>
  <c r="N181" i="7"/>
  <c r="O174" i="7"/>
  <c r="N174" i="7"/>
  <c r="O172" i="7"/>
  <c r="N172" i="7"/>
  <c r="O171" i="7"/>
  <c r="N171" i="7"/>
  <c r="O170" i="7"/>
  <c r="N170" i="7"/>
  <c r="O169" i="7"/>
  <c r="N169" i="7"/>
  <c r="O168" i="7"/>
  <c r="P168" i="7" s="1"/>
  <c r="N168" i="7"/>
  <c r="O167" i="7"/>
  <c r="N167" i="7"/>
  <c r="O166" i="7"/>
  <c r="P166" i="7" s="1"/>
  <c r="N166" i="7"/>
  <c r="O165" i="7"/>
  <c r="N165" i="7"/>
  <c r="O164" i="7"/>
  <c r="N164" i="7"/>
  <c r="O163" i="7"/>
  <c r="N163" i="7"/>
  <c r="O162" i="7"/>
  <c r="N162" i="7"/>
  <c r="O161" i="7"/>
  <c r="N161" i="7"/>
  <c r="O160" i="7"/>
  <c r="N160" i="7"/>
  <c r="O159" i="7"/>
  <c r="N159" i="7"/>
  <c r="O158" i="7"/>
  <c r="N158" i="7"/>
  <c r="O157" i="7"/>
  <c r="N157" i="7"/>
  <c r="N173" i="7" s="1"/>
  <c r="O156" i="7"/>
  <c r="N156" i="7"/>
  <c r="O154" i="7"/>
  <c r="O153" i="7"/>
  <c r="N153" i="7"/>
  <c r="O152" i="7"/>
  <c r="O151" i="7"/>
  <c r="N151" i="7"/>
  <c r="O150" i="7"/>
  <c r="O149" i="7"/>
  <c r="N149" i="7"/>
  <c r="O148" i="7"/>
  <c r="O147" i="7"/>
  <c r="N147" i="7"/>
  <c r="O146" i="7"/>
  <c r="O145" i="7"/>
  <c r="N145" i="7"/>
  <c r="O144" i="7"/>
  <c r="O143" i="7"/>
  <c r="N143" i="7"/>
  <c r="O142" i="7"/>
  <c r="O141" i="7"/>
  <c r="N141" i="7"/>
  <c r="O140" i="7"/>
  <c r="O139" i="7"/>
  <c r="P139" i="7" s="1"/>
  <c r="N139" i="7"/>
  <c r="O138" i="7"/>
  <c r="N138" i="7"/>
  <c r="O131" i="7"/>
  <c r="N131" i="7"/>
  <c r="O129" i="7"/>
  <c r="N129" i="7"/>
  <c r="N128" i="7"/>
  <c r="O127" i="7"/>
  <c r="N127" i="7"/>
  <c r="O126" i="7"/>
  <c r="N126" i="7"/>
  <c r="O125" i="7"/>
  <c r="N125" i="7"/>
  <c r="O124" i="7"/>
  <c r="N124" i="7"/>
  <c r="O123" i="7"/>
  <c r="N123" i="7"/>
  <c r="O122" i="7"/>
  <c r="N122" i="7"/>
  <c r="O121" i="7"/>
  <c r="N121" i="7"/>
  <c r="O120" i="7"/>
  <c r="N120" i="7"/>
  <c r="O119" i="7"/>
  <c r="N119" i="7"/>
  <c r="O118" i="7"/>
  <c r="N118" i="7"/>
  <c r="O117" i="7"/>
  <c r="N117" i="7"/>
  <c r="O116" i="7"/>
  <c r="P116" i="7" s="1"/>
  <c r="N116" i="7"/>
  <c r="O115" i="7"/>
  <c r="N115" i="7"/>
  <c r="O113" i="7"/>
  <c r="O112" i="7"/>
  <c r="N112" i="7"/>
  <c r="O111" i="7"/>
  <c r="N111" i="7"/>
  <c r="O110" i="7"/>
  <c r="N110" i="7"/>
  <c r="O109" i="7"/>
  <c r="N109" i="7"/>
  <c r="O108" i="7"/>
  <c r="N108" i="7"/>
  <c r="O107" i="7"/>
  <c r="N107" i="7"/>
  <c r="O106" i="7"/>
  <c r="N106" i="7"/>
  <c r="O105" i="7"/>
  <c r="N105" i="7"/>
  <c r="O104" i="7"/>
  <c r="N104" i="7"/>
  <c r="O103" i="7"/>
  <c r="N103" i="7"/>
  <c r="O102" i="7"/>
  <c r="N102" i="7"/>
  <c r="O101" i="7"/>
  <c r="N101" i="7"/>
  <c r="O100" i="7"/>
  <c r="N100" i="7"/>
  <c r="O99" i="7"/>
  <c r="N99" i="7"/>
  <c r="O98" i="7"/>
  <c r="N98" i="7"/>
  <c r="O97" i="7"/>
  <c r="N97" i="7"/>
  <c r="O96" i="7"/>
  <c r="N96" i="7"/>
  <c r="O95" i="7"/>
  <c r="N95" i="7"/>
  <c r="O94" i="7"/>
  <c r="N94" i="7"/>
  <c r="O93" i="7"/>
  <c r="N93" i="7"/>
  <c r="O92" i="7"/>
  <c r="N92" i="7"/>
  <c r="O91" i="7"/>
  <c r="N91" i="7"/>
  <c r="O90" i="7"/>
  <c r="P90" i="7" s="1"/>
  <c r="N90" i="7"/>
  <c r="O89" i="7"/>
  <c r="O82" i="7"/>
  <c r="N82" i="7"/>
  <c r="O80" i="7"/>
  <c r="O79" i="7"/>
  <c r="N79" i="7"/>
  <c r="O78" i="7"/>
  <c r="O77" i="7"/>
  <c r="N77" i="7"/>
  <c r="O76" i="7"/>
  <c r="O75" i="7"/>
  <c r="N75" i="7"/>
  <c r="O74" i="7"/>
  <c r="O73" i="7"/>
  <c r="N73" i="7"/>
  <c r="O72" i="7"/>
  <c r="N72" i="7"/>
  <c r="P72" i="7" s="1"/>
  <c r="O71" i="7"/>
  <c r="N71" i="7"/>
  <c r="O70" i="7"/>
  <c r="N70" i="7"/>
  <c r="O69" i="7"/>
  <c r="N69" i="7"/>
  <c r="O68" i="7"/>
  <c r="N68" i="7"/>
  <c r="O67" i="7"/>
  <c r="N67" i="7"/>
  <c r="O66" i="7"/>
  <c r="N66" i="7"/>
  <c r="O65" i="7"/>
  <c r="N65" i="7"/>
  <c r="O64" i="7"/>
  <c r="N64" i="7"/>
  <c r="O63" i="7"/>
  <c r="O62" i="7" s="1"/>
  <c r="N63" i="7"/>
  <c r="O61" i="7"/>
  <c r="N61" i="7"/>
  <c r="O60" i="7"/>
  <c r="N60" i="7"/>
  <c r="O59" i="7"/>
  <c r="N59" i="7"/>
  <c r="O58" i="7"/>
  <c r="N58" i="7"/>
  <c r="O57" i="7"/>
  <c r="N57" i="7"/>
  <c r="O56" i="7"/>
  <c r="N56" i="7"/>
  <c r="O55" i="7"/>
  <c r="N55" i="7"/>
  <c r="O54" i="7"/>
  <c r="N54" i="7"/>
  <c r="O53" i="7"/>
  <c r="N53" i="7"/>
  <c r="O52" i="7"/>
  <c r="N52" i="7"/>
  <c r="O51" i="7"/>
  <c r="N51" i="7"/>
  <c r="P51" i="7" s="1"/>
  <c r="O50" i="7"/>
  <c r="N50" i="7"/>
  <c r="O49" i="7"/>
  <c r="N49" i="7"/>
  <c r="O48" i="7"/>
  <c r="N48" i="7"/>
  <c r="O47" i="7"/>
  <c r="N47" i="7"/>
  <c r="P47" i="7" s="1"/>
  <c r="O46" i="7"/>
  <c r="N46" i="7"/>
  <c r="O45" i="7"/>
  <c r="N45" i="7"/>
  <c r="O44" i="7"/>
  <c r="N44" i="7"/>
  <c r="O43" i="7"/>
  <c r="N43" i="7"/>
  <c r="P43" i="7" s="1"/>
  <c r="O42" i="7"/>
  <c r="N42" i="7"/>
  <c r="O35" i="7"/>
  <c r="N35" i="7"/>
  <c r="O33" i="7"/>
  <c r="N33" i="7"/>
  <c r="O32" i="7"/>
  <c r="N32" i="7"/>
  <c r="O31" i="7"/>
  <c r="N31" i="7"/>
  <c r="O30" i="7"/>
  <c r="N30" i="7"/>
  <c r="O29" i="7"/>
  <c r="N29" i="7"/>
  <c r="O28" i="7"/>
  <c r="N28" i="7"/>
  <c r="O27" i="7"/>
  <c r="N27" i="7"/>
  <c r="O26" i="7"/>
  <c r="N26" i="7"/>
  <c r="O25" i="7"/>
  <c r="N25" i="7"/>
  <c r="O24" i="7"/>
  <c r="N24" i="7"/>
  <c r="O23" i="7"/>
  <c r="N23" i="7"/>
  <c r="O22" i="7"/>
  <c r="N22" i="7"/>
  <c r="O21" i="7"/>
  <c r="N21" i="7"/>
  <c r="O20" i="7"/>
  <c r="N20" i="7"/>
  <c r="O19" i="7"/>
  <c r="O34" i="7" s="1"/>
  <c r="N19" i="7"/>
  <c r="O18" i="7"/>
  <c r="N18" i="7"/>
  <c r="O16" i="7"/>
  <c r="N16" i="7"/>
  <c r="O15" i="7"/>
  <c r="N15" i="7"/>
  <c r="O14" i="7"/>
  <c r="N14" i="7"/>
  <c r="O13" i="7"/>
  <c r="N13" i="7"/>
  <c r="O12" i="7"/>
  <c r="N12" i="7"/>
  <c r="O11" i="7"/>
  <c r="N11" i="7"/>
  <c r="O10" i="7"/>
  <c r="N10" i="7"/>
  <c r="O9" i="7"/>
  <c r="N9" i="7"/>
  <c r="O8" i="7"/>
  <c r="N8" i="7"/>
  <c r="O7" i="7"/>
  <c r="N7" i="7"/>
  <c r="O6" i="7"/>
  <c r="N6" i="7"/>
  <c r="O5" i="7"/>
  <c r="N5" i="7"/>
  <c r="S266" i="7"/>
  <c r="R265" i="7"/>
  <c r="S260" i="7"/>
  <c r="S258" i="7"/>
  <c r="S257" i="7"/>
  <c r="S256" i="7"/>
  <c r="S255" i="7"/>
  <c r="S254" i="7"/>
  <c r="S253" i="7"/>
  <c r="S252" i="7"/>
  <c r="S251" i="7"/>
  <c r="S250" i="7"/>
  <c r="R249" i="7"/>
  <c r="Q249" i="7"/>
  <c r="S248" i="7"/>
  <c r="S247" i="7"/>
  <c r="S245" i="7"/>
  <c r="S244" i="7"/>
  <c r="S243" i="7"/>
  <c r="S242" i="7"/>
  <c r="S241" i="7"/>
  <c r="S240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17" i="7"/>
  <c r="S214" i="7"/>
  <c r="S211" i="7"/>
  <c r="S210" i="7"/>
  <c r="S209" i="7"/>
  <c r="S207" i="7"/>
  <c r="S206" i="7"/>
  <c r="S205" i="7"/>
  <c r="S203" i="7"/>
  <c r="S202" i="7"/>
  <c r="R201" i="7"/>
  <c r="Q201" i="7"/>
  <c r="S197" i="7"/>
  <c r="S196" i="7"/>
  <c r="S195" i="7"/>
  <c r="S194" i="7"/>
  <c r="S193" i="7"/>
  <c r="S192" i="7"/>
  <c r="S191" i="7"/>
  <c r="S190" i="7"/>
  <c r="S188" i="7"/>
  <c r="S187" i="7"/>
  <c r="S186" i="7"/>
  <c r="S185" i="7"/>
  <c r="S184" i="7"/>
  <c r="S183" i="7"/>
  <c r="S182" i="7"/>
  <c r="S181" i="7"/>
  <c r="S174" i="7"/>
  <c r="R173" i="7"/>
  <c r="S169" i="7"/>
  <c r="S164" i="7"/>
  <c r="S163" i="7"/>
  <c r="S162" i="7"/>
  <c r="S161" i="7"/>
  <c r="S160" i="7"/>
  <c r="S159" i="7"/>
  <c r="S158" i="7"/>
  <c r="S157" i="7"/>
  <c r="S156" i="7"/>
  <c r="R155" i="7"/>
  <c r="S154" i="7"/>
  <c r="S153" i="7"/>
  <c r="S152" i="7"/>
  <c r="S148" i="7"/>
  <c r="S147" i="7"/>
  <c r="S146" i="7"/>
  <c r="S145" i="7"/>
  <c r="S144" i="7"/>
  <c r="S143" i="7"/>
  <c r="S142" i="7"/>
  <c r="S141" i="7"/>
  <c r="S140" i="7"/>
  <c r="S139" i="7"/>
  <c r="S138" i="7"/>
  <c r="S131" i="7"/>
  <c r="R130" i="7"/>
  <c r="Q130" i="7"/>
  <c r="S126" i="7"/>
  <c r="S121" i="7"/>
  <c r="S120" i="7"/>
  <c r="S119" i="7"/>
  <c r="S118" i="7"/>
  <c r="S117" i="7"/>
  <c r="S116" i="7"/>
  <c r="S115" i="7"/>
  <c r="R114" i="7"/>
  <c r="S111" i="7"/>
  <c r="S109" i="7"/>
  <c r="S107" i="7"/>
  <c r="S106" i="7"/>
  <c r="S105" i="7"/>
  <c r="S102" i="7"/>
  <c r="S101" i="7"/>
  <c r="S100" i="7"/>
  <c r="S98" i="7"/>
  <c r="S97" i="7"/>
  <c r="S96" i="7"/>
  <c r="S95" i="7"/>
  <c r="S94" i="7"/>
  <c r="S93" i="7"/>
  <c r="S92" i="7"/>
  <c r="S91" i="7"/>
  <c r="S90" i="7"/>
  <c r="S82" i="7"/>
  <c r="R81" i="7"/>
  <c r="Q81" i="7"/>
  <c r="S77" i="7"/>
  <c r="S74" i="7"/>
  <c r="S73" i="7"/>
  <c r="S72" i="7"/>
  <c r="S71" i="7"/>
  <c r="S70" i="7"/>
  <c r="S69" i="7"/>
  <c r="S68" i="7"/>
  <c r="S67" i="7"/>
  <c r="S66" i="7"/>
  <c r="S64" i="7"/>
  <c r="S63" i="7"/>
  <c r="R62" i="7"/>
  <c r="Q62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35" i="7"/>
  <c r="R34" i="7"/>
  <c r="Q34" i="7"/>
  <c r="S27" i="7"/>
  <c r="S25" i="7"/>
  <c r="S24" i="7"/>
  <c r="S22" i="7"/>
  <c r="S21" i="7"/>
  <c r="S20" i="7"/>
  <c r="S19" i="7"/>
  <c r="S18" i="7"/>
  <c r="R17" i="7"/>
  <c r="Q17" i="7"/>
  <c r="S9" i="7"/>
  <c r="S8" i="7"/>
  <c r="S7" i="7"/>
  <c r="S6" i="7"/>
  <c r="S5" i="7"/>
  <c r="P250" i="7"/>
  <c r="P227" i="7"/>
  <c r="P156" i="7"/>
  <c r="P141" i="7"/>
  <c r="P55" i="7"/>
  <c r="AH79" i="24"/>
  <c r="AF79" i="24"/>
  <c r="AE79" i="24"/>
  <c r="AD79" i="24"/>
  <c r="AC78" i="24"/>
  <c r="AB78" i="24"/>
  <c r="AA78" i="24"/>
  <c r="Z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K78" i="24"/>
  <c r="J78" i="24"/>
  <c r="I78" i="24"/>
  <c r="H78" i="24"/>
  <c r="E78" i="24"/>
  <c r="D78" i="24"/>
  <c r="C78" i="24"/>
  <c r="B78" i="24"/>
  <c r="AH77" i="24"/>
  <c r="AF77" i="24"/>
  <c r="AD77" i="24"/>
  <c r="AH76" i="24"/>
  <c r="AF76" i="24"/>
  <c r="AE76" i="24"/>
  <c r="AH75" i="24"/>
  <c r="AE75" i="24"/>
  <c r="AD75" i="24"/>
  <c r="AH74" i="24"/>
  <c r="AF74" i="24"/>
  <c r="AE74" i="24"/>
  <c r="AD74" i="24"/>
  <c r="AH73" i="24"/>
  <c r="AF73" i="24"/>
  <c r="AE73" i="24"/>
  <c r="AD73" i="24"/>
  <c r="AH72" i="24"/>
  <c r="AF72" i="24"/>
  <c r="AE72" i="24"/>
  <c r="AD72" i="24"/>
  <c r="AH71" i="24"/>
  <c r="AF71" i="24"/>
  <c r="AE71" i="24"/>
  <c r="AD71" i="24"/>
  <c r="AH70" i="24"/>
  <c r="AF70" i="24"/>
  <c r="AE70" i="24"/>
  <c r="AD70" i="24"/>
  <c r="AH69" i="24"/>
  <c r="AE69" i="24"/>
  <c r="AD69" i="24"/>
  <c r="AH68" i="24"/>
  <c r="AF68" i="24"/>
  <c r="AE68" i="24"/>
  <c r="AD68" i="24"/>
  <c r="AH67" i="24"/>
  <c r="AF67" i="24"/>
  <c r="AE67" i="24"/>
  <c r="AD67" i="24"/>
  <c r="AH66" i="24"/>
  <c r="AF66" i="24"/>
  <c r="AE66" i="24"/>
  <c r="AD66" i="24"/>
  <c r="AH65" i="24"/>
  <c r="AF65" i="24"/>
  <c r="AE65" i="24"/>
  <c r="AD65" i="24"/>
  <c r="AH64" i="24"/>
  <c r="AF64" i="24"/>
  <c r="AE64" i="24"/>
  <c r="AD64" i="24"/>
  <c r="AH63" i="24"/>
  <c r="AF63" i="24"/>
  <c r="AE63" i="24"/>
  <c r="AD63" i="24"/>
  <c r="AH62" i="24"/>
  <c r="AF62" i="24"/>
  <c r="AE62" i="24"/>
  <c r="AD62" i="24"/>
  <c r="AH61" i="24"/>
  <c r="AF61" i="24"/>
  <c r="AE61" i="24"/>
  <c r="AD61" i="24"/>
  <c r="AH60" i="24"/>
  <c r="AF60" i="24"/>
  <c r="AE60" i="24"/>
  <c r="AD60" i="24"/>
  <c r="AH59" i="24"/>
  <c r="AF59" i="24"/>
  <c r="AE59" i="24"/>
  <c r="AD59" i="24"/>
  <c r="AH58" i="24"/>
  <c r="AF58" i="24"/>
  <c r="AE58" i="24"/>
  <c r="AD58" i="24"/>
  <c r="AH57" i="24"/>
  <c r="AF57" i="24"/>
  <c r="AE57" i="24"/>
  <c r="AD57" i="24"/>
  <c r="AH56" i="24"/>
  <c r="AF56" i="24"/>
  <c r="AE56" i="24"/>
  <c r="AD56" i="24"/>
  <c r="AH55" i="24"/>
  <c r="AE55" i="24"/>
  <c r="AD55" i="24"/>
  <c r="AH54" i="24"/>
  <c r="AF54" i="24"/>
  <c r="AE54" i="24"/>
  <c r="AD54" i="24"/>
  <c r="AH53" i="24"/>
  <c r="AF53" i="24"/>
  <c r="AE53" i="24"/>
  <c r="AD53" i="24"/>
  <c r="AH52" i="24"/>
  <c r="AF52" i="24"/>
  <c r="AE52" i="24"/>
  <c r="AD52" i="24"/>
  <c r="AH51" i="24"/>
  <c r="AF51" i="24"/>
  <c r="AE51" i="24"/>
  <c r="AD51" i="24"/>
  <c r="AH50" i="24"/>
  <c r="AF50" i="24"/>
  <c r="AE50" i="24"/>
  <c r="AD50" i="24"/>
  <c r="AH49" i="24"/>
  <c r="AF49" i="24"/>
  <c r="AE49" i="24"/>
  <c r="AD49" i="24"/>
  <c r="AH48" i="24"/>
  <c r="AF48" i="24"/>
  <c r="AH79" i="22"/>
  <c r="AF79" i="22"/>
  <c r="AE79" i="22"/>
  <c r="AD79" i="22"/>
  <c r="AC78" i="22"/>
  <c r="AB78" i="22"/>
  <c r="Y78" i="22"/>
  <c r="X78" i="22"/>
  <c r="W78" i="22"/>
  <c r="U78" i="22"/>
  <c r="T78" i="22"/>
  <c r="R78" i="22"/>
  <c r="Q78" i="22"/>
  <c r="P78" i="22"/>
  <c r="O78" i="22"/>
  <c r="M78" i="22"/>
  <c r="K78" i="22"/>
  <c r="I78" i="22"/>
  <c r="E78" i="22"/>
  <c r="C78" i="22"/>
  <c r="AH77" i="22"/>
  <c r="AF77" i="22"/>
  <c r="AE77" i="22"/>
  <c r="AD77" i="22"/>
  <c r="AH76" i="22"/>
  <c r="AF76" i="22"/>
  <c r="AH75" i="22"/>
  <c r="AE75" i="22"/>
  <c r="AD75" i="22"/>
  <c r="AH74" i="22"/>
  <c r="AE74" i="22"/>
  <c r="AH73" i="22"/>
  <c r="AF73" i="22"/>
  <c r="AE73" i="22"/>
  <c r="AD73" i="22"/>
  <c r="AH72" i="22"/>
  <c r="AH71" i="22"/>
  <c r="AE71" i="22"/>
  <c r="AD71" i="22"/>
  <c r="AH70" i="22"/>
  <c r="AE70" i="22"/>
  <c r="AD70" i="22"/>
  <c r="AH69" i="22"/>
  <c r="AF69" i="22"/>
  <c r="AE69" i="22"/>
  <c r="AD69" i="22"/>
  <c r="AH68" i="22"/>
  <c r="AE68" i="22"/>
  <c r="AD68" i="22"/>
  <c r="AH67" i="22"/>
  <c r="AE67" i="22"/>
  <c r="AD67" i="22"/>
  <c r="AH66" i="22"/>
  <c r="AE66" i="22"/>
  <c r="AD66" i="22"/>
  <c r="AH65" i="22"/>
  <c r="AF65" i="22"/>
  <c r="AE65" i="22"/>
  <c r="AD65" i="22"/>
  <c r="AH64" i="22"/>
  <c r="AE64" i="22"/>
  <c r="AD64" i="22"/>
  <c r="AH63" i="22"/>
  <c r="AE63" i="22"/>
  <c r="AD63" i="22"/>
  <c r="AH62" i="22"/>
  <c r="AE62" i="22"/>
  <c r="AD62" i="22"/>
  <c r="AH61" i="22"/>
  <c r="AF61" i="22"/>
  <c r="AE61" i="22"/>
  <c r="AD61" i="22"/>
  <c r="AH60" i="22"/>
  <c r="AE60" i="22"/>
  <c r="AD60" i="22"/>
  <c r="AH59" i="22"/>
  <c r="AE59" i="22"/>
  <c r="AD59" i="22"/>
  <c r="AH58" i="22"/>
  <c r="AE58" i="22"/>
  <c r="AD58" i="22"/>
  <c r="AH57" i="22"/>
  <c r="AF57" i="22"/>
  <c r="AE57" i="22"/>
  <c r="AD57" i="22"/>
  <c r="AH56" i="22"/>
  <c r="AE56" i="22"/>
  <c r="AD56" i="22"/>
  <c r="AH55" i="22"/>
  <c r="AE55" i="22"/>
  <c r="AH54" i="22"/>
  <c r="AF54" i="22"/>
  <c r="AE54" i="22"/>
  <c r="AD54" i="22"/>
  <c r="AH53" i="22"/>
  <c r="AF53" i="22"/>
  <c r="AE53" i="22"/>
  <c r="AH52" i="22"/>
  <c r="AF52" i="22"/>
  <c r="AE52" i="22"/>
  <c r="AH51" i="22"/>
  <c r="AF51" i="22"/>
  <c r="AE51" i="22"/>
  <c r="AH50" i="22"/>
  <c r="AE50" i="22"/>
  <c r="AD50" i="22"/>
  <c r="AH49" i="22"/>
  <c r="AF49" i="22"/>
  <c r="AE49" i="22"/>
  <c r="AD49" i="22"/>
  <c r="AH48" i="22"/>
  <c r="AE48" i="22"/>
  <c r="AF65" i="12"/>
  <c r="AD65" i="12"/>
  <c r="AC65" i="12"/>
  <c r="AB65" i="12"/>
  <c r="AF64" i="12"/>
  <c r="AD64" i="12"/>
  <c r="AC64" i="12"/>
  <c r="AB64" i="12"/>
  <c r="AF55" i="12"/>
  <c r="AD55" i="12"/>
  <c r="AD53" i="12" s="1"/>
  <c r="AC55" i="12"/>
  <c r="AB55" i="12"/>
  <c r="AF54" i="12"/>
  <c r="AD54" i="12"/>
  <c r="AC54" i="12"/>
  <c r="AB54" i="12"/>
  <c r="AF51" i="12"/>
  <c r="AD51" i="12"/>
  <c r="AC51" i="12"/>
  <c r="AB51" i="12"/>
  <c r="AF50" i="12"/>
  <c r="AD50" i="12"/>
  <c r="AC50" i="12"/>
  <c r="AB50" i="12"/>
  <c r="AF49" i="12"/>
  <c r="AD49" i="12"/>
  <c r="AC49" i="12"/>
  <c r="AB49" i="12"/>
  <c r="AF48" i="12"/>
  <c r="AG48" i="12" s="1"/>
  <c r="AD48" i="12"/>
  <c r="AC48" i="12"/>
  <c r="AB48" i="12"/>
  <c r="AF47" i="12"/>
  <c r="AD47" i="12"/>
  <c r="AD45" i="12" s="1"/>
  <c r="AC47" i="12"/>
  <c r="AB47" i="12"/>
  <c r="AF46" i="12"/>
  <c r="AD46" i="12"/>
  <c r="AC46" i="12"/>
  <c r="AB46" i="12"/>
  <c r="AF43" i="12"/>
  <c r="AG43" i="12" s="1"/>
  <c r="AD43" i="12"/>
  <c r="AC43" i="12"/>
  <c r="AB43" i="12"/>
  <c r="AF42" i="12"/>
  <c r="AD42" i="12"/>
  <c r="AC42" i="12"/>
  <c r="AB42" i="12"/>
  <c r="AF41" i="12"/>
  <c r="AG41" i="12" s="1"/>
  <c r="AD41" i="12"/>
  <c r="AC41" i="12"/>
  <c r="AB41" i="12"/>
  <c r="AF40" i="12"/>
  <c r="AD40" i="12"/>
  <c r="AC40" i="12"/>
  <c r="AC44" i="12" s="1"/>
  <c r="AB40" i="12"/>
  <c r="AB44" i="12" s="1"/>
  <c r="AF39" i="12"/>
  <c r="AD39" i="12"/>
  <c r="AD37" i="12" s="1"/>
  <c r="AC39" i="12"/>
  <c r="AB39" i="12"/>
  <c r="AF38" i="12"/>
  <c r="AD38" i="12"/>
  <c r="AC38" i="12"/>
  <c r="AB38" i="12"/>
  <c r="AF35" i="12"/>
  <c r="AG35" i="12" s="1"/>
  <c r="AD35" i="12"/>
  <c r="AC35" i="12"/>
  <c r="AB35" i="12"/>
  <c r="AF34" i="12"/>
  <c r="AG34" i="12" s="1"/>
  <c r="AD34" i="12"/>
  <c r="AC34" i="12"/>
  <c r="AB34" i="12"/>
  <c r="AF33" i="12"/>
  <c r="AG33" i="12" s="1"/>
  <c r="AD33" i="12"/>
  <c r="AC33" i="12"/>
  <c r="AB33" i="12"/>
  <c r="AF32" i="12"/>
  <c r="AF36" i="12" s="1"/>
  <c r="AD32" i="12"/>
  <c r="AC32" i="12"/>
  <c r="AB32" i="12"/>
  <c r="AF31" i="12"/>
  <c r="AG31" i="12" s="1"/>
  <c r="AD31" i="12"/>
  <c r="AD29" i="12" s="1"/>
  <c r="AC31" i="12"/>
  <c r="AB31" i="12"/>
  <c r="AF30" i="12"/>
  <c r="AG30" i="12" s="1"/>
  <c r="AD30" i="12"/>
  <c r="AC30" i="12"/>
  <c r="AB30" i="12"/>
  <c r="AF27" i="12"/>
  <c r="AD27" i="12"/>
  <c r="AC27" i="12"/>
  <c r="AB27" i="12"/>
  <c r="AF26" i="12"/>
  <c r="AG26" i="12" s="1"/>
  <c r="AD26" i="12"/>
  <c r="AC26" i="12"/>
  <c r="AB26" i="12"/>
  <c r="AF25" i="12"/>
  <c r="AG25" i="12" s="1"/>
  <c r="AD25" i="12"/>
  <c r="AC25" i="12"/>
  <c r="AB25" i="12"/>
  <c r="AF24" i="12"/>
  <c r="AG24" i="12" s="1"/>
  <c r="AD24" i="12"/>
  <c r="AC24" i="12"/>
  <c r="AB24" i="12"/>
  <c r="AF23" i="12"/>
  <c r="AD23" i="12"/>
  <c r="AD21" i="12" s="1"/>
  <c r="AC23" i="12"/>
  <c r="AB23" i="12"/>
  <c r="AF22" i="12"/>
  <c r="AG22" i="12" s="1"/>
  <c r="AD22" i="12"/>
  <c r="AC22" i="12"/>
  <c r="AB22" i="12"/>
  <c r="AF19" i="12"/>
  <c r="AG19" i="12" s="1"/>
  <c r="AD19" i="12"/>
  <c r="AC19" i="12"/>
  <c r="AB19" i="12"/>
  <c r="AF18" i="12"/>
  <c r="AD18" i="12"/>
  <c r="AC18" i="12"/>
  <c r="AB18" i="12"/>
  <c r="AF17" i="12"/>
  <c r="AD17" i="12"/>
  <c r="AC17" i="12"/>
  <c r="AB17" i="12"/>
  <c r="AF16" i="12"/>
  <c r="AD16" i="12"/>
  <c r="AC16" i="12"/>
  <c r="AB16" i="12"/>
  <c r="AF15" i="12"/>
  <c r="AG15" i="12" s="1"/>
  <c r="AD15" i="12"/>
  <c r="AC15" i="12"/>
  <c r="AB15" i="12"/>
  <c r="AF14" i="12"/>
  <c r="AF12" i="12" s="1"/>
  <c r="AD14" i="12"/>
  <c r="AC14" i="12"/>
  <c r="AB14" i="12"/>
  <c r="AF11" i="12"/>
  <c r="AG11" i="12" s="1"/>
  <c r="AD11" i="12"/>
  <c r="AD59" i="12" s="1"/>
  <c r="AC11" i="12"/>
  <c r="AB11" i="12"/>
  <c r="AF10" i="12"/>
  <c r="AD10" i="12"/>
  <c r="AC10" i="12"/>
  <c r="AB10" i="12"/>
  <c r="AF9" i="12"/>
  <c r="AD9" i="12"/>
  <c r="AD57" i="12" s="1"/>
  <c r="AC9" i="12"/>
  <c r="AB9" i="12"/>
  <c r="AB57" i="12" s="1"/>
  <c r="AF8" i="12"/>
  <c r="AC8" i="12"/>
  <c r="AD8" i="12"/>
  <c r="AB8" i="12"/>
  <c r="AB12" i="12" s="1"/>
  <c r="AM65" i="12"/>
  <c r="AK65" i="12"/>
  <c r="AM64" i="12"/>
  <c r="AK64" i="12"/>
  <c r="AL59" i="12"/>
  <c r="AJ59" i="12"/>
  <c r="AI59" i="12"/>
  <c r="AH59" i="12"/>
  <c r="AL58" i="12"/>
  <c r="AJ58" i="12"/>
  <c r="AI58" i="12"/>
  <c r="AH58" i="12"/>
  <c r="AL57" i="12"/>
  <c r="AJ57" i="12"/>
  <c r="AI57" i="12"/>
  <c r="AH57" i="12"/>
  <c r="AL56" i="12"/>
  <c r="AJ56" i="12"/>
  <c r="AI56" i="12"/>
  <c r="AH56" i="12"/>
  <c r="AM55" i="12"/>
  <c r="AK55" i="12"/>
  <c r="AM54" i="12"/>
  <c r="AK54" i="12"/>
  <c r="AL53" i="12"/>
  <c r="AJ53" i="12"/>
  <c r="AI53" i="12"/>
  <c r="AH53" i="12"/>
  <c r="AL52" i="12"/>
  <c r="AJ52" i="12"/>
  <c r="AI52" i="12"/>
  <c r="AH52" i="12"/>
  <c r="AM51" i="12"/>
  <c r="AK51" i="12"/>
  <c r="AM50" i="12"/>
  <c r="AK50" i="12"/>
  <c r="AM49" i="12"/>
  <c r="AK49" i="12"/>
  <c r="AM48" i="12"/>
  <c r="AK48" i="12"/>
  <c r="AM47" i="12"/>
  <c r="AK47" i="12"/>
  <c r="AM46" i="12"/>
  <c r="AK46" i="12"/>
  <c r="AL45" i="12"/>
  <c r="AJ45" i="12"/>
  <c r="AI45" i="12"/>
  <c r="AH45" i="12"/>
  <c r="AL44" i="12"/>
  <c r="AJ44" i="12"/>
  <c r="AI44" i="12"/>
  <c r="AH44" i="12"/>
  <c r="AM43" i="12"/>
  <c r="AK43" i="12"/>
  <c r="AM42" i="12"/>
  <c r="AK42" i="12"/>
  <c r="AM41" i="12"/>
  <c r="AK41" i="12"/>
  <c r="AM40" i="12"/>
  <c r="AK40" i="12"/>
  <c r="AM39" i="12"/>
  <c r="AK39" i="12"/>
  <c r="AM38" i="12"/>
  <c r="AK38" i="12"/>
  <c r="AL37" i="12"/>
  <c r="AJ37" i="12"/>
  <c r="AI37" i="12"/>
  <c r="AH37" i="12"/>
  <c r="AL36" i="12"/>
  <c r="AJ36" i="12"/>
  <c r="AI36" i="12"/>
  <c r="AH36" i="12"/>
  <c r="AM35" i="12"/>
  <c r="AK35" i="12"/>
  <c r="AM34" i="12"/>
  <c r="AK34" i="12"/>
  <c r="AM33" i="12"/>
  <c r="AK33" i="12"/>
  <c r="AM32" i="12"/>
  <c r="AK32" i="12"/>
  <c r="AM31" i="12"/>
  <c r="AK31" i="12"/>
  <c r="AM30" i="12"/>
  <c r="AK30" i="12"/>
  <c r="AL29" i="12"/>
  <c r="AJ29" i="12"/>
  <c r="AI29" i="12"/>
  <c r="AH29" i="12"/>
  <c r="AL28" i="12"/>
  <c r="AJ28" i="12"/>
  <c r="AI28" i="12"/>
  <c r="AH28" i="12"/>
  <c r="AM27" i="12"/>
  <c r="AK27" i="12"/>
  <c r="AM26" i="12"/>
  <c r="AK26" i="12"/>
  <c r="AM25" i="12"/>
  <c r="AK25" i="12"/>
  <c r="AM24" i="12"/>
  <c r="AK24" i="12"/>
  <c r="AM23" i="12"/>
  <c r="AK23" i="12"/>
  <c r="AM22" i="12"/>
  <c r="AK22" i="12"/>
  <c r="AL21" i="12"/>
  <c r="AJ21" i="12"/>
  <c r="AI21" i="12"/>
  <c r="AH21" i="12"/>
  <c r="AL20" i="12"/>
  <c r="AJ20" i="12"/>
  <c r="AI20" i="12"/>
  <c r="AH20" i="12"/>
  <c r="AM19" i="12"/>
  <c r="AK19" i="12"/>
  <c r="AM18" i="12"/>
  <c r="AK18" i="12"/>
  <c r="AM17" i="12"/>
  <c r="AK17" i="12"/>
  <c r="AM16" i="12"/>
  <c r="AK16" i="12"/>
  <c r="AM15" i="12"/>
  <c r="AK15" i="12"/>
  <c r="AM14" i="12"/>
  <c r="AK14" i="12"/>
  <c r="AL13" i="12"/>
  <c r="AL61" i="12" s="1"/>
  <c r="AJ13" i="12"/>
  <c r="AJ61" i="12" s="1"/>
  <c r="AI13" i="12"/>
  <c r="AI61" i="12" s="1"/>
  <c r="AH13" i="12"/>
  <c r="AL12" i="12"/>
  <c r="AL60" i="12" s="1"/>
  <c r="AJ12" i="12"/>
  <c r="AJ60" i="12" s="1"/>
  <c r="AI12" i="12"/>
  <c r="AI60" i="12" s="1"/>
  <c r="AH12" i="12"/>
  <c r="AH60" i="12" s="1"/>
  <c r="AM11" i="12"/>
  <c r="AK11" i="12"/>
  <c r="AM10" i="12"/>
  <c r="AK10" i="12"/>
  <c r="AM9" i="12"/>
  <c r="AK9" i="12"/>
  <c r="AM8" i="12"/>
  <c r="AK8" i="12"/>
  <c r="AD52" i="12"/>
  <c r="AC37" i="12"/>
  <c r="AB37" i="12"/>
  <c r="AC29" i="12"/>
  <c r="AF13" i="12"/>
  <c r="AC13" i="12"/>
  <c r="AG9" i="12"/>
  <c r="U104" i="2"/>
  <c r="T104" i="2"/>
  <c r="U101" i="2"/>
  <c r="T101" i="2"/>
  <c r="U97" i="2"/>
  <c r="T97" i="2"/>
  <c r="U96" i="2"/>
  <c r="T96" i="2"/>
  <c r="U95" i="2"/>
  <c r="T95" i="2"/>
  <c r="U92" i="2"/>
  <c r="T92" i="2"/>
  <c r="V92" i="2" s="1"/>
  <c r="U88" i="2"/>
  <c r="T88" i="2"/>
  <c r="U87" i="2"/>
  <c r="T87" i="2"/>
  <c r="U86" i="2"/>
  <c r="T86" i="2"/>
  <c r="U83" i="2"/>
  <c r="T83" i="2"/>
  <c r="U79" i="2"/>
  <c r="T79" i="2"/>
  <c r="U78" i="2"/>
  <c r="T78" i="2"/>
  <c r="U77" i="2"/>
  <c r="T77" i="2"/>
  <c r="U74" i="2"/>
  <c r="T74" i="2"/>
  <c r="U70" i="2"/>
  <c r="T70" i="2"/>
  <c r="U69" i="2"/>
  <c r="T69" i="2"/>
  <c r="U68" i="2"/>
  <c r="T68" i="2"/>
  <c r="U65" i="2"/>
  <c r="T65" i="2"/>
  <c r="U59" i="2"/>
  <c r="T59" i="2"/>
  <c r="U56" i="2"/>
  <c r="T56" i="2"/>
  <c r="U53" i="2"/>
  <c r="T53" i="2"/>
  <c r="U50" i="2"/>
  <c r="T50" i="2"/>
  <c r="U47" i="2"/>
  <c r="T47" i="2"/>
  <c r="U44" i="2"/>
  <c r="T44" i="2"/>
  <c r="U60" i="2"/>
  <c r="T60" i="2"/>
  <c r="U38" i="2"/>
  <c r="T38" i="2"/>
  <c r="U35" i="2"/>
  <c r="T35" i="2"/>
  <c r="U29" i="2"/>
  <c r="T29" i="2"/>
  <c r="U26" i="2"/>
  <c r="T26" i="2"/>
  <c r="U23" i="2"/>
  <c r="T23" i="2"/>
  <c r="U20" i="2"/>
  <c r="T20" i="2"/>
  <c r="U17" i="2"/>
  <c r="T17" i="2"/>
  <c r="U14" i="2"/>
  <c r="T14" i="2"/>
  <c r="U30" i="2"/>
  <c r="T30" i="2"/>
  <c r="U8" i="2"/>
  <c r="T8" i="2"/>
  <c r="U106" i="2"/>
  <c r="T106" i="2"/>
  <c r="U105" i="2"/>
  <c r="T105" i="2"/>
  <c r="V103" i="2"/>
  <c r="R103" i="2"/>
  <c r="Q103" i="2"/>
  <c r="V102" i="2"/>
  <c r="R102" i="2"/>
  <c r="Q102" i="2"/>
  <c r="V100" i="2"/>
  <c r="R100" i="2"/>
  <c r="Q100" i="2"/>
  <c r="V99" i="2"/>
  <c r="R99" i="2"/>
  <c r="Q99" i="2"/>
  <c r="V94" i="2"/>
  <c r="R94" i="2"/>
  <c r="Q94" i="2"/>
  <c r="V93" i="2"/>
  <c r="R93" i="2"/>
  <c r="Q93" i="2"/>
  <c r="V91" i="2"/>
  <c r="R91" i="2"/>
  <c r="Q91" i="2"/>
  <c r="V90" i="2"/>
  <c r="R90" i="2"/>
  <c r="Q90" i="2"/>
  <c r="V85" i="2"/>
  <c r="R85" i="2"/>
  <c r="Q85" i="2"/>
  <c r="V84" i="2"/>
  <c r="R84" i="2"/>
  <c r="Q84" i="2"/>
  <c r="V82" i="2"/>
  <c r="R82" i="2"/>
  <c r="Q82" i="2"/>
  <c r="V81" i="2"/>
  <c r="R81" i="2"/>
  <c r="Q81" i="2"/>
  <c r="V76" i="2"/>
  <c r="R76" i="2"/>
  <c r="Q76" i="2"/>
  <c r="V75" i="2"/>
  <c r="R75" i="2"/>
  <c r="Q75" i="2"/>
  <c r="V73" i="2"/>
  <c r="R73" i="2"/>
  <c r="Q73" i="2"/>
  <c r="V72" i="2"/>
  <c r="R72" i="2"/>
  <c r="Q72" i="2"/>
  <c r="V67" i="2"/>
  <c r="R67" i="2"/>
  <c r="Q67" i="2"/>
  <c r="V66" i="2"/>
  <c r="R66" i="2"/>
  <c r="Q66" i="2"/>
  <c r="V64" i="2"/>
  <c r="R64" i="2"/>
  <c r="Q64" i="2"/>
  <c r="V63" i="2"/>
  <c r="R63" i="2"/>
  <c r="Q63" i="2"/>
  <c r="V58" i="2"/>
  <c r="R58" i="2"/>
  <c r="Q58" i="2"/>
  <c r="V57" i="2"/>
  <c r="R57" i="2"/>
  <c r="Q57" i="2"/>
  <c r="V55" i="2"/>
  <c r="R55" i="2"/>
  <c r="Q55" i="2"/>
  <c r="V54" i="2"/>
  <c r="R54" i="2"/>
  <c r="Q54" i="2"/>
  <c r="V52" i="2"/>
  <c r="R52" i="2"/>
  <c r="Q52" i="2"/>
  <c r="V51" i="2"/>
  <c r="R51" i="2"/>
  <c r="Q51" i="2"/>
  <c r="V49" i="2"/>
  <c r="R49" i="2"/>
  <c r="Q49" i="2"/>
  <c r="V48" i="2"/>
  <c r="R48" i="2"/>
  <c r="Q48" i="2"/>
  <c r="V46" i="2"/>
  <c r="R46" i="2"/>
  <c r="Q46" i="2"/>
  <c r="V45" i="2"/>
  <c r="R45" i="2"/>
  <c r="Q45" i="2"/>
  <c r="V43" i="2"/>
  <c r="R43" i="2"/>
  <c r="Q43" i="2"/>
  <c r="V42" i="2"/>
  <c r="R42" i="2"/>
  <c r="Q42" i="2"/>
  <c r="V37" i="2"/>
  <c r="R37" i="2"/>
  <c r="Q37" i="2"/>
  <c r="V36" i="2"/>
  <c r="R36" i="2"/>
  <c r="Q36" i="2"/>
  <c r="V34" i="2"/>
  <c r="R34" i="2"/>
  <c r="Q34" i="2"/>
  <c r="V33" i="2"/>
  <c r="R33" i="2"/>
  <c r="Q33" i="2"/>
  <c r="V28" i="2"/>
  <c r="R28" i="2"/>
  <c r="Q28" i="2"/>
  <c r="V27" i="2"/>
  <c r="R27" i="2"/>
  <c r="Q27" i="2"/>
  <c r="V25" i="2"/>
  <c r="R25" i="2"/>
  <c r="Q25" i="2"/>
  <c r="V24" i="2"/>
  <c r="R24" i="2"/>
  <c r="Q24" i="2"/>
  <c r="V22" i="2"/>
  <c r="R22" i="2"/>
  <c r="Q22" i="2"/>
  <c r="V21" i="2"/>
  <c r="R21" i="2"/>
  <c r="Q21" i="2"/>
  <c r="V19" i="2"/>
  <c r="R19" i="2"/>
  <c r="Q19" i="2"/>
  <c r="V18" i="2"/>
  <c r="R18" i="2"/>
  <c r="Q18" i="2"/>
  <c r="V16" i="2"/>
  <c r="R16" i="2"/>
  <c r="Q16" i="2"/>
  <c r="V15" i="2"/>
  <c r="R15" i="2"/>
  <c r="Q15" i="2"/>
  <c r="V13" i="2"/>
  <c r="R13" i="2"/>
  <c r="Q13" i="2"/>
  <c r="V12" i="2"/>
  <c r="R12" i="2"/>
  <c r="Q12" i="2"/>
  <c r="V7" i="2"/>
  <c r="R7" i="2"/>
  <c r="Q7" i="2"/>
  <c r="V6" i="2"/>
  <c r="R6" i="2"/>
  <c r="Q6" i="2"/>
  <c r="R94" i="1"/>
  <c r="Q94" i="1"/>
  <c r="Q95" i="1" s="1"/>
  <c r="R93" i="1"/>
  <c r="Q93" i="1"/>
  <c r="R103" i="1"/>
  <c r="Q103" i="1"/>
  <c r="Q104" i="1" s="1"/>
  <c r="R102" i="1"/>
  <c r="R104" i="1" s="1"/>
  <c r="Q102" i="1"/>
  <c r="R100" i="1"/>
  <c r="R97" i="1" s="1"/>
  <c r="Q100" i="1"/>
  <c r="R99" i="1"/>
  <c r="Q99" i="1"/>
  <c r="R91" i="1"/>
  <c r="Q91" i="1"/>
  <c r="Q92" i="1" s="1"/>
  <c r="R90" i="1"/>
  <c r="Q90" i="1"/>
  <c r="R85" i="1"/>
  <c r="Q85" i="1"/>
  <c r="R84" i="1"/>
  <c r="Q84" i="1"/>
  <c r="R82" i="1"/>
  <c r="Q82" i="1"/>
  <c r="R81" i="1"/>
  <c r="Q81" i="1"/>
  <c r="R76" i="1"/>
  <c r="R79" i="1" s="1"/>
  <c r="Q76" i="1"/>
  <c r="Q77" i="1" s="1"/>
  <c r="R75" i="1"/>
  <c r="R78" i="1" s="1"/>
  <c r="Q75" i="1"/>
  <c r="R73" i="1"/>
  <c r="Q73" i="1"/>
  <c r="Q74" i="1" s="1"/>
  <c r="R72" i="1"/>
  <c r="R74" i="1" s="1"/>
  <c r="Q72" i="1"/>
  <c r="R67" i="1"/>
  <c r="Q67" i="1"/>
  <c r="R66" i="1"/>
  <c r="R68" i="1" s="1"/>
  <c r="Q66" i="1"/>
  <c r="R64" i="1"/>
  <c r="Q64" i="1"/>
  <c r="R63" i="1"/>
  <c r="Q63" i="1"/>
  <c r="R58" i="1"/>
  <c r="Q58" i="1"/>
  <c r="Q59" i="1" s="1"/>
  <c r="R57" i="1"/>
  <c r="S57" i="1" s="1"/>
  <c r="Q57" i="1"/>
  <c r="R55" i="1"/>
  <c r="Q55" i="1"/>
  <c r="Q56" i="1" s="1"/>
  <c r="R54" i="1"/>
  <c r="Q54" i="1"/>
  <c r="R52" i="1"/>
  <c r="Q52" i="1"/>
  <c r="S52" i="1" s="1"/>
  <c r="R51" i="1"/>
  <c r="Q51" i="1"/>
  <c r="R49" i="1"/>
  <c r="Q49" i="1"/>
  <c r="Q50" i="1" s="1"/>
  <c r="R48" i="1"/>
  <c r="Q48" i="1"/>
  <c r="R46" i="1"/>
  <c r="Q46" i="1"/>
  <c r="R45" i="1"/>
  <c r="Q45" i="1"/>
  <c r="R43" i="1"/>
  <c r="Q43" i="1"/>
  <c r="R42" i="1"/>
  <c r="Q42" i="1"/>
  <c r="R37" i="1"/>
  <c r="Q37" i="1"/>
  <c r="R36" i="1"/>
  <c r="R38" i="1" s="1"/>
  <c r="Q36" i="1"/>
  <c r="R34" i="1"/>
  <c r="Q34" i="1"/>
  <c r="Q35" i="1" s="1"/>
  <c r="R33" i="1"/>
  <c r="Q33" i="1"/>
  <c r="R28" i="1"/>
  <c r="Q28" i="1"/>
  <c r="S28" i="1" s="1"/>
  <c r="R27" i="1"/>
  <c r="Q27" i="1"/>
  <c r="R25" i="1"/>
  <c r="Q25" i="1"/>
  <c r="R24" i="1"/>
  <c r="Q24" i="1"/>
  <c r="R22" i="1"/>
  <c r="Q22" i="1"/>
  <c r="Q23" i="1" s="1"/>
  <c r="R21" i="1"/>
  <c r="Q21" i="1"/>
  <c r="R19" i="1"/>
  <c r="Q19" i="1"/>
  <c r="Q20" i="1" s="1"/>
  <c r="R18" i="1"/>
  <c r="Q18" i="1"/>
  <c r="R16" i="1"/>
  <c r="Q16" i="1"/>
  <c r="Q17" i="1" s="1"/>
  <c r="R15" i="1"/>
  <c r="Q15" i="1"/>
  <c r="R13" i="1"/>
  <c r="Q13" i="1"/>
  <c r="R12" i="1"/>
  <c r="Q12" i="1"/>
  <c r="R7" i="1"/>
  <c r="Q7" i="1"/>
  <c r="R6" i="1"/>
  <c r="Q6" i="1"/>
  <c r="U106" i="1"/>
  <c r="T106" i="1"/>
  <c r="U105" i="1"/>
  <c r="T105" i="1"/>
  <c r="U104" i="1"/>
  <c r="T104" i="1"/>
  <c r="V103" i="1"/>
  <c r="V102" i="1"/>
  <c r="U101" i="1"/>
  <c r="T101" i="1"/>
  <c r="V100" i="1"/>
  <c r="V99" i="1"/>
  <c r="U97" i="1"/>
  <c r="T97" i="1"/>
  <c r="U96" i="1"/>
  <c r="T96" i="1"/>
  <c r="U95" i="1"/>
  <c r="T95" i="1"/>
  <c r="V94" i="1"/>
  <c r="V93" i="1"/>
  <c r="U92" i="1"/>
  <c r="T92" i="1"/>
  <c r="V91" i="1"/>
  <c r="V90" i="1"/>
  <c r="U88" i="1"/>
  <c r="T88" i="1"/>
  <c r="U87" i="1"/>
  <c r="T87" i="1"/>
  <c r="U86" i="1"/>
  <c r="T86" i="1"/>
  <c r="V85" i="1"/>
  <c r="V84" i="1"/>
  <c r="U83" i="1"/>
  <c r="T83" i="1"/>
  <c r="V82" i="1"/>
  <c r="V81" i="1"/>
  <c r="U79" i="1"/>
  <c r="T79" i="1"/>
  <c r="U78" i="1"/>
  <c r="T78" i="1"/>
  <c r="U77" i="1"/>
  <c r="T77" i="1"/>
  <c r="V76" i="1"/>
  <c r="V75" i="1"/>
  <c r="U74" i="1"/>
  <c r="T74" i="1"/>
  <c r="V73" i="1"/>
  <c r="V72" i="1"/>
  <c r="U70" i="1"/>
  <c r="T70" i="1"/>
  <c r="U69" i="1"/>
  <c r="T69" i="1"/>
  <c r="U68" i="1"/>
  <c r="T68" i="1"/>
  <c r="V67" i="1"/>
  <c r="V66" i="1"/>
  <c r="U65" i="1"/>
  <c r="T65" i="1"/>
  <c r="V64" i="1"/>
  <c r="V63" i="1"/>
  <c r="U61" i="1"/>
  <c r="U59" i="1"/>
  <c r="T59" i="1"/>
  <c r="V58" i="1"/>
  <c r="V57" i="1"/>
  <c r="U56" i="1"/>
  <c r="T56" i="1"/>
  <c r="V55" i="1"/>
  <c r="V54" i="1"/>
  <c r="U53" i="1"/>
  <c r="T53" i="1"/>
  <c r="V52" i="1"/>
  <c r="V51" i="1"/>
  <c r="U50" i="1"/>
  <c r="T50" i="1"/>
  <c r="V49" i="1"/>
  <c r="V48" i="1"/>
  <c r="U47" i="1"/>
  <c r="T47" i="1"/>
  <c r="V46" i="1"/>
  <c r="V45" i="1"/>
  <c r="U44" i="1"/>
  <c r="T44" i="1"/>
  <c r="V43" i="1"/>
  <c r="V42" i="1"/>
  <c r="T61" i="1"/>
  <c r="U38" i="1"/>
  <c r="T38" i="1"/>
  <c r="V37" i="1"/>
  <c r="V36" i="1"/>
  <c r="U35" i="1"/>
  <c r="T35" i="1"/>
  <c r="V34" i="1"/>
  <c r="V33" i="1"/>
  <c r="U29" i="1"/>
  <c r="T29" i="1"/>
  <c r="V28" i="1"/>
  <c r="V27" i="1"/>
  <c r="U26" i="1"/>
  <c r="T26" i="1"/>
  <c r="V25" i="1"/>
  <c r="V24" i="1"/>
  <c r="U23" i="1"/>
  <c r="T23" i="1"/>
  <c r="V22" i="1"/>
  <c r="V21" i="1"/>
  <c r="U20" i="1"/>
  <c r="T20" i="1"/>
  <c r="V19" i="1"/>
  <c r="V18" i="1"/>
  <c r="U17" i="1"/>
  <c r="T17" i="1"/>
  <c r="V16" i="1"/>
  <c r="V15" i="1"/>
  <c r="U14" i="1"/>
  <c r="T14" i="1"/>
  <c r="V13" i="1"/>
  <c r="V12" i="1"/>
  <c r="U8" i="1"/>
  <c r="T8" i="1"/>
  <c r="V7" i="1"/>
  <c r="V6" i="1"/>
  <c r="S100" i="1"/>
  <c r="Q86" i="1"/>
  <c r="Q83" i="1"/>
  <c r="Q78" i="1"/>
  <c r="S73" i="1"/>
  <c r="S64" i="1"/>
  <c r="Q47" i="1"/>
  <c r="R35" i="1"/>
  <c r="Q8" i="1"/>
  <c r="S55" i="13"/>
  <c r="R55" i="13"/>
  <c r="S54" i="13"/>
  <c r="R54" i="13"/>
  <c r="S52" i="13"/>
  <c r="R52" i="13"/>
  <c r="S51" i="13"/>
  <c r="R51" i="13"/>
  <c r="S49" i="13"/>
  <c r="R49" i="13"/>
  <c r="S48" i="13"/>
  <c r="R48" i="13"/>
  <c r="S46" i="13"/>
  <c r="R46" i="13"/>
  <c r="S45" i="13"/>
  <c r="R45" i="13"/>
  <c r="S43" i="13"/>
  <c r="R43" i="13"/>
  <c r="S42" i="13"/>
  <c r="R42" i="13"/>
  <c r="S40" i="13"/>
  <c r="R40" i="13"/>
  <c r="S39" i="13"/>
  <c r="R39" i="13"/>
  <c r="S37" i="13"/>
  <c r="R37" i="13"/>
  <c r="S36" i="13"/>
  <c r="R36" i="13"/>
  <c r="S25" i="13"/>
  <c r="R25" i="13"/>
  <c r="S24" i="13"/>
  <c r="R24" i="13"/>
  <c r="S22" i="13"/>
  <c r="R22" i="13"/>
  <c r="S21" i="13"/>
  <c r="R21" i="13"/>
  <c r="S19" i="13"/>
  <c r="R19" i="13"/>
  <c r="S18" i="13"/>
  <c r="R18" i="13"/>
  <c r="S16" i="13"/>
  <c r="R16" i="13"/>
  <c r="S15" i="13"/>
  <c r="R15" i="13"/>
  <c r="S13" i="13"/>
  <c r="R13" i="13"/>
  <c r="S12" i="13"/>
  <c r="R12" i="13"/>
  <c r="S10" i="13"/>
  <c r="R10" i="13"/>
  <c r="S9" i="13"/>
  <c r="R9" i="13"/>
  <c r="S7" i="13"/>
  <c r="R7" i="13"/>
  <c r="S6" i="13"/>
  <c r="R6" i="13"/>
  <c r="N203" i="10"/>
  <c r="N202" i="10"/>
  <c r="N242" i="10"/>
  <c r="N198" i="10"/>
  <c r="N165" i="10"/>
  <c r="N166" i="10"/>
  <c r="N167" i="10"/>
  <c r="N168" i="10"/>
  <c r="N169" i="10"/>
  <c r="N170" i="10"/>
  <c r="N171" i="10"/>
  <c r="N172" i="10"/>
  <c r="N173" i="10"/>
  <c r="N174" i="10"/>
  <c r="N175" i="10"/>
  <c r="N214" i="10"/>
  <c r="N216" i="10"/>
  <c r="N217" i="10"/>
  <c r="N218" i="10"/>
  <c r="N220" i="10"/>
  <c r="N221" i="10"/>
  <c r="M99" i="11"/>
  <c r="M100" i="11"/>
  <c r="M101" i="11"/>
  <c r="M102" i="11"/>
  <c r="M103" i="11"/>
  <c r="M104" i="11"/>
  <c r="M105" i="11"/>
  <c r="M56" i="11"/>
  <c r="M57" i="11"/>
  <c r="M58" i="11"/>
  <c r="M59" i="11"/>
  <c r="M60" i="11"/>
  <c r="M61" i="11"/>
  <c r="M120" i="11"/>
  <c r="M19" i="11"/>
  <c r="S55" i="2" l="1"/>
  <c r="P99" i="7"/>
  <c r="Q88" i="1"/>
  <c r="Q88" i="2"/>
  <c r="AE24" i="12"/>
  <c r="P246" i="7"/>
  <c r="X105" i="2"/>
  <c r="AD106" i="1"/>
  <c r="AC106" i="2"/>
  <c r="AB24" i="7"/>
  <c r="AB71" i="7"/>
  <c r="AB167" i="7"/>
  <c r="AC48" i="8"/>
  <c r="AC53" i="8"/>
  <c r="AB81" i="11"/>
  <c r="AB100" i="11"/>
  <c r="AB104" i="11"/>
  <c r="AK22" i="1"/>
  <c r="AN29" i="1"/>
  <c r="AJ70" i="1"/>
  <c r="AK82" i="1"/>
  <c r="AI87" i="1"/>
  <c r="AK94" i="1"/>
  <c r="AI96" i="1"/>
  <c r="AK100" i="1"/>
  <c r="AN104" i="1"/>
  <c r="AJ105" i="2"/>
  <c r="AK36" i="2"/>
  <c r="AK42" i="2"/>
  <c r="AK48" i="2"/>
  <c r="AK54" i="2"/>
  <c r="AJ69" i="2"/>
  <c r="AJ70" i="2"/>
  <c r="AL71" i="2"/>
  <c r="AL80" i="2"/>
  <c r="AL89" i="2"/>
  <c r="AL98" i="2"/>
  <c r="AK103" i="2"/>
  <c r="AH6" i="7"/>
  <c r="AH20" i="7"/>
  <c r="AH35" i="7"/>
  <c r="AH45" i="7"/>
  <c r="AH49" i="7"/>
  <c r="AH53" i="7"/>
  <c r="AH57" i="7"/>
  <c r="AH66" i="7"/>
  <c r="AH70" i="7"/>
  <c r="AH77" i="7"/>
  <c r="AH94" i="7"/>
  <c r="AK201" i="7"/>
  <c r="AH207" i="7"/>
  <c r="AH211" i="7"/>
  <c r="AG249" i="7"/>
  <c r="AH228" i="7"/>
  <c r="AH232" i="7"/>
  <c r="AH236" i="7"/>
  <c r="AH240" i="7"/>
  <c r="AH244" i="7"/>
  <c r="AG265" i="7"/>
  <c r="S201" i="7"/>
  <c r="P165" i="7"/>
  <c r="P224" i="7"/>
  <c r="R70" i="2"/>
  <c r="Q95" i="2"/>
  <c r="V35" i="2"/>
  <c r="V47" i="2"/>
  <c r="V53" i="2"/>
  <c r="V68" i="2"/>
  <c r="V86" i="2"/>
  <c r="P153" i="7"/>
  <c r="P30" i="11"/>
  <c r="P32" i="11"/>
  <c r="P47" i="11"/>
  <c r="P55" i="11"/>
  <c r="P63" i="11"/>
  <c r="N122" i="11"/>
  <c r="P129" i="11"/>
  <c r="P137" i="11"/>
  <c r="P149" i="11"/>
  <c r="P179" i="11"/>
  <c r="P9" i="14"/>
  <c r="Y48" i="1"/>
  <c r="X50" i="1"/>
  <c r="Y81" i="1"/>
  <c r="V6" i="7"/>
  <c r="V151" i="7"/>
  <c r="V161" i="7"/>
  <c r="V206" i="7"/>
  <c r="V214" i="7"/>
  <c r="V11" i="14"/>
  <c r="AD105" i="1"/>
  <c r="AB110" i="7"/>
  <c r="AB120" i="7"/>
  <c r="AB124" i="7"/>
  <c r="AB151" i="7"/>
  <c r="AB184" i="7"/>
  <c r="AB188" i="7"/>
  <c r="AB192" i="7"/>
  <c r="AB196" i="7"/>
  <c r="AB215" i="7"/>
  <c r="AB248" i="7"/>
  <c r="AF70" i="8"/>
  <c r="AC75" i="8"/>
  <c r="AC79" i="8"/>
  <c r="AC80" i="8"/>
  <c r="AF98" i="8"/>
  <c r="AA154" i="10"/>
  <c r="AI17" i="1"/>
  <c r="AN17" i="1"/>
  <c r="AL30" i="1"/>
  <c r="AI47" i="1"/>
  <c r="AN47" i="1"/>
  <c r="AK49" i="1"/>
  <c r="AI59" i="1"/>
  <c r="AN59" i="1"/>
  <c r="AK66" i="1"/>
  <c r="AI69" i="1"/>
  <c r="AN74" i="1"/>
  <c r="AK84" i="1"/>
  <c r="AM89" i="1"/>
  <c r="AN89" i="1" s="1"/>
  <c r="AK6" i="2"/>
  <c r="AK12" i="2"/>
  <c r="AK15" i="2"/>
  <c r="AJ17" i="2"/>
  <c r="AK66" i="2"/>
  <c r="AK67" i="2"/>
  <c r="AN70" i="2"/>
  <c r="AN74" i="2"/>
  <c r="AK76" i="2"/>
  <c r="AI88" i="2"/>
  <c r="AN86" i="2"/>
  <c r="AK102" i="2"/>
  <c r="BQ55" i="12"/>
  <c r="BQ65" i="12"/>
  <c r="AH22" i="7"/>
  <c r="AK173" i="7"/>
  <c r="AH202" i="7"/>
  <c r="AH206" i="7"/>
  <c r="AH210" i="7"/>
  <c r="AH213" i="7"/>
  <c r="AH243" i="7"/>
  <c r="AH253" i="7"/>
  <c r="AH257" i="7"/>
  <c r="AH260" i="7"/>
  <c r="AL96" i="8"/>
  <c r="V9" i="11"/>
  <c r="V12" i="11"/>
  <c r="V14" i="11"/>
  <c r="V16" i="11"/>
  <c r="V18" i="11"/>
  <c r="V85" i="11"/>
  <c r="AE46" i="1"/>
  <c r="AB260" i="7"/>
  <c r="AN20" i="1"/>
  <c r="AK48" i="1"/>
  <c r="AL60" i="1"/>
  <c r="AI79" i="1"/>
  <c r="AN83" i="1"/>
  <c r="AN92" i="1"/>
  <c r="AN95" i="1"/>
  <c r="AN107" i="1"/>
  <c r="AK25" i="2"/>
  <c r="AI106" i="2"/>
  <c r="AK46" i="2"/>
  <c r="AK52" i="2"/>
  <c r="AK58" i="2"/>
  <c r="AJ88" i="2"/>
  <c r="AH11" i="7"/>
  <c r="P73" i="11"/>
  <c r="P83" i="11"/>
  <c r="P87" i="11"/>
  <c r="P175" i="11"/>
  <c r="X105" i="1"/>
  <c r="AN21" i="12"/>
  <c r="V8" i="7"/>
  <c r="V43" i="7"/>
  <c r="V47" i="7"/>
  <c r="V51" i="7"/>
  <c r="AH63" i="7"/>
  <c r="AH67" i="7"/>
  <c r="AH82" i="7"/>
  <c r="AH101" i="7"/>
  <c r="AK114" i="7"/>
  <c r="AK216" i="7"/>
  <c r="AH225" i="7"/>
  <c r="AH229" i="7"/>
  <c r="AH233" i="7"/>
  <c r="AH237" i="7"/>
  <c r="AH241" i="7"/>
  <c r="AH245" i="7"/>
  <c r="AH8" i="9"/>
  <c r="AH12" i="9"/>
  <c r="AH16" i="9"/>
  <c r="AH19" i="9"/>
  <c r="AH23" i="9"/>
  <c r="AG48" i="9"/>
  <c r="AH49" i="9"/>
  <c r="AG199" i="22"/>
  <c r="X27" i="13"/>
  <c r="AL28" i="8"/>
  <c r="AG179" i="24"/>
  <c r="AG195" i="24"/>
  <c r="AG191" i="22"/>
  <c r="E175" i="20"/>
  <c r="AP57" i="12"/>
  <c r="AK9" i="1"/>
  <c r="AM30" i="1"/>
  <c r="AN30" i="1" s="1"/>
  <c r="AP9" i="1"/>
  <c r="AN10" i="1"/>
  <c r="AP10" i="1"/>
  <c r="AL31" i="2"/>
  <c r="AO10" i="2"/>
  <c r="AL60" i="2"/>
  <c r="AO39" i="2"/>
  <c r="AO60" i="2" s="1"/>
  <c r="AN40" i="2"/>
  <c r="AP40" i="2"/>
  <c r="AB5" i="7"/>
  <c r="AB9" i="7"/>
  <c r="AA81" i="7"/>
  <c r="AB66" i="7"/>
  <c r="AB70" i="7"/>
  <c r="AB76" i="7"/>
  <c r="AB100" i="7"/>
  <c r="AB106" i="7"/>
  <c r="AB119" i="7"/>
  <c r="AB125" i="7"/>
  <c r="AB183" i="7"/>
  <c r="AB187" i="7"/>
  <c r="AB191" i="7"/>
  <c r="AB195" i="7"/>
  <c r="AB225" i="7"/>
  <c r="AB229" i="7"/>
  <c r="AB233" i="7"/>
  <c r="AB237" i="7"/>
  <c r="AB241" i="7"/>
  <c r="AB245" i="7"/>
  <c r="AB39" i="9"/>
  <c r="AJ8" i="1"/>
  <c r="AI20" i="1"/>
  <c r="AJ26" i="1"/>
  <c r="AI30" i="1"/>
  <c r="AJ39" i="1"/>
  <c r="AK39" i="1" s="1"/>
  <c r="AJ40" i="1"/>
  <c r="AJ44" i="1"/>
  <c r="AN71" i="1"/>
  <c r="AI74" i="1"/>
  <c r="AI78" i="1"/>
  <c r="AJ87" i="1"/>
  <c r="AK87" i="1" s="1"/>
  <c r="AK90" i="1"/>
  <c r="AM98" i="1"/>
  <c r="AJ104" i="1"/>
  <c r="AI20" i="2"/>
  <c r="AJ50" i="2"/>
  <c r="AI71" i="2"/>
  <c r="AM71" i="2"/>
  <c r="AN71" i="2" s="1"/>
  <c r="AJ74" i="2"/>
  <c r="AN77" i="2"/>
  <c r="AM80" i="2"/>
  <c r="AN80" i="2" s="1"/>
  <c r="AK82" i="2"/>
  <c r="AN83" i="2"/>
  <c r="AI92" i="2"/>
  <c r="BO15" i="12"/>
  <c r="BO19" i="12"/>
  <c r="BO23" i="12"/>
  <c r="BO27" i="12"/>
  <c r="BO31" i="12"/>
  <c r="BO35" i="12"/>
  <c r="BO39" i="12"/>
  <c r="BO43" i="12"/>
  <c r="BO47" i="12"/>
  <c r="BO51" i="12"/>
  <c r="BO55" i="12"/>
  <c r="BO65" i="12"/>
  <c r="AG183" i="22"/>
  <c r="AG175" i="24"/>
  <c r="AG191" i="24"/>
  <c r="AG17" i="7"/>
  <c r="AF34" i="7"/>
  <c r="AG114" i="7"/>
  <c r="AH92" i="7"/>
  <c r="AH96" i="7"/>
  <c r="AH138" i="7"/>
  <c r="AH142" i="7"/>
  <c r="AH146" i="7"/>
  <c r="AH159" i="7"/>
  <c r="AH181" i="7"/>
  <c r="AH185" i="7"/>
  <c r="AH189" i="7"/>
  <c r="AH193" i="7"/>
  <c r="AH197" i="7"/>
  <c r="AG216" i="7"/>
  <c r="AH224" i="7"/>
  <c r="AH252" i="7"/>
  <c r="AH22" i="9"/>
  <c r="AH27" i="9"/>
  <c r="AI10" i="1"/>
  <c r="AO10" i="1"/>
  <c r="AL61" i="2"/>
  <c r="AO40" i="2"/>
  <c r="S84" i="1"/>
  <c r="Q87" i="1"/>
  <c r="S102" i="1"/>
  <c r="AB52" i="12"/>
  <c r="AB53" i="12"/>
  <c r="P59" i="7"/>
  <c r="V10" i="1"/>
  <c r="W97" i="8"/>
  <c r="V7" i="11"/>
  <c r="V11" i="11"/>
  <c r="AE16" i="1"/>
  <c r="AE16" i="2"/>
  <c r="AE22" i="2"/>
  <c r="AE28" i="2"/>
  <c r="AE99" i="2"/>
  <c r="AC222" i="10"/>
  <c r="AB298" i="10"/>
  <c r="AC287" i="10"/>
  <c r="AC291" i="10"/>
  <c r="AB5" i="11"/>
  <c r="AB9" i="11"/>
  <c r="AB13" i="11"/>
  <c r="AB17" i="11"/>
  <c r="AB24" i="11"/>
  <c r="AB45" i="11"/>
  <c r="AB59" i="7"/>
  <c r="AI8" i="1"/>
  <c r="AN8" i="1"/>
  <c r="AK16" i="1"/>
  <c r="AK21" i="1"/>
  <c r="AI26" i="1"/>
  <c r="AN26" i="1"/>
  <c r="AM31" i="1"/>
  <c r="AI106" i="1"/>
  <c r="AI44" i="1"/>
  <c r="AN44" i="1"/>
  <c r="AJ50" i="1"/>
  <c r="AI53" i="1"/>
  <c r="AK58" i="1"/>
  <c r="AK63" i="1"/>
  <c r="AI70" i="1"/>
  <c r="AI71" i="1" s="1"/>
  <c r="AN68" i="1"/>
  <c r="AK75" i="1"/>
  <c r="AN78" i="1"/>
  <c r="AN79" i="1"/>
  <c r="AI83" i="1"/>
  <c r="AK85" i="1"/>
  <c r="AN87" i="1"/>
  <c r="AJ92" i="1"/>
  <c r="AK99" i="1"/>
  <c r="AI104" i="1"/>
  <c r="AN105" i="1"/>
  <c r="AJ8" i="2"/>
  <c r="AN8" i="2"/>
  <c r="AI10" i="2"/>
  <c r="AI11" i="2" s="1"/>
  <c r="AJ14" i="2"/>
  <c r="AN14" i="2"/>
  <c r="AK16" i="2"/>
  <c r="AN17" i="2"/>
  <c r="AJ26" i="2"/>
  <c r="AN26" i="2"/>
  <c r="AK28" i="2"/>
  <c r="AN29" i="2"/>
  <c r="AI39" i="2"/>
  <c r="AI41" i="2" s="1"/>
  <c r="AK45" i="2"/>
  <c r="AJ47" i="2"/>
  <c r="AI50" i="2"/>
  <c r="AK57" i="2"/>
  <c r="AJ59" i="2"/>
  <c r="AM61" i="2"/>
  <c r="AK64" i="2"/>
  <c r="AN65" i="2"/>
  <c r="AI74" i="2"/>
  <c r="AK84" i="2"/>
  <c r="AK85" i="2"/>
  <c r="AN88" i="2"/>
  <c r="AN96" i="2"/>
  <c r="AJ104" i="2"/>
  <c r="AN104" i="2"/>
  <c r="AN106" i="2"/>
  <c r="BQ22" i="12"/>
  <c r="BQ28" i="12"/>
  <c r="BQ26" i="12"/>
  <c r="BW28" i="12"/>
  <c r="BW29" i="12"/>
  <c r="BQ30" i="12"/>
  <c r="BQ36" i="12"/>
  <c r="BQ34" i="12"/>
  <c r="BW36" i="12"/>
  <c r="BW37" i="12"/>
  <c r="BQ38" i="12"/>
  <c r="BQ44" i="12"/>
  <c r="BQ42" i="12"/>
  <c r="BW44" i="12"/>
  <c r="BW45" i="12"/>
  <c r="BQ46" i="12"/>
  <c r="BQ52" i="12"/>
  <c r="BQ50" i="12"/>
  <c r="BW52" i="12"/>
  <c r="BW53" i="12"/>
  <c r="BQ54" i="12"/>
  <c r="BW58" i="12"/>
  <c r="BW59" i="12"/>
  <c r="BQ64" i="12"/>
  <c r="AG175" i="22"/>
  <c r="AG171" i="24"/>
  <c r="AG187" i="24"/>
  <c r="AF17" i="7"/>
  <c r="AG62" i="7"/>
  <c r="AH54" i="7"/>
  <c r="AH58" i="7"/>
  <c r="AG81" i="7"/>
  <c r="AH68" i="7"/>
  <c r="AK81" i="7"/>
  <c r="AF114" i="7"/>
  <c r="AH93" i="7"/>
  <c r="AG130" i="7"/>
  <c r="AH125" i="7"/>
  <c r="AH139" i="7"/>
  <c r="AH143" i="7"/>
  <c r="AH147" i="7"/>
  <c r="AH156" i="7"/>
  <c r="AG173" i="7"/>
  <c r="AH160" i="7"/>
  <c r="AH164" i="7"/>
  <c r="AH182" i="7"/>
  <c r="AH186" i="7"/>
  <c r="AH190" i="7"/>
  <c r="AH194" i="7"/>
  <c r="AM60" i="1"/>
  <c r="AN60" i="1" s="1"/>
  <c r="AP39" i="1"/>
  <c r="AP61" i="1"/>
  <c r="AP41" i="1"/>
  <c r="AM30" i="2"/>
  <c r="AP9" i="2"/>
  <c r="R83" i="1"/>
  <c r="V118" i="11"/>
  <c r="AC106" i="1"/>
  <c r="AB7" i="7"/>
  <c r="AB65" i="7"/>
  <c r="AB108" i="7"/>
  <c r="AB111" i="7"/>
  <c r="AB117" i="7"/>
  <c r="AB121" i="7"/>
  <c r="AB185" i="7"/>
  <c r="AB189" i="7"/>
  <c r="AB193" i="7"/>
  <c r="AB205" i="7"/>
  <c r="AB209" i="7"/>
  <c r="AB227" i="7"/>
  <c r="AB231" i="7"/>
  <c r="AB235" i="7"/>
  <c r="AB239" i="7"/>
  <c r="AB243" i="7"/>
  <c r="AB258" i="7"/>
  <c r="AB24" i="14"/>
  <c r="AJ14" i="1"/>
  <c r="AJ38" i="1"/>
  <c r="AI50" i="1"/>
  <c r="AJ56" i="1"/>
  <c r="AI60" i="1"/>
  <c r="AK69" i="1"/>
  <c r="AI92" i="1"/>
  <c r="AI8" i="2"/>
  <c r="AI14" i="2"/>
  <c r="AI26" i="2"/>
  <c r="AJ38" i="2"/>
  <c r="AJ44" i="2"/>
  <c r="AJ56" i="2"/>
  <c r="AK87" i="2"/>
  <c r="AI104" i="2"/>
  <c r="AG183" i="24"/>
  <c r="AH7" i="7"/>
  <c r="AH18" i="7"/>
  <c r="AF62" i="7"/>
  <c r="AH43" i="7"/>
  <c r="AH47" i="7"/>
  <c r="AH51" i="7"/>
  <c r="AH55" i="7"/>
  <c r="AH59" i="7"/>
  <c r="AF81" i="7"/>
  <c r="AH65" i="7"/>
  <c r="AH69" i="7"/>
  <c r="AH100" i="7"/>
  <c r="AH107" i="7"/>
  <c r="AK155" i="7"/>
  <c r="AH157" i="7"/>
  <c r="AH161" i="7"/>
  <c r="AH166" i="7"/>
  <c r="AH183" i="7"/>
  <c r="AH187" i="7"/>
  <c r="AH191" i="7"/>
  <c r="AH195" i="7"/>
  <c r="AH214" i="7"/>
  <c r="AH250" i="7"/>
  <c r="AH254" i="7"/>
  <c r="AI11" i="8"/>
  <c r="AI15" i="8"/>
  <c r="AI49" i="8"/>
  <c r="AI33" i="8"/>
  <c r="AI48" i="8"/>
  <c r="AI50" i="8"/>
  <c r="AI54" i="8"/>
  <c r="AH5" i="9"/>
  <c r="AG32" i="9"/>
  <c r="AH9" i="9"/>
  <c r="AH13" i="9"/>
  <c r="AH17" i="9"/>
  <c r="AH20" i="9"/>
  <c r="AH24" i="9"/>
  <c r="AK32" i="9"/>
  <c r="AH35" i="9"/>
  <c r="AI40" i="1"/>
  <c r="AO40" i="1"/>
  <c r="AQ40" i="1" s="1"/>
  <c r="AL30" i="2"/>
  <c r="AO9" i="2"/>
  <c r="AO30" i="2" s="1"/>
  <c r="AN10" i="2"/>
  <c r="AP10" i="2"/>
  <c r="AM60" i="2"/>
  <c r="AP39" i="2"/>
  <c r="S43" i="1"/>
  <c r="Q79" i="1"/>
  <c r="W48" i="8"/>
  <c r="Z98" i="8"/>
  <c r="W56" i="10"/>
  <c r="W100" i="10"/>
  <c r="V41" i="11"/>
  <c r="V110" i="11"/>
  <c r="V181" i="11"/>
  <c r="V24" i="16"/>
  <c r="AE52" i="1"/>
  <c r="AE81" i="1"/>
  <c r="BC22" i="12"/>
  <c r="AB29" i="11"/>
  <c r="AB179" i="11"/>
  <c r="AB27" i="14"/>
  <c r="AK7" i="1"/>
  <c r="AN9" i="1"/>
  <c r="AI14" i="1"/>
  <c r="AN14" i="1"/>
  <c r="AJ20" i="1"/>
  <c r="AI23" i="1"/>
  <c r="AK25" i="1"/>
  <c r="AK28" i="1"/>
  <c r="AK33" i="1"/>
  <c r="AI38" i="1"/>
  <c r="AN38" i="1"/>
  <c r="AK43" i="1"/>
  <c r="AK46" i="1"/>
  <c r="AK51" i="1"/>
  <c r="AI56" i="1"/>
  <c r="AN56" i="1"/>
  <c r="AM61" i="1"/>
  <c r="AI65" i="1"/>
  <c r="AK67" i="1"/>
  <c r="AN69" i="1"/>
  <c r="AJ74" i="1"/>
  <c r="AK81" i="1"/>
  <c r="AI88" i="1"/>
  <c r="AI89" i="1" s="1"/>
  <c r="AN86" i="1"/>
  <c r="AK93" i="1"/>
  <c r="AN96" i="1"/>
  <c r="AN97" i="1"/>
  <c r="AI101" i="1"/>
  <c r="AK103" i="1"/>
  <c r="AN106" i="1"/>
  <c r="AJ20" i="2"/>
  <c r="AN20" i="2"/>
  <c r="AK22" i="2"/>
  <c r="AN23" i="2"/>
  <c r="AK33" i="2"/>
  <c r="AI38" i="2"/>
  <c r="AI44" i="2"/>
  <c r="AK49" i="2"/>
  <c r="AK51" i="2"/>
  <c r="AJ53" i="2"/>
  <c r="AI56" i="2"/>
  <c r="AK69" i="2"/>
  <c r="AN68" i="2"/>
  <c r="AK73" i="2"/>
  <c r="AK75" i="2"/>
  <c r="AK81" i="2"/>
  <c r="AJ83" i="2"/>
  <c r="AI89" i="2"/>
  <c r="AM89" i="2"/>
  <c r="AJ92" i="2"/>
  <c r="AK94" i="2"/>
  <c r="AM98" i="2"/>
  <c r="AK100" i="2"/>
  <c r="AM107" i="2"/>
  <c r="BQ15" i="12"/>
  <c r="BQ19" i="12"/>
  <c r="BQ23" i="12"/>
  <c r="BQ27" i="12"/>
  <c r="BQ31" i="12"/>
  <c r="BQ35" i="12"/>
  <c r="BQ39" i="12"/>
  <c r="BQ43" i="12"/>
  <c r="BQ47" i="12"/>
  <c r="BQ51" i="12"/>
  <c r="AK249" i="7"/>
  <c r="AH251" i="7"/>
  <c r="AH255" i="7"/>
  <c r="AG34" i="7"/>
  <c r="E169" i="23"/>
  <c r="E184" i="23"/>
  <c r="E185" i="23"/>
  <c r="E169" i="20"/>
  <c r="P59" i="11"/>
  <c r="P103" i="11"/>
  <c r="AB22" i="11"/>
  <c r="AB42" i="11"/>
  <c r="AB57" i="11"/>
  <c r="AB62" i="11"/>
  <c r="AB84" i="11"/>
  <c r="AB87" i="11"/>
  <c r="AB115" i="11"/>
  <c r="AB126" i="11"/>
  <c r="AB135" i="11"/>
  <c r="AB166" i="11"/>
  <c r="AB180" i="11"/>
  <c r="AB182" i="11"/>
  <c r="AB25" i="11"/>
  <c r="V132" i="11"/>
  <c r="AB108" i="11"/>
  <c r="AB64" i="11"/>
  <c r="V164" i="11"/>
  <c r="AB43" i="11"/>
  <c r="AB67" i="11"/>
  <c r="AC237" i="10"/>
  <c r="AC6" i="10"/>
  <c r="T60" i="10"/>
  <c r="AC37" i="10"/>
  <c r="X57" i="13"/>
  <c r="X59" i="13" s="1"/>
  <c r="AB30" i="9"/>
  <c r="AB35" i="9"/>
  <c r="AH6" i="9"/>
  <c r="AH10" i="9"/>
  <c r="AH14" i="9"/>
  <c r="AK48" i="9"/>
  <c r="AH7" i="9"/>
  <c r="AH11" i="9"/>
  <c r="AH15" i="9"/>
  <c r="AF48" i="9"/>
  <c r="AH33" i="9"/>
  <c r="AB25" i="9"/>
  <c r="AB40" i="9"/>
  <c r="AI17" i="8"/>
  <c r="AI31" i="8"/>
  <c r="AI35" i="8"/>
  <c r="AL49" i="8"/>
  <c r="AI52" i="8"/>
  <c r="AI59" i="8"/>
  <c r="AI72" i="8"/>
  <c r="AI76" i="8"/>
  <c r="AI80" i="8"/>
  <c r="AI84" i="8"/>
  <c r="AC54" i="8"/>
  <c r="AI6" i="8"/>
  <c r="AI10" i="8"/>
  <c r="AI14" i="8"/>
  <c r="AC39" i="8"/>
  <c r="AF49" i="8"/>
  <c r="AC52" i="8"/>
  <c r="AC55" i="8"/>
  <c r="AI8" i="8"/>
  <c r="AI12" i="8"/>
  <c r="AI16" i="8"/>
  <c r="AI19" i="8"/>
  <c r="AH47" i="8"/>
  <c r="AI34" i="8"/>
  <c r="AG70" i="8"/>
  <c r="AI51" i="8"/>
  <c r="AI55" i="8"/>
  <c r="AI75" i="8"/>
  <c r="AI79" i="8"/>
  <c r="AI83" i="8"/>
  <c r="AL98" i="8"/>
  <c r="V98" i="8"/>
  <c r="W98" i="8" s="1"/>
  <c r="W71" i="8"/>
  <c r="T49" i="8"/>
  <c r="Z49" i="8"/>
  <c r="AC14" i="8"/>
  <c r="AC81" i="8"/>
  <c r="AI9" i="8"/>
  <c r="AI13" i="8"/>
  <c r="AG96" i="8"/>
  <c r="AB98" i="8"/>
  <c r="AC98" i="8" s="1"/>
  <c r="AC71" i="8"/>
  <c r="AH96" i="8"/>
  <c r="AI97" i="8"/>
  <c r="T98" i="8"/>
  <c r="Q13" i="8"/>
  <c r="Q71" i="8"/>
  <c r="AL70" i="8"/>
  <c r="AH70" i="8"/>
  <c r="AI71" i="8"/>
  <c r="AG28" i="8"/>
  <c r="AI74" i="8"/>
  <c r="AI82" i="8"/>
  <c r="AG98" i="8"/>
  <c r="X28" i="13"/>
  <c r="AG46" i="13"/>
  <c r="AG52" i="13"/>
  <c r="E172" i="23"/>
  <c r="E173" i="23"/>
  <c r="E188" i="23"/>
  <c r="E189" i="23"/>
  <c r="AG6" i="13"/>
  <c r="AM6" i="13"/>
  <c r="AM8" i="13" s="1"/>
  <c r="AG12" i="13"/>
  <c r="AM12" i="13"/>
  <c r="AM14" i="13" s="1"/>
  <c r="AG15" i="13"/>
  <c r="AM15" i="13"/>
  <c r="AO15" i="13" s="1"/>
  <c r="AG18" i="13"/>
  <c r="AM18" i="13"/>
  <c r="AG21" i="13"/>
  <c r="AM21" i="13"/>
  <c r="AO21" i="13" s="1"/>
  <c r="AG24" i="13"/>
  <c r="AM24" i="13"/>
  <c r="AO24" i="13" s="1"/>
  <c r="AG51" i="13"/>
  <c r="AM51" i="13"/>
  <c r="AM53" i="13" s="1"/>
  <c r="AN11" i="13"/>
  <c r="AO10" i="13"/>
  <c r="AO13" i="13"/>
  <c r="AN20" i="13"/>
  <c r="AO19" i="13"/>
  <c r="AN26" i="13"/>
  <c r="AN41" i="13"/>
  <c r="AL46" i="13"/>
  <c r="AN46" i="13"/>
  <c r="AN56" i="13"/>
  <c r="AO55" i="13"/>
  <c r="AG25" i="13"/>
  <c r="AM25" i="13"/>
  <c r="AG40" i="13"/>
  <c r="AM40" i="13"/>
  <c r="AM41" i="13" s="1"/>
  <c r="AM11" i="13"/>
  <c r="AM20" i="13"/>
  <c r="AM38" i="13"/>
  <c r="AM44" i="13"/>
  <c r="AM47" i="13"/>
  <c r="AM50" i="13"/>
  <c r="AM56" i="13"/>
  <c r="E180" i="23"/>
  <c r="E181" i="23"/>
  <c r="E196" i="23"/>
  <c r="E197" i="23"/>
  <c r="AO7" i="13"/>
  <c r="AN17" i="13"/>
  <c r="AO16" i="13"/>
  <c r="AN23" i="13"/>
  <c r="AO22" i="13"/>
  <c r="AN38" i="13"/>
  <c r="AO37" i="13"/>
  <c r="AN44" i="13"/>
  <c r="AO43" i="13"/>
  <c r="AN50" i="13"/>
  <c r="AO49" i="13"/>
  <c r="AL52" i="13"/>
  <c r="AN52" i="13"/>
  <c r="AL6" i="13"/>
  <c r="AN6" i="13"/>
  <c r="AL12" i="13"/>
  <c r="AN12" i="13"/>
  <c r="AO9" i="13"/>
  <c r="AO18" i="13"/>
  <c r="AO36" i="13"/>
  <c r="AO39" i="13"/>
  <c r="AO42" i="13"/>
  <c r="AO45" i="13"/>
  <c r="AO48" i="13"/>
  <c r="AO54" i="13"/>
  <c r="E185" i="20"/>
  <c r="E176" i="23"/>
  <c r="E177" i="23"/>
  <c r="E192" i="23"/>
  <c r="E193" i="23"/>
  <c r="AI173" i="24"/>
  <c r="C173" i="23"/>
  <c r="G173" i="23" s="1"/>
  <c r="AI177" i="24"/>
  <c r="C177" i="23"/>
  <c r="G177" i="23" s="1"/>
  <c r="AI189" i="24"/>
  <c r="C189" i="23"/>
  <c r="G189" i="23" s="1"/>
  <c r="AI193" i="24"/>
  <c r="C193" i="23"/>
  <c r="G193" i="23" s="1"/>
  <c r="AI197" i="24"/>
  <c r="C197" i="23"/>
  <c r="G197" i="23" s="1"/>
  <c r="AH198" i="24"/>
  <c r="F199" i="23"/>
  <c r="F198" i="23" s="1"/>
  <c r="AI168" i="24"/>
  <c r="C168" i="23"/>
  <c r="G168" i="23" s="1"/>
  <c r="AI172" i="24"/>
  <c r="C172" i="23"/>
  <c r="G172" i="23" s="1"/>
  <c r="AI176" i="24"/>
  <c r="C176" i="23"/>
  <c r="G176" i="23" s="1"/>
  <c r="AI180" i="24"/>
  <c r="C180" i="23"/>
  <c r="G180" i="23" s="1"/>
  <c r="AI184" i="24"/>
  <c r="C184" i="23"/>
  <c r="G184" i="23" s="1"/>
  <c r="AI188" i="24"/>
  <c r="C188" i="23"/>
  <c r="G188" i="23" s="1"/>
  <c r="AI192" i="24"/>
  <c r="C192" i="23"/>
  <c r="AI196" i="24"/>
  <c r="C196" i="23"/>
  <c r="G196" i="23" s="1"/>
  <c r="AG170" i="24"/>
  <c r="E171" i="23"/>
  <c r="AG174" i="24"/>
  <c r="E175" i="23"/>
  <c r="AG178" i="24"/>
  <c r="E179" i="23"/>
  <c r="AG182" i="24"/>
  <c r="E183" i="23"/>
  <c r="AG186" i="24"/>
  <c r="E187" i="23"/>
  <c r="AG190" i="24"/>
  <c r="E191" i="23"/>
  <c r="AG194" i="24"/>
  <c r="E195" i="23"/>
  <c r="AG199" i="24"/>
  <c r="AF198" i="24"/>
  <c r="D168" i="23"/>
  <c r="AI181" i="24"/>
  <c r="C181" i="23"/>
  <c r="G181" i="23" s="1"/>
  <c r="AI185" i="24"/>
  <c r="C185" i="23"/>
  <c r="G185" i="23" s="1"/>
  <c r="AD198" i="24"/>
  <c r="B168" i="23"/>
  <c r="B198" i="23" s="1"/>
  <c r="AI171" i="24"/>
  <c r="C171" i="23"/>
  <c r="G171" i="23" s="1"/>
  <c r="AI175" i="24"/>
  <c r="C175" i="23"/>
  <c r="G175" i="23" s="1"/>
  <c r="AI179" i="24"/>
  <c r="C179" i="23"/>
  <c r="G179" i="23" s="1"/>
  <c r="AI183" i="24"/>
  <c r="C183" i="23"/>
  <c r="G183" i="23" s="1"/>
  <c r="AI187" i="24"/>
  <c r="C187" i="23"/>
  <c r="G187" i="23" s="1"/>
  <c r="AI191" i="24"/>
  <c r="C191" i="23"/>
  <c r="G191" i="23" s="1"/>
  <c r="AI195" i="24"/>
  <c r="C195" i="23"/>
  <c r="F48" i="23"/>
  <c r="B50" i="23"/>
  <c r="C51" i="23"/>
  <c r="C52" i="23"/>
  <c r="C53" i="23"/>
  <c r="F54" i="23"/>
  <c r="B56" i="23"/>
  <c r="B57" i="23"/>
  <c r="C58" i="23"/>
  <c r="D59" i="23"/>
  <c r="D60" i="23"/>
  <c r="B63" i="23"/>
  <c r="D64" i="23"/>
  <c r="C67" i="23"/>
  <c r="D68" i="23"/>
  <c r="C70" i="23"/>
  <c r="C72" i="23"/>
  <c r="C74" i="23"/>
  <c r="C73" i="23"/>
  <c r="D73" i="23"/>
  <c r="D65" i="23"/>
  <c r="AG169" i="24"/>
  <c r="E170" i="23"/>
  <c r="AG173" i="24"/>
  <c r="E174" i="23"/>
  <c r="AG177" i="24"/>
  <c r="E178" i="23"/>
  <c r="AG181" i="24"/>
  <c r="E182" i="23"/>
  <c r="AG185" i="24"/>
  <c r="E186" i="23"/>
  <c r="AG189" i="24"/>
  <c r="E190" i="23"/>
  <c r="G192" i="23"/>
  <c r="AG193" i="24"/>
  <c r="E194" i="23"/>
  <c r="AG197" i="24"/>
  <c r="E199" i="23"/>
  <c r="AI169" i="24"/>
  <c r="C169" i="23"/>
  <c r="G169" i="23" s="1"/>
  <c r="AI170" i="24"/>
  <c r="C170" i="23"/>
  <c r="G170" i="23" s="1"/>
  <c r="AI174" i="24"/>
  <c r="C174" i="23"/>
  <c r="G174" i="23" s="1"/>
  <c r="AI178" i="24"/>
  <c r="C178" i="23"/>
  <c r="G178" i="23" s="1"/>
  <c r="AI182" i="24"/>
  <c r="C182" i="23"/>
  <c r="G182" i="23" s="1"/>
  <c r="AI186" i="24"/>
  <c r="C186" i="23"/>
  <c r="G186" i="23" s="1"/>
  <c r="AI190" i="24"/>
  <c r="C190" i="23"/>
  <c r="G190" i="23" s="1"/>
  <c r="AI194" i="24"/>
  <c r="C194" i="23"/>
  <c r="G194" i="23" s="1"/>
  <c r="AE198" i="24"/>
  <c r="C199" i="23"/>
  <c r="F49" i="23"/>
  <c r="B51" i="23"/>
  <c r="B52" i="23"/>
  <c r="B53" i="23"/>
  <c r="B58" i="23"/>
  <c r="C59" i="23"/>
  <c r="C60" i="23"/>
  <c r="C61" i="23"/>
  <c r="C64" i="23"/>
  <c r="C65" i="23"/>
  <c r="B67" i="23"/>
  <c r="C68" i="23"/>
  <c r="F75" i="23"/>
  <c r="B66" i="23"/>
  <c r="B76" i="23"/>
  <c r="B62" i="23"/>
  <c r="C69" i="23"/>
  <c r="C71" i="23"/>
  <c r="C75" i="23"/>
  <c r="D75" i="23"/>
  <c r="AG168" i="24"/>
  <c r="AG172" i="24"/>
  <c r="AG176" i="24"/>
  <c r="AG180" i="24"/>
  <c r="AG184" i="24"/>
  <c r="AG188" i="24"/>
  <c r="AG192" i="24"/>
  <c r="G195" i="23"/>
  <c r="AG196" i="24"/>
  <c r="AG179" i="22"/>
  <c r="AG195" i="22"/>
  <c r="E177" i="20"/>
  <c r="E193" i="20"/>
  <c r="AG171" i="22"/>
  <c r="AG187" i="22"/>
  <c r="AG176" i="22"/>
  <c r="D176" i="20"/>
  <c r="E176" i="20" s="1"/>
  <c r="AI178" i="22"/>
  <c r="C178" i="20"/>
  <c r="G178" i="20" s="1"/>
  <c r="AI181" i="22"/>
  <c r="F181" i="20"/>
  <c r="G181" i="20" s="1"/>
  <c r="AG184" i="22"/>
  <c r="D184" i="20"/>
  <c r="E184" i="20" s="1"/>
  <c r="AI186" i="22"/>
  <c r="C186" i="20"/>
  <c r="G186" i="20" s="1"/>
  <c r="AI194" i="22"/>
  <c r="C194" i="20"/>
  <c r="G194" i="20" s="1"/>
  <c r="AI171" i="22"/>
  <c r="F171" i="20"/>
  <c r="G171" i="20" s="1"/>
  <c r="AG174" i="22"/>
  <c r="D174" i="20"/>
  <c r="E174" i="20" s="1"/>
  <c r="AI176" i="22"/>
  <c r="C176" i="20"/>
  <c r="G176" i="20" s="1"/>
  <c r="AI179" i="22"/>
  <c r="F179" i="20"/>
  <c r="G179" i="20" s="1"/>
  <c r="AG182" i="22"/>
  <c r="D182" i="20"/>
  <c r="E182" i="20" s="1"/>
  <c r="AI184" i="22"/>
  <c r="C184" i="20"/>
  <c r="G184" i="20" s="1"/>
  <c r="AI187" i="22"/>
  <c r="F187" i="20"/>
  <c r="G187" i="20" s="1"/>
  <c r="AG190" i="22"/>
  <c r="D190" i="20"/>
  <c r="E190" i="20" s="1"/>
  <c r="AI192" i="22"/>
  <c r="C192" i="20"/>
  <c r="G192" i="20" s="1"/>
  <c r="AI195" i="22"/>
  <c r="F195" i="20"/>
  <c r="G195" i="20" s="1"/>
  <c r="AF198" i="22"/>
  <c r="D199" i="20"/>
  <c r="AG173" i="22"/>
  <c r="AG181" i="22"/>
  <c r="E183" i="20"/>
  <c r="AG189" i="22"/>
  <c r="E191" i="20"/>
  <c r="AG197" i="22"/>
  <c r="AI170" i="22"/>
  <c r="C170" i="20"/>
  <c r="G170" i="20" s="1"/>
  <c r="AI189" i="22"/>
  <c r="F189" i="20"/>
  <c r="G189" i="20" s="1"/>
  <c r="AI169" i="22"/>
  <c r="F169" i="20"/>
  <c r="G169" i="20" s="1"/>
  <c r="AG172" i="22"/>
  <c r="D172" i="20"/>
  <c r="E172" i="20" s="1"/>
  <c r="AI174" i="22"/>
  <c r="C174" i="20"/>
  <c r="G174" i="20" s="1"/>
  <c r="AI177" i="22"/>
  <c r="F177" i="20"/>
  <c r="G177" i="20" s="1"/>
  <c r="AG180" i="22"/>
  <c r="D180" i="20"/>
  <c r="E180" i="20" s="1"/>
  <c r="AI182" i="22"/>
  <c r="C182" i="20"/>
  <c r="G182" i="20" s="1"/>
  <c r="AI185" i="22"/>
  <c r="F185" i="20"/>
  <c r="G185" i="20" s="1"/>
  <c r="AG188" i="22"/>
  <c r="D188" i="20"/>
  <c r="E188" i="20" s="1"/>
  <c r="AI190" i="22"/>
  <c r="C190" i="20"/>
  <c r="G190" i="20" s="1"/>
  <c r="AI193" i="22"/>
  <c r="F193" i="20"/>
  <c r="G193" i="20" s="1"/>
  <c r="AG196" i="22"/>
  <c r="D196" i="20"/>
  <c r="E196" i="20" s="1"/>
  <c r="C199" i="20"/>
  <c r="AE198" i="22"/>
  <c r="B53" i="20"/>
  <c r="F55" i="20"/>
  <c r="F56" i="20"/>
  <c r="F57" i="20"/>
  <c r="F58" i="20"/>
  <c r="C60" i="20"/>
  <c r="D61" i="20"/>
  <c r="D64" i="20"/>
  <c r="D65" i="20"/>
  <c r="D66" i="20"/>
  <c r="F67" i="20"/>
  <c r="B69" i="20"/>
  <c r="C71" i="20"/>
  <c r="C72" i="20"/>
  <c r="D73" i="20"/>
  <c r="C76" i="20"/>
  <c r="F77" i="20"/>
  <c r="B55" i="20"/>
  <c r="B71" i="20"/>
  <c r="B75" i="20"/>
  <c r="C77" i="20"/>
  <c r="C70" i="20"/>
  <c r="C54" i="20"/>
  <c r="F75" i="20"/>
  <c r="E173" i="20"/>
  <c r="E181" i="20"/>
  <c r="E189" i="20"/>
  <c r="E197" i="20"/>
  <c r="AG168" i="22"/>
  <c r="D168" i="20"/>
  <c r="AI173" i="22"/>
  <c r="F173" i="20"/>
  <c r="G173" i="20" s="1"/>
  <c r="AG192" i="22"/>
  <c r="D192" i="20"/>
  <c r="E192" i="20" s="1"/>
  <c r="AI197" i="22"/>
  <c r="F197" i="20"/>
  <c r="G197" i="20" s="1"/>
  <c r="AG170" i="22"/>
  <c r="D170" i="20"/>
  <c r="E170" i="20" s="1"/>
  <c r="AI172" i="22"/>
  <c r="C172" i="20"/>
  <c r="G172" i="20" s="1"/>
  <c r="AI175" i="22"/>
  <c r="F175" i="20"/>
  <c r="G175" i="20" s="1"/>
  <c r="AG178" i="22"/>
  <c r="D178" i="20"/>
  <c r="E178" i="20" s="1"/>
  <c r="AI180" i="22"/>
  <c r="C180" i="20"/>
  <c r="G180" i="20" s="1"/>
  <c r="AI183" i="22"/>
  <c r="F183" i="20"/>
  <c r="G183" i="20" s="1"/>
  <c r="AG186" i="22"/>
  <c r="D186" i="20"/>
  <c r="E186" i="20" s="1"/>
  <c r="AI188" i="22"/>
  <c r="C188" i="20"/>
  <c r="G188" i="20" s="1"/>
  <c r="AI191" i="22"/>
  <c r="F191" i="20"/>
  <c r="G191" i="20" s="1"/>
  <c r="AG194" i="22"/>
  <c r="D194" i="20"/>
  <c r="E194" i="20" s="1"/>
  <c r="AI196" i="22"/>
  <c r="C196" i="20"/>
  <c r="G196" i="20" s="1"/>
  <c r="B199" i="20"/>
  <c r="B198" i="20" s="1"/>
  <c r="AD198" i="22"/>
  <c r="AI199" i="22"/>
  <c r="AH198" i="22"/>
  <c r="F199" i="20"/>
  <c r="G168" i="20"/>
  <c r="AG169" i="22"/>
  <c r="E171" i="20"/>
  <c r="AG177" i="22"/>
  <c r="E179" i="20"/>
  <c r="AG185" i="22"/>
  <c r="E187" i="20"/>
  <c r="AG193" i="22"/>
  <c r="E195" i="20"/>
  <c r="Z60" i="10"/>
  <c r="AC97" i="10"/>
  <c r="AC119" i="10"/>
  <c r="AC143" i="10"/>
  <c r="AF60" i="10"/>
  <c r="AH60" i="10"/>
  <c r="AI60" i="10" s="1"/>
  <c r="AC39" i="10"/>
  <c r="AC99" i="10"/>
  <c r="AC220" i="10"/>
  <c r="AC290" i="10"/>
  <c r="AJ58" i="13"/>
  <c r="AM58" i="13" s="1"/>
  <c r="AG9" i="13"/>
  <c r="AG19" i="13"/>
  <c r="AG45" i="13"/>
  <c r="AK56" i="13"/>
  <c r="AG7" i="13"/>
  <c r="AG43" i="13"/>
  <c r="AA19" i="13"/>
  <c r="AA25" i="13"/>
  <c r="AA49" i="13"/>
  <c r="AJ14" i="13"/>
  <c r="AL18" i="13"/>
  <c r="AG39" i="13"/>
  <c r="AL40" i="13"/>
  <c r="AG49" i="13"/>
  <c r="AG55" i="13"/>
  <c r="F88" i="23"/>
  <c r="F128" i="23"/>
  <c r="F90" i="23"/>
  <c r="F130" i="23"/>
  <c r="F92" i="23"/>
  <c r="F132" i="23"/>
  <c r="F134" i="23"/>
  <c r="F94" i="23"/>
  <c r="F96" i="23"/>
  <c r="F136" i="23"/>
  <c r="F98" i="23"/>
  <c r="F138" i="23"/>
  <c r="F100" i="23"/>
  <c r="F140" i="23"/>
  <c r="F142" i="23"/>
  <c r="F102" i="23"/>
  <c r="F104" i="23"/>
  <c r="F144" i="23"/>
  <c r="F106" i="23"/>
  <c r="F146" i="23"/>
  <c r="F108" i="23"/>
  <c r="F148" i="23"/>
  <c r="F150" i="23"/>
  <c r="F110" i="23"/>
  <c r="F112" i="23"/>
  <c r="F152" i="23"/>
  <c r="F114" i="23"/>
  <c r="F154" i="23"/>
  <c r="F116" i="23"/>
  <c r="F156" i="23"/>
  <c r="F119" i="23"/>
  <c r="F159" i="23"/>
  <c r="C128" i="23"/>
  <c r="D129" i="23"/>
  <c r="D89" i="23"/>
  <c r="D130" i="23"/>
  <c r="D90" i="23"/>
  <c r="D91" i="23"/>
  <c r="D131" i="23"/>
  <c r="D132" i="23"/>
  <c r="D92" i="23"/>
  <c r="D93" i="23"/>
  <c r="D133" i="23"/>
  <c r="D134" i="23"/>
  <c r="D94" i="23"/>
  <c r="D95" i="23"/>
  <c r="D135" i="23"/>
  <c r="D136" i="23"/>
  <c r="D96" i="23"/>
  <c r="D137" i="23"/>
  <c r="D97" i="23"/>
  <c r="D138" i="23"/>
  <c r="D98" i="23"/>
  <c r="D99" i="23"/>
  <c r="D139" i="23"/>
  <c r="D100" i="23"/>
  <c r="D140" i="23"/>
  <c r="D141" i="23"/>
  <c r="D101" i="23"/>
  <c r="D102" i="23"/>
  <c r="D142" i="23"/>
  <c r="D103" i="23"/>
  <c r="D143" i="23"/>
  <c r="D144" i="23"/>
  <c r="D104" i="23"/>
  <c r="D145" i="23"/>
  <c r="D105" i="23"/>
  <c r="D146" i="23"/>
  <c r="D106" i="23"/>
  <c r="D107" i="23"/>
  <c r="D147" i="23"/>
  <c r="D148" i="23"/>
  <c r="D108" i="23"/>
  <c r="D149" i="23"/>
  <c r="D109" i="23"/>
  <c r="D110" i="23"/>
  <c r="D150" i="23"/>
  <c r="D151" i="23"/>
  <c r="D111" i="23"/>
  <c r="D152" i="23"/>
  <c r="D112" i="23"/>
  <c r="D153" i="23"/>
  <c r="D113" i="23"/>
  <c r="D154" i="23"/>
  <c r="D114" i="23"/>
  <c r="D115" i="23"/>
  <c r="D155" i="23"/>
  <c r="D156" i="23"/>
  <c r="D116" i="23"/>
  <c r="D117" i="23"/>
  <c r="D157" i="23"/>
  <c r="D119" i="23"/>
  <c r="D159" i="23"/>
  <c r="C54" i="23"/>
  <c r="F56" i="23"/>
  <c r="F69" i="23"/>
  <c r="F73" i="23"/>
  <c r="D79" i="23"/>
  <c r="D66" i="23"/>
  <c r="D49" i="23"/>
  <c r="C49" i="23"/>
  <c r="F50" i="23"/>
  <c r="F51" i="23"/>
  <c r="F52" i="23"/>
  <c r="B54" i="23"/>
  <c r="C55" i="23"/>
  <c r="D56" i="23"/>
  <c r="F57" i="23"/>
  <c r="B59" i="23"/>
  <c r="B60" i="23"/>
  <c r="B61" i="23"/>
  <c r="D62" i="23"/>
  <c r="F63" i="23"/>
  <c r="B65" i="23"/>
  <c r="E65" i="23" s="1"/>
  <c r="F66" i="23"/>
  <c r="F67" i="23"/>
  <c r="B69" i="23"/>
  <c r="D71" i="23"/>
  <c r="F72" i="23"/>
  <c r="G72" i="23" s="1"/>
  <c r="B75" i="23"/>
  <c r="F77" i="23"/>
  <c r="C79" i="23"/>
  <c r="B72" i="23"/>
  <c r="B70" i="23"/>
  <c r="B73" i="23"/>
  <c r="B64" i="23"/>
  <c r="E64" i="23" s="1"/>
  <c r="C76" i="23"/>
  <c r="D63" i="23"/>
  <c r="D77" i="23"/>
  <c r="D69" i="23"/>
  <c r="D58" i="23"/>
  <c r="D50" i="23"/>
  <c r="B89" i="23"/>
  <c r="B129" i="23"/>
  <c r="B90" i="23"/>
  <c r="B130" i="23"/>
  <c r="B91" i="23"/>
  <c r="B131" i="23"/>
  <c r="B92" i="23"/>
  <c r="B132" i="23"/>
  <c r="B133" i="23"/>
  <c r="B93" i="23"/>
  <c r="B134" i="23"/>
  <c r="B94" i="23"/>
  <c r="B135" i="23"/>
  <c r="B95" i="23"/>
  <c r="E95" i="23" s="1"/>
  <c r="B136" i="23"/>
  <c r="B96" i="23"/>
  <c r="B97" i="23"/>
  <c r="B137" i="23"/>
  <c r="B98" i="23"/>
  <c r="B138" i="23"/>
  <c r="B139" i="23"/>
  <c r="B99" i="23"/>
  <c r="E99" i="23" s="1"/>
  <c r="B100" i="23"/>
  <c r="B140" i="23"/>
  <c r="B141" i="23"/>
  <c r="B101" i="23"/>
  <c r="B142" i="23"/>
  <c r="B102" i="23"/>
  <c r="B143" i="23"/>
  <c r="B103" i="23"/>
  <c r="B144" i="23"/>
  <c r="B104" i="23"/>
  <c r="B105" i="23"/>
  <c r="B145" i="23"/>
  <c r="B106" i="23"/>
  <c r="B146" i="23"/>
  <c r="B107" i="23"/>
  <c r="B147" i="23"/>
  <c r="B148" i="23"/>
  <c r="B108" i="23"/>
  <c r="B149" i="23"/>
  <c r="B109" i="23"/>
  <c r="B150" i="23"/>
  <c r="B110" i="23"/>
  <c r="B151" i="23"/>
  <c r="B111" i="23"/>
  <c r="B152" i="23"/>
  <c r="B112" i="23"/>
  <c r="B113" i="23"/>
  <c r="B153" i="23"/>
  <c r="B114" i="23"/>
  <c r="B154" i="23"/>
  <c r="B155" i="23"/>
  <c r="B115" i="23"/>
  <c r="B116" i="23"/>
  <c r="B156" i="23"/>
  <c r="B157" i="23"/>
  <c r="B117" i="23"/>
  <c r="B159" i="23"/>
  <c r="B119" i="23"/>
  <c r="F89" i="23"/>
  <c r="F129" i="23"/>
  <c r="F91" i="23"/>
  <c r="F131" i="23"/>
  <c r="F93" i="23"/>
  <c r="F133" i="23"/>
  <c r="F135" i="23"/>
  <c r="F95" i="23"/>
  <c r="F97" i="23"/>
  <c r="F137" i="23"/>
  <c r="F99" i="23"/>
  <c r="F139" i="23"/>
  <c r="F101" i="23"/>
  <c r="F141" i="23"/>
  <c r="F143" i="23"/>
  <c r="F103" i="23"/>
  <c r="F105" i="23"/>
  <c r="F145" i="23"/>
  <c r="F107" i="23"/>
  <c r="F147" i="23"/>
  <c r="F109" i="23"/>
  <c r="F149" i="23"/>
  <c r="F151" i="23"/>
  <c r="F111" i="23"/>
  <c r="F113" i="23"/>
  <c r="F153" i="23"/>
  <c r="F115" i="23"/>
  <c r="F155" i="23"/>
  <c r="F117" i="23"/>
  <c r="F157" i="23"/>
  <c r="C129" i="23"/>
  <c r="C89" i="23"/>
  <c r="C130" i="23"/>
  <c r="C90" i="23"/>
  <c r="C131" i="23"/>
  <c r="C91" i="23"/>
  <c r="C132" i="23"/>
  <c r="C92" i="23"/>
  <c r="C133" i="23"/>
  <c r="C93" i="23"/>
  <c r="C134" i="23"/>
  <c r="C94" i="23"/>
  <c r="C135" i="23"/>
  <c r="G135" i="23" s="1"/>
  <c r="C95" i="23"/>
  <c r="C136" i="23"/>
  <c r="C96" i="23"/>
  <c r="C137" i="23"/>
  <c r="C97" i="23"/>
  <c r="C98" i="23"/>
  <c r="C138" i="23"/>
  <c r="C139" i="23"/>
  <c r="C99" i="23"/>
  <c r="C140" i="23"/>
  <c r="C100" i="23"/>
  <c r="C141" i="23"/>
  <c r="C101" i="23"/>
  <c r="C142" i="23"/>
  <c r="C102" i="23"/>
  <c r="C143" i="23"/>
  <c r="G143" i="23" s="1"/>
  <c r="C103" i="23"/>
  <c r="C144" i="23"/>
  <c r="C104" i="23"/>
  <c r="C105" i="23"/>
  <c r="C145" i="23"/>
  <c r="C146" i="23"/>
  <c r="C106" i="23"/>
  <c r="C147" i="23"/>
  <c r="C107" i="23"/>
  <c r="C148" i="23"/>
  <c r="C108" i="23"/>
  <c r="C149" i="23"/>
  <c r="C109" i="23"/>
  <c r="C150" i="23"/>
  <c r="C110" i="23"/>
  <c r="C151" i="23"/>
  <c r="G151" i="23" s="1"/>
  <c r="C111" i="23"/>
  <c r="C152" i="23"/>
  <c r="C112" i="23"/>
  <c r="C113" i="23"/>
  <c r="C153" i="23"/>
  <c r="C154" i="23"/>
  <c r="C114" i="23"/>
  <c r="C155" i="23"/>
  <c r="C115" i="23"/>
  <c r="C156" i="23"/>
  <c r="C116" i="23"/>
  <c r="C157" i="23"/>
  <c r="C117" i="23"/>
  <c r="C159" i="23"/>
  <c r="C119" i="23"/>
  <c r="F61" i="23"/>
  <c r="F65" i="23"/>
  <c r="G65" i="23" s="1"/>
  <c r="D76" i="23"/>
  <c r="F79" i="23"/>
  <c r="B71" i="23"/>
  <c r="B74" i="23"/>
  <c r="D54" i="23"/>
  <c r="E54" i="23" s="1"/>
  <c r="F55" i="23"/>
  <c r="F62" i="23"/>
  <c r="F71" i="23"/>
  <c r="G71" i="23" s="1"/>
  <c r="D57" i="23"/>
  <c r="B49" i="23"/>
  <c r="C50" i="23"/>
  <c r="D51" i="23"/>
  <c r="E51" i="23" s="1"/>
  <c r="D52" i="23"/>
  <c r="F53" i="23"/>
  <c r="G53" i="23" s="1"/>
  <c r="B55" i="23"/>
  <c r="C56" i="23"/>
  <c r="C57" i="23"/>
  <c r="F58" i="23"/>
  <c r="G58" i="23" s="1"/>
  <c r="F59" i="23"/>
  <c r="F60" i="23"/>
  <c r="C62" i="23"/>
  <c r="C63" i="23"/>
  <c r="F64" i="23"/>
  <c r="C66" i="23"/>
  <c r="D67" i="23"/>
  <c r="F68" i="23"/>
  <c r="F70" i="23"/>
  <c r="G70" i="23" s="1"/>
  <c r="D72" i="23"/>
  <c r="F74" i="23"/>
  <c r="F76" i="23"/>
  <c r="B79" i="23"/>
  <c r="B77" i="23"/>
  <c r="B68" i="23"/>
  <c r="C77" i="23"/>
  <c r="D74" i="23"/>
  <c r="D70" i="23"/>
  <c r="D61" i="23"/>
  <c r="D53" i="23"/>
  <c r="D128" i="20"/>
  <c r="D88" i="20"/>
  <c r="F130" i="20"/>
  <c r="F90" i="20"/>
  <c r="F132" i="20"/>
  <c r="F92" i="20"/>
  <c r="B135" i="20"/>
  <c r="B95" i="20"/>
  <c r="B137" i="20"/>
  <c r="B97" i="20"/>
  <c r="C139" i="20"/>
  <c r="C99" i="20"/>
  <c r="C141" i="20"/>
  <c r="C101" i="20"/>
  <c r="D143" i="20"/>
  <c r="D103" i="20"/>
  <c r="F145" i="20"/>
  <c r="F105" i="20"/>
  <c r="F148" i="20"/>
  <c r="F108" i="20"/>
  <c r="B151" i="20"/>
  <c r="B111" i="20"/>
  <c r="B153" i="20"/>
  <c r="B113" i="20"/>
  <c r="C156" i="20"/>
  <c r="C116" i="20"/>
  <c r="D159" i="20"/>
  <c r="D119" i="20"/>
  <c r="C129" i="20"/>
  <c r="C89" i="20"/>
  <c r="D130" i="20"/>
  <c r="D90" i="20"/>
  <c r="D131" i="20"/>
  <c r="D91" i="20"/>
  <c r="D132" i="20"/>
  <c r="D92" i="20"/>
  <c r="F133" i="20"/>
  <c r="F93" i="20"/>
  <c r="F134" i="20"/>
  <c r="F94" i="20"/>
  <c r="F135" i="20"/>
  <c r="F95" i="20"/>
  <c r="F136" i="20"/>
  <c r="F96" i="20"/>
  <c r="B138" i="20"/>
  <c r="B98" i="20"/>
  <c r="B139" i="20"/>
  <c r="B99" i="20"/>
  <c r="B140" i="20"/>
  <c r="B100" i="20"/>
  <c r="B141" i="20"/>
  <c r="B101" i="20"/>
  <c r="C142" i="20"/>
  <c r="C102" i="20"/>
  <c r="C143" i="20"/>
  <c r="C103" i="20"/>
  <c r="C144" i="20"/>
  <c r="C104" i="20"/>
  <c r="C145" i="20"/>
  <c r="C105" i="20"/>
  <c r="D146" i="20"/>
  <c r="D106" i="20"/>
  <c r="D147" i="20"/>
  <c r="D107" i="20"/>
  <c r="D148" i="20"/>
  <c r="D108" i="20"/>
  <c r="F149" i="20"/>
  <c r="F109" i="20"/>
  <c r="F150" i="20"/>
  <c r="F110" i="20"/>
  <c r="F151" i="20"/>
  <c r="F111" i="20"/>
  <c r="F152" i="20"/>
  <c r="F112" i="20"/>
  <c r="B154" i="20"/>
  <c r="B114" i="20"/>
  <c r="B155" i="20"/>
  <c r="B115" i="20"/>
  <c r="B156" i="20"/>
  <c r="B116" i="20"/>
  <c r="B157" i="20"/>
  <c r="B117" i="20"/>
  <c r="C159" i="20"/>
  <c r="C119" i="20"/>
  <c r="D153" i="20"/>
  <c r="D113" i="20"/>
  <c r="D149" i="20"/>
  <c r="D109" i="20"/>
  <c r="F50" i="20"/>
  <c r="C63" i="20"/>
  <c r="B49" i="20"/>
  <c r="D50" i="20"/>
  <c r="F51" i="20"/>
  <c r="F52" i="20"/>
  <c r="B54" i="20"/>
  <c r="D55" i="20"/>
  <c r="D56" i="20"/>
  <c r="D57" i="20"/>
  <c r="D58" i="20"/>
  <c r="F59" i="20"/>
  <c r="B61" i="20"/>
  <c r="D62" i="20"/>
  <c r="C64" i="20"/>
  <c r="C65" i="20"/>
  <c r="C66" i="20"/>
  <c r="D67" i="20"/>
  <c r="F68" i="20"/>
  <c r="D70" i="20"/>
  <c r="B72" i="20"/>
  <c r="B73" i="20"/>
  <c r="D75" i="20"/>
  <c r="D77" i="20"/>
  <c r="F79" i="20"/>
  <c r="B59" i="20"/>
  <c r="B74" i="20"/>
  <c r="B68" i="20"/>
  <c r="B77" i="20"/>
  <c r="C73" i="20"/>
  <c r="C61" i="20"/>
  <c r="C49" i="20"/>
  <c r="F62" i="20"/>
  <c r="D145" i="20"/>
  <c r="D105" i="20"/>
  <c r="B129" i="20"/>
  <c r="B89" i="20"/>
  <c r="C130" i="20"/>
  <c r="C90" i="20"/>
  <c r="C131" i="20"/>
  <c r="C91" i="20"/>
  <c r="C132" i="20"/>
  <c r="C92" i="20"/>
  <c r="C133" i="20"/>
  <c r="C93" i="20"/>
  <c r="D134" i="20"/>
  <c r="D94" i="20"/>
  <c r="D135" i="20"/>
  <c r="D95" i="20"/>
  <c r="D136" i="20"/>
  <c r="D96" i="20"/>
  <c r="F137" i="20"/>
  <c r="F97" i="20"/>
  <c r="F138" i="20"/>
  <c r="F98" i="20"/>
  <c r="F139" i="20"/>
  <c r="F99" i="20"/>
  <c r="F140" i="20"/>
  <c r="F100" i="20"/>
  <c r="B142" i="20"/>
  <c r="B102" i="20"/>
  <c r="B143" i="20"/>
  <c r="B103" i="20"/>
  <c r="B144" i="20"/>
  <c r="B145" i="20"/>
  <c r="B105" i="20"/>
  <c r="C146" i="20"/>
  <c r="C106" i="20"/>
  <c r="C147" i="20"/>
  <c r="C107" i="20"/>
  <c r="C148" i="20"/>
  <c r="C108" i="20"/>
  <c r="C149" i="20"/>
  <c r="C109" i="20"/>
  <c r="D150" i="20"/>
  <c r="D110" i="20"/>
  <c r="D151" i="20"/>
  <c r="D111" i="20"/>
  <c r="E111" i="20" s="1"/>
  <c r="D152" i="20"/>
  <c r="D112" i="20"/>
  <c r="F153" i="20"/>
  <c r="F113" i="20"/>
  <c r="F154" i="20"/>
  <c r="F114" i="20"/>
  <c r="F155" i="20"/>
  <c r="F115" i="20"/>
  <c r="F156" i="20"/>
  <c r="F116" i="20"/>
  <c r="B159" i="20"/>
  <c r="B119" i="20"/>
  <c r="D157" i="20"/>
  <c r="D117" i="20"/>
  <c r="D133" i="20"/>
  <c r="D93" i="20"/>
  <c r="D54" i="20"/>
  <c r="E54" i="20" s="1"/>
  <c r="F48" i="20"/>
  <c r="B50" i="20"/>
  <c r="D51" i="20"/>
  <c r="D52" i="20"/>
  <c r="F53" i="20"/>
  <c r="C55" i="20"/>
  <c r="C56" i="20"/>
  <c r="G56" i="20" s="1"/>
  <c r="C57" i="20"/>
  <c r="C58" i="20"/>
  <c r="D59" i="20"/>
  <c r="F60" i="20"/>
  <c r="B62" i="20"/>
  <c r="F63" i="20"/>
  <c r="B65" i="20"/>
  <c r="B66" i="20"/>
  <c r="C67" i="20"/>
  <c r="D68" i="20"/>
  <c r="F69" i="20"/>
  <c r="F71" i="20"/>
  <c r="F72" i="20"/>
  <c r="D74" i="20"/>
  <c r="F76" i="20"/>
  <c r="D79" i="20"/>
  <c r="B63" i="20"/>
  <c r="B70" i="20"/>
  <c r="C74" i="20"/>
  <c r="C62" i="20"/>
  <c r="C50" i="20"/>
  <c r="F70" i="20"/>
  <c r="F129" i="20"/>
  <c r="F89" i="20"/>
  <c r="G89" i="20" s="1"/>
  <c r="F131" i="20"/>
  <c r="F91" i="20"/>
  <c r="B134" i="20"/>
  <c r="B94" i="20"/>
  <c r="B136" i="20"/>
  <c r="B96" i="20"/>
  <c r="C138" i="20"/>
  <c r="C98" i="20"/>
  <c r="C140" i="20"/>
  <c r="C100" i="20"/>
  <c r="D142" i="20"/>
  <c r="D102" i="20"/>
  <c r="D144" i="20"/>
  <c r="D104" i="20"/>
  <c r="F146" i="20"/>
  <c r="F106" i="20"/>
  <c r="F147" i="20"/>
  <c r="F107" i="20"/>
  <c r="B150" i="20"/>
  <c r="B110" i="20"/>
  <c r="B152" i="20"/>
  <c r="B112" i="20"/>
  <c r="C154" i="20"/>
  <c r="C114" i="20"/>
  <c r="C155" i="20"/>
  <c r="C115" i="20"/>
  <c r="C157" i="20"/>
  <c r="C117" i="20"/>
  <c r="D137" i="20"/>
  <c r="D97" i="20"/>
  <c r="F128" i="20"/>
  <c r="F88" i="20"/>
  <c r="B130" i="20"/>
  <c r="B90" i="20"/>
  <c r="B131" i="20"/>
  <c r="B132" i="20"/>
  <c r="B92" i="20"/>
  <c r="B133" i="20"/>
  <c r="B93" i="20"/>
  <c r="C134" i="20"/>
  <c r="C94" i="20"/>
  <c r="C135" i="20"/>
  <c r="C95" i="20"/>
  <c r="C136" i="20"/>
  <c r="C96" i="20"/>
  <c r="C137" i="20"/>
  <c r="C97" i="20"/>
  <c r="D138" i="20"/>
  <c r="D98" i="20"/>
  <c r="D139" i="20"/>
  <c r="D99" i="20"/>
  <c r="D140" i="20"/>
  <c r="D100" i="20"/>
  <c r="F141" i="20"/>
  <c r="F101" i="20"/>
  <c r="F142" i="20"/>
  <c r="F102" i="20"/>
  <c r="F143" i="20"/>
  <c r="F103" i="20"/>
  <c r="F144" i="20"/>
  <c r="F104" i="20"/>
  <c r="B146" i="20"/>
  <c r="B106" i="20"/>
  <c r="B147" i="20"/>
  <c r="B107" i="20"/>
  <c r="B148" i="20"/>
  <c r="B108" i="20"/>
  <c r="B149" i="20"/>
  <c r="B109" i="20"/>
  <c r="C150" i="20"/>
  <c r="C110" i="20"/>
  <c r="C151" i="20"/>
  <c r="C111" i="20"/>
  <c r="C152" i="20"/>
  <c r="C112" i="20"/>
  <c r="C153" i="20"/>
  <c r="C113" i="20"/>
  <c r="D154" i="20"/>
  <c r="D114" i="20"/>
  <c r="D155" i="20"/>
  <c r="D115" i="20"/>
  <c r="D156" i="20"/>
  <c r="D116" i="20"/>
  <c r="F157" i="20"/>
  <c r="F117" i="20"/>
  <c r="F159" i="20"/>
  <c r="F119" i="20"/>
  <c r="D141" i="20"/>
  <c r="D101" i="20"/>
  <c r="D49" i="20"/>
  <c r="B52" i="20"/>
  <c r="B79" i="20"/>
  <c r="F49" i="20"/>
  <c r="C51" i="20"/>
  <c r="C52" i="20"/>
  <c r="D53" i="20"/>
  <c r="F54" i="20"/>
  <c r="B56" i="20"/>
  <c r="B57" i="20"/>
  <c r="B58" i="20"/>
  <c r="C59" i="20"/>
  <c r="D60" i="20"/>
  <c r="F61" i="20"/>
  <c r="D63" i="20"/>
  <c r="F64" i="20"/>
  <c r="F65" i="20"/>
  <c r="F66" i="20"/>
  <c r="C68" i="20"/>
  <c r="D69" i="20"/>
  <c r="D71" i="20"/>
  <c r="D72" i="20"/>
  <c r="F73" i="20"/>
  <c r="D76" i="20"/>
  <c r="C79" i="20"/>
  <c r="B67" i="20"/>
  <c r="B76" i="20"/>
  <c r="B60" i="20"/>
  <c r="C75" i="20"/>
  <c r="C69" i="20"/>
  <c r="C53" i="20"/>
  <c r="F74" i="20"/>
  <c r="AB6" i="13"/>
  <c r="AB15" i="13"/>
  <c r="AB39" i="13"/>
  <c r="AB45" i="13"/>
  <c r="AL16" i="13"/>
  <c r="AL24" i="13"/>
  <c r="AG36" i="13"/>
  <c r="AG48" i="13"/>
  <c r="AK50" i="13"/>
  <c r="U12" i="13"/>
  <c r="AB40" i="13"/>
  <c r="AB41" i="13" s="1"/>
  <c r="AL10" i="13"/>
  <c r="AG13" i="13"/>
  <c r="AL22" i="13"/>
  <c r="AG37" i="13"/>
  <c r="AG42" i="13"/>
  <c r="AK44" i="13"/>
  <c r="AG54" i="13"/>
  <c r="AF32" i="9"/>
  <c r="AH32" i="9" s="1"/>
  <c r="AH34" i="9"/>
  <c r="AI37" i="8"/>
  <c r="AG47" i="8"/>
  <c r="AI29" i="8"/>
  <c r="AI30" i="8"/>
  <c r="AH98" i="8"/>
  <c r="AH28" i="8"/>
  <c r="AI28" i="8" s="1"/>
  <c r="AI87" i="8"/>
  <c r="AH62" i="7"/>
  <c r="AH81" i="7"/>
  <c r="AH42" i="7"/>
  <c r="AH89" i="7"/>
  <c r="AH19" i="7"/>
  <c r="AF201" i="7"/>
  <c r="AF216" i="7"/>
  <c r="AH216" i="7" s="1"/>
  <c r="AF265" i="7"/>
  <c r="AH265" i="7" s="1"/>
  <c r="AH5" i="7"/>
  <c r="AH64" i="7"/>
  <c r="AF130" i="7"/>
  <c r="AH130" i="7" s="1"/>
  <c r="AF155" i="7"/>
  <c r="AH155" i="7" s="1"/>
  <c r="AF173" i="7"/>
  <c r="AH173" i="7" s="1"/>
  <c r="AF249" i="7"/>
  <c r="AH249" i="7" s="1"/>
  <c r="AI198" i="24"/>
  <c r="AI199" i="24"/>
  <c r="AI168" i="22"/>
  <c r="BQ56" i="12"/>
  <c r="BV62" i="12"/>
  <c r="BV63" i="12"/>
  <c r="BO56" i="12"/>
  <c r="BT62" i="12"/>
  <c r="BT63" i="12"/>
  <c r="BQ57" i="12"/>
  <c r="BQ59" i="12"/>
  <c r="BQ21" i="12"/>
  <c r="BQ29" i="12"/>
  <c r="BQ37" i="12"/>
  <c r="BQ45" i="12"/>
  <c r="BQ53" i="12"/>
  <c r="BS62" i="12"/>
  <c r="BS63" i="12"/>
  <c r="BO57" i="12"/>
  <c r="BO59" i="12"/>
  <c r="BO21" i="12"/>
  <c r="BO29" i="12"/>
  <c r="BO37" i="12"/>
  <c r="BO45" i="12"/>
  <c r="BO53" i="12"/>
  <c r="BR62" i="12"/>
  <c r="BR63" i="12"/>
  <c r="BO8" i="12"/>
  <c r="BO9" i="12"/>
  <c r="BO10" i="12"/>
  <c r="BO11" i="12"/>
  <c r="BW12" i="12"/>
  <c r="BW13" i="12"/>
  <c r="BO16" i="12"/>
  <c r="BO17" i="12"/>
  <c r="BO24" i="12"/>
  <c r="BO25" i="12"/>
  <c r="BO32" i="12"/>
  <c r="BO33" i="12"/>
  <c r="BO40" i="12"/>
  <c r="BO41" i="12"/>
  <c r="BO48" i="12"/>
  <c r="BO49" i="12"/>
  <c r="BW56" i="12"/>
  <c r="BW57" i="12"/>
  <c r="BN12" i="12"/>
  <c r="BN13" i="12"/>
  <c r="BQ8" i="12"/>
  <c r="BQ9" i="12"/>
  <c r="BQ10" i="12"/>
  <c r="BQ11" i="12"/>
  <c r="BM12" i="12"/>
  <c r="BM60" i="12" s="1"/>
  <c r="BM62" i="12" s="1"/>
  <c r="BU12" i="12"/>
  <c r="BM13" i="12"/>
  <c r="BM61" i="12" s="1"/>
  <c r="BM63" i="12" s="1"/>
  <c r="BU13" i="12"/>
  <c r="BQ16" i="12"/>
  <c r="BQ17" i="12"/>
  <c r="BQ24" i="12"/>
  <c r="BQ25" i="12"/>
  <c r="BQ32" i="12"/>
  <c r="BQ33" i="12"/>
  <c r="BQ40" i="12"/>
  <c r="BQ41" i="12"/>
  <c r="BQ48" i="12"/>
  <c r="BQ49" i="12"/>
  <c r="BU56" i="12"/>
  <c r="BU57" i="12"/>
  <c r="BL12" i="12"/>
  <c r="BL60" i="12" s="1"/>
  <c r="BL62" i="12" s="1"/>
  <c r="BP12" i="12"/>
  <c r="BL13" i="12"/>
  <c r="BL61" i="12" s="1"/>
  <c r="BL63" i="12" s="1"/>
  <c r="BP13" i="12"/>
  <c r="AK8" i="2"/>
  <c r="AK14" i="2"/>
  <c r="AK26" i="2"/>
  <c r="AL62" i="2"/>
  <c r="AM62" i="2"/>
  <c r="AN62" i="2" s="1"/>
  <c r="AK104" i="2"/>
  <c r="AK88" i="2"/>
  <c r="AJ89" i="2"/>
  <c r="AK89" i="2" s="1"/>
  <c r="AJ98" i="2"/>
  <c r="AK106" i="2"/>
  <c r="AJ107" i="2"/>
  <c r="AK70" i="2"/>
  <c r="AJ71" i="2"/>
  <c r="AK71" i="2" s="1"/>
  <c r="AJ80" i="2"/>
  <c r="AK20" i="2"/>
  <c r="AN60" i="2"/>
  <c r="AN89" i="2"/>
  <c r="AK92" i="2"/>
  <c r="AN98" i="2"/>
  <c r="AN107" i="2"/>
  <c r="AM32" i="2"/>
  <c r="AL39" i="13"/>
  <c r="AJ44" i="13"/>
  <c r="AL45" i="13"/>
  <c r="AJ50" i="13"/>
  <c r="AL51" i="13"/>
  <c r="AJ56" i="13"/>
  <c r="AJ9" i="2"/>
  <c r="AK9" i="2" s="1"/>
  <c r="AN9" i="2"/>
  <c r="AN31" i="2"/>
  <c r="AJ35" i="2"/>
  <c r="AJ39" i="2"/>
  <c r="AK39" i="2" s="1"/>
  <c r="AN39" i="2"/>
  <c r="AJ61" i="2"/>
  <c r="AN61" i="2"/>
  <c r="AN69" i="2"/>
  <c r="AJ77" i="2"/>
  <c r="AN79" i="2"/>
  <c r="AN87" i="2"/>
  <c r="AJ95" i="2"/>
  <c r="AN97" i="2"/>
  <c r="AN105" i="2"/>
  <c r="AG38" i="13"/>
  <c r="AM11" i="2"/>
  <c r="AI17" i="2"/>
  <c r="AK17" i="2" s="1"/>
  <c r="AI23" i="2"/>
  <c r="AK23" i="2" s="1"/>
  <c r="AI29" i="2"/>
  <c r="AK29" i="2" s="1"/>
  <c r="AI31" i="2"/>
  <c r="AI35" i="2"/>
  <c r="AM41" i="2"/>
  <c r="AI47" i="2"/>
  <c r="AK47" i="2" s="1"/>
  <c r="AI53" i="2"/>
  <c r="AK53" i="2" s="1"/>
  <c r="AI59" i="2"/>
  <c r="AK59" i="2" s="1"/>
  <c r="AI61" i="2"/>
  <c r="AI65" i="2"/>
  <c r="AK65" i="2" s="1"/>
  <c r="AI77" i="2"/>
  <c r="AI79" i="2"/>
  <c r="AI83" i="2"/>
  <c r="AK83" i="2" s="1"/>
  <c r="AI95" i="2"/>
  <c r="AI97" i="2"/>
  <c r="AI101" i="2"/>
  <c r="AK101" i="2" s="1"/>
  <c r="AI105" i="2"/>
  <c r="AI107" i="2" s="1"/>
  <c r="AL36" i="13"/>
  <c r="AJ41" i="13"/>
  <c r="AL42" i="13"/>
  <c r="AJ47" i="13"/>
  <c r="AL48" i="13"/>
  <c r="AJ53" i="13"/>
  <c r="AL54" i="13"/>
  <c r="AJ10" i="2"/>
  <c r="AL11" i="2"/>
  <c r="AJ40" i="2"/>
  <c r="AL41" i="2"/>
  <c r="AJ68" i="2"/>
  <c r="AJ86" i="2"/>
  <c r="AJ57" i="13"/>
  <c r="AM57" i="13" s="1"/>
  <c r="AK58" i="13"/>
  <c r="AI30" i="2"/>
  <c r="AK34" i="2"/>
  <c r="AI60" i="2"/>
  <c r="AI68" i="2"/>
  <c r="AI78" i="2"/>
  <c r="AK78" i="2" s="1"/>
  <c r="AI86" i="2"/>
  <c r="AI96" i="2"/>
  <c r="AK96" i="2" s="1"/>
  <c r="AI61" i="1"/>
  <c r="AI62" i="1" s="1"/>
  <c r="AI41" i="1"/>
  <c r="AK40" i="1"/>
  <c r="AK20" i="1"/>
  <c r="AM62" i="1"/>
  <c r="AK74" i="1"/>
  <c r="AI80" i="1"/>
  <c r="AK70" i="1"/>
  <c r="AJ71" i="1"/>
  <c r="AK71" i="1" s="1"/>
  <c r="AI31" i="1"/>
  <c r="AI32" i="1" s="1"/>
  <c r="AI11" i="1"/>
  <c r="AK10" i="1"/>
  <c r="AM32" i="1"/>
  <c r="AK50" i="1"/>
  <c r="AK92" i="1"/>
  <c r="AI98" i="1"/>
  <c r="AK88" i="1"/>
  <c r="AJ89" i="1"/>
  <c r="AK89" i="1" s="1"/>
  <c r="AJ11" i="1"/>
  <c r="AJ17" i="1"/>
  <c r="AK17" i="1" s="1"/>
  <c r="AJ23" i="1"/>
  <c r="AK23" i="1" s="1"/>
  <c r="AJ29" i="1"/>
  <c r="AK29" i="1" s="1"/>
  <c r="AJ31" i="1"/>
  <c r="AJ35" i="1"/>
  <c r="AJ41" i="1"/>
  <c r="AJ47" i="1"/>
  <c r="AK47" i="1" s="1"/>
  <c r="AJ53" i="1"/>
  <c r="AK53" i="1" s="1"/>
  <c r="AJ59" i="1"/>
  <c r="AK59" i="1" s="1"/>
  <c r="AJ61" i="1"/>
  <c r="AJ65" i="1"/>
  <c r="AK65" i="1" s="1"/>
  <c r="AJ77" i="1"/>
  <c r="AJ79" i="1"/>
  <c r="AL80" i="1"/>
  <c r="AN80" i="1" s="1"/>
  <c r="AJ83" i="1"/>
  <c r="AK83" i="1" s="1"/>
  <c r="AJ95" i="1"/>
  <c r="AJ97" i="1"/>
  <c r="AL98" i="1"/>
  <c r="AN98" i="1" s="1"/>
  <c r="AJ101" i="1"/>
  <c r="AK101" i="1" s="1"/>
  <c r="AJ105" i="1"/>
  <c r="AJ11" i="13"/>
  <c r="AJ17" i="13"/>
  <c r="AJ23" i="13"/>
  <c r="AM11" i="1"/>
  <c r="AI35" i="1"/>
  <c r="AM41" i="1"/>
  <c r="AI77" i="1"/>
  <c r="AI95" i="1"/>
  <c r="AI105" i="1"/>
  <c r="AI107" i="1" s="1"/>
  <c r="AJ27" i="13"/>
  <c r="AM27" i="13" s="1"/>
  <c r="AK28" i="13"/>
  <c r="AG10" i="13"/>
  <c r="AK14" i="13"/>
  <c r="AG16" i="13"/>
  <c r="AK20" i="13"/>
  <c r="AG22" i="13"/>
  <c r="AK26" i="13"/>
  <c r="AL11" i="1"/>
  <c r="AJ30" i="1"/>
  <c r="AK30" i="1" s="1"/>
  <c r="AL31" i="1"/>
  <c r="AN40" i="1"/>
  <c r="AL41" i="1"/>
  <c r="AJ60" i="1"/>
  <c r="AK60" i="1" s="1"/>
  <c r="AL61" i="1"/>
  <c r="AJ68" i="1"/>
  <c r="AN70" i="1"/>
  <c r="AJ78" i="1"/>
  <c r="AK78" i="1" s="1"/>
  <c r="AJ86" i="1"/>
  <c r="AN88" i="1"/>
  <c r="AJ96" i="1"/>
  <c r="AK96" i="1" s="1"/>
  <c r="AJ106" i="1"/>
  <c r="AJ28" i="13"/>
  <c r="AM28" i="13" s="1"/>
  <c r="AL9" i="13"/>
  <c r="AL15" i="13"/>
  <c r="AJ20" i="13"/>
  <c r="AL21" i="13"/>
  <c r="AJ26" i="13"/>
  <c r="AI68" i="1"/>
  <c r="AI86" i="1"/>
  <c r="AH7" i="13"/>
  <c r="AL7" i="13"/>
  <c r="AJ8" i="13"/>
  <c r="AH9" i="13"/>
  <c r="AH13" i="13"/>
  <c r="AL13" i="13"/>
  <c r="AH15" i="13"/>
  <c r="AI15" i="13" s="1"/>
  <c r="AH19" i="13"/>
  <c r="AL19" i="13"/>
  <c r="AH21" i="13"/>
  <c r="AH25" i="13"/>
  <c r="AL25" i="13"/>
  <c r="AH37" i="13"/>
  <c r="AL37" i="13"/>
  <c r="AJ38" i="13"/>
  <c r="AH39" i="13"/>
  <c r="AH43" i="13"/>
  <c r="AL43" i="13"/>
  <c r="AH45" i="13"/>
  <c r="AH49" i="13"/>
  <c r="AL49" i="13"/>
  <c r="AH51" i="13"/>
  <c r="AH55" i="13"/>
  <c r="AL55" i="13"/>
  <c r="AK11" i="13"/>
  <c r="AK17" i="13"/>
  <c r="AK23" i="13"/>
  <c r="AK27" i="13"/>
  <c r="AN27" i="13" s="1"/>
  <c r="AK41" i="13"/>
  <c r="AK47" i="13"/>
  <c r="AK53" i="13"/>
  <c r="AK57" i="13"/>
  <c r="AN57" i="13" s="1"/>
  <c r="AH6" i="13"/>
  <c r="AH10" i="13"/>
  <c r="AH12" i="13"/>
  <c r="AH16" i="13"/>
  <c r="AH18" i="13"/>
  <c r="AH22" i="13"/>
  <c r="AH24" i="13"/>
  <c r="AH36" i="13"/>
  <c r="AH40" i="13"/>
  <c r="AH42" i="13"/>
  <c r="AH46" i="13"/>
  <c r="AH48" i="13"/>
  <c r="AH52" i="13"/>
  <c r="AH54" i="13"/>
  <c r="AK8" i="13"/>
  <c r="AL8" i="13" s="1"/>
  <c r="AK38" i="13"/>
  <c r="AD13" i="12"/>
  <c r="AE17" i="12"/>
  <c r="Q70" i="1"/>
  <c r="S90" i="1"/>
  <c r="V17" i="1"/>
  <c r="S12" i="1"/>
  <c r="S18" i="1"/>
  <c r="S33" i="1"/>
  <c r="S42" i="1"/>
  <c r="S45" i="1"/>
  <c r="S51" i="1"/>
  <c r="S54" i="1"/>
  <c r="S72" i="1"/>
  <c r="S81" i="1"/>
  <c r="R87" i="1"/>
  <c r="S13" i="2"/>
  <c r="S76" i="2"/>
  <c r="V17" i="2"/>
  <c r="AC21" i="12"/>
  <c r="P26" i="7"/>
  <c r="P28" i="7"/>
  <c r="P68" i="7"/>
  <c r="P183" i="7"/>
  <c r="P185" i="7"/>
  <c r="P187" i="7"/>
  <c r="P191" i="7"/>
  <c r="P195" i="7"/>
  <c r="P225" i="7"/>
  <c r="P229" i="7"/>
  <c r="P231" i="7"/>
  <c r="P233" i="7"/>
  <c r="P237" i="7"/>
  <c r="P241" i="7"/>
  <c r="P243" i="7"/>
  <c r="P40" i="11"/>
  <c r="P42" i="11"/>
  <c r="P44" i="11"/>
  <c r="P114" i="11"/>
  <c r="P22" i="14"/>
  <c r="AS18" i="12"/>
  <c r="V7" i="7"/>
  <c r="V23" i="7"/>
  <c r="V58" i="7"/>
  <c r="V131" i="11"/>
  <c r="V9" i="16"/>
  <c r="AE58" i="1"/>
  <c r="AC74" i="1"/>
  <c r="AE76" i="1"/>
  <c r="AE94" i="1"/>
  <c r="AE100" i="1"/>
  <c r="AC105" i="2"/>
  <c r="AD106" i="2"/>
  <c r="AB6" i="7"/>
  <c r="AB50" i="7"/>
  <c r="AB148" i="7"/>
  <c r="AB152" i="7"/>
  <c r="AB211" i="7"/>
  <c r="AB226" i="7"/>
  <c r="AB230" i="7"/>
  <c r="AB234" i="7"/>
  <c r="AB238" i="7"/>
  <c r="AB242" i="7"/>
  <c r="AC51" i="8"/>
  <c r="AC132" i="10"/>
  <c r="AC181" i="10"/>
  <c r="AC185" i="10"/>
  <c r="AC189" i="10"/>
  <c r="AC193" i="10"/>
  <c r="AC200" i="10"/>
  <c r="AA298" i="10"/>
  <c r="AC281" i="10"/>
  <c r="AC292" i="10"/>
  <c r="AB6" i="11"/>
  <c r="AB10" i="11"/>
  <c r="AB14" i="11"/>
  <c r="AB18" i="11"/>
  <c r="AB21" i="11"/>
  <c r="AB80" i="11"/>
  <c r="AB13" i="12"/>
  <c r="AB63" i="11"/>
  <c r="S94" i="1"/>
  <c r="V97" i="1"/>
  <c r="R8" i="1"/>
  <c r="S13" i="1"/>
  <c r="R29" i="1"/>
  <c r="S37" i="1"/>
  <c r="R53" i="1"/>
  <c r="S58" i="1"/>
  <c r="R65" i="1"/>
  <c r="S85" i="1"/>
  <c r="S91" i="1"/>
  <c r="S103" i="1"/>
  <c r="R95" i="1"/>
  <c r="R95" i="2"/>
  <c r="AF57" i="12"/>
  <c r="AF20" i="12"/>
  <c r="AF37" i="12"/>
  <c r="AF45" i="12"/>
  <c r="AF53" i="12"/>
  <c r="P21" i="7"/>
  <c r="P95" i="7"/>
  <c r="P122" i="7"/>
  <c r="N130" i="7"/>
  <c r="P182" i="7"/>
  <c r="P184" i="7"/>
  <c r="P186" i="7"/>
  <c r="P188" i="7"/>
  <c r="P190" i="7"/>
  <c r="P194" i="7"/>
  <c r="P196" i="7"/>
  <c r="O201" i="7"/>
  <c r="P206" i="7"/>
  <c r="P214" i="7"/>
  <c r="P230" i="7"/>
  <c r="P232" i="7"/>
  <c r="P238" i="7"/>
  <c r="O249" i="7"/>
  <c r="P37" i="11"/>
  <c r="P115" i="11"/>
  <c r="P133" i="11"/>
  <c r="P27" i="14"/>
  <c r="P5" i="14"/>
  <c r="P17" i="11"/>
  <c r="P157" i="11"/>
  <c r="X106" i="1"/>
  <c r="AR57" i="12"/>
  <c r="AR59" i="12"/>
  <c r="AQ54" i="12"/>
  <c r="V9" i="7"/>
  <c r="V82" i="11"/>
  <c r="AF51" i="13"/>
  <c r="AE28" i="1"/>
  <c r="AE46" i="2"/>
  <c r="AE52" i="2"/>
  <c r="AE58" i="2"/>
  <c r="AE64" i="2"/>
  <c r="AE82" i="2"/>
  <c r="AC97" i="2"/>
  <c r="BC46" i="12"/>
  <c r="AB8" i="7"/>
  <c r="AB25" i="7"/>
  <c r="AB46" i="7"/>
  <c r="AB54" i="7"/>
  <c r="AB90" i="7"/>
  <c r="AB94" i="7"/>
  <c r="AB105" i="7"/>
  <c r="AB142" i="7"/>
  <c r="AB146" i="7"/>
  <c r="AB150" i="7"/>
  <c r="AA249" i="7"/>
  <c r="AB228" i="7"/>
  <c r="AB232" i="7"/>
  <c r="AB236" i="7"/>
  <c r="AB240" i="7"/>
  <c r="AB49" i="8"/>
  <c r="AB26" i="9"/>
  <c r="AB58" i="11"/>
  <c r="AB60" i="11"/>
  <c r="AB78" i="11"/>
  <c r="AB82" i="11"/>
  <c r="AB149" i="11"/>
  <c r="AA15" i="16"/>
  <c r="AB21" i="14"/>
  <c r="AB23" i="14"/>
  <c r="AA28" i="14"/>
  <c r="AE20" i="14"/>
  <c r="AB22" i="14"/>
  <c r="AB25" i="14"/>
  <c r="AA20" i="14"/>
  <c r="AA34" i="14" s="1"/>
  <c r="AB26" i="14"/>
  <c r="AB19" i="14"/>
  <c r="AB18" i="14"/>
  <c r="AB9" i="14"/>
  <c r="AB7" i="14"/>
  <c r="AB8" i="14"/>
  <c r="AA17" i="14"/>
  <c r="AE5" i="14"/>
  <c r="AD17" i="14"/>
  <c r="AA170" i="11"/>
  <c r="AA183" i="11" s="1"/>
  <c r="AD183" i="11"/>
  <c r="AB153" i="11"/>
  <c r="AB158" i="11"/>
  <c r="AB161" i="11"/>
  <c r="AB150" i="11"/>
  <c r="AB154" i="11"/>
  <c r="AB157" i="11"/>
  <c r="AB151" i="11"/>
  <c r="AB155" i="11"/>
  <c r="AB159" i="11"/>
  <c r="AB163" i="11"/>
  <c r="AD168" i="11"/>
  <c r="AB148" i="11"/>
  <c r="AB152" i="11"/>
  <c r="AB156" i="11"/>
  <c r="AB160" i="11"/>
  <c r="AB164" i="11"/>
  <c r="AA168" i="11"/>
  <c r="AB162" i="11"/>
  <c r="AB147" i="11"/>
  <c r="AB140" i="11"/>
  <c r="AB124" i="11"/>
  <c r="AE139" i="11"/>
  <c r="AB123" i="11"/>
  <c r="AE113" i="11"/>
  <c r="AE117" i="11"/>
  <c r="AE121" i="11"/>
  <c r="AA121" i="11"/>
  <c r="AB113" i="11"/>
  <c r="AB117" i="11"/>
  <c r="AB112" i="11"/>
  <c r="AB116" i="11"/>
  <c r="AB120" i="11"/>
  <c r="AB118" i="11"/>
  <c r="AB76" i="11"/>
  <c r="AB75" i="11"/>
  <c r="AB71" i="11"/>
  <c r="AE55" i="11"/>
  <c r="AA59" i="11"/>
  <c r="AB59" i="11" s="1"/>
  <c r="AE63" i="11"/>
  <c r="AD70" i="11"/>
  <c r="AE70" i="11" s="1"/>
  <c r="AE56" i="11"/>
  <c r="AE64" i="11"/>
  <c r="AB31" i="11"/>
  <c r="AB34" i="11"/>
  <c r="AA39" i="11"/>
  <c r="AE43" i="11"/>
  <c r="AB32" i="11"/>
  <c r="AB30" i="11"/>
  <c r="AB28" i="11"/>
  <c r="AE46" i="11"/>
  <c r="AB27" i="11"/>
  <c r="AE25" i="11"/>
  <c r="AA26" i="11"/>
  <c r="AF298" i="10"/>
  <c r="AC229" i="10"/>
  <c r="W142" i="10"/>
  <c r="AC30" i="10"/>
  <c r="AC34" i="10"/>
  <c r="AB206" i="10"/>
  <c r="AC183" i="10"/>
  <c r="AC187" i="10"/>
  <c r="AC191" i="10"/>
  <c r="AC195" i="10"/>
  <c r="AC205" i="10"/>
  <c r="AC238" i="10"/>
  <c r="AC242" i="10"/>
  <c r="AC198" i="10"/>
  <c r="AC202" i="10"/>
  <c r="AC266" i="10"/>
  <c r="W337" i="10"/>
  <c r="AC52" i="10"/>
  <c r="AC121" i="10"/>
  <c r="AC182" i="10"/>
  <c r="AC186" i="10"/>
  <c r="AC190" i="10"/>
  <c r="AC194" i="10"/>
  <c r="AC197" i="10"/>
  <c r="AC201" i="10"/>
  <c r="AB322" i="10"/>
  <c r="AC343" i="10"/>
  <c r="AC286" i="10"/>
  <c r="AC177" i="10"/>
  <c r="AC180" i="10"/>
  <c r="AC184" i="10"/>
  <c r="AC188" i="10"/>
  <c r="AC192" i="10"/>
  <c r="AC196" i="10"/>
  <c r="AC199" i="10"/>
  <c r="AC203" i="10"/>
  <c r="AB342" i="10"/>
  <c r="AF247" i="10"/>
  <c r="AC78" i="10"/>
  <c r="AF152" i="10"/>
  <c r="AC113" i="10"/>
  <c r="AC48" i="10"/>
  <c r="AC33" i="10"/>
  <c r="AC36" i="10"/>
  <c r="AC29" i="10"/>
  <c r="P7" i="9"/>
  <c r="P9" i="9"/>
  <c r="P11" i="9"/>
  <c r="P13" i="9"/>
  <c r="P15" i="9"/>
  <c r="P17" i="9"/>
  <c r="P19" i="9"/>
  <c r="P21" i="9"/>
  <c r="AB37" i="9"/>
  <c r="AB8" i="9"/>
  <c r="AB12" i="9"/>
  <c r="AB16" i="9"/>
  <c r="AB19" i="9"/>
  <c r="AE32" i="9"/>
  <c r="AE48" i="9"/>
  <c r="W83" i="8"/>
  <c r="AC73" i="8"/>
  <c r="AC77" i="8"/>
  <c r="AC34" i="8"/>
  <c r="AB266" i="7"/>
  <c r="AA265" i="7"/>
  <c r="AB247" i="7"/>
  <c r="AE249" i="7"/>
  <c r="AB217" i="7"/>
  <c r="AA216" i="7"/>
  <c r="AB210" i="7"/>
  <c r="AB181" i="7"/>
  <c r="AE201" i="7"/>
  <c r="AA201" i="7"/>
  <c r="AB131" i="7"/>
  <c r="AA130" i="7"/>
  <c r="AB98" i="7"/>
  <c r="AB93" i="7"/>
  <c r="AB97" i="7"/>
  <c r="AB115" i="7"/>
  <c r="AB91" i="7"/>
  <c r="AB95" i="7"/>
  <c r="AA114" i="7"/>
  <c r="AB92" i="7"/>
  <c r="AB96" i="7"/>
  <c r="AB174" i="7"/>
  <c r="AA173" i="7"/>
  <c r="AB139" i="7"/>
  <c r="AB143" i="7"/>
  <c r="AB140" i="7"/>
  <c r="AB147" i="7"/>
  <c r="AB144" i="7"/>
  <c r="AB141" i="7"/>
  <c r="AB145" i="7"/>
  <c r="AE155" i="7"/>
  <c r="AB63" i="7"/>
  <c r="AB44" i="7"/>
  <c r="AB48" i="7"/>
  <c r="AB52" i="7"/>
  <c r="AB56" i="7"/>
  <c r="AB43" i="7"/>
  <c r="AB51" i="7"/>
  <c r="AB55" i="7"/>
  <c r="AE43" i="7"/>
  <c r="AB45" i="7"/>
  <c r="AE47" i="7"/>
  <c r="AB49" i="7"/>
  <c r="AE51" i="7"/>
  <c r="AE55" i="7"/>
  <c r="AB57" i="7"/>
  <c r="AE59" i="7"/>
  <c r="AB47" i="7"/>
  <c r="AB58" i="7"/>
  <c r="AA62" i="7"/>
  <c r="AE62" i="7"/>
  <c r="AB35" i="7"/>
  <c r="AE19" i="7"/>
  <c r="AA19" i="7"/>
  <c r="AB19" i="7" s="1"/>
  <c r="AA17" i="7"/>
  <c r="AH158" i="22"/>
  <c r="AF128" i="24"/>
  <c r="AF129" i="22"/>
  <c r="AG130" i="24"/>
  <c r="AG132" i="24"/>
  <c r="AG138" i="24"/>
  <c r="AG140" i="24"/>
  <c r="AG146" i="24"/>
  <c r="AG148" i="24"/>
  <c r="AG154" i="24"/>
  <c r="AG156" i="24"/>
  <c r="BD44" i="12"/>
  <c r="BE44" i="12" s="1"/>
  <c r="AE102" i="1"/>
  <c r="AD104" i="1"/>
  <c r="AE99" i="1"/>
  <c r="AD101" i="1"/>
  <c r="AG98" i="1"/>
  <c r="AE90" i="1"/>
  <c r="AD92" i="1"/>
  <c r="AE84" i="2"/>
  <c r="AE81" i="2"/>
  <c r="AD105" i="2"/>
  <c r="AE82" i="1"/>
  <c r="AD83" i="1"/>
  <c r="AG80" i="1"/>
  <c r="AE72" i="2"/>
  <c r="AE72" i="1"/>
  <c r="AD74" i="1"/>
  <c r="S22" i="2"/>
  <c r="R87" i="2"/>
  <c r="V14" i="2"/>
  <c r="V20" i="2"/>
  <c r="V26" i="2"/>
  <c r="Y51" i="2"/>
  <c r="X53" i="2"/>
  <c r="Y57" i="2"/>
  <c r="X59" i="2"/>
  <c r="Y72" i="2"/>
  <c r="AG80" i="2"/>
  <c r="AG98" i="2"/>
  <c r="AD101" i="2"/>
  <c r="AE102" i="2"/>
  <c r="AD104" i="2"/>
  <c r="AD74" i="2"/>
  <c r="AD83" i="2"/>
  <c r="AE90" i="2"/>
  <c r="AD92" i="2"/>
  <c r="AE100" i="2"/>
  <c r="Y16" i="2"/>
  <c r="AE66" i="2"/>
  <c r="AE63" i="2"/>
  <c r="AD65" i="2"/>
  <c r="AE64" i="1"/>
  <c r="AE63" i="1"/>
  <c r="AD65" i="1"/>
  <c r="AE57" i="2"/>
  <c r="AD59" i="2"/>
  <c r="AE57" i="1"/>
  <c r="AD59" i="1"/>
  <c r="AE54" i="2"/>
  <c r="AD56" i="2"/>
  <c r="AE54" i="1"/>
  <c r="AD56" i="1"/>
  <c r="AE51" i="2"/>
  <c r="AD53" i="2"/>
  <c r="AE51" i="1"/>
  <c r="AD53" i="1"/>
  <c r="AE48" i="2"/>
  <c r="AD50" i="2"/>
  <c r="AE48" i="1"/>
  <c r="AD50" i="1"/>
  <c r="AE45" i="2"/>
  <c r="AD47" i="2"/>
  <c r="AE45" i="1"/>
  <c r="AD47" i="1"/>
  <c r="AE42" i="2"/>
  <c r="AD44" i="2"/>
  <c r="AE42" i="1"/>
  <c r="AD44" i="1"/>
  <c r="AD38" i="2"/>
  <c r="AD38" i="1"/>
  <c r="AE33" i="1"/>
  <c r="AE27" i="2"/>
  <c r="AD29" i="2"/>
  <c r="AE27" i="1"/>
  <c r="AD29" i="1"/>
  <c r="AD26" i="2"/>
  <c r="AE24" i="1"/>
  <c r="AD26" i="1"/>
  <c r="AE21" i="2"/>
  <c r="AD23" i="2"/>
  <c r="AE22" i="1"/>
  <c r="AE21" i="1"/>
  <c r="AD23" i="1"/>
  <c r="AD20" i="2"/>
  <c r="AE18" i="1"/>
  <c r="AD20" i="1"/>
  <c r="AE15" i="2"/>
  <c r="AD17" i="2"/>
  <c r="AF7" i="13"/>
  <c r="AF9" i="13"/>
  <c r="AE15" i="1"/>
  <c r="AD17" i="1"/>
  <c r="AD14" i="2"/>
  <c r="AE12" i="1"/>
  <c r="AD14" i="1"/>
  <c r="AD8" i="2"/>
  <c r="AD9" i="2"/>
  <c r="AD30" i="2" s="1"/>
  <c r="AD8" i="1"/>
  <c r="Z23" i="16"/>
  <c r="AB24" i="16"/>
  <c r="AB17" i="16"/>
  <c r="AB16" i="16"/>
  <c r="AB6" i="16"/>
  <c r="AB8" i="16"/>
  <c r="AB7" i="16"/>
  <c r="Z5" i="16"/>
  <c r="Z15" i="16" s="1"/>
  <c r="AC34" i="14"/>
  <c r="AE34" i="14" s="1"/>
  <c r="AE19" i="14"/>
  <c r="Z6" i="14"/>
  <c r="AB6" i="14" s="1"/>
  <c r="AC17" i="14"/>
  <c r="AB5" i="14"/>
  <c r="AB184" i="11"/>
  <c r="AB173" i="11"/>
  <c r="AB177" i="11"/>
  <c r="AB171" i="11"/>
  <c r="AB175" i="11"/>
  <c r="AB172" i="11"/>
  <c r="AB176" i="11"/>
  <c r="AB174" i="11"/>
  <c r="Z170" i="11"/>
  <c r="Z183" i="11" s="1"/>
  <c r="AB183" i="11" s="1"/>
  <c r="AC183" i="11"/>
  <c r="AE183" i="11" s="1"/>
  <c r="AB169" i="11"/>
  <c r="AE166" i="11"/>
  <c r="AC168" i="11"/>
  <c r="AE168" i="11" s="1"/>
  <c r="Z168" i="11"/>
  <c r="AB168" i="11" s="1"/>
  <c r="AE147" i="11"/>
  <c r="AB129" i="11"/>
  <c r="AB131" i="11"/>
  <c r="AB128" i="11"/>
  <c r="AB132" i="11"/>
  <c r="AB130" i="11"/>
  <c r="AE124" i="11"/>
  <c r="Z139" i="11"/>
  <c r="AB99" i="11"/>
  <c r="AB103" i="11"/>
  <c r="AB107" i="11"/>
  <c r="AB101" i="11"/>
  <c r="AB105" i="11"/>
  <c r="AB109" i="11"/>
  <c r="AB102" i="11"/>
  <c r="AB106" i="11"/>
  <c r="AB110" i="11"/>
  <c r="AC122" i="11"/>
  <c r="AE122" i="11" s="1"/>
  <c r="Z98" i="11"/>
  <c r="Z122" i="11" s="1"/>
  <c r="AE98" i="11"/>
  <c r="AB91" i="11"/>
  <c r="AC90" i="11"/>
  <c r="AE90" i="11" s="1"/>
  <c r="Z72" i="11"/>
  <c r="AB72" i="11" s="1"/>
  <c r="AB54" i="11"/>
  <c r="AB56" i="11"/>
  <c r="Z70" i="11"/>
  <c r="AB55" i="11"/>
  <c r="AB47" i="11"/>
  <c r="AB36" i="11"/>
  <c r="AB38" i="11"/>
  <c r="Z46" i="11"/>
  <c r="AB7" i="11"/>
  <c r="AB11" i="11"/>
  <c r="AB15" i="11"/>
  <c r="AB19" i="11"/>
  <c r="AC26" i="11"/>
  <c r="AE26" i="11" s="1"/>
  <c r="AB8" i="11"/>
  <c r="AB12" i="11"/>
  <c r="AB16" i="11"/>
  <c r="Z26" i="11"/>
  <c r="AC328" i="10"/>
  <c r="AC332" i="10"/>
  <c r="AD296" i="10"/>
  <c r="AF296" i="10" s="1"/>
  <c r="AF278" i="10"/>
  <c r="Z47" i="10"/>
  <c r="W77" i="10"/>
  <c r="AC70" i="10"/>
  <c r="AC72" i="10"/>
  <c r="AC77" i="10"/>
  <c r="AC213" i="10"/>
  <c r="AC217" i="10"/>
  <c r="AC307" i="10"/>
  <c r="AC94" i="10"/>
  <c r="AC256" i="10"/>
  <c r="AC297" i="10"/>
  <c r="AF342" i="10"/>
  <c r="AF344" i="10"/>
  <c r="AA322" i="10"/>
  <c r="AC305" i="10"/>
  <c r="AF322" i="10"/>
  <c r="AC270" i="10"/>
  <c r="AC258" i="10"/>
  <c r="AC262" i="10"/>
  <c r="AC273" i="10"/>
  <c r="AC263" i="10"/>
  <c r="AF276" i="10"/>
  <c r="AC325" i="10"/>
  <c r="AC267" i="10"/>
  <c r="AC308" i="10"/>
  <c r="Q327" i="10"/>
  <c r="W22" i="10"/>
  <c r="AC31" i="10"/>
  <c r="AC50" i="10"/>
  <c r="AC56" i="10"/>
  <c r="AC66" i="10"/>
  <c r="AC68" i="10"/>
  <c r="AC74" i="10"/>
  <c r="AC105" i="10"/>
  <c r="AC114" i="10"/>
  <c r="AC123" i="10"/>
  <c r="AF129" i="10"/>
  <c r="AC233" i="10"/>
  <c r="AC260" i="10"/>
  <c r="AC323" i="10"/>
  <c r="AC327" i="10"/>
  <c r="AB27" i="10"/>
  <c r="AC228" i="10"/>
  <c r="AC232" i="10"/>
  <c r="AA245" i="10"/>
  <c r="AC227" i="10"/>
  <c r="AC231" i="10"/>
  <c r="AC235" i="10"/>
  <c r="AC236" i="10"/>
  <c r="AF204" i="10"/>
  <c r="Z58" i="10"/>
  <c r="AC28" i="10"/>
  <c r="AB47" i="10"/>
  <c r="AC32" i="10"/>
  <c r="AC35" i="10"/>
  <c r="AC51" i="10"/>
  <c r="AC54" i="10"/>
  <c r="AC59" i="10"/>
  <c r="AB60" i="10"/>
  <c r="AC69" i="10"/>
  <c r="AC111" i="10"/>
  <c r="AC115" i="10"/>
  <c r="AC124" i="10"/>
  <c r="AC134" i="10"/>
  <c r="AC138" i="10"/>
  <c r="AC142" i="10"/>
  <c r="AF154" i="10"/>
  <c r="AC179" i="10"/>
  <c r="AC214" i="10"/>
  <c r="AC218" i="10"/>
  <c r="AF224" i="10"/>
  <c r="AC239" i="10"/>
  <c r="AF245" i="10"/>
  <c r="AC255" i="10"/>
  <c r="AC259" i="10"/>
  <c r="AC274" i="10"/>
  <c r="AC278" i="10"/>
  <c r="AC282" i="10"/>
  <c r="AC289" i="10"/>
  <c r="AC306" i="10"/>
  <c r="AC329" i="10"/>
  <c r="W176" i="10"/>
  <c r="Z322" i="10"/>
  <c r="AA60" i="10"/>
  <c r="AB90" i="10"/>
  <c r="AC92" i="10"/>
  <c r="AC112" i="10"/>
  <c r="AC162" i="10"/>
  <c r="AC166" i="10"/>
  <c r="AC174" i="10"/>
  <c r="AB245" i="10"/>
  <c r="AC245" i="10" s="1"/>
  <c r="AA276" i="10"/>
  <c r="AC264" i="10"/>
  <c r="AC268" i="10"/>
  <c r="AC275" i="10"/>
  <c r="AA296" i="10"/>
  <c r="AC279" i="10"/>
  <c r="AC283" i="10"/>
  <c r="AC326" i="10"/>
  <c r="AF90" i="10"/>
  <c r="W38" i="10"/>
  <c r="Z90" i="10"/>
  <c r="W138" i="10"/>
  <c r="W275" i="10"/>
  <c r="AC49" i="10"/>
  <c r="AB104" i="10"/>
  <c r="AB152" i="10"/>
  <c r="AB204" i="10"/>
  <c r="AA224" i="10"/>
  <c r="AC216" i="10"/>
  <c r="AC226" i="10"/>
  <c r="AC230" i="10"/>
  <c r="AC234" i="10"/>
  <c r="AC241" i="10"/>
  <c r="AC257" i="10"/>
  <c r="AC261" i="10"/>
  <c r="AC265" i="10"/>
  <c r="AC269" i="10"/>
  <c r="AB276" i="10"/>
  <c r="AC280" i="10"/>
  <c r="AC284" i="10"/>
  <c r="AB296" i="10"/>
  <c r="AA342" i="10"/>
  <c r="W41" i="10"/>
  <c r="W215" i="10"/>
  <c r="AB58" i="10"/>
  <c r="AB224" i="10"/>
  <c r="AC288" i="10"/>
  <c r="AC309" i="10"/>
  <c r="AC335" i="10"/>
  <c r="AC225" i="10"/>
  <c r="AC212" i="10"/>
  <c r="AF206" i="10"/>
  <c r="AC164" i="10"/>
  <c r="AC168" i="10"/>
  <c r="AC163" i="10"/>
  <c r="AC167" i="10"/>
  <c r="AC171" i="10"/>
  <c r="AC172" i="10"/>
  <c r="AC165" i="10"/>
  <c r="AC169" i="10"/>
  <c r="AC170" i="10"/>
  <c r="AF178" i="10"/>
  <c r="AF15" i="13"/>
  <c r="AC136" i="10"/>
  <c r="AC140" i="10"/>
  <c r="AC135" i="10"/>
  <c r="AC139" i="10"/>
  <c r="AA152" i="10"/>
  <c r="AC133" i="10"/>
  <c r="AC137" i="10"/>
  <c r="AC141" i="10"/>
  <c r="AC145" i="10"/>
  <c r="AC131" i="10"/>
  <c r="AF58" i="10"/>
  <c r="AC130" i="10"/>
  <c r="AC117" i="10"/>
  <c r="AC118" i="10"/>
  <c r="AC38" i="10"/>
  <c r="AC42" i="10"/>
  <c r="AC40" i="10"/>
  <c r="AC41" i="10"/>
  <c r="AF47" i="10"/>
  <c r="AC93" i="10"/>
  <c r="AF104" i="10"/>
  <c r="AF14" i="10"/>
  <c r="AF18" i="10"/>
  <c r="AF22" i="10"/>
  <c r="AC22" i="10"/>
  <c r="AA14" i="10"/>
  <c r="AC14" i="10" s="1"/>
  <c r="AC15" i="10"/>
  <c r="AC16" i="10"/>
  <c r="AC20" i="10"/>
  <c r="AC17" i="10"/>
  <c r="AC21" i="10"/>
  <c r="AC19" i="10"/>
  <c r="AF27" i="10"/>
  <c r="AC91" i="10"/>
  <c r="AA67" i="10"/>
  <c r="AC67" i="10" s="1"/>
  <c r="AA71" i="10"/>
  <c r="AC71" i="10" s="1"/>
  <c r="AA75" i="10"/>
  <c r="AC75" i="10" s="1"/>
  <c r="AF67" i="10"/>
  <c r="AC12" i="10"/>
  <c r="AD11" i="10"/>
  <c r="AF11" i="10" s="1"/>
  <c r="AA5" i="10"/>
  <c r="AC5" i="10" s="1"/>
  <c r="V20" i="9"/>
  <c r="AB15" i="9"/>
  <c r="AB22" i="9"/>
  <c r="AA48" i="9"/>
  <c r="V37" i="9"/>
  <c r="AB49" i="9"/>
  <c r="Z48" i="9"/>
  <c r="AB34" i="9"/>
  <c r="AB33" i="9"/>
  <c r="AB7" i="9"/>
  <c r="AB6" i="9"/>
  <c r="AB10" i="9"/>
  <c r="AB14" i="9"/>
  <c r="AB21" i="9"/>
  <c r="AB11" i="9"/>
  <c r="AB5" i="9"/>
  <c r="AB9" i="9"/>
  <c r="AB13" i="9"/>
  <c r="AB17" i="9"/>
  <c r="AB20" i="9"/>
  <c r="Z32" i="9"/>
  <c r="Q59" i="8"/>
  <c r="AC36" i="8"/>
  <c r="AC29" i="8"/>
  <c r="AB47" i="8"/>
  <c r="AC37" i="8"/>
  <c r="AF96" i="8"/>
  <c r="AC85" i="8"/>
  <c r="AC31" i="8"/>
  <c r="AC32" i="8"/>
  <c r="AC33" i="8"/>
  <c r="W82" i="8"/>
  <c r="W84" i="8"/>
  <c r="AC9" i="8"/>
  <c r="AC13" i="8"/>
  <c r="AC16" i="8"/>
  <c r="AC74" i="8"/>
  <c r="AC78" i="8"/>
  <c r="AC82" i="8"/>
  <c r="W17" i="8"/>
  <c r="W77" i="8"/>
  <c r="AB28" i="8"/>
  <c r="AC59" i="8"/>
  <c r="AA96" i="8"/>
  <c r="AC76" i="8"/>
  <c r="AC84" i="8"/>
  <c r="W78" i="8"/>
  <c r="AC30" i="8"/>
  <c r="AA47" i="8"/>
  <c r="AB70" i="8"/>
  <c r="AC60" i="8"/>
  <c r="AB96" i="8"/>
  <c r="AA70" i="8"/>
  <c r="AC8" i="8"/>
  <c r="AC12" i="8"/>
  <c r="AC15" i="8"/>
  <c r="AA28" i="8"/>
  <c r="AC10" i="8"/>
  <c r="AF28" i="8"/>
  <c r="AC7" i="8"/>
  <c r="AC11" i="8"/>
  <c r="AB254" i="7"/>
  <c r="AB253" i="7"/>
  <c r="AB257" i="7"/>
  <c r="AB255" i="7"/>
  <c r="AB252" i="7"/>
  <c r="AB256" i="7"/>
  <c r="AE265" i="7"/>
  <c r="Z265" i="7"/>
  <c r="AB250" i="7"/>
  <c r="Z249" i="7"/>
  <c r="AB224" i="7"/>
  <c r="AB204" i="7"/>
  <c r="AB208" i="7"/>
  <c r="AB206" i="7"/>
  <c r="AB207" i="7"/>
  <c r="AE216" i="7"/>
  <c r="Z216" i="7"/>
  <c r="AB202" i="7"/>
  <c r="Z201" i="7"/>
  <c r="AB161" i="7"/>
  <c r="AB158" i="7"/>
  <c r="AB162" i="7"/>
  <c r="AB159" i="7"/>
  <c r="AB160" i="7"/>
  <c r="AB164" i="7"/>
  <c r="Z173" i="7"/>
  <c r="AE173" i="7"/>
  <c r="AB156" i="7"/>
  <c r="Z155" i="7"/>
  <c r="AB154" i="7"/>
  <c r="AC130" i="7"/>
  <c r="AE130" i="7" s="1"/>
  <c r="Z116" i="7"/>
  <c r="AB116" i="7" s="1"/>
  <c r="AE116" i="7"/>
  <c r="AB101" i="7"/>
  <c r="Z114" i="7"/>
  <c r="AB102" i="7"/>
  <c r="AE114" i="7"/>
  <c r="AB82" i="7"/>
  <c r="AB67" i="7"/>
  <c r="AB68" i="7"/>
  <c r="AC81" i="7"/>
  <c r="AE81" i="7" s="1"/>
  <c r="Z64" i="7"/>
  <c r="AB64" i="7" s="1"/>
  <c r="Z62" i="7"/>
  <c r="AB42" i="7"/>
  <c r="AB21" i="7"/>
  <c r="AB22" i="7"/>
  <c r="AB23" i="7"/>
  <c r="Z34" i="7"/>
  <c r="AB20" i="7"/>
  <c r="AB18" i="7"/>
  <c r="Z17" i="7"/>
  <c r="AE128" i="22"/>
  <c r="AI130" i="24"/>
  <c r="AI132" i="24"/>
  <c r="AI138" i="24"/>
  <c r="AI140" i="24"/>
  <c r="AI146" i="24"/>
  <c r="AI148" i="24"/>
  <c r="AI154" i="24"/>
  <c r="AI156" i="24"/>
  <c r="AI159" i="22"/>
  <c r="AI129" i="22"/>
  <c r="AI130" i="22"/>
  <c r="AI131" i="22"/>
  <c r="AI132" i="22"/>
  <c r="AI133" i="22"/>
  <c r="AI134" i="22"/>
  <c r="AI135" i="22"/>
  <c r="AI136" i="22"/>
  <c r="AI137" i="22"/>
  <c r="AI138" i="22"/>
  <c r="AI139" i="22"/>
  <c r="AI140" i="22"/>
  <c r="AI141" i="22"/>
  <c r="AI142" i="22"/>
  <c r="AI143" i="22"/>
  <c r="AI144" i="22"/>
  <c r="AI145" i="22"/>
  <c r="AI146" i="22"/>
  <c r="AI147" i="22"/>
  <c r="AI148" i="22"/>
  <c r="AI149" i="22"/>
  <c r="AI150" i="22"/>
  <c r="AI151" i="22"/>
  <c r="AI152" i="22"/>
  <c r="AI153" i="22"/>
  <c r="AI154" i="22"/>
  <c r="AI155" i="22"/>
  <c r="AI156" i="22"/>
  <c r="AI157" i="22"/>
  <c r="AI151" i="24"/>
  <c r="AI153" i="24"/>
  <c r="AI129" i="24"/>
  <c r="AI135" i="24"/>
  <c r="AI137" i="24"/>
  <c r="AI143" i="24"/>
  <c r="AI145" i="24"/>
  <c r="AI157" i="24"/>
  <c r="AD128" i="24"/>
  <c r="R158" i="22"/>
  <c r="AD128" i="22"/>
  <c r="AB9" i="13"/>
  <c r="AB42" i="13"/>
  <c r="AB54" i="13"/>
  <c r="AF45" i="13"/>
  <c r="AB7" i="13"/>
  <c r="AB55" i="13"/>
  <c r="AA55" i="13"/>
  <c r="AG159" i="24"/>
  <c r="AG129" i="24"/>
  <c r="AG157" i="24"/>
  <c r="AG149" i="24"/>
  <c r="AG150" i="24"/>
  <c r="AG151" i="24"/>
  <c r="AG152" i="24"/>
  <c r="AG141" i="24"/>
  <c r="AG142" i="24"/>
  <c r="AG143" i="24"/>
  <c r="AG144" i="24"/>
  <c r="AG133" i="24"/>
  <c r="AG134" i="24"/>
  <c r="AG135" i="24"/>
  <c r="AG136" i="24"/>
  <c r="AG159" i="22"/>
  <c r="AG129" i="22"/>
  <c r="AG130" i="22"/>
  <c r="AG131" i="22"/>
  <c r="AG132" i="22"/>
  <c r="AG133" i="22"/>
  <c r="AG134" i="22"/>
  <c r="AG135" i="22"/>
  <c r="AG136" i="22"/>
  <c r="AG137" i="22"/>
  <c r="AG138" i="22"/>
  <c r="AG139" i="22"/>
  <c r="AG140" i="22"/>
  <c r="AG141" i="22"/>
  <c r="AG142" i="22"/>
  <c r="AG143" i="22"/>
  <c r="AG144" i="22"/>
  <c r="AG145" i="22"/>
  <c r="AG146" i="22"/>
  <c r="AG147" i="22"/>
  <c r="AG148" i="22"/>
  <c r="AG149" i="22"/>
  <c r="AG150" i="22"/>
  <c r="AG151" i="22"/>
  <c r="AG152" i="22"/>
  <c r="AG153" i="22"/>
  <c r="AG154" i="22"/>
  <c r="AG155" i="22"/>
  <c r="AG156" i="22"/>
  <c r="AG157" i="22"/>
  <c r="BE65" i="12"/>
  <c r="BE64" i="12"/>
  <c r="BC65" i="12"/>
  <c r="BC64" i="12"/>
  <c r="BE55" i="12"/>
  <c r="BC55" i="12"/>
  <c r="BC54" i="12"/>
  <c r="BE51" i="12"/>
  <c r="BE50" i="12"/>
  <c r="BC51" i="12"/>
  <c r="BC50" i="12"/>
  <c r="BK53" i="12"/>
  <c r="BE52" i="12"/>
  <c r="BK52" i="12"/>
  <c r="BI53" i="12"/>
  <c r="BC52" i="12"/>
  <c r="BI52" i="12"/>
  <c r="BE47" i="12"/>
  <c r="BC47" i="12"/>
  <c r="BE43" i="12"/>
  <c r="BC43" i="12"/>
  <c r="BK45" i="12"/>
  <c r="BK44" i="12"/>
  <c r="BI45" i="12"/>
  <c r="BC44" i="12"/>
  <c r="BI44" i="12"/>
  <c r="BE39" i="12"/>
  <c r="BE38" i="12"/>
  <c r="BC39" i="12"/>
  <c r="BE35" i="12"/>
  <c r="BE34" i="12"/>
  <c r="BC35" i="12"/>
  <c r="BC34" i="12"/>
  <c r="BK37" i="12"/>
  <c r="BE36" i="12"/>
  <c r="BK36" i="12"/>
  <c r="BI37" i="12"/>
  <c r="BC36" i="12"/>
  <c r="BI36" i="12"/>
  <c r="BE31" i="12"/>
  <c r="BC31" i="12"/>
  <c r="BE27" i="12"/>
  <c r="BC27" i="12"/>
  <c r="BC26" i="12"/>
  <c r="BI29" i="12"/>
  <c r="BE28" i="12"/>
  <c r="BC28" i="12"/>
  <c r="BI28" i="12"/>
  <c r="BE23" i="12"/>
  <c r="BC23" i="12"/>
  <c r="BE19" i="12"/>
  <c r="BC19" i="12"/>
  <c r="BI21" i="12"/>
  <c r="BI59" i="12"/>
  <c r="BK21" i="12"/>
  <c r="BE20" i="12"/>
  <c r="BK20" i="12"/>
  <c r="BC20" i="12"/>
  <c r="BI20" i="12"/>
  <c r="BE15" i="12"/>
  <c r="BC15" i="12"/>
  <c r="BK59" i="12"/>
  <c r="BE58" i="12"/>
  <c r="BK58" i="12"/>
  <c r="BC58" i="12"/>
  <c r="BI58" i="12"/>
  <c r="BK61" i="12"/>
  <c r="BK60" i="12"/>
  <c r="BI61" i="12"/>
  <c r="BI60" i="12"/>
  <c r="AC104" i="2"/>
  <c r="AE104" i="2" s="1"/>
  <c r="AH104" i="2"/>
  <c r="AF25" i="13"/>
  <c r="AC104" i="1"/>
  <c r="AH104" i="1"/>
  <c r="AH101" i="2"/>
  <c r="AC101" i="2"/>
  <c r="AE101" i="2" s="1"/>
  <c r="AH101" i="1"/>
  <c r="AH97" i="2"/>
  <c r="AE94" i="2"/>
  <c r="AF98" i="2"/>
  <c r="AE93" i="2"/>
  <c r="AE96" i="2"/>
  <c r="AH95" i="2"/>
  <c r="AC98" i="2"/>
  <c r="AH95" i="1"/>
  <c r="AF98" i="1"/>
  <c r="AH98" i="1" s="1"/>
  <c r="AH96" i="1"/>
  <c r="AC92" i="2"/>
  <c r="AH92" i="2"/>
  <c r="AC92" i="1"/>
  <c r="AE92" i="1" s="1"/>
  <c r="AH92" i="1"/>
  <c r="AH88" i="2"/>
  <c r="AF89" i="2"/>
  <c r="AH87" i="2"/>
  <c r="AH86" i="2"/>
  <c r="AH88" i="1"/>
  <c r="AC89" i="1"/>
  <c r="AH86" i="1"/>
  <c r="AF89" i="1"/>
  <c r="AH87" i="1"/>
  <c r="AF40" i="13"/>
  <c r="AC83" i="2"/>
  <c r="AE83" i="2" s="1"/>
  <c r="AH83" i="2"/>
  <c r="AH83" i="1"/>
  <c r="AE76" i="2"/>
  <c r="AH79" i="2"/>
  <c r="AH77" i="2"/>
  <c r="AE75" i="2"/>
  <c r="AE78" i="2"/>
  <c r="AF80" i="2"/>
  <c r="AC80" i="2"/>
  <c r="AH77" i="1"/>
  <c r="AH78" i="1"/>
  <c r="AF80" i="1"/>
  <c r="AH80" i="1" s="1"/>
  <c r="AF43" i="13"/>
  <c r="AC74" i="2"/>
  <c r="AH74" i="2"/>
  <c r="AF13" i="13"/>
  <c r="AH74" i="1"/>
  <c r="AH70" i="2"/>
  <c r="AH68" i="2"/>
  <c r="AF71" i="2"/>
  <c r="AH69" i="2"/>
  <c r="AH70" i="1"/>
  <c r="AH69" i="1"/>
  <c r="AH68" i="1"/>
  <c r="AC71" i="1"/>
  <c r="AF71" i="1"/>
  <c r="AH65" i="2"/>
  <c r="AC65" i="2"/>
  <c r="AE65" i="2" s="1"/>
  <c r="AH65" i="1"/>
  <c r="AC59" i="2"/>
  <c r="AE59" i="2" s="1"/>
  <c r="AH59" i="2"/>
  <c r="AH59" i="1"/>
  <c r="AC56" i="2"/>
  <c r="AE56" i="2" s="1"/>
  <c r="AH56" i="2"/>
  <c r="AC56" i="1"/>
  <c r="AH53" i="2"/>
  <c r="AC53" i="2"/>
  <c r="AH53" i="1"/>
  <c r="AC50" i="2"/>
  <c r="AE50" i="2" s="1"/>
  <c r="AH50" i="2"/>
  <c r="AC50" i="1"/>
  <c r="AE50" i="1" s="1"/>
  <c r="AH50" i="1"/>
  <c r="AH47" i="2"/>
  <c r="AC47" i="2"/>
  <c r="AE47" i="2" s="1"/>
  <c r="AH47" i="1"/>
  <c r="AC44" i="2"/>
  <c r="AE44" i="2" s="1"/>
  <c r="AH44" i="2"/>
  <c r="AC44" i="1"/>
  <c r="AE44" i="1" s="1"/>
  <c r="AH44" i="1"/>
  <c r="AH40" i="2"/>
  <c r="AC40" i="2"/>
  <c r="AC39" i="2"/>
  <c r="AC60" i="2" s="1"/>
  <c r="AF62" i="2"/>
  <c r="AC38" i="2"/>
  <c r="AH38" i="2"/>
  <c r="AH39" i="2"/>
  <c r="AC40" i="1"/>
  <c r="AC61" i="1" s="1"/>
  <c r="AH40" i="1"/>
  <c r="AC39" i="1"/>
  <c r="AC60" i="1" s="1"/>
  <c r="AC38" i="1"/>
  <c r="AH38" i="1"/>
  <c r="AE34" i="2"/>
  <c r="AH106" i="2"/>
  <c r="AF36" i="13"/>
  <c r="AE33" i="2"/>
  <c r="AH35" i="2"/>
  <c r="AF107" i="2"/>
  <c r="AH105" i="2"/>
  <c r="AH106" i="1"/>
  <c r="AF107" i="1"/>
  <c r="AH35" i="1"/>
  <c r="AH105" i="1"/>
  <c r="AH29" i="2"/>
  <c r="AC29" i="2"/>
  <c r="AH29" i="1"/>
  <c r="AE24" i="2"/>
  <c r="AC26" i="2"/>
  <c r="AH26" i="2"/>
  <c r="AC26" i="1"/>
  <c r="AE26" i="1" s="1"/>
  <c r="AH26" i="1"/>
  <c r="AH23" i="2"/>
  <c r="AC23" i="2"/>
  <c r="AE18" i="2"/>
  <c r="AC20" i="2"/>
  <c r="AH20" i="2"/>
  <c r="AC20" i="1"/>
  <c r="AE20" i="1" s="1"/>
  <c r="AH20" i="1"/>
  <c r="AC17" i="2"/>
  <c r="AE17" i="2" s="1"/>
  <c r="AH17" i="2"/>
  <c r="AH17" i="1"/>
  <c r="AC14" i="2"/>
  <c r="AH14" i="2"/>
  <c r="AE12" i="2"/>
  <c r="AC14" i="1"/>
  <c r="AE14" i="1" s="1"/>
  <c r="AH14" i="1"/>
  <c r="AH10" i="2"/>
  <c r="AC10" i="2"/>
  <c r="AC31" i="2" s="1"/>
  <c r="AC8" i="2"/>
  <c r="AH8" i="2"/>
  <c r="AC9" i="2"/>
  <c r="AC30" i="2" s="1"/>
  <c r="AC10" i="1"/>
  <c r="AH10" i="1"/>
  <c r="AC8" i="1"/>
  <c r="AH8" i="1"/>
  <c r="AH30" i="1"/>
  <c r="AC9" i="1"/>
  <c r="AA9" i="13"/>
  <c r="AB12" i="13"/>
  <c r="AA18" i="13"/>
  <c r="AB19" i="13"/>
  <c r="AA22" i="13"/>
  <c r="AB36" i="13"/>
  <c r="AB37" i="13"/>
  <c r="AA39" i="13"/>
  <c r="AB43" i="13"/>
  <c r="AA48" i="13"/>
  <c r="AA50" i="13" s="1"/>
  <c r="AF52" i="13"/>
  <c r="AF55" i="13"/>
  <c r="AA6" i="13"/>
  <c r="AA12" i="13"/>
  <c r="AF16" i="13"/>
  <c r="AB21" i="13"/>
  <c r="AB24" i="13"/>
  <c r="AA37" i="13"/>
  <c r="AA40" i="13"/>
  <c r="AA52" i="13"/>
  <c r="AA16" i="13"/>
  <c r="AA21" i="13"/>
  <c r="AA24" i="13"/>
  <c r="AB25" i="13"/>
  <c r="AA42" i="13"/>
  <c r="AA46" i="13"/>
  <c r="AA54" i="13"/>
  <c r="AA10" i="13"/>
  <c r="AA13" i="13"/>
  <c r="AB18" i="13"/>
  <c r="AF19" i="13"/>
  <c r="AF22" i="13"/>
  <c r="AA36" i="13"/>
  <c r="AF39" i="13"/>
  <c r="AA43" i="13"/>
  <c r="AB48" i="13"/>
  <c r="AA51" i="13"/>
  <c r="AA23" i="16"/>
  <c r="AB35" i="14"/>
  <c r="Z34" i="14"/>
  <c r="AA70" i="11"/>
  <c r="AB70" i="11" s="1"/>
  <c r="AA122" i="11"/>
  <c r="AB122" i="11" s="1"/>
  <c r="AA46" i="11"/>
  <c r="AA90" i="11"/>
  <c r="AA139" i="11"/>
  <c r="AB139" i="11" s="1"/>
  <c r="AC298" i="10"/>
  <c r="AB11" i="10"/>
  <c r="AC96" i="10"/>
  <c r="AB129" i="10"/>
  <c r="AC153" i="10"/>
  <c r="AB178" i="10"/>
  <c r="AC246" i="10"/>
  <c r="AC272" i="10"/>
  <c r="AC304" i="10"/>
  <c r="AB344" i="10"/>
  <c r="AA47" i="10"/>
  <c r="AC47" i="10" s="1"/>
  <c r="AA58" i="10"/>
  <c r="AA129" i="10"/>
  <c r="AB154" i="10"/>
  <c r="AC154" i="10" s="1"/>
  <c r="AA178" i="10"/>
  <c r="AA206" i="10"/>
  <c r="AC206" i="10" s="1"/>
  <c r="AB247" i="10"/>
  <c r="AC247" i="10" s="1"/>
  <c r="AA344" i="10"/>
  <c r="AC13" i="10"/>
  <c r="AA90" i="10"/>
  <c r="AA104" i="10"/>
  <c r="AC277" i="10"/>
  <c r="AC324" i="10"/>
  <c r="AA27" i="10"/>
  <c r="AA204" i="10"/>
  <c r="AC334" i="10"/>
  <c r="AA32" i="9"/>
  <c r="AB32" i="9" s="1"/>
  <c r="AC96" i="8"/>
  <c r="AA49" i="8"/>
  <c r="AC6" i="8"/>
  <c r="AC50" i="8"/>
  <c r="AC72" i="8"/>
  <c r="AB249" i="7"/>
  <c r="AB201" i="7"/>
  <c r="Z130" i="7"/>
  <c r="AB203" i="7"/>
  <c r="AB251" i="7"/>
  <c r="AA34" i="7"/>
  <c r="AB89" i="7"/>
  <c r="AB138" i="7"/>
  <c r="AA155" i="7"/>
  <c r="AB155" i="7" s="1"/>
  <c r="AB157" i="7"/>
  <c r="AH158" i="24"/>
  <c r="AG131" i="24"/>
  <c r="AI133" i="24"/>
  <c r="AI136" i="24"/>
  <c r="AG139" i="24"/>
  <c r="AI141" i="24"/>
  <c r="AI144" i="24"/>
  <c r="AG147" i="24"/>
  <c r="AI149" i="24"/>
  <c r="AI152" i="24"/>
  <c r="AG155" i="24"/>
  <c r="AE158" i="24"/>
  <c r="AI128" i="24"/>
  <c r="AI131" i="24"/>
  <c r="AI134" i="24"/>
  <c r="AG137" i="24"/>
  <c r="AI139" i="24"/>
  <c r="AI142" i="24"/>
  <c r="AG145" i="24"/>
  <c r="AI147" i="24"/>
  <c r="AI150" i="24"/>
  <c r="AG153" i="24"/>
  <c r="AI155" i="24"/>
  <c r="AI159" i="24"/>
  <c r="BE56" i="12"/>
  <c r="BJ62" i="12"/>
  <c r="BJ63" i="12"/>
  <c r="BC56" i="12"/>
  <c r="BH62" i="12"/>
  <c r="BH63" i="12"/>
  <c r="BE57" i="12"/>
  <c r="BE59" i="12"/>
  <c r="BE21" i="12"/>
  <c r="BE29" i="12"/>
  <c r="BE37" i="12"/>
  <c r="BE45" i="12"/>
  <c r="BE53" i="12"/>
  <c r="BG62" i="12"/>
  <c r="BG63" i="12"/>
  <c r="BC57" i="12"/>
  <c r="BC59" i="12"/>
  <c r="BC21" i="12"/>
  <c r="BC29" i="12"/>
  <c r="BC37" i="12"/>
  <c r="BC45" i="12"/>
  <c r="BC53" i="12"/>
  <c r="BF62" i="12"/>
  <c r="BF63" i="12"/>
  <c r="BC8" i="12"/>
  <c r="BC9" i="12"/>
  <c r="BC10" i="12"/>
  <c r="BC11" i="12"/>
  <c r="BK12" i="12"/>
  <c r="BK13" i="12"/>
  <c r="BC16" i="12"/>
  <c r="BC17" i="12"/>
  <c r="BC24" i="12"/>
  <c r="BC25" i="12"/>
  <c r="BC32" i="12"/>
  <c r="BC33" i="12"/>
  <c r="BC40" i="12"/>
  <c r="BC41" i="12"/>
  <c r="BC48" i="12"/>
  <c r="BC49" i="12"/>
  <c r="BK56" i="12"/>
  <c r="BK57" i="12"/>
  <c r="BB12" i="12"/>
  <c r="BB13" i="12"/>
  <c r="BE8" i="12"/>
  <c r="BE9" i="12"/>
  <c r="BE10" i="12"/>
  <c r="BE11" i="12"/>
  <c r="BA12" i="12"/>
  <c r="BA60" i="12" s="1"/>
  <c r="BA62" i="12" s="1"/>
  <c r="BI12" i="12"/>
  <c r="BA13" i="12"/>
  <c r="BA61" i="12" s="1"/>
  <c r="BA63" i="12" s="1"/>
  <c r="BI13" i="12"/>
  <c r="BE16" i="12"/>
  <c r="BE17" i="12"/>
  <c r="BE24" i="12"/>
  <c r="BE25" i="12"/>
  <c r="BE32" i="12"/>
  <c r="BE33" i="12"/>
  <c r="BE40" i="12"/>
  <c r="BE41" i="12"/>
  <c r="BE48" i="12"/>
  <c r="BE49" i="12"/>
  <c r="BI56" i="12"/>
  <c r="BI57" i="12"/>
  <c r="AZ12" i="12"/>
  <c r="AZ60" i="12" s="1"/>
  <c r="AZ62" i="12" s="1"/>
  <c r="BD12" i="12"/>
  <c r="AZ13" i="12"/>
  <c r="AZ61" i="12" s="1"/>
  <c r="AZ63" i="12" s="1"/>
  <c r="BD13" i="12"/>
  <c r="AE79" i="2"/>
  <c r="AD80" i="2"/>
  <c r="AE88" i="2"/>
  <c r="AD89" i="2"/>
  <c r="AH30" i="2"/>
  <c r="AH60" i="2"/>
  <c r="AE106" i="2"/>
  <c r="AE70" i="2"/>
  <c r="AD71" i="2"/>
  <c r="AF32" i="2"/>
  <c r="AC107" i="2"/>
  <c r="AE97" i="2"/>
  <c r="AD98" i="2"/>
  <c r="AE98" i="2" s="1"/>
  <c r="AE29" i="2"/>
  <c r="AE53" i="2"/>
  <c r="AE50" i="13"/>
  <c r="AH9" i="2"/>
  <c r="AD35" i="2"/>
  <c r="AD39" i="2"/>
  <c r="AD77" i="2"/>
  <c r="AD95" i="2"/>
  <c r="AF37" i="13"/>
  <c r="AA45" i="13"/>
  <c r="AB51" i="13"/>
  <c r="AE56" i="13"/>
  <c r="AE6" i="2"/>
  <c r="AE7" i="2"/>
  <c r="AG11" i="2"/>
  <c r="AE13" i="2"/>
  <c r="AE19" i="2"/>
  <c r="AE25" i="2"/>
  <c r="AG31" i="2"/>
  <c r="AC35" i="2"/>
  <c r="AE36" i="2"/>
  <c r="AE37" i="2"/>
  <c r="AG41" i="2"/>
  <c r="AE43" i="2"/>
  <c r="AE49" i="2"/>
  <c r="AE55" i="2"/>
  <c r="AC61" i="2"/>
  <c r="AG61" i="2"/>
  <c r="AE67" i="2"/>
  <c r="AC69" i="2"/>
  <c r="AE69" i="2" s="1"/>
  <c r="AG71" i="2"/>
  <c r="AH71" i="2" s="1"/>
  <c r="AE73" i="2"/>
  <c r="AC77" i="2"/>
  <c r="AE85" i="2"/>
  <c r="AC87" i="2"/>
  <c r="AC89" i="2" s="1"/>
  <c r="AG89" i="2"/>
  <c r="AE91" i="2"/>
  <c r="AC95" i="2"/>
  <c r="AE103" i="2"/>
  <c r="AG107" i="2"/>
  <c r="AB49" i="13"/>
  <c r="AD10" i="2"/>
  <c r="AD31" i="2" s="1"/>
  <c r="AF11" i="2"/>
  <c r="AD40" i="2"/>
  <c r="AF41" i="2"/>
  <c r="AD68" i="2"/>
  <c r="AH78" i="2"/>
  <c r="AD86" i="2"/>
  <c r="AH96" i="2"/>
  <c r="AE44" i="13"/>
  <c r="AF46" i="13"/>
  <c r="AF49" i="13"/>
  <c r="AC68" i="2"/>
  <c r="AC86" i="2"/>
  <c r="AE106" i="1"/>
  <c r="AD107" i="1"/>
  <c r="AF62" i="1"/>
  <c r="AE69" i="1"/>
  <c r="AE78" i="1"/>
  <c r="AE87" i="1"/>
  <c r="AE96" i="1"/>
  <c r="AE70" i="1"/>
  <c r="AD71" i="1"/>
  <c r="AD80" i="1"/>
  <c r="AE88" i="1"/>
  <c r="AD89" i="1"/>
  <c r="AD98" i="1"/>
  <c r="AF32" i="1"/>
  <c r="AH60" i="1"/>
  <c r="AE56" i="1"/>
  <c r="AE74" i="1"/>
  <c r="AE27" i="13"/>
  <c r="AE28" i="13"/>
  <c r="AF10" i="13"/>
  <c r="AF21" i="13"/>
  <c r="AD9" i="1"/>
  <c r="AD30" i="1" s="1"/>
  <c r="AH9" i="1"/>
  <c r="AD35" i="1"/>
  <c r="AD39" i="1"/>
  <c r="AD60" i="1" s="1"/>
  <c r="AH39" i="1"/>
  <c r="AD77" i="1"/>
  <c r="AH79" i="1"/>
  <c r="AD95" i="1"/>
  <c r="AH97" i="1"/>
  <c r="AE14" i="13"/>
  <c r="AE6" i="1"/>
  <c r="AE7" i="1"/>
  <c r="AG11" i="1"/>
  <c r="AE13" i="1"/>
  <c r="AC17" i="1"/>
  <c r="AE17" i="1" s="1"/>
  <c r="AE19" i="1"/>
  <c r="AC23" i="1"/>
  <c r="AE23" i="1" s="1"/>
  <c r="AE25" i="1"/>
  <c r="AC29" i="1"/>
  <c r="AE29" i="1" s="1"/>
  <c r="AC31" i="1"/>
  <c r="AG31" i="1"/>
  <c r="AC35" i="1"/>
  <c r="AE36" i="1"/>
  <c r="AE37" i="1"/>
  <c r="AG41" i="1"/>
  <c r="AE43" i="1"/>
  <c r="AC47" i="1"/>
  <c r="AE47" i="1" s="1"/>
  <c r="AE49" i="1"/>
  <c r="AC53" i="1"/>
  <c r="AE53" i="1" s="1"/>
  <c r="AE55" i="1"/>
  <c r="AC59" i="1"/>
  <c r="AE59" i="1" s="1"/>
  <c r="AG61" i="1"/>
  <c r="AC65" i="1"/>
  <c r="AE65" i="1" s="1"/>
  <c r="AE66" i="1"/>
  <c r="AE67" i="1"/>
  <c r="AG71" i="1"/>
  <c r="AH71" i="1" s="1"/>
  <c r="AE73" i="1"/>
  <c r="AC77" i="1"/>
  <c r="AC79" i="1"/>
  <c r="AC80" i="1" s="1"/>
  <c r="AC83" i="1"/>
  <c r="AE84" i="1"/>
  <c r="AE85" i="1"/>
  <c r="AG89" i="1"/>
  <c r="AE91" i="1"/>
  <c r="AC95" i="1"/>
  <c r="AC97" i="1"/>
  <c r="AC98" i="1" s="1"/>
  <c r="AC101" i="1"/>
  <c r="AE101" i="1" s="1"/>
  <c r="AE103" i="1"/>
  <c r="AC105" i="1"/>
  <c r="AC107" i="1" s="1"/>
  <c r="AG107" i="1"/>
  <c r="AE20" i="13"/>
  <c r="AE26" i="13"/>
  <c r="AD10" i="1"/>
  <c r="AD31" i="1" s="1"/>
  <c r="AF11" i="1"/>
  <c r="AD40" i="1"/>
  <c r="AF41" i="1"/>
  <c r="AD68" i="1"/>
  <c r="AD86" i="1"/>
  <c r="AA7" i="13"/>
  <c r="AB13" i="13"/>
  <c r="AA15" i="13"/>
  <c r="AB22" i="13"/>
  <c r="AE34" i="1"/>
  <c r="AC68" i="1"/>
  <c r="AE75" i="1"/>
  <c r="AC86" i="1"/>
  <c r="AE93" i="1"/>
  <c r="AD8" i="13"/>
  <c r="AD14" i="13"/>
  <c r="AD20" i="13"/>
  <c r="AD26" i="13"/>
  <c r="AD28" i="13"/>
  <c r="AD38" i="13"/>
  <c r="AD44" i="13"/>
  <c r="AD50" i="13"/>
  <c r="AD56" i="13"/>
  <c r="AD58" i="13"/>
  <c r="AF58" i="13" s="1"/>
  <c r="AE11" i="13"/>
  <c r="AE17" i="13"/>
  <c r="AE23" i="13"/>
  <c r="AE41" i="13"/>
  <c r="AE47" i="13"/>
  <c r="AE53" i="13"/>
  <c r="AE57" i="13"/>
  <c r="AE59" i="13" s="1"/>
  <c r="AF6" i="13"/>
  <c r="AB10" i="13"/>
  <c r="AD11" i="13"/>
  <c r="AF12" i="13"/>
  <c r="AB16" i="13"/>
  <c r="AD17" i="13"/>
  <c r="AF18" i="13"/>
  <c r="AD23" i="13"/>
  <c r="AF24" i="13"/>
  <c r="AD27" i="13"/>
  <c r="AD41" i="13"/>
  <c r="AF42" i="13"/>
  <c r="AB46" i="13"/>
  <c r="AD47" i="13"/>
  <c r="AF48" i="13"/>
  <c r="AB52" i="13"/>
  <c r="AD53" i="13"/>
  <c r="AF54" i="13"/>
  <c r="AD57" i="13"/>
  <c r="AE8" i="13"/>
  <c r="AE38" i="13"/>
  <c r="P60" i="11"/>
  <c r="P174" i="11"/>
  <c r="R14" i="1"/>
  <c r="R59" i="1"/>
  <c r="S59" i="1" s="1"/>
  <c r="R69" i="1"/>
  <c r="R86" i="1"/>
  <c r="R88" i="1"/>
  <c r="R92" i="1"/>
  <c r="R101" i="1"/>
  <c r="R105" i="1"/>
  <c r="S7" i="2"/>
  <c r="S28" i="2"/>
  <c r="Q70" i="2"/>
  <c r="V78" i="2"/>
  <c r="AG10" i="12"/>
  <c r="AD28" i="12"/>
  <c r="P92" i="7"/>
  <c r="P94" i="7"/>
  <c r="P96" i="7"/>
  <c r="P98" i="7"/>
  <c r="P100" i="7"/>
  <c r="P102" i="7"/>
  <c r="P106" i="7"/>
  <c r="P145" i="7"/>
  <c r="Q19" i="8"/>
  <c r="Q54" i="8"/>
  <c r="Q56" i="8"/>
  <c r="Q60" i="8"/>
  <c r="P38" i="9"/>
  <c r="P99" i="11"/>
  <c r="P101" i="11"/>
  <c r="P105" i="11"/>
  <c r="P107" i="11"/>
  <c r="P109" i="11"/>
  <c r="P113" i="11"/>
  <c r="P173" i="11"/>
  <c r="P64" i="11"/>
  <c r="Y7" i="1"/>
  <c r="Y16" i="1"/>
  <c r="Y19" i="1"/>
  <c r="Y22" i="1"/>
  <c r="Y25" i="1"/>
  <c r="Y28" i="1"/>
  <c r="Y37" i="1"/>
  <c r="Y43" i="1"/>
  <c r="Y46" i="1"/>
  <c r="Y52" i="1"/>
  <c r="Y58" i="1"/>
  <c r="Y64" i="1"/>
  <c r="Y73" i="1"/>
  <c r="Y76" i="1"/>
  <c r="Y91" i="1"/>
  <c r="Y94" i="1"/>
  <c r="Y100" i="1"/>
  <c r="AB101" i="1"/>
  <c r="Y27" i="2"/>
  <c r="X29" i="2"/>
  <c r="AO20" i="12"/>
  <c r="AQ30" i="12"/>
  <c r="AQ38" i="12"/>
  <c r="AQ46" i="12"/>
  <c r="AQ64" i="12"/>
  <c r="V21" i="7"/>
  <c r="V64" i="7"/>
  <c r="V67" i="7"/>
  <c r="V71" i="7"/>
  <c r="V105" i="7"/>
  <c r="V139" i="7"/>
  <c r="V143" i="7"/>
  <c r="V147" i="7"/>
  <c r="V150" i="7"/>
  <c r="V256" i="7"/>
  <c r="V260" i="7"/>
  <c r="U49" i="8"/>
  <c r="W88" i="8"/>
  <c r="R77" i="1"/>
  <c r="R47" i="1"/>
  <c r="S47" i="1" s="1"/>
  <c r="R70" i="1"/>
  <c r="V10" i="2"/>
  <c r="R106" i="2"/>
  <c r="AG17" i="12"/>
  <c r="AC36" i="12"/>
  <c r="AC52" i="12"/>
  <c r="P100" i="11"/>
  <c r="P21" i="11"/>
  <c r="AQ19" i="12"/>
  <c r="AS54" i="12"/>
  <c r="U298" i="10"/>
  <c r="S24" i="2"/>
  <c r="S64" i="2"/>
  <c r="R69" i="2"/>
  <c r="R88" i="2"/>
  <c r="R89" i="2" s="1"/>
  <c r="V59" i="2"/>
  <c r="P91" i="7"/>
  <c r="P93" i="7"/>
  <c r="P97" i="7"/>
  <c r="P101" i="7"/>
  <c r="P105" i="7"/>
  <c r="P107" i="7"/>
  <c r="Q132" i="10"/>
  <c r="Q264" i="10"/>
  <c r="P104" i="11"/>
  <c r="P116" i="11"/>
  <c r="P16" i="16"/>
  <c r="P208" i="7"/>
  <c r="P25" i="11"/>
  <c r="P15" i="11"/>
  <c r="Y90" i="1"/>
  <c r="Y46" i="2"/>
  <c r="W50" i="2"/>
  <c r="Y82" i="2"/>
  <c r="Y100" i="2"/>
  <c r="AR56" i="12"/>
  <c r="AS14" i="12"/>
  <c r="AO21" i="12"/>
  <c r="AQ27" i="12"/>
  <c r="AQ35" i="12"/>
  <c r="V89" i="7"/>
  <c r="V93" i="7"/>
  <c r="V97" i="7"/>
  <c r="V118" i="7"/>
  <c r="V122" i="7"/>
  <c r="W55" i="8"/>
  <c r="V6" i="9"/>
  <c r="V10" i="9"/>
  <c r="V14" i="9"/>
  <c r="V24" i="9"/>
  <c r="V181" i="7"/>
  <c r="U247" i="10"/>
  <c r="W229" i="10"/>
  <c r="W233" i="10"/>
  <c r="W227" i="10"/>
  <c r="W231" i="10"/>
  <c r="W235" i="10"/>
  <c r="W239" i="10"/>
  <c r="W243" i="10"/>
  <c r="U344" i="10"/>
  <c r="V30" i="11"/>
  <c r="V34" i="11"/>
  <c r="V32" i="11"/>
  <c r="V31" i="11"/>
  <c r="U40" i="11"/>
  <c r="U46" i="11" s="1"/>
  <c r="V29" i="11"/>
  <c r="V28" i="11"/>
  <c r="Y46" i="11"/>
  <c r="T23" i="16"/>
  <c r="Y17" i="16"/>
  <c r="U7" i="16"/>
  <c r="U15" i="16" s="1"/>
  <c r="Y6" i="16"/>
  <c r="X15" i="16"/>
  <c r="X34" i="14"/>
  <c r="Y34" i="14" s="1"/>
  <c r="U34" i="14"/>
  <c r="U172" i="11"/>
  <c r="U174" i="11"/>
  <c r="U183" i="11" s="1"/>
  <c r="U156" i="11"/>
  <c r="V156" i="11" s="1"/>
  <c r="Y156" i="11"/>
  <c r="Y152" i="11"/>
  <c r="Y160" i="11"/>
  <c r="Y168" i="11"/>
  <c r="U139" i="11"/>
  <c r="Y122" i="11"/>
  <c r="U122" i="11"/>
  <c r="U90" i="11"/>
  <c r="V27" i="11"/>
  <c r="V13" i="11"/>
  <c r="V22" i="11"/>
  <c r="V24" i="11"/>
  <c r="V8" i="11"/>
  <c r="X26" i="11"/>
  <c r="Y26" i="11" s="1"/>
  <c r="V6" i="11"/>
  <c r="V10" i="11"/>
  <c r="U21" i="11"/>
  <c r="V21" i="11" s="1"/>
  <c r="V17" i="11"/>
  <c r="V5" i="11"/>
  <c r="Z292" i="10"/>
  <c r="V154" i="10"/>
  <c r="W273" i="10"/>
  <c r="W280" i="10"/>
  <c r="W284" i="10"/>
  <c r="Z276" i="10"/>
  <c r="U154" i="10"/>
  <c r="W241" i="10"/>
  <c r="Z224" i="10"/>
  <c r="W282" i="10"/>
  <c r="Y152" i="10"/>
  <c r="Z152" i="10" s="1"/>
  <c r="Z131" i="10"/>
  <c r="V131" i="10"/>
  <c r="W131" i="10" s="1"/>
  <c r="V53" i="10"/>
  <c r="Z96" i="10"/>
  <c r="Y27" i="10"/>
  <c r="Z27" i="10" s="1"/>
  <c r="Y11" i="10"/>
  <c r="Z11" i="10" s="1"/>
  <c r="P25" i="9"/>
  <c r="Y48" i="9"/>
  <c r="Y32" i="9"/>
  <c r="W74" i="8"/>
  <c r="V253" i="7"/>
  <c r="V257" i="7"/>
  <c r="V254" i="7"/>
  <c r="V252" i="7"/>
  <c r="Y265" i="7"/>
  <c r="V251" i="7"/>
  <c r="V250" i="7"/>
  <c r="Y249" i="7"/>
  <c r="Y185" i="7"/>
  <c r="Y189" i="7"/>
  <c r="Y193" i="7"/>
  <c r="Y197" i="7"/>
  <c r="Y181" i="7"/>
  <c r="X201" i="7"/>
  <c r="Y201" i="7" s="1"/>
  <c r="Y173" i="7"/>
  <c r="Y155" i="7"/>
  <c r="Y130" i="7"/>
  <c r="Y114" i="7"/>
  <c r="V266" i="7"/>
  <c r="T265" i="7"/>
  <c r="V228" i="7"/>
  <c r="V232" i="7"/>
  <c r="V227" i="7"/>
  <c r="V231" i="7"/>
  <c r="V235" i="7"/>
  <c r="V239" i="7"/>
  <c r="V243" i="7"/>
  <c r="V247" i="7"/>
  <c r="V236" i="7"/>
  <c r="V240" i="7"/>
  <c r="V244" i="7"/>
  <c r="V225" i="7"/>
  <c r="V229" i="7"/>
  <c r="V233" i="7"/>
  <c r="V237" i="7"/>
  <c r="V241" i="7"/>
  <c r="V226" i="7"/>
  <c r="V230" i="7"/>
  <c r="V234" i="7"/>
  <c r="V238" i="7"/>
  <c r="V242" i="7"/>
  <c r="V224" i="7"/>
  <c r="V217" i="7"/>
  <c r="V203" i="7"/>
  <c r="V207" i="7"/>
  <c r="V210" i="7"/>
  <c r="V211" i="7"/>
  <c r="V213" i="7"/>
  <c r="Y204" i="7"/>
  <c r="Y208" i="7"/>
  <c r="V204" i="7"/>
  <c r="V208" i="7"/>
  <c r="V205" i="7"/>
  <c r="T216" i="7"/>
  <c r="Y216" i="7"/>
  <c r="V202" i="7"/>
  <c r="V183" i="7"/>
  <c r="V187" i="7"/>
  <c r="V191" i="7"/>
  <c r="V195" i="7"/>
  <c r="V185" i="7"/>
  <c r="V189" i="7"/>
  <c r="V193" i="7"/>
  <c r="V184" i="7"/>
  <c r="V188" i="7"/>
  <c r="V192" i="7"/>
  <c r="V196" i="7"/>
  <c r="T201" i="7"/>
  <c r="V182" i="7"/>
  <c r="V186" i="7"/>
  <c r="V190" i="7"/>
  <c r="V194" i="7"/>
  <c r="V174" i="7"/>
  <c r="V163" i="7"/>
  <c r="T173" i="7"/>
  <c r="V158" i="7"/>
  <c r="V162" i="7"/>
  <c r="V160" i="7"/>
  <c r="V164" i="7"/>
  <c r="T155" i="7"/>
  <c r="V156" i="7"/>
  <c r="V138" i="7"/>
  <c r="V140" i="7"/>
  <c r="V144" i="7"/>
  <c r="V148" i="7"/>
  <c r="V154" i="7"/>
  <c r="V141" i="7"/>
  <c r="V145" i="7"/>
  <c r="V142" i="7"/>
  <c r="V146" i="7"/>
  <c r="V152" i="7"/>
  <c r="V131" i="7"/>
  <c r="V120" i="7"/>
  <c r="V117" i="7"/>
  <c r="V121" i="7"/>
  <c r="V119" i="7"/>
  <c r="V116" i="7"/>
  <c r="T130" i="7"/>
  <c r="V115" i="7"/>
  <c r="V92" i="7"/>
  <c r="V96" i="7"/>
  <c r="V100" i="7"/>
  <c r="V106" i="7"/>
  <c r="T114" i="7"/>
  <c r="V90" i="7"/>
  <c r="V94" i="7"/>
  <c r="V98" i="7"/>
  <c r="V102" i="7"/>
  <c r="V91" i="7"/>
  <c r="V95" i="7"/>
  <c r="V109" i="7"/>
  <c r="V101" i="7"/>
  <c r="V107" i="7"/>
  <c r="V82" i="7"/>
  <c r="V66" i="7"/>
  <c r="V74" i="7"/>
  <c r="V68" i="7"/>
  <c r="V72" i="7"/>
  <c r="V73" i="7"/>
  <c r="Y81" i="7"/>
  <c r="T81" i="7"/>
  <c r="V63" i="7"/>
  <c r="V45" i="7"/>
  <c r="V49" i="7"/>
  <c r="V42" i="7"/>
  <c r="V44" i="7"/>
  <c r="V48" i="7"/>
  <c r="V52" i="7"/>
  <c r="V56" i="7"/>
  <c r="V57" i="7"/>
  <c r="V46" i="7"/>
  <c r="V50" i="7"/>
  <c r="V54" i="7"/>
  <c r="V55" i="7"/>
  <c r="T62" i="7"/>
  <c r="Y62" i="7"/>
  <c r="U17" i="7"/>
  <c r="AH118" i="22"/>
  <c r="E118" i="22"/>
  <c r="AF88" i="24"/>
  <c r="P118" i="24"/>
  <c r="D118" i="24"/>
  <c r="AG117" i="24"/>
  <c r="AF118" i="22"/>
  <c r="AS64" i="12"/>
  <c r="AS55" i="12"/>
  <c r="AS50" i="12"/>
  <c r="AW53" i="12"/>
  <c r="AW52" i="12"/>
  <c r="AS46" i="12"/>
  <c r="AW45" i="12"/>
  <c r="AW44" i="12"/>
  <c r="AP56" i="12"/>
  <c r="AR58" i="12"/>
  <c r="AP59" i="12"/>
  <c r="AP58" i="12"/>
  <c r="AX60" i="12"/>
  <c r="AX62" i="12" s="1"/>
  <c r="AR20" i="12"/>
  <c r="AR21" i="12"/>
  <c r="AP21" i="12"/>
  <c r="AQ21" i="12" s="1"/>
  <c r="AV60" i="12"/>
  <c r="AV62" i="12" s="1"/>
  <c r="AV61" i="12"/>
  <c r="AP20" i="12"/>
  <c r="AX61" i="12"/>
  <c r="AX63" i="12" s="1"/>
  <c r="AW59" i="12"/>
  <c r="AW58" i="12"/>
  <c r="AW57" i="12"/>
  <c r="AW56" i="12"/>
  <c r="Y102" i="2"/>
  <c r="X104" i="2"/>
  <c r="Y102" i="1"/>
  <c r="X104" i="1"/>
  <c r="Y99" i="2"/>
  <c r="X101" i="2"/>
  <c r="Y99" i="1"/>
  <c r="X101" i="1"/>
  <c r="AA98" i="2"/>
  <c r="AA98" i="1"/>
  <c r="Y90" i="2"/>
  <c r="X92" i="2"/>
  <c r="X92" i="1"/>
  <c r="Y84" i="2"/>
  <c r="AA89" i="1"/>
  <c r="Y81" i="2"/>
  <c r="X83" i="2"/>
  <c r="Y82" i="1"/>
  <c r="X83" i="1"/>
  <c r="AA80" i="2"/>
  <c r="AA80" i="1"/>
  <c r="Y75" i="1"/>
  <c r="X74" i="2"/>
  <c r="Y72" i="1"/>
  <c r="X74" i="1"/>
  <c r="Y66" i="2"/>
  <c r="AA71" i="1"/>
  <c r="Y64" i="2"/>
  <c r="Y63" i="2"/>
  <c r="X65" i="2"/>
  <c r="Y63" i="1"/>
  <c r="X65" i="1"/>
  <c r="Y58" i="2"/>
  <c r="Y57" i="1"/>
  <c r="X59" i="1"/>
  <c r="Y54" i="2"/>
  <c r="X56" i="2"/>
  <c r="Y55" i="1"/>
  <c r="Y54" i="1"/>
  <c r="X56" i="1"/>
  <c r="Y52" i="2"/>
  <c r="Y51" i="1"/>
  <c r="X53" i="1"/>
  <c r="Y48" i="2"/>
  <c r="X50" i="2"/>
  <c r="Y49" i="1"/>
  <c r="Y45" i="2"/>
  <c r="X47" i="2"/>
  <c r="Y45" i="1"/>
  <c r="X47" i="1"/>
  <c r="Y42" i="2"/>
  <c r="X44" i="2"/>
  <c r="Y44" i="2" s="1"/>
  <c r="Y42" i="1"/>
  <c r="X44" i="1"/>
  <c r="X38" i="2"/>
  <c r="Y36" i="1"/>
  <c r="X38" i="1"/>
  <c r="Y33" i="1"/>
  <c r="Y28" i="2"/>
  <c r="Y27" i="1"/>
  <c r="X29" i="1"/>
  <c r="Y24" i="2"/>
  <c r="X26" i="2"/>
  <c r="Y24" i="1"/>
  <c r="X26" i="1"/>
  <c r="Y22" i="2"/>
  <c r="Y21" i="2"/>
  <c r="X23" i="2"/>
  <c r="Y21" i="1"/>
  <c r="X23" i="1"/>
  <c r="Y18" i="2"/>
  <c r="X20" i="2"/>
  <c r="Y18" i="1"/>
  <c r="X20" i="1"/>
  <c r="Y15" i="2"/>
  <c r="X17" i="2"/>
  <c r="Y15" i="1"/>
  <c r="X17" i="1"/>
  <c r="Y12" i="2"/>
  <c r="X14" i="2"/>
  <c r="Y13" i="1"/>
  <c r="Y12" i="1"/>
  <c r="X14" i="1"/>
  <c r="X8" i="2"/>
  <c r="Y6" i="1"/>
  <c r="X8" i="1"/>
  <c r="V17" i="16"/>
  <c r="V16" i="16"/>
  <c r="T15" i="16"/>
  <c r="V8" i="16"/>
  <c r="V6" i="16"/>
  <c r="V35" i="14"/>
  <c r="V21" i="14"/>
  <c r="V25" i="14"/>
  <c r="V23" i="14"/>
  <c r="V27" i="14"/>
  <c r="V20" i="14"/>
  <c r="V28" i="14"/>
  <c r="V22" i="14"/>
  <c r="V26" i="14"/>
  <c r="T19" i="14"/>
  <c r="T34" i="14" s="1"/>
  <c r="Y19" i="14"/>
  <c r="V18" i="14"/>
  <c r="V6" i="14"/>
  <c r="Y7" i="14"/>
  <c r="T9" i="14"/>
  <c r="V9" i="14" s="1"/>
  <c r="V7" i="14"/>
  <c r="V8" i="14"/>
  <c r="V5" i="14"/>
  <c r="V184" i="11"/>
  <c r="V179" i="11"/>
  <c r="V171" i="11"/>
  <c r="Y172" i="11"/>
  <c r="T174" i="11"/>
  <c r="V175" i="11"/>
  <c r="Y176" i="11"/>
  <c r="W183" i="11"/>
  <c r="Y183" i="11" s="1"/>
  <c r="V172" i="11"/>
  <c r="V176" i="11"/>
  <c r="V173" i="11"/>
  <c r="V177" i="11"/>
  <c r="Y170" i="11"/>
  <c r="T170" i="11"/>
  <c r="V169" i="11"/>
  <c r="V148" i="11"/>
  <c r="V152" i="11"/>
  <c r="V160" i="11"/>
  <c r="V150" i="11"/>
  <c r="V154" i="11"/>
  <c r="V158" i="11"/>
  <c r="V162" i="11"/>
  <c r="Y163" i="11"/>
  <c r="V149" i="11"/>
  <c r="V153" i="11"/>
  <c r="V157" i="11"/>
  <c r="V161" i="11"/>
  <c r="Y165" i="11"/>
  <c r="V165" i="11"/>
  <c r="V151" i="11"/>
  <c r="V155" i="11"/>
  <c r="V159" i="11"/>
  <c r="V163" i="11"/>
  <c r="T168" i="11"/>
  <c r="V147" i="11"/>
  <c r="V140" i="11"/>
  <c r="V124" i="11"/>
  <c r="V125" i="11"/>
  <c r="Y129" i="11"/>
  <c r="T133" i="11"/>
  <c r="W139" i="11"/>
  <c r="Y139" i="11" s="1"/>
  <c r="V126" i="11"/>
  <c r="V129" i="11"/>
  <c r="V130" i="11"/>
  <c r="V123" i="11"/>
  <c r="V102" i="11"/>
  <c r="V106" i="11"/>
  <c r="V119" i="11"/>
  <c r="Y112" i="11"/>
  <c r="Y116" i="11"/>
  <c r="V112" i="11"/>
  <c r="V116" i="11"/>
  <c r="V100" i="11"/>
  <c r="V104" i="11"/>
  <c r="V108" i="11"/>
  <c r="V114" i="11"/>
  <c r="V101" i="11"/>
  <c r="V105" i="11"/>
  <c r="V109" i="11"/>
  <c r="T121" i="11"/>
  <c r="V99" i="11"/>
  <c r="V103" i="11"/>
  <c r="V107" i="11"/>
  <c r="V113" i="11"/>
  <c r="V117" i="11"/>
  <c r="V120" i="11"/>
  <c r="T98" i="11"/>
  <c r="V91" i="11"/>
  <c r="V81" i="11"/>
  <c r="T74" i="11"/>
  <c r="V75" i="11"/>
  <c r="Y76" i="11"/>
  <c r="V78" i="11"/>
  <c r="T84" i="11"/>
  <c r="V76" i="11"/>
  <c r="W90" i="11"/>
  <c r="Y90" i="11" s="1"/>
  <c r="V73" i="11"/>
  <c r="V80" i="11"/>
  <c r="V83" i="11"/>
  <c r="Y72" i="11"/>
  <c r="T72" i="11"/>
  <c r="V71" i="11"/>
  <c r="V55" i="11"/>
  <c r="Y56" i="11"/>
  <c r="T58" i="11"/>
  <c r="V59" i="11"/>
  <c r="Y60" i="11"/>
  <c r="T62" i="11"/>
  <c r="V63" i="11"/>
  <c r="Y64" i="11"/>
  <c r="W70" i="11"/>
  <c r="Y70" i="11" s="1"/>
  <c r="V56" i="11"/>
  <c r="V60" i="11"/>
  <c r="V61" i="11"/>
  <c r="V54" i="11"/>
  <c r="V47" i="11"/>
  <c r="V37" i="11"/>
  <c r="V38" i="11"/>
  <c r="T40" i="11"/>
  <c r="V40" i="11" s="1"/>
  <c r="V44" i="11"/>
  <c r="V36" i="11"/>
  <c r="T23" i="11"/>
  <c r="V23" i="11" s="1"/>
  <c r="Y13" i="11"/>
  <c r="T15" i="11"/>
  <c r="V15" i="11" s="1"/>
  <c r="Y17" i="11"/>
  <c r="T19" i="11"/>
  <c r="V19" i="11" s="1"/>
  <c r="Q54" i="10"/>
  <c r="Q74" i="10"/>
  <c r="Q196" i="10"/>
  <c r="Q230" i="10"/>
  <c r="Q240" i="10"/>
  <c r="Q323" i="10"/>
  <c r="Q59" i="10"/>
  <c r="Q141" i="10"/>
  <c r="Q331" i="10"/>
  <c r="W343" i="10"/>
  <c r="Z342" i="10"/>
  <c r="Z286" i="10"/>
  <c r="U288" i="10"/>
  <c r="W288" i="10" s="1"/>
  <c r="W286" i="10"/>
  <c r="Z296" i="10"/>
  <c r="Q37" i="10"/>
  <c r="O58" i="10"/>
  <c r="Q71" i="10"/>
  <c r="Q73" i="10"/>
  <c r="Q75" i="10"/>
  <c r="Q94" i="10"/>
  <c r="Q126" i="10"/>
  <c r="Q136" i="10"/>
  <c r="Q186" i="10"/>
  <c r="Q213" i="10"/>
  <c r="Q226" i="10"/>
  <c r="Q228" i="10"/>
  <c r="Q232" i="10"/>
  <c r="Q234" i="10"/>
  <c r="Q236" i="10"/>
  <c r="Q242" i="10"/>
  <c r="Q256" i="10"/>
  <c r="Q260" i="10"/>
  <c r="Q277" i="10"/>
  <c r="Q281" i="10"/>
  <c r="Q289" i="10"/>
  <c r="Q326" i="10"/>
  <c r="V11" i="10"/>
  <c r="W12" i="10"/>
  <c r="U206" i="10"/>
  <c r="Q99" i="10"/>
  <c r="Z178" i="10"/>
  <c r="T344" i="10"/>
  <c r="Q137" i="10"/>
  <c r="Q222" i="10"/>
  <c r="W75" i="10"/>
  <c r="W132" i="10"/>
  <c r="W136" i="10"/>
  <c r="W139" i="10"/>
  <c r="Z154" i="10"/>
  <c r="W256" i="10"/>
  <c r="W260" i="10"/>
  <c r="W264" i="10"/>
  <c r="W268" i="10"/>
  <c r="W272" i="10"/>
  <c r="W306" i="10"/>
  <c r="W310" i="10"/>
  <c r="W324" i="10"/>
  <c r="W328" i="10"/>
  <c r="W332" i="10"/>
  <c r="Z344" i="10"/>
  <c r="V60" i="10"/>
  <c r="T104" i="10"/>
  <c r="Q150" i="10"/>
  <c r="Q266" i="10"/>
  <c r="Q274" i="10"/>
  <c r="U60" i="10"/>
  <c r="W134" i="10"/>
  <c r="W141" i="10"/>
  <c r="V247" i="10"/>
  <c r="W258" i="10"/>
  <c r="W262" i="10"/>
  <c r="W266" i="10"/>
  <c r="W270" i="10"/>
  <c r="W274" i="10"/>
  <c r="W304" i="10"/>
  <c r="W308" i="10"/>
  <c r="W326" i="10"/>
  <c r="W330" i="10"/>
  <c r="W246" i="10"/>
  <c r="Z245" i="10"/>
  <c r="U182" i="10"/>
  <c r="W182" i="10" s="1"/>
  <c r="W183" i="10"/>
  <c r="Z184" i="10"/>
  <c r="U186" i="10"/>
  <c r="W186" i="10" s="1"/>
  <c r="W187" i="10"/>
  <c r="Z188" i="10"/>
  <c r="U190" i="10"/>
  <c r="W190" i="10" s="1"/>
  <c r="W191" i="10"/>
  <c r="Z192" i="10"/>
  <c r="U194" i="10"/>
  <c r="W194" i="10" s="1"/>
  <c r="W195" i="10"/>
  <c r="Z196" i="10"/>
  <c r="U198" i="10"/>
  <c r="W198" i="10" s="1"/>
  <c r="W199" i="10"/>
  <c r="Z200" i="10"/>
  <c r="U202" i="10"/>
  <c r="W202" i="10" s="1"/>
  <c r="W181" i="10"/>
  <c r="Z182" i="10"/>
  <c r="W185" i="10"/>
  <c r="W189" i="10"/>
  <c r="W193" i="10"/>
  <c r="W197" i="10"/>
  <c r="W201" i="10"/>
  <c r="P11" i="10"/>
  <c r="Q31" i="10"/>
  <c r="Q35" i="10"/>
  <c r="Q67" i="10"/>
  <c r="Q69" i="10"/>
  <c r="Q92" i="10"/>
  <c r="V58" i="10"/>
  <c r="V90" i="10"/>
  <c r="V104" i="10"/>
  <c r="V206" i="10"/>
  <c r="W213" i="10"/>
  <c r="V224" i="10"/>
  <c r="W228" i="10"/>
  <c r="W232" i="10"/>
  <c r="W236" i="10"/>
  <c r="W240" i="10"/>
  <c r="U276" i="10"/>
  <c r="W259" i="10"/>
  <c r="W263" i="10"/>
  <c r="W267" i="10"/>
  <c r="W277" i="10"/>
  <c r="W281" i="10"/>
  <c r="W289" i="10"/>
  <c r="W292" i="10"/>
  <c r="W297" i="10"/>
  <c r="U322" i="10"/>
  <c r="W305" i="10"/>
  <c r="W309" i="10"/>
  <c r="W323" i="10"/>
  <c r="W327" i="10"/>
  <c r="W331" i="10"/>
  <c r="U342" i="10"/>
  <c r="Q28" i="10"/>
  <c r="Q50" i="10"/>
  <c r="Q52" i="10"/>
  <c r="Q111" i="10"/>
  <c r="P58" i="10"/>
  <c r="V47" i="10"/>
  <c r="V129" i="10"/>
  <c r="W203" i="10"/>
  <c r="V245" i="10"/>
  <c r="V296" i="10"/>
  <c r="W335" i="10"/>
  <c r="Q279" i="10"/>
  <c r="Q283" i="10"/>
  <c r="Q285" i="10"/>
  <c r="Q287" i="10"/>
  <c r="Q291" i="10"/>
  <c r="Q328" i="10"/>
  <c r="Q330" i="10"/>
  <c r="Q332" i="10"/>
  <c r="W68" i="10"/>
  <c r="W72" i="10"/>
  <c r="W78" i="10"/>
  <c r="W94" i="10"/>
  <c r="Z129" i="10"/>
  <c r="V178" i="10"/>
  <c r="W180" i="10"/>
  <c r="W184" i="10"/>
  <c r="W188" i="10"/>
  <c r="W192" i="10"/>
  <c r="W196" i="10"/>
  <c r="W200" i="10"/>
  <c r="Z204" i="10"/>
  <c r="Z206" i="10"/>
  <c r="W218" i="10"/>
  <c r="U245" i="10"/>
  <c r="W230" i="10"/>
  <c r="W234" i="10"/>
  <c r="W238" i="10"/>
  <c r="W242" i="10"/>
  <c r="Z247" i="10"/>
  <c r="W257" i="10"/>
  <c r="W261" i="10"/>
  <c r="W265" i="10"/>
  <c r="W269" i="10"/>
  <c r="W279" i="10"/>
  <c r="W283" i="10"/>
  <c r="W287" i="10"/>
  <c r="Z298" i="10"/>
  <c r="W307" i="10"/>
  <c r="W325" i="10"/>
  <c r="W329" i="10"/>
  <c r="Z104" i="10"/>
  <c r="W214" i="10"/>
  <c r="W217" i="10"/>
  <c r="W212" i="10"/>
  <c r="W162" i="10"/>
  <c r="W166" i="10"/>
  <c r="W170" i="10"/>
  <c r="W174" i="10"/>
  <c r="W164" i="10"/>
  <c r="W168" i="10"/>
  <c r="W172" i="10"/>
  <c r="W165" i="10"/>
  <c r="W169" i="10"/>
  <c r="W173" i="10"/>
  <c r="W179" i="10"/>
  <c r="W163" i="10"/>
  <c r="W167" i="10"/>
  <c r="W171" i="10"/>
  <c r="W153" i="10"/>
  <c r="W133" i="10"/>
  <c r="W137" i="10"/>
  <c r="W140" i="10"/>
  <c r="W147" i="10"/>
  <c r="U149" i="10"/>
  <c r="W149" i="10" s="1"/>
  <c r="W135" i="10"/>
  <c r="W145" i="10"/>
  <c r="W59" i="10"/>
  <c r="W50" i="10"/>
  <c r="W52" i="10"/>
  <c r="W51" i="10"/>
  <c r="W54" i="10"/>
  <c r="U58" i="10"/>
  <c r="W130" i="10"/>
  <c r="W115" i="10"/>
  <c r="W126" i="10"/>
  <c r="W113" i="10"/>
  <c r="W117" i="10"/>
  <c r="W121" i="10"/>
  <c r="W112" i="10"/>
  <c r="W120" i="10"/>
  <c r="W124" i="10"/>
  <c r="W114" i="10"/>
  <c r="W118" i="10"/>
  <c r="W125" i="10"/>
  <c r="W111" i="10"/>
  <c r="U129" i="10"/>
  <c r="W48" i="10"/>
  <c r="W33" i="10"/>
  <c r="W42" i="10"/>
  <c r="W31" i="10"/>
  <c r="W35" i="10"/>
  <c r="W32" i="10"/>
  <c r="W36" i="10"/>
  <c r="U47" i="10"/>
  <c r="W30" i="10"/>
  <c r="W34" i="10"/>
  <c r="W40" i="10"/>
  <c r="W43" i="10"/>
  <c r="W105" i="10"/>
  <c r="W93" i="10"/>
  <c r="W96" i="10"/>
  <c r="U104" i="10"/>
  <c r="W28" i="10"/>
  <c r="Z23" i="10"/>
  <c r="W14" i="10"/>
  <c r="Z15" i="10"/>
  <c r="U17" i="10"/>
  <c r="W17" i="10" s="1"/>
  <c r="W18" i="10"/>
  <c r="Z19" i="10"/>
  <c r="U21" i="10"/>
  <c r="W21" i="10" s="1"/>
  <c r="W19" i="10"/>
  <c r="U15" i="10"/>
  <c r="W16" i="10"/>
  <c r="W20" i="10"/>
  <c r="W13" i="10"/>
  <c r="U90" i="10"/>
  <c r="W67" i="10"/>
  <c r="W71" i="10"/>
  <c r="W69" i="10"/>
  <c r="W73" i="10"/>
  <c r="W70" i="10"/>
  <c r="W74" i="10"/>
  <c r="U5" i="10"/>
  <c r="W5" i="10" s="1"/>
  <c r="Z5" i="10"/>
  <c r="P23" i="9"/>
  <c r="V8" i="9"/>
  <c r="V12" i="9"/>
  <c r="V16" i="9"/>
  <c r="T32" i="9"/>
  <c r="V33" i="9"/>
  <c r="V19" i="9"/>
  <c r="V22" i="9"/>
  <c r="V26" i="9"/>
  <c r="V5" i="9"/>
  <c r="V9" i="9"/>
  <c r="V13" i="9"/>
  <c r="V17" i="9"/>
  <c r="V7" i="9"/>
  <c r="V11" i="9"/>
  <c r="V15" i="9"/>
  <c r="V21" i="9"/>
  <c r="V49" i="9"/>
  <c r="T48" i="9"/>
  <c r="V36" i="9"/>
  <c r="V34" i="9"/>
  <c r="Q8" i="8"/>
  <c r="Q86" i="8"/>
  <c r="P96" i="8"/>
  <c r="W76" i="8"/>
  <c r="W53" i="8"/>
  <c r="W57" i="8"/>
  <c r="W72" i="8"/>
  <c r="T47" i="8"/>
  <c r="V49" i="8"/>
  <c r="W33" i="8"/>
  <c r="W37" i="8"/>
  <c r="W31" i="8"/>
  <c r="W35" i="8"/>
  <c r="W8" i="8"/>
  <c r="W12" i="8"/>
  <c r="V28" i="8"/>
  <c r="Z28" i="8"/>
  <c r="W32" i="8"/>
  <c r="W36" i="8"/>
  <c r="V70" i="8"/>
  <c r="W56" i="8"/>
  <c r="W75" i="8"/>
  <c r="W79" i="8"/>
  <c r="W87" i="8"/>
  <c r="Z96" i="8"/>
  <c r="W6" i="8"/>
  <c r="W10" i="8"/>
  <c r="W19" i="8"/>
  <c r="V47" i="8"/>
  <c r="W34" i="8"/>
  <c r="U47" i="8"/>
  <c r="W54" i="8"/>
  <c r="W73" i="8"/>
  <c r="W85" i="8"/>
  <c r="V96" i="8"/>
  <c r="Q29" i="8"/>
  <c r="Q31" i="8"/>
  <c r="O98" i="8"/>
  <c r="U96" i="8"/>
  <c r="W7" i="8"/>
  <c r="W11" i="8"/>
  <c r="W9" i="8"/>
  <c r="W13" i="8"/>
  <c r="W16" i="8"/>
  <c r="W59" i="8"/>
  <c r="W60" i="8"/>
  <c r="U70" i="8"/>
  <c r="W51" i="8"/>
  <c r="V35" i="7"/>
  <c r="V19" i="7"/>
  <c r="V22" i="7"/>
  <c r="V25" i="7"/>
  <c r="T34" i="7"/>
  <c r="V20" i="7"/>
  <c r="V18" i="7"/>
  <c r="V5" i="7"/>
  <c r="T17" i="7"/>
  <c r="U23" i="16"/>
  <c r="U17" i="14"/>
  <c r="U70" i="11"/>
  <c r="V128" i="11"/>
  <c r="U178" i="10"/>
  <c r="U224" i="10"/>
  <c r="W225" i="10"/>
  <c r="W226" i="10"/>
  <c r="W255" i="10"/>
  <c r="V276" i="10"/>
  <c r="V298" i="10"/>
  <c r="W298" i="10" s="1"/>
  <c r="V322" i="10"/>
  <c r="W322" i="10" s="1"/>
  <c r="V344" i="10"/>
  <c r="V27" i="10"/>
  <c r="V204" i="10"/>
  <c r="W278" i="10"/>
  <c r="W29" i="10"/>
  <c r="W49" i="10"/>
  <c r="W66" i="10"/>
  <c r="W91" i="10"/>
  <c r="W92" i="10"/>
  <c r="W123" i="10"/>
  <c r="W177" i="10"/>
  <c r="W205" i="10"/>
  <c r="W216" i="10"/>
  <c r="V342" i="10"/>
  <c r="U32" i="9"/>
  <c r="U48" i="9"/>
  <c r="U28" i="8"/>
  <c r="W29" i="8"/>
  <c r="W30" i="8"/>
  <c r="W50" i="8"/>
  <c r="W15" i="8"/>
  <c r="U34" i="7"/>
  <c r="U81" i="7"/>
  <c r="V81" i="7" s="1"/>
  <c r="U130" i="7"/>
  <c r="U249" i="7"/>
  <c r="U265" i="7"/>
  <c r="T249" i="7"/>
  <c r="U62" i="7"/>
  <c r="U114" i="7"/>
  <c r="U155" i="7"/>
  <c r="U173" i="7"/>
  <c r="V173" i="7" s="1"/>
  <c r="U201" i="7"/>
  <c r="U216" i="7"/>
  <c r="AA118" i="24"/>
  <c r="AA118" i="22"/>
  <c r="AE88" i="22"/>
  <c r="C48" i="20" s="1"/>
  <c r="S118" i="22"/>
  <c r="O118" i="22"/>
  <c r="K118" i="22"/>
  <c r="AI104" i="24"/>
  <c r="AI105" i="24"/>
  <c r="AI111" i="24"/>
  <c r="AI91" i="22"/>
  <c r="AI92" i="22"/>
  <c r="AI93" i="22"/>
  <c r="AI94" i="22"/>
  <c r="AI103" i="22"/>
  <c r="AI110" i="22"/>
  <c r="AI116" i="22"/>
  <c r="AI89" i="22"/>
  <c r="AI90" i="22"/>
  <c r="AI100" i="22"/>
  <c r="AI101" i="22"/>
  <c r="AI102" i="22"/>
  <c r="AI108" i="22"/>
  <c r="AI109" i="22"/>
  <c r="AI115" i="22"/>
  <c r="AI102" i="24"/>
  <c r="AI103" i="24"/>
  <c r="AI110" i="24"/>
  <c r="AI114" i="24"/>
  <c r="AI106" i="24"/>
  <c r="AI107" i="24"/>
  <c r="AI112" i="24"/>
  <c r="AI117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8" i="24"/>
  <c r="AI109" i="24"/>
  <c r="AI113" i="24"/>
  <c r="AI115" i="24"/>
  <c r="AI116" i="24"/>
  <c r="AE88" i="24"/>
  <c r="C88" i="23" s="1"/>
  <c r="AI119" i="22"/>
  <c r="AI95" i="22"/>
  <c r="AI96" i="22"/>
  <c r="AI97" i="22"/>
  <c r="AI98" i="22"/>
  <c r="AI104" i="22"/>
  <c r="AI105" i="22"/>
  <c r="AI106" i="22"/>
  <c r="AI111" i="22"/>
  <c r="AI112" i="22"/>
  <c r="AI113" i="22"/>
  <c r="AI117" i="22"/>
  <c r="AI99" i="22"/>
  <c r="AI107" i="22"/>
  <c r="AI114" i="22"/>
  <c r="C118" i="22"/>
  <c r="AD104" i="22"/>
  <c r="B64" i="20" s="1"/>
  <c r="Y20" i="13"/>
  <c r="Y26" i="13"/>
  <c r="Y44" i="13"/>
  <c r="Y50" i="13"/>
  <c r="Y56" i="13"/>
  <c r="J118" i="22"/>
  <c r="AG119" i="22"/>
  <c r="AD88" i="22"/>
  <c r="B118" i="24"/>
  <c r="AG119" i="24"/>
  <c r="AG89" i="24"/>
  <c r="AG90" i="24"/>
  <c r="AG91" i="24"/>
  <c r="AG92" i="24"/>
  <c r="AG93" i="24"/>
  <c r="AG94" i="24"/>
  <c r="AG95" i="24"/>
  <c r="AG96" i="24"/>
  <c r="AG97" i="24"/>
  <c r="AG98" i="24"/>
  <c r="AG99" i="24"/>
  <c r="AG100" i="24"/>
  <c r="AG101" i="24"/>
  <c r="AG102" i="24"/>
  <c r="AG103" i="24"/>
  <c r="AG104" i="24"/>
  <c r="AG105" i="24"/>
  <c r="AG106" i="24"/>
  <c r="AG107" i="24"/>
  <c r="AG108" i="24"/>
  <c r="AG109" i="24"/>
  <c r="AG110" i="24"/>
  <c r="AG111" i="24"/>
  <c r="AG112" i="24"/>
  <c r="AD88" i="24"/>
  <c r="AD91" i="22"/>
  <c r="AG89" i="22"/>
  <c r="AG90" i="22"/>
  <c r="AG92" i="22"/>
  <c r="AG93" i="22"/>
  <c r="AG94" i="22"/>
  <c r="AG95" i="22"/>
  <c r="AG96" i="22"/>
  <c r="AG97" i="22"/>
  <c r="AG98" i="22"/>
  <c r="AG99" i="22"/>
  <c r="AG100" i="22"/>
  <c r="AG101" i="22"/>
  <c r="AG102" i="22"/>
  <c r="AG103" i="22"/>
  <c r="AG105" i="22"/>
  <c r="AG106" i="22"/>
  <c r="AG107" i="22"/>
  <c r="AG108" i="22"/>
  <c r="AG109" i="22"/>
  <c r="AG110" i="22"/>
  <c r="AG111" i="22"/>
  <c r="AG112" i="22"/>
  <c r="AG113" i="22"/>
  <c r="AG114" i="22"/>
  <c r="AG115" i="22"/>
  <c r="AG116" i="22"/>
  <c r="AG117" i="22"/>
  <c r="Y58" i="13"/>
  <c r="Z58" i="13" s="1"/>
  <c r="U7" i="13"/>
  <c r="U10" i="13"/>
  <c r="U13" i="13"/>
  <c r="U19" i="13"/>
  <c r="U22" i="13"/>
  <c r="U25" i="13"/>
  <c r="U40" i="13"/>
  <c r="U43" i="13"/>
  <c r="U46" i="13"/>
  <c r="U49" i="13"/>
  <c r="U52" i="13"/>
  <c r="U9" i="13"/>
  <c r="U15" i="13"/>
  <c r="U18" i="13"/>
  <c r="U21" i="13"/>
  <c r="U24" i="13"/>
  <c r="U39" i="13"/>
  <c r="U42" i="13"/>
  <c r="U45" i="13"/>
  <c r="U48" i="13"/>
  <c r="U51" i="13"/>
  <c r="U54" i="13"/>
  <c r="AH118" i="24"/>
  <c r="AG113" i="24"/>
  <c r="AG114" i="24"/>
  <c r="AG115" i="24"/>
  <c r="AG116" i="24"/>
  <c r="AI119" i="24"/>
  <c r="AQ65" i="12"/>
  <c r="AQ55" i="12"/>
  <c r="AS51" i="12"/>
  <c r="AQ50" i="12"/>
  <c r="AQ53" i="12"/>
  <c r="AQ51" i="12"/>
  <c r="AY53" i="12"/>
  <c r="AS53" i="12"/>
  <c r="AY52" i="12"/>
  <c r="AQ47" i="12"/>
  <c r="AS43" i="12"/>
  <c r="AQ45" i="12"/>
  <c r="AQ43" i="12"/>
  <c r="AQ42" i="12"/>
  <c r="AY45" i="12"/>
  <c r="AS45" i="12"/>
  <c r="AY44" i="12"/>
  <c r="AN57" i="12"/>
  <c r="AQ57" i="12" s="1"/>
  <c r="AS38" i="12"/>
  <c r="AS39" i="12"/>
  <c r="AQ37" i="12"/>
  <c r="AQ39" i="12"/>
  <c r="AS35" i="12"/>
  <c r="AS34" i="12"/>
  <c r="AQ34" i="12"/>
  <c r="AY37" i="12"/>
  <c r="AS37" i="12"/>
  <c r="AY36" i="12"/>
  <c r="AW37" i="12"/>
  <c r="AW36" i="12"/>
  <c r="AS31" i="12"/>
  <c r="AQ29" i="12"/>
  <c r="AQ31" i="12"/>
  <c r="AO59" i="12"/>
  <c r="AS59" i="12" s="1"/>
  <c r="AS26" i="12"/>
  <c r="AO58" i="12"/>
  <c r="AS27" i="12"/>
  <c r="AN59" i="12"/>
  <c r="AQ59" i="12" s="1"/>
  <c r="AN58" i="12"/>
  <c r="AT61" i="12"/>
  <c r="AT63" i="12" s="1"/>
  <c r="AQ26" i="12"/>
  <c r="AW29" i="12"/>
  <c r="AO57" i="12"/>
  <c r="AS57" i="12" s="1"/>
  <c r="AY29" i="12"/>
  <c r="AU61" i="12"/>
  <c r="AS29" i="12"/>
  <c r="AY28" i="12"/>
  <c r="AO56" i="12"/>
  <c r="AS56" i="12" s="1"/>
  <c r="AU60" i="12"/>
  <c r="AU62" i="12" s="1"/>
  <c r="AW28" i="12"/>
  <c r="AN56" i="12"/>
  <c r="AT60" i="12"/>
  <c r="AT62" i="12" s="1"/>
  <c r="AS23" i="12"/>
  <c r="AQ23" i="12"/>
  <c r="AQ22" i="12"/>
  <c r="AY59" i="12"/>
  <c r="AS19" i="12"/>
  <c r="AQ18" i="12"/>
  <c r="AY21" i="12"/>
  <c r="AY20" i="12"/>
  <c r="AW21" i="12"/>
  <c r="AW20" i="12"/>
  <c r="AS15" i="12"/>
  <c r="AQ15" i="12"/>
  <c r="AY58" i="12"/>
  <c r="W104" i="2"/>
  <c r="Y104" i="2" s="1"/>
  <c r="AB104" i="2"/>
  <c r="W104" i="1"/>
  <c r="AB104" i="1"/>
  <c r="AB101" i="2"/>
  <c r="W101" i="2"/>
  <c r="W106" i="1"/>
  <c r="Y106" i="1" s="1"/>
  <c r="Z98" i="2"/>
  <c r="AB97" i="2"/>
  <c r="W98" i="2"/>
  <c r="Y93" i="2"/>
  <c r="Y94" i="2"/>
  <c r="Y96" i="2"/>
  <c r="AB95" i="2"/>
  <c r="AB96" i="1"/>
  <c r="AB95" i="1"/>
  <c r="Z98" i="1"/>
  <c r="W92" i="2"/>
  <c r="AB92" i="2"/>
  <c r="AB92" i="1"/>
  <c r="W92" i="1"/>
  <c r="AB88" i="2"/>
  <c r="AB86" i="2"/>
  <c r="Z89" i="2"/>
  <c r="AB87" i="2"/>
  <c r="AB88" i="1"/>
  <c r="Y85" i="1"/>
  <c r="AB86" i="1"/>
  <c r="Y84" i="1"/>
  <c r="Y87" i="1"/>
  <c r="Z89" i="1"/>
  <c r="W89" i="1"/>
  <c r="AB83" i="2"/>
  <c r="W83" i="2"/>
  <c r="AB83" i="1"/>
  <c r="Y76" i="2"/>
  <c r="AB79" i="2"/>
  <c r="Y75" i="2"/>
  <c r="Y78" i="2"/>
  <c r="AB77" i="2"/>
  <c r="Z80" i="2"/>
  <c r="W80" i="2"/>
  <c r="AB77" i="1"/>
  <c r="Z80" i="1"/>
  <c r="AB78" i="1"/>
  <c r="W74" i="2"/>
  <c r="AB74" i="2"/>
  <c r="AB74" i="1"/>
  <c r="W74" i="1"/>
  <c r="AB70" i="2"/>
  <c r="AB69" i="2"/>
  <c r="AB68" i="2"/>
  <c r="Z71" i="2"/>
  <c r="Y67" i="1"/>
  <c r="AB70" i="1"/>
  <c r="W71" i="1"/>
  <c r="Y66" i="1"/>
  <c r="Y69" i="1"/>
  <c r="AB68" i="1"/>
  <c r="Z71" i="1"/>
  <c r="AB71" i="1" s="1"/>
  <c r="W105" i="2"/>
  <c r="Y105" i="2" s="1"/>
  <c r="AB65" i="2"/>
  <c r="W65" i="2"/>
  <c r="AB65" i="1"/>
  <c r="AB59" i="2"/>
  <c r="W59" i="2"/>
  <c r="Y59" i="2" s="1"/>
  <c r="AB59" i="1"/>
  <c r="W56" i="2"/>
  <c r="AB56" i="2"/>
  <c r="AB56" i="1"/>
  <c r="W56" i="1"/>
  <c r="AB53" i="2"/>
  <c r="W53" i="2"/>
  <c r="Y53" i="2" s="1"/>
  <c r="AB53" i="1"/>
  <c r="AB50" i="2"/>
  <c r="AB50" i="1"/>
  <c r="W50" i="1"/>
  <c r="Y50" i="1" s="1"/>
  <c r="AB47" i="2"/>
  <c r="W47" i="2"/>
  <c r="AB47" i="1"/>
  <c r="W44" i="2"/>
  <c r="AB44" i="2"/>
  <c r="AB44" i="1"/>
  <c r="W44" i="1"/>
  <c r="W40" i="2"/>
  <c r="W61" i="2" s="1"/>
  <c r="AB40" i="2"/>
  <c r="W39" i="2"/>
  <c r="W60" i="2" s="1"/>
  <c r="W38" i="2"/>
  <c r="Y38" i="2" s="1"/>
  <c r="AB38" i="2"/>
  <c r="AB39" i="2"/>
  <c r="AB40" i="1"/>
  <c r="W40" i="1"/>
  <c r="W61" i="1" s="1"/>
  <c r="W39" i="1"/>
  <c r="AB38" i="1"/>
  <c r="W38" i="1"/>
  <c r="Y34" i="2"/>
  <c r="AB106" i="2"/>
  <c r="Y33" i="2"/>
  <c r="AB35" i="2"/>
  <c r="Z107" i="2"/>
  <c r="AB105" i="2"/>
  <c r="AB106" i="1"/>
  <c r="AB35" i="1"/>
  <c r="Z107" i="1"/>
  <c r="AB105" i="1"/>
  <c r="AB29" i="2"/>
  <c r="W29" i="2"/>
  <c r="Y29" i="2" s="1"/>
  <c r="AB29" i="1"/>
  <c r="W26" i="2"/>
  <c r="Y26" i="2" s="1"/>
  <c r="AB26" i="2"/>
  <c r="AB26" i="1"/>
  <c r="W26" i="1"/>
  <c r="AB23" i="2"/>
  <c r="W23" i="2"/>
  <c r="AB23" i="1"/>
  <c r="W20" i="2"/>
  <c r="AB20" i="2"/>
  <c r="AB20" i="1"/>
  <c r="W20" i="1"/>
  <c r="AB17" i="2"/>
  <c r="W17" i="2"/>
  <c r="AB17" i="1"/>
  <c r="W14" i="2"/>
  <c r="AB14" i="2"/>
  <c r="AB14" i="1"/>
  <c r="W14" i="1"/>
  <c r="Y14" i="1" s="1"/>
  <c r="AB30" i="1"/>
  <c r="W10" i="2"/>
  <c r="W31" i="2" s="1"/>
  <c r="AB10" i="2"/>
  <c r="W8" i="2"/>
  <c r="AB8" i="2"/>
  <c r="AB9" i="2"/>
  <c r="W9" i="2"/>
  <c r="Z32" i="2"/>
  <c r="AB30" i="2"/>
  <c r="AB10" i="1"/>
  <c r="W10" i="1"/>
  <c r="W31" i="1" s="1"/>
  <c r="W9" i="1"/>
  <c r="Z32" i="1"/>
  <c r="AB8" i="1"/>
  <c r="W8" i="1"/>
  <c r="AS58" i="12"/>
  <c r="AS28" i="12"/>
  <c r="AS36" i="12"/>
  <c r="AS44" i="12"/>
  <c r="AS52" i="12"/>
  <c r="AQ20" i="12"/>
  <c r="AQ28" i="12"/>
  <c r="AQ36" i="12"/>
  <c r="AQ44" i="12"/>
  <c r="AQ52" i="12"/>
  <c r="AV63" i="12"/>
  <c r="AQ8" i="12"/>
  <c r="AQ9" i="12"/>
  <c r="AQ10" i="12"/>
  <c r="AQ11" i="12"/>
  <c r="AY12" i="12"/>
  <c r="AY13" i="12"/>
  <c r="AQ16" i="12"/>
  <c r="AQ17" i="12"/>
  <c r="AQ24" i="12"/>
  <c r="AQ25" i="12"/>
  <c r="AQ32" i="12"/>
  <c r="AQ33" i="12"/>
  <c r="AQ40" i="12"/>
  <c r="AQ41" i="12"/>
  <c r="AQ48" i="12"/>
  <c r="AQ49" i="12"/>
  <c r="AY56" i="12"/>
  <c r="AY57" i="12"/>
  <c r="AP12" i="12"/>
  <c r="AP13" i="12"/>
  <c r="AS8" i="12"/>
  <c r="AS9" i="12"/>
  <c r="AS10" i="12"/>
  <c r="AS11" i="12"/>
  <c r="AO12" i="12"/>
  <c r="AO60" i="12" s="1"/>
  <c r="AW12" i="12"/>
  <c r="AO13" i="12"/>
  <c r="AW13" i="12"/>
  <c r="AS16" i="12"/>
  <c r="AS17" i="12"/>
  <c r="AS24" i="12"/>
  <c r="AS25" i="12"/>
  <c r="AS32" i="12"/>
  <c r="AS33" i="12"/>
  <c r="AS40" i="12"/>
  <c r="AS41" i="12"/>
  <c r="AS48" i="12"/>
  <c r="AS49" i="12"/>
  <c r="AN12" i="12"/>
  <c r="AN60" i="12" s="1"/>
  <c r="AR12" i="12"/>
  <c r="AN13" i="12"/>
  <c r="AN61" i="12" s="1"/>
  <c r="AR13" i="12"/>
  <c r="Y79" i="2"/>
  <c r="X80" i="2"/>
  <c r="Y88" i="2"/>
  <c r="X89" i="2"/>
  <c r="Z62" i="2"/>
  <c r="AB60" i="2"/>
  <c r="Y101" i="2"/>
  <c r="Y106" i="2"/>
  <c r="X107" i="2"/>
  <c r="Y70" i="2"/>
  <c r="X71" i="2"/>
  <c r="Y97" i="2"/>
  <c r="X98" i="2"/>
  <c r="Z40" i="13"/>
  <c r="Z46" i="13"/>
  <c r="Z52" i="13"/>
  <c r="X9" i="2"/>
  <c r="X30" i="2" s="1"/>
  <c r="X35" i="2"/>
  <c r="X39" i="2"/>
  <c r="X77" i="2"/>
  <c r="X95" i="2"/>
  <c r="Y6" i="2"/>
  <c r="Y7" i="2"/>
  <c r="AA11" i="2"/>
  <c r="Y13" i="2"/>
  <c r="Y19" i="2"/>
  <c r="Y25" i="2"/>
  <c r="AA31" i="2"/>
  <c r="W35" i="2"/>
  <c r="Y36" i="2"/>
  <c r="Y37" i="2"/>
  <c r="AA41" i="2"/>
  <c r="Y43" i="2"/>
  <c r="Y49" i="2"/>
  <c r="Y55" i="2"/>
  <c r="AA61" i="2"/>
  <c r="Y67" i="2"/>
  <c r="W69" i="2"/>
  <c r="Y69" i="2" s="1"/>
  <c r="AA71" i="2"/>
  <c r="Y73" i="2"/>
  <c r="W77" i="2"/>
  <c r="Y85" i="2"/>
  <c r="W87" i="2"/>
  <c r="W89" i="2" s="1"/>
  <c r="AA89" i="2"/>
  <c r="AB89" i="2" s="1"/>
  <c r="Y91" i="2"/>
  <c r="W95" i="2"/>
  <c r="Y103" i="2"/>
  <c r="AA107" i="2"/>
  <c r="X10" i="2"/>
  <c r="X31" i="2" s="1"/>
  <c r="Z11" i="2"/>
  <c r="X40" i="2"/>
  <c r="X61" i="2" s="1"/>
  <c r="Z41" i="2"/>
  <c r="X68" i="2"/>
  <c r="AB78" i="2"/>
  <c r="X86" i="2"/>
  <c r="AB96" i="2"/>
  <c r="W68" i="2"/>
  <c r="W86" i="2"/>
  <c r="X107" i="1"/>
  <c r="Y70" i="1"/>
  <c r="X71" i="1"/>
  <c r="Y71" i="1" s="1"/>
  <c r="X80" i="1"/>
  <c r="Y20" i="1"/>
  <c r="AB60" i="1"/>
  <c r="AA32" i="1"/>
  <c r="Z62" i="1"/>
  <c r="AA62" i="1"/>
  <c r="Y96" i="1"/>
  <c r="Y88" i="1"/>
  <c r="X89" i="1"/>
  <c r="X98" i="1"/>
  <c r="Z10" i="13"/>
  <c r="Z16" i="13"/>
  <c r="Z22" i="13"/>
  <c r="X9" i="1"/>
  <c r="AB9" i="1"/>
  <c r="AB31" i="1"/>
  <c r="X35" i="1"/>
  <c r="X39" i="1"/>
  <c r="X60" i="1" s="1"/>
  <c r="AB39" i="1"/>
  <c r="AB61" i="1"/>
  <c r="AB69" i="1"/>
  <c r="X77" i="1"/>
  <c r="AB79" i="1"/>
  <c r="AB87" i="1"/>
  <c r="X95" i="1"/>
  <c r="AB97" i="1"/>
  <c r="AA11" i="1"/>
  <c r="W17" i="1"/>
  <c r="Y17" i="1" s="1"/>
  <c r="W23" i="1"/>
  <c r="Y23" i="1" s="1"/>
  <c r="W29" i="1"/>
  <c r="W35" i="1"/>
  <c r="AA41" i="1"/>
  <c r="W47" i="1"/>
  <c r="Y47" i="1" s="1"/>
  <c r="W53" i="1"/>
  <c r="Y53" i="1" s="1"/>
  <c r="W59" i="1"/>
  <c r="Y59" i="1" s="1"/>
  <c r="W65" i="1"/>
  <c r="W77" i="1"/>
  <c r="W79" i="1"/>
  <c r="W83" i="1"/>
  <c r="W95" i="1"/>
  <c r="W97" i="1"/>
  <c r="W98" i="1" s="1"/>
  <c r="W101" i="1"/>
  <c r="Y103" i="1"/>
  <c r="W105" i="1"/>
  <c r="AA107" i="1"/>
  <c r="X10" i="1"/>
  <c r="X31" i="1" s="1"/>
  <c r="Z11" i="1"/>
  <c r="X40" i="1"/>
  <c r="Z41" i="1"/>
  <c r="X68" i="1"/>
  <c r="X86" i="1"/>
  <c r="Y34" i="1"/>
  <c r="W68" i="1"/>
  <c r="W78" i="1"/>
  <c r="Y78" i="1" s="1"/>
  <c r="W86" i="1"/>
  <c r="Y93" i="1"/>
  <c r="Z6" i="13"/>
  <c r="X11" i="13"/>
  <c r="Z12" i="13"/>
  <c r="X17" i="13"/>
  <c r="Z18" i="13"/>
  <c r="X23" i="13"/>
  <c r="Z24" i="13"/>
  <c r="U36" i="13"/>
  <c r="Z39" i="13"/>
  <c r="X44" i="13"/>
  <c r="Z45" i="13"/>
  <c r="X50" i="13"/>
  <c r="Z51" i="13"/>
  <c r="X56" i="13"/>
  <c r="Y14" i="13"/>
  <c r="U16" i="13"/>
  <c r="U37" i="13"/>
  <c r="U55" i="13"/>
  <c r="U6" i="13"/>
  <c r="Z9" i="13"/>
  <c r="X14" i="13"/>
  <c r="Z15" i="13"/>
  <c r="X20" i="13"/>
  <c r="Z21" i="13"/>
  <c r="X26" i="13"/>
  <c r="Z36" i="13"/>
  <c r="X41" i="13"/>
  <c r="Z42" i="13"/>
  <c r="X47" i="13"/>
  <c r="Z48" i="13"/>
  <c r="X53" i="13"/>
  <c r="Z54" i="13"/>
  <c r="V7" i="13"/>
  <c r="Z7" i="13"/>
  <c r="X8" i="13"/>
  <c r="V9" i="13"/>
  <c r="V13" i="13"/>
  <c r="Z13" i="13"/>
  <c r="V15" i="13"/>
  <c r="V19" i="13"/>
  <c r="Z19" i="13"/>
  <c r="V21" i="13"/>
  <c r="V25" i="13"/>
  <c r="Z25" i="13"/>
  <c r="V37" i="13"/>
  <c r="Z37" i="13"/>
  <c r="X38" i="13"/>
  <c r="V39" i="13"/>
  <c r="V43" i="13"/>
  <c r="Z43" i="13"/>
  <c r="V45" i="13"/>
  <c r="V49" i="13"/>
  <c r="Z49" i="13"/>
  <c r="V51" i="13"/>
  <c r="V55" i="13"/>
  <c r="Z55" i="13"/>
  <c r="Y11" i="13"/>
  <c r="Y17" i="13"/>
  <c r="Y23" i="13"/>
  <c r="Y27" i="13"/>
  <c r="Y29" i="13" s="1"/>
  <c r="Y41" i="13"/>
  <c r="Y47" i="13"/>
  <c r="Y53" i="13"/>
  <c r="Y57" i="13"/>
  <c r="V6" i="13"/>
  <c r="V10" i="13"/>
  <c r="V12" i="13"/>
  <c r="V16" i="13"/>
  <c r="V18" i="13"/>
  <c r="V22" i="13"/>
  <c r="V24" i="13"/>
  <c r="V36" i="13"/>
  <c r="V40" i="13"/>
  <c r="V42" i="13"/>
  <c r="V46" i="13"/>
  <c r="V48" i="13"/>
  <c r="V52" i="13"/>
  <c r="V54" i="13"/>
  <c r="Y8" i="13"/>
  <c r="Z8" i="13" s="1"/>
  <c r="Y38" i="13"/>
  <c r="O23" i="16"/>
  <c r="P17" i="16"/>
  <c r="P8" i="16"/>
  <c r="O15" i="16"/>
  <c r="S7" i="16"/>
  <c r="P7" i="16"/>
  <c r="P21" i="14"/>
  <c r="P23" i="14"/>
  <c r="P20" i="14"/>
  <c r="P30" i="14"/>
  <c r="S29" i="14"/>
  <c r="P25" i="14"/>
  <c r="P29" i="14"/>
  <c r="R34" i="14"/>
  <c r="O19" i="14"/>
  <c r="P19" i="14" s="1"/>
  <c r="P18" i="14"/>
  <c r="O7" i="14"/>
  <c r="O17" i="14"/>
  <c r="P8" i="14"/>
  <c r="R17" i="14"/>
  <c r="S174" i="11"/>
  <c r="O183" i="11"/>
  <c r="S172" i="11"/>
  <c r="S176" i="11"/>
  <c r="R183" i="11"/>
  <c r="S183" i="11" s="1"/>
  <c r="P172" i="11"/>
  <c r="P176" i="11"/>
  <c r="P151" i="11"/>
  <c r="P153" i="11"/>
  <c r="P158" i="11"/>
  <c r="P148" i="11"/>
  <c r="P150" i="11"/>
  <c r="P152" i="11"/>
  <c r="P154" i="11"/>
  <c r="P162" i="11"/>
  <c r="P156" i="11"/>
  <c r="P160" i="11"/>
  <c r="S159" i="11"/>
  <c r="S163" i="11"/>
  <c r="O161" i="11"/>
  <c r="O168" i="11" s="1"/>
  <c r="P155" i="11"/>
  <c r="P159" i="11"/>
  <c r="P163" i="11"/>
  <c r="P166" i="11"/>
  <c r="S128" i="11"/>
  <c r="S136" i="11"/>
  <c r="P125" i="11"/>
  <c r="O139" i="11"/>
  <c r="S130" i="11"/>
  <c r="P126" i="11"/>
  <c r="R139" i="11"/>
  <c r="P102" i="11"/>
  <c r="P106" i="11"/>
  <c r="P112" i="11"/>
  <c r="O122" i="11"/>
  <c r="P122" i="11" s="1"/>
  <c r="P98" i="11"/>
  <c r="P76" i="11"/>
  <c r="P81" i="11"/>
  <c r="S90" i="11"/>
  <c r="O72" i="11"/>
  <c r="O90" i="11" s="1"/>
  <c r="S56" i="11"/>
  <c r="S60" i="11"/>
  <c r="S64" i="11"/>
  <c r="O56" i="11"/>
  <c r="O58" i="11"/>
  <c r="P58" i="11" s="1"/>
  <c r="O62" i="11"/>
  <c r="P54" i="11"/>
  <c r="P34" i="11"/>
  <c r="P38" i="11"/>
  <c r="O46" i="11"/>
  <c r="P29" i="11"/>
  <c r="P31" i="11"/>
  <c r="R46" i="11"/>
  <c r="S28" i="11"/>
  <c r="P27" i="11"/>
  <c r="R26" i="11"/>
  <c r="O19" i="11"/>
  <c r="P19" i="11" s="1"/>
  <c r="S21" i="11"/>
  <c r="S25" i="11"/>
  <c r="P6" i="11"/>
  <c r="P8" i="11"/>
  <c r="P10" i="11"/>
  <c r="P12" i="11"/>
  <c r="P14" i="11"/>
  <c r="P16" i="11"/>
  <c r="P18" i="11"/>
  <c r="P22" i="11"/>
  <c r="P24" i="11"/>
  <c r="O26" i="11"/>
  <c r="P9" i="11"/>
  <c r="P13" i="11"/>
  <c r="S296" i="10"/>
  <c r="T296" i="10" s="1"/>
  <c r="T278" i="10"/>
  <c r="Q48" i="10"/>
  <c r="P154" i="10"/>
  <c r="P104" i="10"/>
  <c r="Q179" i="10"/>
  <c r="O276" i="10"/>
  <c r="Q280" i="10"/>
  <c r="Q284" i="10"/>
  <c r="Q288" i="10"/>
  <c r="Q238" i="10"/>
  <c r="Q258" i="10"/>
  <c r="Q262" i="10"/>
  <c r="Q304" i="10"/>
  <c r="P276" i="10"/>
  <c r="Q276" i="10" s="1"/>
  <c r="Q269" i="10"/>
  <c r="P129" i="10"/>
  <c r="P342" i="10"/>
  <c r="Q162" i="10"/>
  <c r="Q164" i="10"/>
  <c r="Q166" i="10"/>
  <c r="Q168" i="10"/>
  <c r="Q172" i="10"/>
  <c r="Q174" i="10"/>
  <c r="Q183" i="10"/>
  <c r="Q187" i="10"/>
  <c r="Q191" i="10"/>
  <c r="Q195" i="10"/>
  <c r="Q203" i="10"/>
  <c r="Q216" i="10"/>
  <c r="Q218" i="10"/>
  <c r="Q225" i="10"/>
  <c r="Q241" i="10"/>
  <c r="P245" i="10"/>
  <c r="Q180" i="10"/>
  <c r="Q188" i="10"/>
  <c r="Q194" i="10"/>
  <c r="Q200" i="10"/>
  <c r="Q134" i="10"/>
  <c r="Q146" i="10"/>
  <c r="Q177" i="10"/>
  <c r="Q182" i="10"/>
  <c r="Q184" i="10"/>
  <c r="Q190" i="10"/>
  <c r="Q192" i="10"/>
  <c r="Q198" i="10"/>
  <c r="Q202" i="10"/>
  <c r="P344" i="10"/>
  <c r="Q344" i="10" s="1"/>
  <c r="Q343" i="10"/>
  <c r="Q40" i="10"/>
  <c r="Q229" i="10"/>
  <c r="Q233" i="10"/>
  <c r="Q255" i="10"/>
  <c r="Q257" i="10"/>
  <c r="Q259" i="10"/>
  <c r="Q261" i="10"/>
  <c r="Q263" i="10"/>
  <c r="Q265" i="10"/>
  <c r="Q267" i="10"/>
  <c r="Q273" i="10"/>
  <c r="Q278" i="10"/>
  <c r="Q282" i="10"/>
  <c r="Q286" i="10"/>
  <c r="Q292" i="10"/>
  <c r="Q297" i="10"/>
  <c r="Q305" i="10"/>
  <c r="Q307" i="10"/>
  <c r="Q311" i="10"/>
  <c r="Q29" i="10"/>
  <c r="Q33" i="10"/>
  <c r="O206" i="10"/>
  <c r="Q268" i="10"/>
  <c r="Q270" i="10"/>
  <c r="Q272" i="10"/>
  <c r="Q214" i="10"/>
  <c r="Q220" i="10"/>
  <c r="Q217" i="10"/>
  <c r="Q163" i="10"/>
  <c r="Q165" i="10"/>
  <c r="Q167" i="10"/>
  <c r="Q169" i="10"/>
  <c r="Q171" i="10"/>
  <c r="Q173" i="10"/>
  <c r="Q175" i="10"/>
  <c r="Q133" i="10"/>
  <c r="Q135" i="10"/>
  <c r="Q139" i="10"/>
  <c r="Q143" i="10"/>
  <c r="Q145" i="10"/>
  <c r="Q49" i="10"/>
  <c r="P47" i="10"/>
  <c r="P21" i="10"/>
  <c r="S27" i="10"/>
  <c r="T27" i="10" s="1"/>
  <c r="P13" i="10"/>
  <c r="P90" i="10"/>
  <c r="Q5" i="10"/>
  <c r="P49" i="9"/>
  <c r="S48" i="9"/>
  <c r="P34" i="9"/>
  <c r="P36" i="9"/>
  <c r="P33" i="9"/>
  <c r="P27" i="9"/>
  <c r="Q72" i="8"/>
  <c r="Q80" i="8"/>
  <c r="Q37" i="8"/>
  <c r="Q9" i="8"/>
  <c r="Q50" i="8"/>
  <c r="P253" i="7"/>
  <c r="P255" i="7"/>
  <c r="P257" i="7"/>
  <c r="P252" i="7"/>
  <c r="P254" i="7"/>
  <c r="P256" i="7"/>
  <c r="P260" i="7"/>
  <c r="O265" i="7"/>
  <c r="S265" i="7"/>
  <c r="P251" i="7"/>
  <c r="P226" i="7"/>
  <c r="P228" i="7"/>
  <c r="P234" i="7"/>
  <c r="P236" i="7"/>
  <c r="P240" i="7"/>
  <c r="P247" i="7"/>
  <c r="P244" i="7"/>
  <c r="P245" i="7"/>
  <c r="R216" i="7"/>
  <c r="S216" i="7" s="1"/>
  <c r="O204" i="7"/>
  <c r="P204" i="7" s="1"/>
  <c r="S208" i="7"/>
  <c r="P158" i="7"/>
  <c r="P160" i="7"/>
  <c r="P162" i="7"/>
  <c r="P164" i="7"/>
  <c r="P159" i="7"/>
  <c r="P161" i="7"/>
  <c r="P163" i="7"/>
  <c r="O173" i="7"/>
  <c r="P173" i="7" s="1"/>
  <c r="O155" i="7"/>
  <c r="P148" i="7"/>
  <c r="P147" i="7"/>
  <c r="P142" i="7"/>
  <c r="P152" i="7"/>
  <c r="P144" i="7"/>
  <c r="P143" i="7"/>
  <c r="P154" i="7"/>
  <c r="P146" i="7"/>
  <c r="P138" i="7"/>
  <c r="P118" i="7"/>
  <c r="P120" i="7"/>
  <c r="S130" i="7"/>
  <c r="P66" i="7"/>
  <c r="P70" i="7"/>
  <c r="P67" i="7"/>
  <c r="P69" i="7"/>
  <c r="P71" i="7"/>
  <c r="P73" i="7"/>
  <c r="P74" i="7"/>
  <c r="O81" i="7"/>
  <c r="P64" i="7"/>
  <c r="P63" i="7"/>
  <c r="P44" i="7"/>
  <c r="P46" i="7"/>
  <c r="P48" i="7"/>
  <c r="P50" i="7"/>
  <c r="P52" i="7"/>
  <c r="P54" i="7"/>
  <c r="P45" i="7"/>
  <c r="P49" i="7"/>
  <c r="P53" i="7"/>
  <c r="P57" i="7"/>
  <c r="S62" i="7"/>
  <c r="P56" i="7"/>
  <c r="P42" i="7"/>
  <c r="P20" i="7"/>
  <c r="P22" i="7"/>
  <c r="P24" i="7"/>
  <c r="P25" i="7"/>
  <c r="P27" i="7"/>
  <c r="P19" i="7"/>
  <c r="P18" i="7"/>
  <c r="O17" i="7"/>
  <c r="P7" i="7"/>
  <c r="P9" i="7"/>
  <c r="P5" i="7"/>
  <c r="AI49" i="24"/>
  <c r="AI55" i="22"/>
  <c r="AI51" i="24"/>
  <c r="AI65" i="22"/>
  <c r="AI73" i="22"/>
  <c r="AI57" i="24"/>
  <c r="AI59" i="24"/>
  <c r="AI63" i="24"/>
  <c r="AI65" i="24"/>
  <c r="AI71" i="24"/>
  <c r="AI73" i="24"/>
  <c r="AI61" i="22"/>
  <c r="AI77" i="22"/>
  <c r="AI49" i="22"/>
  <c r="AI69" i="22"/>
  <c r="AI57" i="22"/>
  <c r="AF55" i="24"/>
  <c r="L78" i="22"/>
  <c r="AG61" i="22"/>
  <c r="H78" i="22"/>
  <c r="AG54" i="24"/>
  <c r="AG62" i="24"/>
  <c r="AG68" i="24"/>
  <c r="AG70" i="24"/>
  <c r="AG74" i="24"/>
  <c r="AG65" i="22"/>
  <c r="AG69" i="22"/>
  <c r="AG77" i="22"/>
  <c r="AG73" i="22"/>
  <c r="AG53" i="22"/>
  <c r="AF48" i="22"/>
  <c r="AE64" i="12"/>
  <c r="AE65" i="12"/>
  <c r="AG54" i="12"/>
  <c r="AG55" i="12"/>
  <c r="AE55" i="12"/>
  <c r="AG50" i="12"/>
  <c r="AG51" i="12"/>
  <c r="AM53" i="12"/>
  <c r="AE51" i="12"/>
  <c r="AK52" i="12"/>
  <c r="AE49" i="12"/>
  <c r="AG46" i="12"/>
  <c r="AG47" i="12"/>
  <c r="AE47" i="12"/>
  <c r="AE43" i="12"/>
  <c r="AM45" i="12"/>
  <c r="AF44" i="12"/>
  <c r="AG44" i="12" s="1"/>
  <c r="AE41" i="12"/>
  <c r="AK44" i="12"/>
  <c r="AG39" i="12"/>
  <c r="AE39" i="12"/>
  <c r="AM37" i="12"/>
  <c r="AG32" i="12"/>
  <c r="AK36" i="12"/>
  <c r="AE26" i="12"/>
  <c r="AK28" i="12"/>
  <c r="AM29" i="12"/>
  <c r="AF29" i="12"/>
  <c r="AG29" i="12" s="1"/>
  <c r="AF28" i="12"/>
  <c r="AE23" i="12"/>
  <c r="AE19" i="12"/>
  <c r="AK20" i="12"/>
  <c r="AK21" i="12"/>
  <c r="AD20" i="12"/>
  <c r="AM21" i="12"/>
  <c r="AE15" i="12"/>
  <c r="AM59" i="12"/>
  <c r="AE11" i="12"/>
  <c r="AK58" i="12"/>
  <c r="AE10" i="12"/>
  <c r="AK56" i="12"/>
  <c r="V104" i="2"/>
  <c r="S104" i="1"/>
  <c r="V101" i="2"/>
  <c r="S99" i="2"/>
  <c r="R101" i="2"/>
  <c r="R96" i="2"/>
  <c r="S99" i="1"/>
  <c r="R96" i="1"/>
  <c r="R98" i="1" s="1"/>
  <c r="S94" i="2"/>
  <c r="V96" i="2"/>
  <c r="S95" i="1"/>
  <c r="S91" i="2"/>
  <c r="V92" i="1"/>
  <c r="S84" i="2"/>
  <c r="R89" i="1"/>
  <c r="S86" i="1"/>
  <c r="V86" i="1"/>
  <c r="S82" i="2"/>
  <c r="R79" i="2"/>
  <c r="R78" i="2"/>
  <c r="V83" i="2"/>
  <c r="S76" i="1"/>
  <c r="S75" i="1"/>
  <c r="R80" i="1"/>
  <c r="V77" i="2"/>
  <c r="S73" i="2"/>
  <c r="V74" i="2"/>
  <c r="V74" i="1"/>
  <c r="S74" i="1"/>
  <c r="S66" i="2"/>
  <c r="S67" i="1"/>
  <c r="V70" i="1"/>
  <c r="U71" i="1"/>
  <c r="S70" i="1"/>
  <c r="R71" i="1"/>
  <c r="V68" i="1"/>
  <c r="V65" i="2"/>
  <c r="T49" i="13"/>
  <c r="S50" i="13"/>
  <c r="S57" i="2"/>
  <c r="R59" i="2"/>
  <c r="V56" i="1"/>
  <c r="S51" i="2"/>
  <c r="R53" i="2"/>
  <c r="R50" i="1"/>
  <c r="V50" i="1"/>
  <c r="S48" i="1"/>
  <c r="S45" i="2"/>
  <c r="R47" i="2"/>
  <c r="R44" i="1"/>
  <c r="V44" i="1"/>
  <c r="U41" i="1"/>
  <c r="V38" i="1"/>
  <c r="S33" i="2"/>
  <c r="S34" i="1"/>
  <c r="R106" i="1"/>
  <c r="R107" i="1" s="1"/>
  <c r="V29" i="2"/>
  <c r="S27" i="1"/>
  <c r="S25" i="2"/>
  <c r="R26" i="1"/>
  <c r="V26" i="1"/>
  <c r="V23" i="2"/>
  <c r="R23" i="1"/>
  <c r="S23" i="1" s="1"/>
  <c r="S21" i="1"/>
  <c r="S19" i="2"/>
  <c r="S18" i="2"/>
  <c r="S19" i="1"/>
  <c r="V20" i="1"/>
  <c r="R20" i="1"/>
  <c r="S20" i="1" s="1"/>
  <c r="S16" i="2"/>
  <c r="S16" i="1"/>
  <c r="R17" i="1"/>
  <c r="S17" i="1" s="1"/>
  <c r="S15" i="1"/>
  <c r="S12" i="2"/>
  <c r="V14" i="1"/>
  <c r="V8" i="2"/>
  <c r="U31" i="1"/>
  <c r="V8" i="1"/>
  <c r="U11" i="1"/>
  <c r="O32" i="9"/>
  <c r="P24" i="16"/>
  <c r="N23" i="16"/>
  <c r="N15" i="16"/>
  <c r="P35" i="14"/>
  <c r="N28" i="14"/>
  <c r="P28" i="14" s="1"/>
  <c r="Q34" i="14"/>
  <c r="S19" i="14"/>
  <c r="N7" i="14"/>
  <c r="Q17" i="14"/>
  <c r="S5" i="14"/>
  <c r="S180" i="11"/>
  <c r="P170" i="11"/>
  <c r="N183" i="11"/>
  <c r="S166" i="11"/>
  <c r="N168" i="11"/>
  <c r="P147" i="11"/>
  <c r="S168" i="11"/>
  <c r="P128" i="11"/>
  <c r="P130" i="11"/>
  <c r="Q139" i="11"/>
  <c r="N124" i="11"/>
  <c r="N139" i="11" s="1"/>
  <c r="P139" i="11" s="1"/>
  <c r="S122" i="11"/>
  <c r="N72" i="11"/>
  <c r="Q70" i="11"/>
  <c r="S70" i="11" s="1"/>
  <c r="N70" i="11"/>
  <c r="S54" i="11"/>
  <c r="Q46" i="11"/>
  <c r="N28" i="11"/>
  <c r="N26" i="11"/>
  <c r="P5" i="11"/>
  <c r="Q26" i="11"/>
  <c r="S5" i="11"/>
  <c r="Q325" i="10"/>
  <c r="Q329" i="10"/>
  <c r="Q335" i="10"/>
  <c r="O342" i="10"/>
  <c r="Q324" i="10"/>
  <c r="T342" i="10"/>
  <c r="O296" i="10"/>
  <c r="O298" i="10"/>
  <c r="T224" i="10"/>
  <c r="Q66" i="10"/>
  <c r="Q68" i="10"/>
  <c r="Q70" i="10"/>
  <c r="Q72" i="10"/>
  <c r="Q78" i="10"/>
  <c r="Q93" i="10"/>
  <c r="Q97" i="10"/>
  <c r="Q101" i="10"/>
  <c r="T298" i="10"/>
  <c r="Q18" i="10"/>
  <c r="Q20" i="10"/>
  <c r="Q30" i="10"/>
  <c r="Q32" i="10"/>
  <c r="Q34" i="10"/>
  <c r="Q36" i="10"/>
  <c r="Q51" i="10"/>
  <c r="Q96" i="10"/>
  <c r="Q98" i="10"/>
  <c r="O224" i="10"/>
  <c r="Q14" i="10"/>
  <c r="Q16" i="10"/>
  <c r="Q23" i="10"/>
  <c r="Q306" i="10"/>
  <c r="Q308" i="10"/>
  <c r="Q15" i="10"/>
  <c r="Q113" i="10"/>
  <c r="Q115" i="10"/>
  <c r="Q117" i="10"/>
  <c r="Q121" i="10"/>
  <c r="Q123" i="10"/>
  <c r="O247" i="10"/>
  <c r="Q105" i="10"/>
  <c r="Q112" i="10"/>
  <c r="Q114" i="10"/>
  <c r="T245" i="10"/>
  <c r="Q205" i="10"/>
  <c r="T204" i="10"/>
  <c r="Q185" i="10"/>
  <c r="Q189" i="10"/>
  <c r="Q193" i="10"/>
  <c r="T276" i="10"/>
  <c r="Q130" i="10"/>
  <c r="P152" i="10"/>
  <c r="T154" i="10"/>
  <c r="Q19" i="10"/>
  <c r="O245" i="10"/>
  <c r="Q245" i="10" s="1"/>
  <c r="O322" i="10"/>
  <c r="Q116" i="10"/>
  <c r="Q118" i="10"/>
  <c r="Q120" i="10"/>
  <c r="Q124" i="10"/>
  <c r="Q197" i="10"/>
  <c r="Q199" i="10"/>
  <c r="Q201" i="10"/>
  <c r="Q227" i="10"/>
  <c r="Q231" i="10"/>
  <c r="Q235" i="10"/>
  <c r="Q239" i="10"/>
  <c r="P298" i="10"/>
  <c r="T247" i="10"/>
  <c r="T206" i="10"/>
  <c r="O178" i="10"/>
  <c r="T178" i="10"/>
  <c r="O129" i="10"/>
  <c r="Q129" i="10" s="1"/>
  <c r="T129" i="10"/>
  <c r="R152" i="10"/>
  <c r="T152" i="10" s="1"/>
  <c r="O131" i="10"/>
  <c r="O152" i="10" s="1"/>
  <c r="O47" i="10"/>
  <c r="O104" i="10"/>
  <c r="O17" i="10"/>
  <c r="Q17" i="10" s="1"/>
  <c r="O21" i="10"/>
  <c r="O11" i="10"/>
  <c r="T11" i="10"/>
  <c r="P5" i="9"/>
  <c r="P8" i="9"/>
  <c r="P10" i="9"/>
  <c r="P12" i="9"/>
  <c r="P14" i="9"/>
  <c r="P16" i="9"/>
  <c r="P24" i="9"/>
  <c r="P6" i="9"/>
  <c r="O96" i="8"/>
  <c r="Q74" i="8"/>
  <c r="Q76" i="8"/>
  <c r="Q88" i="8"/>
  <c r="Q33" i="8"/>
  <c r="Q35" i="8"/>
  <c r="Q6" i="8"/>
  <c r="Q12" i="8"/>
  <c r="Q51" i="8"/>
  <c r="Q55" i="8"/>
  <c r="O28" i="8"/>
  <c r="Q10" i="8"/>
  <c r="T96" i="8"/>
  <c r="O47" i="8"/>
  <c r="O49" i="8"/>
  <c r="Q53" i="8"/>
  <c r="Q57" i="8"/>
  <c r="Q7" i="8"/>
  <c r="Q11" i="8"/>
  <c r="Q15" i="8"/>
  <c r="P28" i="8"/>
  <c r="Q30" i="8"/>
  <c r="Q32" i="8"/>
  <c r="Q34" i="8"/>
  <c r="Q36" i="8"/>
  <c r="Q73" i="8"/>
  <c r="Q75" i="8"/>
  <c r="Q79" i="8"/>
  <c r="Q85" i="8"/>
  <c r="Q87" i="8"/>
  <c r="N249" i="7"/>
  <c r="P249" i="7" s="1"/>
  <c r="P242" i="7"/>
  <c r="S249" i="7"/>
  <c r="S215" i="7"/>
  <c r="N207" i="7"/>
  <c r="N216" i="7" s="1"/>
  <c r="N213" i="7"/>
  <c r="P213" i="7" s="1"/>
  <c r="P205" i="7"/>
  <c r="P207" i="7"/>
  <c r="P211" i="7"/>
  <c r="P215" i="7"/>
  <c r="P203" i="7"/>
  <c r="N201" i="7"/>
  <c r="P201" i="7" s="1"/>
  <c r="S173" i="7"/>
  <c r="P140" i="7"/>
  <c r="N155" i="7"/>
  <c r="S150" i="7"/>
  <c r="Q155" i="7"/>
  <c r="S155" i="7" s="1"/>
  <c r="P131" i="7"/>
  <c r="P121" i="7"/>
  <c r="P115" i="7"/>
  <c r="Q114" i="7"/>
  <c r="S114" i="7" s="1"/>
  <c r="N89" i="7"/>
  <c r="N114" i="7" s="1"/>
  <c r="N81" i="7"/>
  <c r="S81" i="7"/>
  <c r="N62" i="7"/>
  <c r="P62" i="7" s="1"/>
  <c r="N34" i="7"/>
  <c r="P8" i="7"/>
  <c r="AE48" i="24"/>
  <c r="AI76" i="24"/>
  <c r="AI52" i="24"/>
  <c r="AI60" i="24"/>
  <c r="AI68" i="24"/>
  <c r="AI79" i="22"/>
  <c r="S17" i="13"/>
  <c r="S26" i="13"/>
  <c r="S38" i="13"/>
  <c r="AD51" i="22"/>
  <c r="N78" i="22"/>
  <c r="J78" i="22"/>
  <c r="AD48" i="22"/>
  <c r="AD48" i="24"/>
  <c r="F78" i="22"/>
  <c r="AG79" i="24"/>
  <c r="AG49" i="24"/>
  <c r="AG50" i="24"/>
  <c r="AG52" i="24"/>
  <c r="AG71" i="24"/>
  <c r="AG72" i="24"/>
  <c r="AG77" i="24"/>
  <c r="AG63" i="24"/>
  <c r="AG64" i="24"/>
  <c r="AG66" i="24"/>
  <c r="AG69" i="24"/>
  <c r="AG56" i="24"/>
  <c r="AG57" i="24"/>
  <c r="AG58" i="24"/>
  <c r="AG60" i="24"/>
  <c r="AG76" i="24"/>
  <c r="AG62" i="22"/>
  <c r="AG63" i="22"/>
  <c r="AG75" i="22"/>
  <c r="AG54" i="22"/>
  <c r="AG55" i="22"/>
  <c r="AG56" i="22"/>
  <c r="AG57" i="22"/>
  <c r="AG59" i="22"/>
  <c r="AG76" i="22"/>
  <c r="AG49" i="22"/>
  <c r="AG70" i="22"/>
  <c r="AG71" i="22"/>
  <c r="AG67" i="22"/>
  <c r="AG68" i="22"/>
  <c r="AG64" i="12"/>
  <c r="AG65" i="12"/>
  <c r="AE54" i="12"/>
  <c r="AE50" i="12"/>
  <c r="AM52" i="12"/>
  <c r="AK53" i="12"/>
  <c r="AE48" i="12"/>
  <c r="AE52" i="12"/>
  <c r="AE46" i="12"/>
  <c r="AG42" i="12"/>
  <c r="AB45" i="12"/>
  <c r="AE45" i="12" s="1"/>
  <c r="AE42" i="12"/>
  <c r="AM44" i="12"/>
  <c r="AG40" i="12"/>
  <c r="AK45" i="12"/>
  <c r="AE40" i="12"/>
  <c r="AM36" i="12"/>
  <c r="AG38" i="12"/>
  <c r="AK37" i="12"/>
  <c r="AE38" i="12"/>
  <c r="V40" i="2"/>
  <c r="AE35" i="12"/>
  <c r="AE34" i="12"/>
  <c r="AE33" i="12"/>
  <c r="AE32" i="12"/>
  <c r="AB36" i="12"/>
  <c r="AE30" i="12"/>
  <c r="AE31" i="12"/>
  <c r="AK29" i="12"/>
  <c r="AM28" i="12"/>
  <c r="AE25" i="12"/>
  <c r="AG23" i="12"/>
  <c r="AE22" i="12"/>
  <c r="AB21" i="12"/>
  <c r="AE21" i="12" s="1"/>
  <c r="AH61" i="12"/>
  <c r="AK61" i="12" s="1"/>
  <c r="AE18" i="12"/>
  <c r="AM20" i="12"/>
  <c r="AC20" i="12"/>
  <c r="AG20" i="12" s="1"/>
  <c r="AC56" i="12"/>
  <c r="AG14" i="12"/>
  <c r="AE14" i="12"/>
  <c r="AC58" i="12"/>
  <c r="AM58" i="12"/>
  <c r="AK59" i="12"/>
  <c r="AB59" i="12"/>
  <c r="AE59" i="12" s="1"/>
  <c r="AI62" i="12"/>
  <c r="AE9" i="12"/>
  <c r="AE8" i="12"/>
  <c r="AK12" i="12"/>
  <c r="R56" i="13"/>
  <c r="Q104" i="2"/>
  <c r="V104" i="1"/>
  <c r="T98" i="1"/>
  <c r="V101" i="1"/>
  <c r="Q96" i="1"/>
  <c r="Q101" i="1"/>
  <c r="S101" i="1" s="1"/>
  <c r="V95" i="2"/>
  <c r="U98" i="2"/>
  <c r="T98" i="2"/>
  <c r="V95" i="1"/>
  <c r="V96" i="1"/>
  <c r="V88" i="1"/>
  <c r="S92" i="1"/>
  <c r="U89" i="2"/>
  <c r="Q87" i="2"/>
  <c r="T89" i="2"/>
  <c r="S88" i="1"/>
  <c r="U89" i="1"/>
  <c r="T89" i="1"/>
  <c r="U80" i="2"/>
  <c r="R11" i="13"/>
  <c r="S83" i="1"/>
  <c r="U80" i="1"/>
  <c r="V83" i="1"/>
  <c r="T80" i="2"/>
  <c r="T80" i="1"/>
  <c r="Q80" i="1"/>
  <c r="V77" i="1"/>
  <c r="U71" i="2"/>
  <c r="T107" i="2"/>
  <c r="R14" i="13"/>
  <c r="Q69" i="2"/>
  <c r="Q71" i="2" s="1"/>
  <c r="T71" i="2"/>
  <c r="Q68" i="1"/>
  <c r="S68" i="1" s="1"/>
  <c r="V69" i="1"/>
  <c r="S66" i="1"/>
  <c r="Q69" i="1"/>
  <c r="Q71" i="1" s="1"/>
  <c r="Q65" i="1"/>
  <c r="R17" i="13"/>
  <c r="V65" i="1"/>
  <c r="V59" i="1"/>
  <c r="V56" i="2"/>
  <c r="S54" i="2"/>
  <c r="S55" i="1"/>
  <c r="V53" i="1"/>
  <c r="Q53" i="1"/>
  <c r="S53" i="1" s="1"/>
  <c r="S49" i="2"/>
  <c r="V50" i="2"/>
  <c r="S48" i="2"/>
  <c r="V47" i="1"/>
  <c r="S43" i="2"/>
  <c r="S42" i="2"/>
  <c r="V44" i="2"/>
  <c r="Q44" i="1"/>
  <c r="T60" i="1"/>
  <c r="T62" i="1" s="1"/>
  <c r="V40" i="1"/>
  <c r="S37" i="2"/>
  <c r="S36" i="2"/>
  <c r="U62" i="2"/>
  <c r="V38" i="2"/>
  <c r="T62" i="2"/>
  <c r="T7" i="13"/>
  <c r="V106" i="1"/>
  <c r="V105" i="1"/>
  <c r="V35" i="1"/>
  <c r="T6" i="13"/>
  <c r="Q105" i="1"/>
  <c r="S105" i="1" s="1"/>
  <c r="Q29" i="1"/>
  <c r="S29" i="1" s="1"/>
  <c r="V29" i="1"/>
  <c r="Q26" i="1"/>
  <c r="S25" i="1"/>
  <c r="S24" i="1"/>
  <c r="V23" i="1"/>
  <c r="Q14" i="1"/>
  <c r="S14" i="1" s="1"/>
  <c r="S6" i="2"/>
  <c r="U32" i="2"/>
  <c r="T32" i="2"/>
  <c r="T30" i="1"/>
  <c r="V9" i="1"/>
  <c r="S6" i="1"/>
  <c r="R27" i="13"/>
  <c r="S11" i="13"/>
  <c r="S14" i="13"/>
  <c r="T18" i="13"/>
  <c r="T9" i="13"/>
  <c r="R20" i="13"/>
  <c r="S20" i="13"/>
  <c r="R23" i="13"/>
  <c r="R8" i="13"/>
  <c r="R38" i="13"/>
  <c r="S47" i="13"/>
  <c r="P26" i="11"/>
  <c r="P322" i="10"/>
  <c r="P296" i="10"/>
  <c r="Q246" i="10"/>
  <c r="P247" i="10"/>
  <c r="P224" i="10"/>
  <c r="Q212" i="10"/>
  <c r="P206" i="10"/>
  <c r="P204" i="10"/>
  <c r="O204" i="10"/>
  <c r="P178" i="10"/>
  <c r="Q181" i="10"/>
  <c r="Q153" i="10"/>
  <c r="O154" i="10"/>
  <c r="Q154" i="10" s="1"/>
  <c r="Q91" i="10"/>
  <c r="O90" i="10"/>
  <c r="Q12" i="10"/>
  <c r="N48" i="9"/>
  <c r="P98" i="8"/>
  <c r="Q98" i="8" s="1"/>
  <c r="P70" i="8"/>
  <c r="O70" i="8"/>
  <c r="P49" i="8"/>
  <c r="Q49" i="8" s="1"/>
  <c r="P47" i="8"/>
  <c r="P266" i="7"/>
  <c r="N265" i="7"/>
  <c r="P217" i="7"/>
  <c r="P181" i="7"/>
  <c r="P174" i="7"/>
  <c r="P157" i="7"/>
  <c r="O130" i="7"/>
  <c r="P130" i="7" s="1"/>
  <c r="P117" i="7"/>
  <c r="O114" i="7"/>
  <c r="P82" i="7"/>
  <c r="P35" i="7"/>
  <c r="P6" i="7"/>
  <c r="N17" i="7"/>
  <c r="AH78" i="24"/>
  <c r="AI50" i="24"/>
  <c r="AG53" i="24"/>
  <c r="AI55" i="24"/>
  <c r="AI58" i="24"/>
  <c r="AG61" i="24"/>
  <c r="AI66" i="24"/>
  <c r="AI74" i="24"/>
  <c r="AG51" i="24"/>
  <c r="AI53" i="24"/>
  <c r="AI56" i="24"/>
  <c r="AG59" i="24"/>
  <c r="AI61" i="24"/>
  <c r="AI64" i="24"/>
  <c r="AG67" i="24"/>
  <c r="AI69" i="24"/>
  <c r="AI72" i="24"/>
  <c r="AG75" i="24"/>
  <c r="AI77" i="24"/>
  <c r="AG48" i="24"/>
  <c r="AI54" i="24"/>
  <c r="AI62" i="24"/>
  <c r="AG65" i="24"/>
  <c r="AI67" i="24"/>
  <c r="AI70" i="24"/>
  <c r="AG73" i="24"/>
  <c r="AI75" i="24"/>
  <c r="AD78" i="24"/>
  <c r="AI79" i="24"/>
  <c r="AG52" i="22"/>
  <c r="AG60" i="22"/>
  <c r="AI63" i="22"/>
  <c r="AI71" i="22"/>
  <c r="AG79" i="22"/>
  <c r="AH78" i="22"/>
  <c r="AG50" i="22"/>
  <c r="AI53" i="22"/>
  <c r="AG58" i="22"/>
  <c r="AG66" i="22"/>
  <c r="AG74" i="22"/>
  <c r="AI51" i="22"/>
  <c r="AI59" i="22"/>
  <c r="AG64" i="22"/>
  <c r="AI67" i="22"/>
  <c r="AG72" i="22"/>
  <c r="AI75" i="22"/>
  <c r="AI50" i="22"/>
  <c r="AI54" i="22"/>
  <c r="AI58" i="22"/>
  <c r="AI62" i="22"/>
  <c r="AI66" i="22"/>
  <c r="AI70" i="22"/>
  <c r="AI74" i="22"/>
  <c r="AI48" i="22"/>
  <c r="AI52" i="22"/>
  <c r="AI56" i="22"/>
  <c r="AI60" i="22"/>
  <c r="AI64" i="22"/>
  <c r="AI68" i="22"/>
  <c r="AI72" i="22"/>
  <c r="AI76" i="22"/>
  <c r="AE78" i="22"/>
  <c r="AF52" i="12"/>
  <c r="AG52" i="12" s="1"/>
  <c r="AC53" i="12"/>
  <c r="AG53" i="12" s="1"/>
  <c r="AG49" i="12"/>
  <c r="AF56" i="12"/>
  <c r="AC45" i="12"/>
  <c r="AD58" i="12"/>
  <c r="AE53" i="12"/>
  <c r="AD44" i="12"/>
  <c r="AE44" i="12" s="1"/>
  <c r="AB56" i="12"/>
  <c r="AD56" i="12"/>
  <c r="AG36" i="12"/>
  <c r="AG37" i="12"/>
  <c r="AD36" i="12"/>
  <c r="AE37" i="12"/>
  <c r="AC59" i="12"/>
  <c r="AF59" i="12"/>
  <c r="AE27" i="12"/>
  <c r="AB28" i="12"/>
  <c r="AE28" i="12" s="1"/>
  <c r="AB29" i="12"/>
  <c r="AB58" i="12"/>
  <c r="AC57" i="12"/>
  <c r="AG57" i="12" s="1"/>
  <c r="AF21" i="12"/>
  <c r="AC28" i="12"/>
  <c r="AD61" i="12"/>
  <c r="AD63" i="12" s="1"/>
  <c r="AG27" i="12"/>
  <c r="AF58" i="12"/>
  <c r="AD12" i="12"/>
  <c r="AG16" i="12"/>
  <c r="AB20" i="12"/>
  <c r="AE16" i="12"/>
  <c r="AG18" i="12"/>
  <c r="AG8" i="12"/>
  <c r="AC12" i="12"/>
  <c r="AG12" i="12" s="1"/>
  <c r="AK60" i="12"/>
  <c r="AH62" i="12"/>
  <c r="AL62" i="12"/>
  <c r="AL63" i="12"/>
  <c r="AJ63" i="12"/>
  <c r="AM60" i="12"/>
  <c r="AM61" i="12"/>
  <c r="AJ62" i="12"/>
  <c r="AI63" i="12"/>
  <c r="AM13" i="12"/>
  <c r="AM57" i="12"/>
  <c r="AM12" i="12"/>
  <c r="AK13" i="12"/>
  <c r="AM56" i="12"/>
  <c r="AK57" i="12"/>
  <c r="AG13" i="12"/>
  <c r="AE13" i="12"/>
  <c r="AE57" i="12"/>
  <c r="V30" i="2"/>
  <c r="T40" i="13"/>
  <c r="T51" i="13"/>
  <c r="T54" i="13"/>
  <c r="R14" i="2"/>
  <c r="S15" i="2"/>
  <c r="R17" i="2"/>
  <c r="R20" i="2"/>
  <c r="S21" i="2"/>
  <c r="R23" i="2"/>
  <c r="R26" i="2"/>
  <c r="S27" i="2"/>
  <c r="R29" i="2"/>
  <c r="R105" i="2"/>
  <c r="R107" i="2" s="1"/>
  <c r="V70" i="2"/>
  <c r="V88" i="2"/>
  <c r="S100" i="2"/>
  <c r="S102" i="2"/>
  <c r="R104" i="2"/>
  <c r="V105" i="2"/>
  <c r="R8" i="2"/>
  <c r="Q14" i="2"/>
  <c r="Q20" i="2"/>
  <c r="Q26" i="2"/>
  <c r="R38" i="2"/>
  <c r="R44" i="2"/>
  <c r="R50" i="2"/>
  <c r="R56" i="2"/>
  <c r="S67" i="2"/>
  <c r="S72" i="2"/>
  <c r="S85" i="2"/>
  <c r="S90" i="2"/>
  <c r="S57" i="13"/>
  <c r="Q8" i="2"/>
  <c r="Q106" i="2"/>
  <c r="S106" i="2" s="1"/>
  <c r="Q38" i="2"/>
  <c r="Q44" i="2"/>
  <c r="S46" i="2"/>
  <c r="Q50" i="2"/>
  <c r="S52" i="2"/>
  <c r="Q56" i="2"/>
  <c r="S58" i="2"/>
  <c r="S63" i="2"/>
  <c r="R65" i="2"/>
  <c r="R74" i="2"/>
  <c r="S75" i="2"/>
  <c r="S81" i="2"/>
  <c r="R83" i="2"/>
  <c r="S87" i="2"/>
  <c r="R92" i="2"/>
  <c r="Q96" i="2"/>
  <c r="S96" i="2" s="1"/>
  <c r="R97" i="2"/>
  <c r="R98" i="2" s="1"/>
  <c r="V106" i="2"/>
  <c r="U11" i="2"/>
  <c r="U41" i="2"/>
  <c r="Q74" i="2"/>
  <c r="Q89" i="2"/>
  <c r="Q92" i="2"/>
  <c r="T11" i="2"/>
  <c r="T41" i="2"/>
  <c r="S70" i="2"/>
  <c r="R71" i="2"/>
  <c r="V60" i="2"/>
  <c r="T36" i="13"/>
  <c r="S41" i="13"/>
  <c r="T42" i="13"/>
  <c r="T45" i="13"/>
  <c r="V9" i="2"/>
  <c r="V31" i="2"/>
  <c r="R35" i="2"/>
  <c r="V39" i="2"/>
  <c r="V61" i="2"/>
  <c r="V69" i="2"/>
  <c r="R77" i="2"/>
  <c r="V79" i="2"/>
  <c r="V87" i="2"/>
  <c r="S95" i="2"/>
  <c r="V97" i="2"/>
  <c r="Q17" i="2"/>
  <c r="S17" i="2" s="1"/>
  <c r="Q23" i="2"/>
  <c r="Q29" i="2"/>
  <c r="Q35" i="2"/>
  <c r="Q47" i="2"/>
  <c r="S47" i="2" s="1"/>
  <c r="Q53" i="2"/>
  <c r="S53" i="2" s="1"/>
  <c r="Q59" i="2"/>
  <c r="S59" i="2" s="1"/>
  <c r="Q65" i="2"/>
  <c r="Q77" i="2"/>
  <c r="Q79" i="2"/>
  <c r="Q83" i="2"/>
  <c r="Q97" i="2"/>
  <c r="Q101" i="2"/>
  <c r="S101" i="2" s="1"/>
  <c r="S103" i="2"/>
  <c r="Q105" i="2"/>
  <c r="U107" i="2"/>
  <c r="R57" i="13"/>
  <c r="T37" i="13"/>
  <c r="T39" i="13"/>
  <c r="R41" i="13"/>
  <c r="S44" i="13"/>
  <c r="T46" i="13"/>
  <c r="T48" i="13"/>
  <c r="R53" i="13"/>
  <c r="R68" i="2"/>
  <c r="R86" i="2"/>
  <c r="R58" i="13"/>
  <c r="R44" i="13"/>
  <c r="R47" i="13"/>
  <c r="S53" i="13"/>
  <c r="S56" i="13"/>
  <c r="S34" i="2"/>
  <c r="Q68" i="2"/>
  <c r="Q78" i="2"/>
  <c r="Q86" i="2"/>
  <c r="S93" i="2"/>
  <c r="S93" i="1"/>
  <c r="Q97" i="1"/>
  <c r="Q89" i="1"/>
  <c r="S82" i="1"/>
  <c r="S77" i="1"/>
  <c r="S63" i="1"/>
  <c r="Q106" i="1"/>
  <c r="S65" i="1"/>
  <c r="R56" i="1"/>
  <c r="S56" i="1" s="1"/>
  <c r="S35" i="1"/>
  <c r="S50" i="1"/>
  <c r="S49" i="1"/>
  <c r="S46" i="1"/>
  <c r="Q38" i="1"/>
  <c r="S38" i="1" s="1"/>
  <c r="S36" i="1"/>
  <c r="S26" i="1"/>
  <c r="S22" i="1"/>
  <c r="S7" i="1"/>
  <c r="S8" i="1"/>
  <c r="V61" i="1"/>
  <c r="T22" i="13"/>
  <c r="R26" i="13"/>
  <c r="R28" i="13"/>
  <c r="T10" i="13"/>
  <c r="T16" i="13"/>
  <c r="S23" i="13"/>
  <c r="T24" i="13"/>
  <c r="U30" i="1"/>
  <c r="V39" i="1"/>
  <c r="T41" i="1"/>
  <c r="V79" i="1"/>
  <c r="V87" i="1"/>
  <c r="U98" i="1"/>
  <c r="V98" i="1" s="1"/>
  <c r="U107" i="1"/>
  <c r="S27" i="13"/>
  <c r="T12" i="13"/>
  <c r="T15" i="13"/>
  <c r="T19" i="13"/>
  <c r="T21" i="13"/>
  <c r="T11" i="1"/>
  <c r="T31" i="1"/>
  <c r="U60" i="1"/>
  <c r="T71" i="1"/>
  <c r="V71" i="1" s="1"/>
  <c r="T107" i="1"/>
  <c r="S28" i="13"/>
  <c r="V28" i="13" s="1"/>
  <c r="V78" i="1"/>
  <c r="S79" i="1"/>
  <c r="S87" i="1"/>
  <c r="S78" i="1"/>
  <c r="S8" i="13"/>
  <c r="T13" i="13"/>
  <c r="T25" i="13"/>
  <c r="T43" i="13"/>
  <c r="T55" i="13"/>
  <c r="S58" i="13"/>
  <c r="R50" i="13"/>
  <c r="T52" i="13"/>
  <c r="N268" i="10"/>
  <c r="AK44" i="2" l="1"/>
  <c r="AK44" i="1"/>
  <c r="AK26" i="1"/>
  <c r="AS21" i="12"/>
  <c r="AH89" i="1"/>
  <c r="AM26" i="13"/>
  <c r="AH114" i="7"/>
  <c r="AK104" i="1"/>
  <c r="V41" i="1"/>
  <c r="AC61" i="12"/>
  <c r="Q47" i="8"/>
  <c r="Y65" i="1"/>
  <c r="AO61" i="12"/>
  <c r="Y47" i="2"/>
  <c r="Y56" i="1"/>
  <c r="AB89" i="1"/>
  <c r="Y104" i="1"/>
  <c r="AI88" i="22"/>
  <c r="V265" i="7"/>
  <c r="V152" i="10"/>
  <c r="V174" i="11"/>
  <c r="AS20" i="12"/>
  <c r="AC41" i="2"/>
  <c r="AB265" i="7"/>
  <c r="AC322" i="10"/>
  <c r="AD107" i="2"/>
  <c r="AG41" i="13"/>
  <c r="S20" i="2"/>
  <c r="AG56" i="12"/>
  <c r="Q296" i="10"/>
  <c r="Y92" i="2"/>
  <c r="V114" i="7"/>
  <c r="W224" i="10"/>
  <c r="U168" i="11"/>
  <c r="W49" i="8"/>
  <c r="Y50" i="2"/>
  <c r="AE39" i="2"/>
  <c r="AC11" i="1"/>
  <c r="AE23" i="2"/>
  <c r="AE92" i="2"/>
  <c r="AH98" i="2"/>
  <c r="AB62" i="7"/>
  <c r="AB114" i="7"/>
  <c r="AC152" i="10"/>
  <c r="E63" i="23"/>
  <c r="G52" i="23"/>
  <c r="AG14" i="13"/>
  <c r="G75" i="20"/>
  <c r="E71" i="20"/>
  <c r="AC40" i="13"/>
  <c r="AI36" i="13"/>
  <c r="G59" i="23"/>
  <c r="E66" i="23"/>
  <c r="AO44" i="13"/>
  <c r="U27" i="13"/>
  <c r="AI9" i="13"/>
  <c r="AC49" i="13"/>
  <c r="AI18" i="13"/>
  <c r="AG11" i="13"/>
  <c r="AA27" i="13"/>
  <c r="G57" i="20"/>
  <c r="X29" i="13"/>
  <c r="AG198" i="24"/>
  <c r="AO31" i="1"/>
  <c r="AO32" i="1" s="1"/>
  <c r="AO11" i="1"/>
  <c r="AB34" i="14"/>
  <c r="AK105" i="2"/>
  <c r="AG53" i="13"/>
  <c r="AK56" i="2"/>
  <c r="AK14" i="1"/>
  <c r="AK50" i="2"/>
  <c r="AQ10" i="2"/>
  <c r="AP31" i="2"/>
  <c r="AP11" i="2"/>
  <c r="AO61" i="1"/>
  <c r="AO62" i="1" s="1"/>
  <c r="AO41" i="1"/>
  <c r="AQ41" i="1" s="1"/>
  <c r="AQ39" i="1"/>
  <c r="AP60" i="1"/>
  <c r="AQ60" i="1" s="1"/>
  <c r="AQ10" i="1"/>
  <c r="AP11" i="1"/>
  <c r="AQ11" i="1" s="1"/>
  <c r="AP31" i="1"/>
  <c r="AK68" i="1"/>
  <c r="AO12" i="13"/>
  <c r="AG26" i="13"/>
  <c r="AK38" i="1"/>
  <c r="AN30" i="2"/>
  <c r="AK8" i="1"/>
  <c r="AP30" i="2"/>
  <c r="AQ30" i="2" s="1"/>
  <c r="AQ9" i="2"/>
  <c r="AO61" i="2"/>
  <c r="AO62" i="2" s="1"/>
  <c r="AO41" i="2"/>
  <c r="AG44" i="13"/>
  <c r="AK38" i="2"/>
  <c r="AL32" i="2"/>
  <c r="AN32" i="2" s="1"/>
  <c r="AQ39" i="2"/>
  <c r="AP60" i="2"/>
  <c r="AQ60" i="2" s="1"/>
  <c r="AP62" i="1"/>
  <c r="AQ62" i="1" s="1"/>
  <c r="AQ61" i="1"/>
  <c r="AQ40" i="2"/>
  <c r="AP61" i="2"/>
  <c r="AP41" i="2"/>
  <c r="AQ41" i="2" s="1"/>
  <c r="AO31" i="2"/>
  <c r="AO32" i="2" s="1"/>
  <c r="AO11" i="2"/>
  <c r="AQ9" i="1"/>
  <c r="AP30" i="1"/>
  <c r="AQ30" i="1" s="1"/>
  <c r="AK86" i="2"/>
  <c r="AK56" i="1"/>
  <c r="AK74" i="2"/>
  <c r="U57" i="13"/>
  <c r="AC39" i="13"/>
  <c r="AC19" i="13"/>
  <c r="E73" i="23"/>
  <c r="AO27" i="13"/>
  <c r="AL47" i="13"/>
  <c r="G58" i="20"/>
  <c r="G76" i="23"/>
  <c r="G75" i="23"/>
  <c r="T46" i="11"/>
  <c r="AC224" i="10"/>
  <c r="Q131" i="10"/>
  <c r="AL14" i="13"/>
  <c r="E65" i="20"/>
  <c r="E50" i="23"/>
  <c r="G67" i="23"/>
  <c r="E60" i="23"/>
  <c r="G51" i="23"/>
  <c r="AG47" i="13"/>
  <c r="AL50" i="13"/>
  <c r="E53" i="20"/>
  <c r="G71" i="20"/>
  <c r="E72" i="23"/>
  <c r="G60" i="23"/>
  <c r="E76" i="23"/>
  <c r="E59" i="23"/>
  <c r="AO38" i="13"/>
  <c r="AA57" i="13"/>
  <c r="AG50" i="13"/>
  <c r="E101" i="20"/>
  <c r="E144" i="20"/>
  <c r="G131" i="20"/>
  <c r="E61" i="23"/>
  <c r="G74" i="23"/>
  <c r="E67" i="23"/>
  <c r="E52" i="23"/>
  <c r="G54" i="23"/>
  <c r="AM23" i="13"/>
  <c r="AI98" i="8"/>
  <c r="AI96" i="8"/>
  <c r="AC49" i="8"/>
  <c r="AG56" i="13"/>
  <c r="U28" i="13"/>
  <c r="U29" i="13" s="1"/>
  <c r="W12" i="13"/>
  <c r="Z28" i="13"/>
  <c r="U14" i="13"/>
  <c r="AI24" i="13"/>
  <c r="AI12" i="13"/>
  <c r="AL53" i="13"/>
  <c r="AI45" i="13"/>
  <c r="AJ59" i="13"/>
  <c r="E137" i="20"/>
  <c r="G147" i="20"/>
  <c r="G67" i="20"/>
  <c r="E57" i="23"/>
  <c r="AO51" i="13"/>
  <c r="AM17" i="13"/>
  <c r="AO17" i="13" s="1"/>
  <c r="AO26" i="13"/>
  <c r="G60" i="20"/>
  <c r="AO6" i="13"/>
  <c r="Z29" i="13"/>
  <c r="AG28" i="13"/>
  <c r="AA20" i="13"/>
  <c r="AJ29" i="13"/>
  <c r="G74" i="20"/>
  <c r="G54" i="20"/>
  <c r="AG20" i="13"/>
  <c r="AL58" i="13"/>
  <c r="AN58" i="13"/>
  <c r="AN47" i="13"/>
  <c r="AO47" i="13" s="1"/>
  <c r="AO46" i="13"/>
  <c r="AO57" i="13"/>
  <c r="AG17" i="13"/>
  <c r="AG8" i="13"/>
  <c r="AO50" i="13"/>
  <c r="AO25" i="13"/>
  <c r="AL28" i="13"/>
  <c r="AN28" i="13"/>
  <c r="AM59" i="13"/>
  <c r="G73" i="23"/>
  <c r="AC25" i="13"/>
  <c r="AI6" i="13"/>
  <c r="AL41" i="13"/>
  <c r="G64" i="20"/>
  <c r="G139" i="20"/>
  <c r="E135" i="20"/>
  <c r="E53" i="23"/>
  <c r="G77" i="23"/>
  <c r="G68" i="23"/>
  <c r="G63" i="23"/>
  <c r="G61" i="23"/>
  <c r="AO56" i="13"/>
  <c r="AO41" i="13"/>
  <c r="AO20" i="13"/>
  <c r="AO11" i="13"/>
  <c r="AN53" i="13"/>
  <c r="AO53" i="13" s="1"/>
  <c r="AO52" i="13"/>
  <c r="E66" i="20"/>
  <c r="AN14" i="13"/>
  <c r="AO14" i="13" s="1"/>
  <c r="AL17" i="13"/>
  <c r="AI51" i="13"/>
  <c r="AI21" i="13"/>
  <c r="AM29" i="13"/>
  <c r="AG23" i="13"/>
  <c r="E75" i="23"/>
  <c r="E62" i="23"/>
  <c r="AO23" i="13"/>
  <c r="AN8" i="13"/>
  <c r="AO8" i="13" s="1"/>
  <c r="AO40" i="13"/>
  <c r="D198" i="23"/>
  <c r="E198" i="23" s="1"/>
  <c r="E168" i="23"/>
  <c r="AE118" i="24"/>
  <c r="AI118" i="24" s="1"/>
  <c r="E68" i="23"/>
  <c r="E58" i="23"/>
  <c r="E56" i="23"/>
  <c r="G69" i="23"/>
  <c r="E152" i="23"/>
  <c r="E148" i="23"/>
  <c r="E144" i="23"/>
  <c r="E100" i="23"/>
  <c r="E136" i="23"/>
  <c r="E134" i="23"/>
  <c r="G64" i="23"/>
  <c r="G98" i="23"/>
  <c r="E97" i="23"/>
  <c r="G49" i="23"/>
  <c r="C198" i="23"/>
  <c r="G198" i="23" s="1"/>
  <c r="G199" i="23"/>
  <c r="G117" i="20"/>
  <c r="E115" i="20"/>
  <c r="G104" i="20"/>
  <c r="G102" i="20"/>
  <c r="E100" i="20"/>
  <c r="E98" i="20"/>
  <c r="G72" i="20"/>
  <c r="E73" i="20"/>
  <c r="E97" i="20"/>
  <c r="G70" i="20"/>
  <c r="E117" i="20"/>
  <c r="G116" i="20"/>
  <c r="E55" i="20"/>
  <c r="AI198" i="22"/>
  <c r="G101" i="20"/>
  <c r="E59" i="20"/>
  <c r="G55" i="20"/>
  <c r="G61" i="20"/>
  <c r="E49" i="20"/>
  <c r="G107" i="20"/>
  <c r="E74" i="20"/>
  <c r="B104" i="20"/>
  <c r="G99" i="20"/>
  <c r="E95" i="20"/>
  <c r="E61" i="20"/>
  <c r="E153" i="20"/>
  <c r="G152" i="20"/>
  <c r="G150" i="20"/>
  <c r="E148" i="20"/>
  <c r="E146" i="20"/>
  <c r="G135" i="20"/>
  <c r="E131" i="20"/>
  <c r="G145" i="20"/>
  <c r="G132" i="20"/>
  <c r="G77" i="20"/>
  <c r="E199" i="20"/>
  <c r="D198" i="20"/>
  <c r="E198" i="20" s="1"/>
  <c r="E168" i="20"/>
  <c r="AG198" i="22"/>
  <c r="E64" i="20"/>
  <c r="G119" i="20"/>
  <c r="E116" i="20"/>
  <c r="E114" i="20"/>
  <c r="G103" i="20"/>
  <c r="E99" i="20"/>
  <c r="G76" i="20"/>
  <c r="E113" i="20"/>
  <c r="F198" i="20"/>
  <c r="G199" i="20"/>
  <c r="E69" i="20"/>
  <c r="G49" i="20"/>
  <c r="E75" i="20"/>
  <c r="C198" i="20"/>
  <c r="AC129" i="10"/>
  <c r="AC60" i="10"/>
  <c r="W60" i="10"/>
  <c r="AL26" i="13"/>
  <c r="E119" i="23"/>
  <c r="E156" i="23"/>
  <c r="E154" i="23"/>
  <c r="E110" i="23"/>
  <c r="E146" i="23"/>
  <c r="E102" i="23"/>
  <c r="E138" i="23"/>
  <c r="E132" i="23"/>
  <c r="E130" i="23"/>
  <c r="AI54" i="13"/>
  <c r="AI42" i="13"/>
  <c r="G65" i="20"/>
  <c r="E60" i="20"/>
  <c r="G159" i="20"/>
  <c r="E156" i="20"/>
  <c r="E154" i="20"/>
  <c r="G143" i="20"/>
  <c r="E139" i="20"/>
  <c r="E68" i="20"/>
  <c r="G63" i="20"/>
  <c r="G114" i="20"/>
  <c r="E112" i="20"/>
  <c r="E110" i="20"/>
  <c r="G97" i="20"/>
  <c r="G62" i="20"/>
  <c r="G79" i="20"/>
  <c r="E56" i="20"/>
  <c r="G51" i="20"/>
  <c r="G117" i="23"/>
  <c r="G109" i="23"/>
  <c r="G101" i="23"/>
  <c r="G97" i="23"/>
  <c r="G93" i="23"/>
  <c r="G89" i="23"/>
  <c r="E77" i="23"/>
  <c r="E112" i="23"/>
  <c r="E108" i="23"/>
  <c r="E104" i="23"/>
  <c r="E140" i="23"/>
  <c r="E96" i="23"/>
  <c r="E94" i="23"/>
  <c r="G156" i="23"/>
  <c r="G152" i="23"/>
  <c r="G148" i="23"/>
  <c r="G144" i="23"/>
  <c r="G140" i="23"/>
  <c r="G136" i="23"/>
  <c r="G132" i="23"/>
  <c r="G146" i="20"/>
  <c r="E142" i="20"/>
  <c r="C118" i="23"/>
  <c r="G96" i="23"/>
  <c r="G133" i="20"/>
  <c r="AA26" i="13"/>
  <c r="AL38" i="13"/>
  <c r="AI48" i="13"/>
  <c r="AK29" i="13"/>
  <c r="AI39" i="13"/>
  <c r="AL56" i="13"/>
  <c r="G73" i="20"/>
  <c r="E141" i="20"/>
  <c r="G157" i="20"/>
  <c r="E155" i="20"/>
  <c r="G144" i="20"/>
  <c r="G142" i="20"/>
  <c r="E140" i="20"/>
  <c r="E138" i="20"/>
  <c r="G79" i="23"/>
  <c r="G155" i="23"/>
  <c r="G147" i="23"/>
  <c r="G139" i="23"/>
  <c r="G131" i="23"/>
  <c r="G115" i="23"/>
  <c r="G107" i="23"/>
  <c r="G99" i="23"/>
  <c r="G91" i="23"/>
  <c r="F118" i="23"/>
  <c r="G88" i="23"/>
  <c r="AD158" i="24"/>
  <c r="B128" i="23"/>
  <c r="B158" i="23" s="1"/>
  <c r="B88" i="23"/>
  <c r="B118" i="23" s="1"/>
  <c r="F158" i="23"/>
  <c r="G128" i="23"/>
  <c r="AF118" i="24"/>
  <c r="D48" i="23"/>
  <c r="AF158" i="24"/>
  <c r="D88" i="23"/>
  <c r="D128" i="23"/>
  <c r="G116" i="23"/>
  <c r="G108" i="23"/>
  <c r="G100" i="23"/>
  <c r="E74" i="23"/>
  <c r="G157" i="23"/>
  <c r="G141" i="23"/>
  <c r="G137" i="23"/>
  <c r="G129" i="23"/>
  <c r="F78" i="23"/>
  <c r="E116" i="23"/>
  <c r="E114" i="23"/>
  <c r="E106" i="23"/>
  <c r="E92" i="23"/>
  <c r="E90" i="23"/>
  <c r="E70" i="23"/>
  <c r="G62" i="23"/>
  <c r="G153" i="23"/>
  <c r="G145" i="23"/>
  <c r="G111" i="23"/>
  <c r="G103" i="23"/>
  <c r="G95" i="23"/>
  <c r="E69" i="23"/>
  <c r="E71" i="23"/>
  <c r="G55" i="23"/>
  <c r="G50" i="23"/>
  <c r="E49" i="23"/>
  <c r="E79" i="23"/>
  <c r="G56" i="23"/>
  <c r="E117" i="23"/>
  <c r="E115" i="23"/>
  <c r="E153" i="23"/>
  <c r="E151" i="23"/>
  <c r="E149" i="23"/>
  <c r="E107" i="23"/>
  <c r="E145" i="23"/>
  <c r="E103" i="23"/>
  <c r="E141" i="23"/>
  <c r="E137" i="23"/>
  <c r="E93" i="23"/>
  <c r="E91" i="23"/>
  <c r="E129" i="23"/>
  <c r="G119" i="23"/>
  <c r="G114" i="23"/>
  <c r="G150" i="23"/>
  <c r="G106" i="23"/>
  <c r="G142" i="23"/>
  <c r="G134" i="23"/>
  <c r="G90" i="23"/>
  <c r="AG55" i="24"/>
  <c r="D55" i="23"/>
  <c r="E55" i="23" s="1"/>
  <c r="G112" i="23"/>
  <c r="G104" i="23"/>
  <c r="G92" i="23"/>
  <c r="G149" i="23"/>
  <c r="G133" i="23"/>
  <c r="E159" i="23"/>
  <c r="E150" i="23"/>
  <c r="E142" i="23"/>
  <c r="E98" i="23"/>
  <c r="B48" i="23"/>
  <c r="B78" i="23" s="1"/>
  <c r="C48" i="23"/>
  <c r="G48" i="23" s="1"/>
  <c r="G57" i="23"/>
  <c r="C158" i="23"/>
  <c r="G113" i="23"/>
  <c r="G105" i="23"/>
  <c r="G66" i="23"/>
  <c r="E157" i="23"/>
  <c r="E155" i="23"/>
  <c r="E113" i="23"/>
  <c r="E111" i="23"/>
  <c r="E109" i="23"/>
  <c r="E147" i="23"/>
  <c r="E105" i="23"/>
  <c r="E143" i="23"/>
  <c r="E101" i="23"/>
  <c r="E139" i="23"/>
  <c r="E135" i="23"/>
  <c r="E133" i="23"/>
  <c r="E131" i="23"/>
  <c r="E89" i="23"/>
  <c r="G159" i="23"/>
  <c r="G154" i="23"/>
  <c r="G110" i="23"/>
  <c r="G146" i="23"/>
  <c r="G102" i="23"/>
  <c r="G138" i="23"/>
  <c r="G94" i="23"/>
  <c r="G130" i="23"/>
  <c r="AD158" i="22"/>
  <c r="B128" i="20"/>
  <c r="B158" i="20" s="1"/>
  <c r="B88" i="20"/>
  <c r="E88" i="20" s="1"/>
  <c r="AG91" i="22"/>
  <c r="B51" i="20"/>
  <c r="E51" i="20" s="1"/>
  <c r="F78" i="20"/>
  <c r="G48" i="20"/>
  <c r="E52" i="20"/>
  <c r="B48" i="20"/>
  <c r="E76" i="20"/>
  <c r="E104" i="20"/>
  <c r="G91" i="20"/>
  <c r="G53" i="20"/>
  <c r="E133" i="20"/>
  <c r="G155" i="20"/>
  <c r="G153" i="20"/>
  <c r="E151" i="20"/>
  <c r="G140" i="20"/>
  <c r="G138" i="20"/>
  <c r="E136" i="20"/>
  <c r="E134" i="20"/>
  <c r="E145" i="20"/>
  <c r="E67" i="20"/>
  <c r="E62" i="20"/>
  <c r="E57" i="20"/>
  <c r="G52" i="20"/>
  <c r="G112" i="20"/>
  <c r="G110" i="20"/>
  <c r="E108" i="20"/>
  <c r="E106" i="20"/>
  <c r="G95" i="20"/>
  <c r="G93" i="20"/>
  <c r="G105" i="20"/>
  <c r="G92" i="20"/>
  <c r="F158" i="20"/>
  <c r="AE118" i="22"/>
  <c r="AI118" i="22" s="1"/>
  <c r="C78" i="20"/>
  <c r="G141" i="20"/>
  <c r="G129" i="20"/>
  <c r="G69" i="20"/>
  <c r="E93" i="20"/>
  <c r="G115" i="20"/>
  <c r="G113" i="20"/>
  <c r="G100" i="20"/>
  <c r="G98" i="20"/>
  <c r="E96" i="20"/>
  <c r="E94" i="20"/>
  <c r="E105" i="20"/>
  <c r="G68" i="20"/>
  <c r="E58" i="20"/>
  <c r="G50" i="20"/>
  <c r="E149" i="20"/>
  <c r="G151" i="20"/>
  <c r="G149" i="20"/>
  <c r="E147" i="20"/>
  <c r="G136" i="20"/>
  <c r="G134" i="20"/>
  <c r="E132" i="20"/>
  <c r="E130" i="20"/>
  <c r="E159" i="20"/>
  <c r="G148" i="20"/>
  <c r="E143" i="20"/>
  <c r="G130" i="20"/>
  <c r="D129" i="20"/>
  <c r="E129" i="20" s="1"/>
  <c r="D89" i="20"/>
  <c r="E89" i="20" s="1"/>
  <c r="AI128" i="22"/>
  <c r="C128" i="20"/>
  <c r="C158" i="20" s="1"/>
  <c r="C88" i="20"/>
  <c r="G88" i="20" s="1"/>
  <c r="F118" i="20"/>
  <c r="E63" i="20"/>
  <c r="D48" i="20"/>
  <c r="E72" i="20"/>
  <c r="G66" i="20"/>
  <c r="B91" i="20"/>
  <c r="E91" i="20" s="1"/>
  <c r="G106" i="20"/>
  <c r="E102" i="20"/>
  <c r="E79" i="20"/>
  <c r="E157" i="20"/>
  <c r="G156" i="20"/>
  <c r="G154" i="20"/>
  <c r="E152" i="20"/>
  <c r="E150" i="20"/>
  <c r="G137" i="20"/>
  <c r="E77" i="20"/>
  <c r="E70" i="20"/>
  <c r="G59" i="20"/>
  <c r="E50" i="20"/>
  <c r="E109" i="20"/>
  <c r="G111" i="20"/>
  <c r="G109" i="20"/>
  <c r="E107" i="20"/>
  <c r="G96" i="20"/>
  <c r="G94" i="20"/>
  <c r="E92" i="20"/>
  <c r="E90" i="20"/>
  <c r="E119" i="20"/>
  <c r="G108" i="20"/>
  <c r="E103" i="20"/>
  <c r="G90" i="20"/>
  <c r="AC6" i="13"/>
  <c r="AG58" i="13"/>
  <c r="AG27" i="13"/>
  <c r="AG29" i="13" s="1"/>
  <c r="AL20" i="13"/>
  <c r="AH28" i="13"/>
  <c r="AI28" i="13" s="1"/>
  <c r="AB8" i="13"/>
  <c r="AK59" i="13"/>
  <c r="AL59" i="13" s="1"/>
  <c r="AH58" i="13"/>
  <c r="AG57" i="13"/>
  <c r="AL44" i="13"/>
  <c r="AG128" i="22"/>
  <c r="BU62" i="12"/>
  <c r="BW63" i="12"/>
  <c r="BP60" i="12"/>
  <c r="BQ12" i="12"/>
  <c r="BU63" i="12"/>
  <c r="BN60" i="12"/>
  <c r="BO12" i="12"/>
  <c r="BP61" i="12"/>
  <c r="BQ13" i="12"/>
  <c r="BN61" i="12"/>
  <c r="BO13" i="12"/>
  <c r="BW62" i="12"/>
  <c r="AK40" i="2"/>
  <c r="AJ41" i="2"/>
  <c r="AK41" i="2" s="1"/>
  <c r="AI98" i="2"/>
  <c r="AK98" i="2" s="1"/>
  <c r="AI32" i="2"/>
  <c r="AN11" i="2"/>
  <c r="AK35" i="2"/>
  <c r="AK107" i="2"/>
  <c r="AJ60" i="2"/>
  <c r="AK60" i="2" s="1"/>
  <c r="AK97" i="2"/>
  <c r="AJ30" i="2"/>
  <c r="AK30" i="2" s="1"/>
  <c r="AI80" i="2"/>
  <c r="AK80" i="2" s="1"/>
  <c r="AK95" i="2"/>
  <c r="AK10" i="2"/>
  <c r="AJ11" i="2"/>
  <c r="AK11" i="2" s="1"/>
  <c r="AK68" i="2"/>
  <c r="AI62" i="2"/>
  <c r="AN41" i="2"/>
  <c r="AK77" i="2"/>
  <c r="AJ31" i="2"/>
  <c r="AK61" i="2"/>
  <c r="AJ62" i="2"/>
  <c r="AK79" i="2"/>
  <c r="AK61" i="1"/>
  <c r="AJ62" i="1"/>
  <c r="AK62" i="1" s="1"/>
  <c r="AL11" i="13"/>
  <c r="AN41" i="1"/>
  <c r="AK41" i="1"/>
  <c r="AJ107" i="1"/>
  <c r="AK107" i="1" s="1"/>
  <c r="AK106" i="1"/>
  <c r="AL62" i="1"/>
  <c r="AN62" i="1" s="1"/>
  <c r="AN61" i="1"/>
  <c r="AL32" i="1"/>
  <c r="AN32" i="1" s="1"/>
  <c r="AN31" i="1"/>
  <c r="AK31" i="1"/>
  <c r="AJ32" i="1"/>
  <c r="AK32" i="1" s="1"/>
  <c r="AL23" i="13"/>
  <c r="AK86" i="1"/>
  <c r="AN11" i="1"/>
  <c r="AK105" i="1"/>
  <c r="AK95" i="1"/>
  <c r="AK77" i="1"/>
  <c r="AK11" i="1"/>
  <c r="AK97" i="1"/>
  <c r="AJ98" i="1"/>
  <c r="AK98" i="1" s="1"/>
  <c r="AK79" i="1"/>
  <c r="AJ80" i="1"/>
  <c r="AK80" i="1" s="1"/>
  <c r="AK35" i="1"/>
  <c r="AI52" i="13"/>
  <c r="AH53" i="13"/>
  <c r="AI53" i="13" s="1"/>
  <c r="AI40" i="13"/>
  <c r="AH41" i="13"/>
  <c r="AI41" i="13" s="1"/>
  <c r="AI43" i="13"/>
  <c r="AH44" i="13"/>
  <c r="AI44" i="13" s="1"/>
  <c r="AI37" i="13"/>
  <c r="AH38" i="13"/>
  <c r="AI38" i="13" s="1"/>
  <c r="AI13" i="13"/>
  <c r="AH14" i="13"/>
  <c r="AI14" i="13" s="1"/>
  <c r="AI7" i="13"/>
  <c r="AH8" i="13"/>
  <c r="AI8" i="13" s="1"/>
  <c r="AI22" i="13"/>
  <c r="AH23" i="13"/>
  <c r="AI10" i="13"/>
  <c r="AH11" i="13"/>
  <c r="AI46" i="13"/>
  <c r="AH47" i="13"/>
  <c r="AI55" i="13"/>
  <c r="AH56" i="13"/>
  <c r="AI25" i="13"/>
  <c r="AH26" i="13"/>
  <c r="AI26" i="13" s="1"/>
  <c r="AI16" i="13"/>
  <c r="AH17" i="13"/>
  <c r="AL57" i="13"/>
  <c r="AH57" i="13"/>
  <c r="AL27" i="13"/>
  <c r="AH27" i="13"/>
  <c r="AI49" i="13"/>
  <c r="AH50" i="13"/>
  <c r="AI19" i="13"/>
  <c r="AH20" i="13"/>
  <c r="AI20" i="13" s="1"/>
  <c r="Y74" i="1"/>
  <c r="Y92" i="1"/>
  <c r="AC70" i="8"/>
  <c r="AE38" i="1"/>
  <c r="AB130" i="7"/>
  <c r="P161" i="11"/>
  <c r="T90" i="11"/>
  <c r="AB20" i="14"/>
  <c r="AB216" i="7"/>
  <c r="S26" i="2"/>
  <c r="S96" i="1"/>
  <c r="W11" i="2"/>
  <c r="W154" i="10"/>
  <c r="AB38" i="13"/>
  <c r="AB26" i="11"/>
  <c r="AC204" i="10"/>
  <c r="AB23" i="13"/>
  <c r="AC54" i="13"/>
  <c r="AF158" i="22"/>
  <c r="AB56" i="13"/>
  <c r="AE104" i="1"/>
  <c r="AE105" i="2"/>
  <c r="AE83" i="1"/>
  <c r="AH80" i="2"/>
  <c r="AE74" i="2"/>
  <c r="S8" i="2"/>
  <c r="R80" i="2"/>
  <c r="Y17" i="2"/>
  <c r="Y23" i="2"/>
  <c r="AE20" i="2"/>
  <c r="AE26" i="2"/>
  <c r="AB98" i="2"/>
  <c r="AE14" i="2"/>
  <c r="AE38" i="2"/>
  <c r="W39" i="13"/>
  <c r="AC42" i="13"/>
  <c r="AB26" i="13"/>
  <c r="AA8" i="13"/>
  <c r="AC8" i="13" s="1"/>
  <c r="AC43" i="13"/>
  <c r="AC18" i="13"/>
  <c r="AE8" i="2"/>
  <c r="AE30" i="2"/>
  <c r="AE8" i="1"/>
  <c r="Z17" i="14"/>
  <c r="AB170" i="11"/>
  <c r="AB98" i="11"/>
  <c r="Z90" i="11"/>
  <c r="AB46" i="11"/>
  <c r="AC296" i="10"/>
  <c r="AC276" i="10"/>
  <c r="W47" i="10"/>
  <c r="W58" i="10"/>
  <c r="AF38" i="13"/>
  <c r="AA17" i="13"/>
  <c r="AA11" i="10"/>
  <c r="Q96" i="8"/>
  <c r="Z81" i="7"/>
  <c r="AB81" i="7" s="1"/>
  <c r="AE158" i="22"/>
  <c r="AI158" i="22" s="1"/>
  <c r="AG128" i="24"/>
  <c r="AA23" i="13"/>
  <c r="AA14" i="13"/>
  <c r="AC12" i="13"/>
  <c r="W21" i="13"/>
  <c r="AB50" i="13"/>
  <c r="AC50" i="13" s="1"/>
  <c r="AA44" i="13"/>
  <c r="AB44" i="13"/>
  <c r="AB58" i="13"/>
  <c r="AC13" i="13"/>
  <c r="AA11" i="13"/>
  <c r="AF8" i="13"/>
  <c r="AF20" i="13"/>
  <c r="AC22" i="13"/>
  <c r="AC55" i="13"/>
  <c r="AA47" i="13"/>
  <c r="AC21" i="13"/>
  <c r="Z56" i="13"/>
  <c r="AC7" i="13"/>
  <c r="AB20" i="13"/>
  <c r="AA41" i="13"/>
  <c r="AC41" i="13" s="1"/>
  <c r="AC48" i="13"/>
  <c r="AA56" i="13"/>
  <c r="AE29" i="13"/>
  <c r="AC9" i="13"/>
  <c r="AC24" i="13"/>
  <c r="AA53" i="13"/>
  <c r="AC51" i="13"/>
  <c r="AE97" i="1"/>
  <c r="AH89" i="2"/>
  <c r="AE86" i="2"/>
  <c r="AE89" i="1"/>
  <c r="AE80" i="2"/>
  <c r="AE77" i="1"/>
  <c r="AE71" i="1"/>
  <c r="AC62" i="2"/>
  <c r="AE39" i="1"/>
  <c r="AC41" i="1"/>
  <c r="AC62" i="1"/>
  <c r="AE60" i="1"/>
  <c r="AH107" i="2"/>
  <c r="AH107" i="1"/>
  <c r="AC32" i="2"/>
  <c r="AH11" i="2"/>
  <c r="AC11" i="2"/>
  <c r="AE9" i="2"/>
  <c r="AH11" i="1"/>
  <c r="AE9" i="1"/>
  <c r="AC30" i="1"/>
  <c r="AE30" i="1" s="1"/>
  <c r="AF56" i="13"/>
  <c r="AA38" i="13"/>
  <c r="AC36" i="13"/>
  <c r="AB27" i="13"/>
  <c r="AC27" i="13" s="1"/>
  <c r="AF44" i="13"/>
  <c r="AB28" i="13"/>
  <c r="AC37" i="13"/>
  <c r="R59" i="13"/>
  <c r="AF50" i="13"/>
  <c r="AF14" i="13"/>
  <c r="AC344" i="10"/>
  <c r="AC178" i="10"/>
  <c r="AI158" i="24"/>
  <c r="AI88" i="24"/>
  <c r="AD118" i="24"/>
  <c r="AG88" i="22"/>
  <c r="BI62" i="12"/>
  <c r="BK63" i="12"/>
  <c r="BD60" i="12"/>
  <c r="BE12" i="12"/>
  <c r="BI63" i="12"/>
  <c r="BB60" i="12"/>
  <c r="BC12" i="12"/>
  <c r="BD61" i="12"/>
  <c r="BE13" i="12"/>
  <c r="BB61" i="12"/>
  <c r="BC13" i="12"/>
  <c r="BK62" i="12"/>
  <c r="AE31" i="2"/>
  <c r="AD32" i="2"/>
  <c r="AG32" i="2"/>
  <c r="AH32" i="2" s="1"/>
  <c r="AH31" i="2"/>
  <c r="AH41" i="2"/>
  <c r="AE77" i="2"/>
  <c r="AC45" i="13"/>
  <c r="AD60" i="2"/>
  <c r="AE60" i="2" s="1"/>
  <c r="AC71" i="2"/>
  <c r="AE71" i="2" s="1"/>
  <c r="AE40" i="2"/>
  <c r="AD41" i="2"/>
  <c r="AE41" i="2" s="1"/>
  <c r="AG62" i="2"/>
  <c r="AH62" i="2" s="1"/>
  <c r="AH61" i="2"/>
  <c r="AE95" i="2"/>
  <c r="AE35" i="2"/>
  <c r="AE87" i="2"/>
  <c r="AE107" i="2"/>
  <c r="AE10" i="2"/>
  <c r="AD11" i="2"/>
  <c r="AE68" i="2"/>
  <c r="AD61" i="2"/>
  <c r="AE89" i="2"/>
  <c r="AE31" i="1"/>
  <c r="AD32" i="1"/>
  <c r="AE40" i="1"/>
  <c r="AD41" i="1"/>
  <c r="AE41" i="1" s="1"/>
  <c r="AE95" i="1"/>
  <c r="AE105" i="1"/>
  <c r="AG62" i="1"/>
  <c r="AH62" i="1" s="1"/>
  <c r="AH61" i="1"/>
  <c r="AG32" i="1"/>
  <c r="AH32" i="1" s="1"/>
  <c r="AH31" i="1"/>
  <c r="AC15" i="13"/>
  <c r="AH41" i="1"/>
  <c r="AD61" i="1"/>
  <c r="AE10" i="1"/>
  <c r="AD11" i="1"/>
  <c r="AE11" i="1" s="1"/>
  <c r="AE68" i="1"/>
  <c r="AE35" i="1"/>
  <c r="AE79" i="1"/>
  <c r="AB14" i="13"/>
  <c r="AF26" i="13"/>
  <c r="AE86" i="1"/>
  <c r="AE98" i="1"/>
  <c r="AE80" i="1"/>
  <c r="AE107" i="1"/>
  <c r="AF47" i="13"/>
  <c r="AF11" i="13"/>
  <c r="AF27" i="13"/>
  <c r="AC52" i="13"/>
  <c r="AB53" i="13"/>
  <c r="AC46" i="13"/>
  <c r="AB47" i="13"/>
  <c r="AC16" i="13"/>
  <c r="AB17" i="13"/>
  <c r="AC10" i="13"/>
  <c r="AB11" i="13"/>
  <c r="AA28" i="13"/>
  <c r="AA29" i="13" s="1"/>
  <c r="AD29" i="13"/>
  <c r="AF53" i="13"/>
  <c r="AF17" i="13"/>
  <c r="AF57" i="13"/>
  <c r="AB57" i="13"/>
  <c r="AC57" i="13" s="1"/>
  <c r="AF23" i="13"/>
  <c r="AF28" i="13"/>
  <c r="AA58" i="13"/>
  <c r="AA59" i="13" s="1"/>
  <c r="AD59" i="13"/>
  <c r="AF59" i="13" s="1"/>
  <c r="AF41" i="13"/>
  <c r="Q98" i="2"/>
  <c r="S98" i="2" s="1"/>
  <c r="S65" i="2"/>
  <c r="S23" i="2"/>
  <c r="S88" i="2"/>
  <c r="S139" i="11"/>
  <c r="Z44" i="13"/>
  <c r="Y101" i="1"/>
  <c r="Y86" i="2"/>
  <c r="Y14" i="2"/>
  <c r="Y38" i="1"/>
  <c r="Y56" i="2"/>
  <c r="V62" i="7"/>
  <c r="W344" i="10"/>
  <c r="W90" i="10"/>
  <c r="W247" i="10"/>
  <c r="Y8" i="1"/>
  <c r="Y44" i="1"/>
  <c r="Y65" i="2"/>
  <c r="S89" i="1"/>
  <c r="P89" i="7"/>
  <c r="Y20" i="2"/>
  <c r="Y26" i="1"/>
  <c r="AB80" i="2"/>
  <c r="W276" i="10"/>
  <c r="V168" i="11"/>
  <c r="T139" i="11"/>
  <c r="V139" i="11" s="1"/>
  <c r="V71" i="2"/>
  <c r="S69" i="1"/>
  <c r="Q247" i="10"/>
  <c r="W107" i="1"/>
  <c r="Y29" i="1"/>
  <c r="Y83" i="2"/>
  <c r="V7" i="16"/>
  <c r="U296" i="10"/>
  <c r="W296" i="10" s="1"/>
  <c r="V46" i="11"/>
  <c r="V32" i="9"/>
  <c r="V19" i="14"/>
  <c r="V90" i="11"/>
  <c r="U26" i="11"/>
  <c r="W206" i="10"/>
  <c r="W245" i="10"/>
  <c r="V201" i="7"/>
  <c r="V155" i="7"/>
  <c r="W18" i="13"/>
  <c r="AQ56" i="12"/>
  <c r="AQ58" i="12"/>
  <c r="W54" i="13"/>
  <c r="W42" i="13"/>
  <c r="Z26" i="13"/>
  <c r="U38" i="13"/>
  <c r="U56" i="13"/>
  <c r="Z50" i="13"/>
  <c r="W36" i="13"/>
  <c r="AY61" i="12"/>
  <c r="AB98" i="1"/>
  <c r="Y83" i="1"/>
  <c r="AB80" i="1"/>
  <c r="Y74" i="2"/>
  <c r="T50" i="13"/>
  <c r="W48" i="13"/>
  <c r="Y59" i="13"/>
  <c r="Z59" i="13" s="1"/>
  <c r="W9" i="13"/>
  <c r="W45" i="13"/>
  <c r="Z14" i="13"/>
  <c r="Y8" i="2"/>
  <c r="T17" i="14"/>
  <c r="T183" i="11"/>
  <c r="V183" i="11" s="1"/>
  <c r="V170" i="11"/>
  <c r="T122" i="11"/>
  <c r="V122" i="11" s="1"/>
  <c r="V98" i="11"/>
  <c r="V72" i="11"/>
  <c r="T70" i="11"/>
  <c r="V70" i="11" s="1"/>
  <c r="V58" i="11"/>
  <c r="T26" i="11"/>
  <c r="W178" i="10"/>
  <c r="W342" i="10"/>
  <c r="U204" i="10"/>
  <c r="W204" i="10" s="1"/>
  <c r="Q104" i="10"/>
  <c r="U152" i="10"/>
  <c r="W152" i="10" s="1"/>
  <c r="U27" i="10"/>
  <c r="W27" i="10" s="1"/>
  <c r="W15" i="10"/>
  <c r="U11" i="10"/>
  <c r="V48" i="9"/>
  <c r="W96" i="8"/>
  <c r="Z20" i="13"/>
  <c r="V58" i="13"/>
  <c r="W24" i="13"/>
  <c r="V249" i="7"/>
  <c r="AG104" i="22"/>
  <c r="U47" i="13"/>
  <c r="U23" i="13"/>
  <c r="U50" i="13"/>
  <c r="U26" i="13"/>
  <c r="U11" i="13"/>
  <c r="AG88" i="24"/>
  <c r="AD118" i="22"/>
  <c r="U8" i="13"/>
  <c r="W51" i="13"/>
  <c r="U17" i="13"/>
  <c r="U53" i="13"/>
  <c r="U41" i="13"/>
  <c r="W15" i="13"/>
  <c r="U44" i="13"/>
  <c r="U20" i="13"/>
  <c r="AI48" i="24"/>
  <c r="AF78" i="22"/>
  <c r="AG51" i="22"/>
  <c r="AY60" i="12"/>
  <c r="AO63" i="12"/>
  <c r="AU63" i="12"/>
  <c r="AW61" i="12"/>
  <c r="AN63" i="12"/>
  <c r="AN62" i="12"/>
  <c r="AO62" i="12"/>
  <c r="AW60" i="12"/>
  <c r="Z53" i="13"/>
  <c r="Y98" i="2"/>
  <c r="Y97" i="1"/>
  <c r="Y89" i="1"/>
  <c r="Z41" i="13"/>
  <c r="Y80" i="2"/>
  <c r="Y77" i="2"/>
  <c r="Y77" i="1"/>
  <c r="AB71" i="2"/>
  <c r="W107" i="2"/>
  <c r="Y107" i="2" s="1"/>
  <c r="Y68" i="1"/>
  <c r="AB107" i="1"/>
  <c r="Z17" i="13"/>
  <c r="Y39" i="2"/>
  <c r="W41" i="2"/>
  <c r="W62" i="2"/>
  <c r="AB41" i="2"/>
  <c r="W41" i="1"/>
  <c r="Y39" i="1"/>
  <c r="W60" i="1"/>
  <c r="W62" i="1" s="1"/>
  <c r="AB62" i="1"/>
  <c r="AB107" i="2"/>
  <c r="Y35" i="2"/>
  <c r="W6" i="13"/>
  <c r="AB32" i="1"/>
  <c r="Y9" i="2"/>
  <c r="W30" i="2"/>
  <c r="W32" i="2" s="1"/>
  <c r="W11" i="1"/>
  <c r="W30" i="1"/>
  <c r="W32" i="1" s="1"/>
  <c r="Y9" i="1"/>
  <c r="AP60" i="12"/>
  <c r="AQ12" i="12"/>
  <c r="AW62" i="12"/>
  <c r="AR61" i="12"/>
  <c r="AS13" i="12"/>
  <c r="AP61" i="12"/>
  <c r="AQ13" i="12"/>
  <c r="AW63" i="12"/>
  <c r="AR60" i="12"/>
  <c r="AS12" i="12"/>
  <c r="AY62" i="12"/>
  <c r="Y61" i="2"/>
  <c r="AA62" i="2"/>
  <c r="AB62" i="2" s="1"/>
  <c r="AB61" i="2"/>
  <c r="X60" i="2"/>
  <c r="Y60" i="2" s="1"/>
  <c r="Y10" i="2"/>
  <c r="X11" i="2"/>
  <c r="Y11" i="2" s="1"/>
  <c r="Y68" i="2"/>
  <c r="Y87" i="2"/>
  <c r="W71" i="2"/>
  <c r="Y71" i="2" s="1"/>
  <c r="Y31" i="2"/>
  <c r="X32" i="2"/>
  <c r="AB11" i="2"/>
  <c r="Y40" i="2"/>
  <c r="X41" i="2"/>
  <c r="Y41" i="2" s="1"/>
  <c r="AA32" i="2"/>
  <c r="AB32" i="2" s="1"/>
  <c r="AB31" i="2"/>
  <c r="Y95" i="2"/>
  <c r="Y89" i="2"/>
  <c r="Y31" i="1"/>
  <c r="W80" i="1"/>
  <c r="Y80" i="1" s="1"/>
  <c r="Y35" i="1"/>
  <c r="Z23" i="13"/>
  <c r="Y86" i="1"/>
  <c r="AB41" i="1"/>
  <c r="Y95" i="1"/>
  <c r="Y105" i="1"/>
  <c r="Y79" i="1"/>
  <c r="Y40" i="1"/>
  <c r="X41" i="1"/>
  <c r="Y107" i="1"/>
  <c r="AB11" i="1"/>
  <c r="X61" i="1"/>
  <c r="Y98" i="1"/>
  <c r="X30" i="1"/>
  <c r="Y10" i="1"/>
  <c r="X11" i="1"/>
  <c r="Z11" i="13"/>
  <c r="Z38" i="13"/>
  <c r="U58" i="13"/>
  <c r="U59" i="13" s="1"/>
  <c r="Z47" i="13"/>
  <c r="W52" i="13"/>
  <c r="V53" i="13"/>
  <c r="W40" i="13"/>
  <c r="V41" i="13"/>
  <c r="W43" i="13"/>
  <c r="V44" i="13"/>
  <c r="W37" i="13"/>
  <c r="V38" i="13"/>
  <c r="W13" i="13"/>
  <c r="V14" i="13"/>
  <c r="W7" i="13"/>
  <c r="V8" i="13"/>
  <c r="W22" i="13"/>
  <c r="V23" i="13"/>
  <c r="W10" i="13"/>
  <c r="V11" i="13"/>
  <c r="W46" i="13"/>
  <c r="V47" i="13"/>
  <c r="W55" i="13"/>
  <c r="V56" i="13"/>
  <c r="W25" i="13"/>
  <c r="V26" i="13"/>
  <c r="W16" i="13"/>
  <c r="V17" i="13"/>
  <c r="Z57" i="13"/>
  <c r="V57" i="13"/>
  <c r="W57" i="13" s="1"/>
  <c r="Z27" i="13"/>
  <c r="V27" i="13"/>
  <c r="W49" i="13"/>
  <c r="V50" i="13"/>
  <c r="W19" i="13"/>
  <c r="V20" i="13"/>
  <c r="AF78" i="24"/>
  <c r="AG78" i="24" s="1"/>
  <c r="S34" i="14"/>
  <c r="O34" i="14"/>
  <c r="P168" i="11"/>
  <c r="O70" i="11"/>
  <c r="P70" i="11" s="1"/>
  <c r="P56" i="11"/>
  <c r="S46" i="11"/>
  <c r="S26" i="11"/>
  <c r="Q342" i="10"/>
  <c r="Q206" i="10"/>
  <c r="Q298" i="10"/>
  <c r="Q152" i="10"/>
  <c r="P27" i="10"/>
  <c r="Q13" i="10"/>
  <c r="P265" i="7"/>
  <c r="O216" i="7"/>
  <c r="P216" i="7" s="1"/>
  <c r="P155" i="7"/>
  <c r="AI78" i="22"/>
  <c r="AF60" i="12"/>
  <c r="AD60" i="12"/>
  <c r="AD62" i="12" s="1"/>
  <c r="AF61" i="12"/>
  <c r="AG61" i="12" s="1"/>
  <c r="AG28" i="12"/>
  <c r="AF62" i="12"/>
  <c r="AG59" i="12"/>
  <c r="AE58" i="12"/>
  <c r="AG21" i="12"/>
  <c r="AE12" i="12"/>
  <c r="AE56" i="12"/>
  <c r="S104" i="2"/>
  <c r="S106" i="1"/>
  <c r="S78" i="2"/>
  <c r="S83" i="2"/>
  <c r="S80" i="1"/>
  <c r="V80" i="2"/>
  <c r="S71" i="1"/>
  <c r="T57" i="13"/>
  <c r="T23" i="13"/>
  <c r="T26" i="13"/>
  <c r="S56" i="2"/>
  <c r="S44" i="1"/>
  <c r="S29" i="2"/>
  <c r="V11" i="1"/>
  <c r="N34" i="14"/>
  <c r="N17" i="14"/>
  <c r="P124" i="11"/>
  <c r="N90" i="11"/>
  <c r="P90" i="11" s="1"/>
  <c r="P72" i="11"/>
  <c r="N46" i="11"/>
  <c r="P46" i="11" s="1"/>
  <c r="P28" i="11"/>
  <c r="Q204" i="10"/>
  <c r="Q178" i="10"/>
  <c r="O27" i="10"/>
  <c r="T38" i="13"/>
  <c r="T14" i="13"/>
  <c r="T17" i="13"/>
  <c r="P114" i="7"/>
  <c r="AE78" i="24"/>
  <c r="AI78" i="24" s="1"/>
  <c r="T47" i="13"/>
  <c r="AD78" i="22"/>
  <c r="AG48" i="22"/>
  <c r="AB61" i="12"/>
  <c r="AE61" i="12" s="1"/>
  <c r="AE36" i="12"/>
  <c r="AH63" i="12"/>
  <c r="AK63" i="12" s="1"/>
  <c r="AG58" i="12"/>
  <c r="T11" i="13"/>
  <c r="T53" i="13"/>
  <c r="T56" i="13"/>
  <c r="V98" i="2"/>
  <c r="T28" i="13"/>
  <c r="Q98" i="1"/>
  <c r="Q107" i="2"/>
  <c r="S107" i="2" s="1"/>
  <c r="V107" i="2"/>
  <c r="V89" i="2"/>
  <c r="S92" i="2"/>
  <c r="S89" i="2"/>
  <c r="V89" i="1"/>
  <c r="V80" i="1"/>
  <c r="S69" i="2"/>
  <c r="S71" i="2"/>
  <c r="V60" i="1"/>
  <c r="V62" i="2"/>
  <c r="R29" i="13"/>
  <c r="V32" i="2"/>
  <c r="V30" i="1"/>
  <c r="T32" i="1"/>
  <c r="T8" i="13"/>
  <c r="T20" i="13"/>
  <c r="T27" i="13"/>
  <c r="S29" i="13"/>
  <c r="AG45" i="12"/>
  <c r="AE29" i="12"/>
  <c r="AC63" i="12"/>
  <c r="AC60" i="12"/>
  <c r="AC62" i="12" s="1"/>
  <c r="AB60" i="12"/>
  <c r="AB62" i="12" s="1"/>
  <c r="AE20" i="12"/>
  <c r="AM62" i="12"/>
  <c r="AK62" i="12"/>
  <c r="AM63" i="12"/>
  <c r="S50" i="2"/>
  <c r="S74" i="2"/>
  <c r="S38" i="2"/>
  <c r="S44" i="2"/>
  <c r="S14" i="2"/>
  <c r="S86" i="2"/>
  <c r="Q80" i="2"/>
  <c r="S80" i="2" s="1"/>
  <c r="S35" i="2"/>
  <c r="S79" i="2"/>
  <c r="S105" i="2"/>
  <c r="V41" i="2"/>
  <c r="T41" i="13"/>
  <c r="S97" i="2"/>
  <c r="S77" i="2"/>
  <c r="S68" i="2"/>
  <c r="T44" i="13"/>
  <c r="V11" i="2"/>
  <c r="S98" i="1"/>
  <c r="S97" i="1"/>
  <c r="Q107" i="1"/>
  <c r="S107" i="1" s="1"/>
  <c r="V107" i="1"/>
  <c r="U62" i="1"/>
  <c r="V62" i="1" s="1"/>
  <c r="U32" i="1"/>
  <c r="V31" i="1"/>
  <c r="T58" i="13"/>
  <c r="S59" i="13"/>
  <c r="N145" i="10"/>
  <c r="N125" i="10"/>
  <c r="N85" i="8"/>
  <c r="N86" i="8"/>
  <c r="N59" i="8"/>
  <c r="M154" i="7"/>
  <c r="M153" i="7"/>
  <c r="W27" i="13" l="1"/>
  <c r="W28" i="13"/>
  <c r="AC20" i="13"/>
  <c r="AI47" i="13"/>
  <c r="AI11" i="13"/>
  <c r="AG158" i="24"/>
  <c r="AP62" i="2"/>
  <c r="AQ62" i="2" s="1"/>
  <c r="AQ61" i="2"/>
  <c r="AP32" i="1"/>
  <c r="AQ32" i="1" s="1"/>
  <c r="AQ31" i="1"/>
  <c r="AP32" i="2"/>
  <c r="AQ32" i="2" s="1"/>
  <c r="AQ31" i="2"/>
  <c r="AK62" i="2"/>
  <c r="AQ11" i="2"/>
  <c r="AL29" i="13"/>
  <c r="AI50" i="13"/>
  <c r="AI56" i="13"/>
  <c r="W14" i="13"/>
  <c r="AI17" i="13"/>
  <c r="AN59" i="13"/>
  <c r="AO59" i="13" s="1"/>
  <c r="AO58" i="13"/>
  <c r="AC26" i="13"/>
  <c r="AI23" i="13"/>
  <c r="AN29" i="13"/>
  <c r="AO29" i="13" s="1"/>
  <c r="AO28" i="13"/>
  <c r="AI57" i="13"/>
  <c r="AI58" i="13"/>
  <c r="AG118" i="24"/>
  <c r="G118" i="23"/>
  <c r="C118" i="20"/>
  <c r="G118" i="20" s="1"/>
  <c r="B78" i="20"/>
  <c r="G198" i="20"/>
  <c r="E128" i="20"/>
  <c r="AI27" i="13"/>
  <c r="G158" i="23"/>
  <c r="D118" i="23"/>
  <c r="E118" i="23" s="1"/>
  <c r="E88" i="23"/>
  <c r="D78" i="23"/>
  <c r="E78" i="23" s="1"/>
  <c r="E48" i="23"/>
  <c r="D158" i="23"/>
  <c r="E158" i="23" s="1"/>
  <c r="E128" i="23"/>
  <c r="C78" i="23"/>
  <c r="G78" i="23" s="1"/>
  <c r="AG158" i="22"/>
  <c r="G128" i="20"/>
  <c r="D118" i="20"/>
  <c r="D78" i="20"/>
  <c r="E48" i="20"/>
  <c r="G158" i="20"/>
  <c r="B118" i="20"/>
  <c r="G78" i="20"/>
  <c r="D158" i="20"/>
  <c r="E158" i="20" s="1"/>
  <c r="AG59" i="13"/>
  <c r="BQ61" i="12"/>
  <c r="BP63" i="12"/>
  <c r="BQ63" i="12" s="1"/>
  <c r="BO61" i="12"/>
  <c r="BN63" i="12"/>
  <c r="BO63" i="12" s="1"/>
  <c r="BO60" i="12"/>
  <c r="BN62" i="12"/>
  <c r="BO62" i="12" s="1"/>
  <c r="BQ60" i="12"/>
  <c r="BP62" i="12"/>
  <c r="BQ62" i="12" s="1"/>
  <c r="AK31" i="2"/>
  <c r="AJ32" i="2"/>
  <c r="AK32" i="2" s="1"/>
  <c r="AH59" i="13"/>
  <c r="AH29" i="13"/>
  <c r="AI29" i="13" s="1"/>
  <c r="AC38" i="13"/>
  <c r="AE11" i="2"/>
  <c r="AC44" i="13"/>
  <c r="AC23" i="13"/>
  <c r="AC56" i="13"/>
  <c r="AB29" i="13"/>
  <c r="AC29" i="13" s="1"/>
  <c r="AB59" i="13"/>
  <c r="AC59" i="13" s="1"/>
  <c r="AF29" i="13"/>
  <c r="AC11" i="13"/>
  <c r="AC17" i="13"/>
  <c r="AC14" i="13"/>
  <c r="W38" i="13"/>
  <c r="AC47" i="13"/>
  <c r="T59" i="13"/>
  <c r="AC53" i="13"/>
  <c r="AC28" i="13"/>
  <c r="AC32" i="1"/>
  <c r="AE32" i="1" s="1"/>
  <c r="AE32" i="2"/>
  <c r="BC61" i="12"/>
  <c r="BB63" i="12"/>
  <c r="BC63" i="12" s="1"/>
  <c r="BC60" i="12"/>
  <c r="BB62" i="12"/>
  <c r="BC62" i="12" s="1"/>
  <c r="BE60" i="12"/>
  <c r="BD62" i="12"/>
  <c r="BE62" i="12" s="1"/>
  <c r="BE61" i="12"/>
  <c r="BD63" i="12"/>
  <c r="BE63" i="12" s="1"/>
  <c r="AC58" i="13"/>
  <c r="AE61" i="2"/>
  <c r="AD62" i="2"/>
  <c r="AE62" i="2" s="1"/>
  <c r="AE61" i="1"/>
  <c r="AD62" i="1"/>
  <c r="AE62" i="1" s="1"/>
  <c r="W11" i="13"/>
  <c r="W8" i="13"/>
  <c r="W20" i="13"/>
  <c r="W56" i="13"/>
  <c r="V26" i="11"/>
  <c r="W26" i="13"/>
  <c r="W47" i="13"/>
  <c r="W23" i="13"/>
  <c r="W53" i="13"/>
  <c r="W50" i="13"/>
  <c r="W41" i="13"/>
  <c r="W17" i="13"/>
  <c r="AG118" i="22"/>
  <c r="W44" i="13"/>
  <c r="AG78" i="22"/>
  <c r="AY63" i="12"/>
  <c r="W58" i="13"/>
  <c r="Y60" i="1"/>
  <c r="Y41" i="1"/>
  <c r="Y30" i="2"/>
  <c r="Y32" i="2"/>
  <c r="Y11" i="1"/>
  <c r="Y30" i="1"/>
  <c r="AS60" i="12"/>
  <c r="AR62" i="12"/>
  <c r="AS62" i="12" s="1"/>
  <c r="AQ61" i="12"/>
  <c r="AP63" i="12"/>
  <c r="AQ63" i="12" s="1"/>
  <c r="AQ60" i="12"/>
  <c r="AP62" i="12"/>
  <c r="AQ62" i="12" s="1"/>
  <c r="AS61" i="12"/>
  <c r="AR63" i="12"/>
  <c r="AS63" i="12" s="1"/>
  <c r="X62" i="2"/>
  <c r="Y62" i="2" s="1"/>
  <c r="Y61" i="1"/>
  <c r="X62" i="1"/>
  <c r="Y62" i="1" s="1"/>
  <c r="X32" i="1"/>
  <c r="Y32" i="1" s="1"/>
  <c r="V59" i="13"/>
  <c r="W59" i="13" s="1"/>
  <c r="V29" i="13"/>
  <c r="W29" i="13" s="1"/>
  <c r="AF63" i="12"/>
  <c r="AG63" i="12" s="1"/>
  <c r="AG62" i="12"/>
  <c r="AB63" i="12"/>
  <c r="AE63" i="12" s="1"/>
  <c r="T29" i="13"/>
  <c r="V32" i="1"/>
  <c r="AE60" i="12"/>
  <c r="AE62" i="12"/>
  <c r="AG60" i="12"/>
  <c r="C36" i="13"/>
  <c r="D36" i="13"/>
  <c r="E36" i="13"/>
  <c r="F36" i="13"/>
  <c r="G36" i="13"/>
  <c r="H36" i="13"/>
  <c r="C37" i="13"/>
  <c r="D37" i="13"/>
  <c r="E37" i="13"/>
  <c r="F37" i="13"/>
  <c r="G37" i="13"/>
  <c r="H37" i="13"/>
  <c r="C39" i="13"/>
  <c r="D39" i="13"/>
  <c r="E39" i="13"/>
  <c r="F39" i="13"/>
  <c r="G39" i="13"/>
  <c r="H39" i="13"/>
  <c r="C40" i="13"/>
  <c r="D40" i="13"/>
  <c r="E40" i="13"/>
  <c r="F40" i="13"/>
  <c r="G40" i="13"/>
  <c r="H40" i="13"/>
  <c r="C42" i="13"/>
  <c r="D42" i="13"/>
  <c r="E42" i="13"/>
  <c r="F42" i="13"/>
  <c r="G42" i="13"/>
  <c r="H42" i="13"/>
  <c r="C43" i="13"/>
  <c r="D43" i="13"/>
  <c r="E43" i="13"/>
  <c r="F43" i="13"/>
  <c r="G43" i="13"/>
  <c r="H43" i="13"/>
  <c r="C45" i="13"/>
  <c r="D45" i="13"/>
  <c r="E45" i="13"/>
  <c r="F45" i="13"/>
  <c r="G45" i="13"/>
  <c r="H45" i="13"/>
  <c r="C46" i="13"/>
  <c r="D46" i="13"/>
  <c r="E46" i="13"/>
  <c r="F46" i="13"/>
  <c r="G46" i="13"/>
  <c r="H46" i="13"/>
  <c r="C48" i="13"/>
  <c r="D48" i="13"/>
  <c r="E48" i="13"/>
  <c r="F48" i="13"/>
  <c r="G48" i="13"/>
  <c r="H48" i="13"/>
  <c r="C49" i="13"/>
  <c r="D49" i="13"/>
  <c r="E49" i="13"/>
  <c r="F49" i="13"/>
  <c r="G49" i="13"/>
  <c r="H49" i="13"/>
  <c r="C51" i="13"/>
  <c r="D51" i="13"/>
  <c r="E51" i="13"/>
  <c r="F51" i="13"/>
  <c r="G51" i="13"/>
  <c r="H51" i="13"/>
  <c r="C52" i="13"/>
  <c r="D52" i="13"/>
  <c r="E52" i="13"/>
  <c r="F52" i="13"/>
  <c r="G52" i="13"/>
  <c r="H52" i="13"/>
  <c r="C54" i="13"/>
  <c r="D54" i="13"/>
  <c r="E54" i="13"/>
  <c r="F54" i="13"/>
  <c r="G54" i="13"/>
  <c r="H54" i="13"/>
  <c r="C55" i="13"/>
  <c r="D55" i="13"/>
  <c r="E55" i="13"/>
  <c r="F55" i="13"/>
  <c r="G55" i="13"/>
  <c r="H55" i="13"/>
  <c r="C6" i="13"/>
  <c r="D6" i="13"/>
  <c r="E6" i="13"/>
  <c r="F6" i="13"/>
  <c r="G6" i="13"/>
  <c r="C7" i="13"/>
  <c r="D7" i="13"/>
  <c r="E7" i="13"/>
  <c r="F7" i="13"/>
  <c r="G7" i="13"/>
  <c r="C9" i="13"/>
  <c r="D9" i="13"/>
  <c r="E9" i="13"/>
  <c r="F9" i="13"/>
  <c r="G9" i="13"/>
  <c r="C10" i="13"/>
  <c r="D10" i="13"/>
  <c r="E10" i="13"/>
  <c r="F10" i="13"/>
  <c r="G10" i="13"/>
  <c r="C12" i="13"/>
  <c r="D12" i="13"/>
  <c r="E12" i="13"/>
  <c r="F12" i="13"/>
  <c r="G12" i="13"/>
  <c r="C13" i="13"/>
  <c r="D13" i="13"/>
  <c r="E13" i="13"/>
  <c r="F13" i="13"/>
  <c r="G13" i="13"/>
  <c r="C15" i="13"/>
  <c r="D15" i="13"/>
  <c r="E15" i="13"/>
  <c r="F15" i="13"/>
  <c r="G15" i="13"/>
  <c r="C16" i="13"/>
  <c r="D16" i="13"/>
  <c r="E16" i="13"/>
  <c r="F16" i="13"/>
  <c r="G16" i="13"/>
  <c r="C18" i="13"/>
  <c r="D18" i="13"/>
  <c r="E18" i="13"/>
  <c r="F18" i="13"/>
  <c r="G18" i="13"/>
  <c r="C19" i="13"/>
  <c r="D19" i="13"/>
  <c r="E19" i="13"/>
  <c r="F19" i="13"/>
  <c r="G19" i="13"/>
  <c r="C21" i="13"/>
  <c r="D21" i="13"/>
  <c r="E21" i="13"/>
  <c r="F21" i="13"/>
  <c r="G21" i="13"/>
  <c r="C22" i="13"/>
  <c r="D22" i="13"/>
  <c r="E22" i="13"/>
  <c r="F22" i="13"/>
  <c r="G22" i="13"/>
  <c r="C24" i="13"/>
  <c r="D24" i="13"/>
  <c r="E24" i="13"/>
  <c r="F24" i="13"/>
  <c r="G24" i="13"/>
  <c r="C25" i="13"/>
  <c r="D25" i="13"/>
  <c r="E25" i="13"/>
  <c r="F25" i="13"/>
  <c r="G25" i="13"/>
  <c r="H6" i="13"/>
  <c r="H7" i="13"/>
  <c r="H9" i="13"/>
  <c r="H10" i="13"/>
  <c r="H12" i="13"/>
  <c r="H13" i="13"/>
  <c r="H15" i="13"/>
  <c r="H16" i="13"/>
  <c r="H18" i="13"/>
  <c r="H19" i="13"/>
  <c r="H21" i="13"/>
  <c r="H22" i="13"/>
  <c r="H24" i="13"/>
  <c r="H25" i="13"/>
  <c r="E78" i="20" l="1"/>
  <c r="E118" i="20"/>
  <c r="AI59" i="13"/>
  <c r="H56" i="13"/>
  <c r="D56" i="13"/>
  <c r="H53" i="13"/>
  <c r="D53" i="13"/>
  <c r="F53" i="13"/>
  <c r="H50" i="13"/>
  <c r="H44" i="13"/>
  <c r="D44" i="13"/>
  <c r="F44" i="13"/>
  <c r="H41" i="13"/>
  <c r="D41" i="13"/>
  <c r="F41" i="13"/>
  <c r="D38" i="13"/>
  <c r="F38" i="13"/>
  <c r="E8" i="13"/>
  <c r="F17" i="13"/>
  <c r="F20" i="13"/>
  <c r="D17" i="13"/>
  <c r="C38" i="13"/>
  <c r="F11" i="13"/>
  <c r="E26" i="13"/>
  <c r="G17" i="13"/>
  <c r="C17" i="13"/>
  <c r="G8" i="13"/>
  <c r="G20" i="13"/>
  <c r="C20" i="13"/>
  <c r="G50" i="13"/>
  <c r="E47" i="13"/>
  <c r="G44" i="13"/>
  <c r="C44" i="13"/>
  <c r="E38" i="13"/>
  <c r="G26" i="13"/>
  <c r="C26" i="13"/>
  <c r="E23" i="13"/>
  <c r="G14" i="13"/>
  <c r="C14" i="13"/>
  <c r="D50" i="13"/>
  <c r="F23" i="13"/>
  <c r="D20" i="13"/>
  <c r="G11" i="13"/>
  <c r="C11" i="13"/>
  <c r="D11" i="13"/>
  <c r="F56" i="13"/>
  <c r="G23" i="13"/>
  <c r="C23" i="13"/>
  <c r="D23" i="13"/>
  <c r="D8" i="13"/>
  <c r="H20" i="13"/>
  <c r="E20" i="13"/>
  <c r="E14" i="13"/>
  <c r="E11" i="13"/>
  <c r="F8" i="13"/>
  <c r="C8" i="13"/>
  <c r="H26" i="13"/>
  <c r="H8" i="13"/>
  <c r="D26" i="13"/>
  <c r="E17" i="13"/>
  <c r="F14" i="13"/>
  <c r="H23" i="13"/>
  <c r="F26" i="13"/>
  <c r="D14" i="13"/>
  <c r="G56" i="13"/>
  <c r="C56" i="13"/>
  <c r="G47" i="13"/>
  <c r="C47" i="13"/>
  <c r="E44" i="13"/>
  <c r="C50" i="13"/>
  <c r="H47" i="13"/>
  <c r="D47" i="13"/>
  <c r="F47" i="13"/>
  <c r="G38" i="13"/>
  <c r="H38" i="13"/>
  <c r="H14" i="13"/>
  <c r="H17" i="13"/>
  <c r="H11" i="13"/>
  <c r="F50" i="13"/>
  <c r="G53" i="13"/>
  <c r="C53" i="13"/>
  <c r="E53" i="13"/>
  <c r="E50" i="13"/>
  <c r="E41" i="13"/>
  <c r="E56" i="13"/>
  <c r="G41" i="13"/>
  <c r="C41" i="13"/>
  <c r="M40" i="2"/>
  <c r="M40" i="1"/>
  <c r="M24" i="16"/>
  <c r="L23" i="16"/>
  <c r="K23" i="16"/>
  <c r="J23" i="16"/>
  <c r="I23" i="16"/>
  <c r="H23" i="16"/>
  <c r="G23" i="16"/>
  <c r="F23" i="16"/>
  <c r="E23" i="16"/>
  <c r="D23" i="16"/>
  <c r="C23" i="16"/>
  <c r="M17" i="16"/>
  <c r="M16" i="16"/>
  <c r="L15" i="16"/>
  <c r="K15" i="16"/>
  <c r="J15" i="16"/>
  <c r="I15" i="16"/>
  <c r="H15" i="16"/>
  <c r="G15" i="16"/>
  <c r="F15" i="16"/>
  <c r="E15" i="16"/>
  <c r="D15" i="16"/>
  <c r="C15" i="16"/>
  <c r="M6" i="16" l="1"/>
  <c r="M8" i="16"/>
  <c r="M7" i="16"/>
  <c r="M35" i="14"/>
  <c r="L34" i="14" l="1"/>
  <c r="K34" i="14"/>
  <c r="J34" i="14"/>
  <c r="I34" i="14"/>
  <c r="H34" i="14"/>
  <c r="G34" i="14"/>
  <c r="F34" i="14"/>
  <c r="E34" i="14"/>
  <c r="D34" i="14"/>
  <c r="C34" i="14"/>
  <c r="M28" i="14"/>
  <c r="M29" i="14"/>
  <c r="M30" i="14"/>
  <c r="M25" i="14"/>
  <c r="M24" i="14"/>
  <c r="M26" i="14"/>
  <c r="M22" i="14"/>
  <c r="M23" i="14"/>
  <c r="M21" i="14"/>
  <c r="M20" i="14"/>
  <c r="M19" i="14"/>
  <c r="M18" i="14"/>
  <c r="M34" i="14" l="1"/>
  <c r="L17" i="14"/>
  <c r="K17" i="14"/>
  <c r="J17" i="14"/>
  <c r="I17" i="14"/>
  <c r="H17" i="14"/>
  <c r="G17" i="14"/>
  <c r="F17" i="14"/>
  <c r="E17" i="14"/>
  <c r="D17" i="14"/>
  <c r="C17" i="14"/>
  <c r="M7" i="14"/>
  <c r="M8" i="14"/>
  <c r="M6" i="14"/>
  <c r="M5" i="14"/>
  <c r="M184" i="11"/>
  <c r="L183" i="11"/>
  <c r="K183" i="11"/>
  <c r="J183" i="11"/>
  <c r="I183" i="11"/>
  <c r="H183" i="11"/>
  <c r="G183" i="11"/>
  <c r="F183" i="11"/>
  <c r="E183" i="11"/>
  <c r="D183" i="11"/>
  <c r="C183" i="11"/>
  <c r="M179" i="11"/>
  <c r="M177" i="11"/>
  <c r="M180" i="11"/>
  <c r="M174" i="11"/>
  <c r="M176" i="11"/>
  <c r="M175" i="11"/>
  <c r="M173" i="11"/>
  <c r="M172" i="11"/>
  <c r="M171" i="11"/>
  <c r="M170" i="11"/>
  <c r="M169" i="11"/>
  <c r="M183" i="11" l="1"/>
  <c r="L168" i="11"/>
  <c r="K168" i="11"/>
  <c r="J168" i="11"/>
  <c r="I168" i="11"/>
  <c r="H168" i="11"/>
  <c r="G168" i="11"/>
  <c r="F168" i="11"/>
  <c r="E168" i="11"/>
  <c r="D168" i="11"/>
  <c r="C168" i="11"/>
  <c r="M166" i="11"/>
  <c r="M163" i="11"/>
  <c r="M165" i="11"/>
  <c r="M162" i="11"/>
  <c r="M160" i="11"/>
  <c r="M158" i="11"/>
  <c r="M157" i="11"/>
  <c r="M156" i="11"/>
  <c r="M153" i="11"/>
  <c r="M159" i="11"/>
  <c r="M155" i="11"/>
  <c r="M161" i="11"/>
  <c r="M154" i="11"/>
  <c r="M152" i="11"/>
  <c r="M151" i="11"/>
  <c r="M150" i="11"/>
  <c r="M149" i="11"/>
  <c r="M148" i="11"/>
  <c r="M147" i="11"/>
  <c r="M140" i="11"/>
  <c r="L139" i="11"/>
  <c r="K139" i="11"/>
  <c r="J139" i="11"/>
  <c r="I139" i="11"/>
  <c r="H139" i="11"/>
  <c r="G139" i="11"/>
  <c r="F139" i="11"/>
  <c r="E139" i="11"/>
  <c r="D139" i="11"/>
  <c r="C139" i="11"/>
  <c r="M137" i="11"/>
  <c r="M134" i="11"/>
  <c r="M136" i="11"/>
  <c r="M128" i="11"/>
  <c r="M126" i="11"/>
  <c r="M130" i="11"/>
  <c r="M129" i="11"/>
  <c r="M124" i="11"/>
  <c r="M125" i="11"/>
  <c r="M123" i="11"/>
  <c r="M139" i="11" l="1"/>
  <c r="M168" i="11"/>
  <c r="L122" i="11"/>
  <c r="K122" i="11"/>
  <c r="J122" i="11"/>
  <c r="I122" i="11"/>
  <c r="H122" i="11"/>
  <c r="G122" i="11"/>
  <c r="F122" i="11"/>
  <c r="E122" i="11"/>
  <c r="D122" i="11"/>
  <c r="C122" i="11"/>
  <c r="M112" i="11"/>
  <c r="M119" i="11"/>
  <c r="M121" i="11"/>
  <c r="M108" i="11"/>
  <c r="M116" i="11"/>
  <c r="M117" i="11"/>
  <c r="M106" i="11"/>
  <c r="M107" i="11"/>
  <c r="M109" i="11"/>
  <c r="M113" i="11"/>
  <c r="M98" i="11"/>
  <c r="M91" i="11"/>
  <c r="L90" i="11"/>
  <c r="K90" i="11"/>
  <c r="J90" i="11"/>
  <c r="I90" i="11"/>
  <c r="H90" i="11"/>
  <c r="G90" i="11"/>
  <c r="F90" i="11"/>
  <c r="E90" i="11"/>
  <c r="D90" i="11"/>
  <c r="C90" i="11"/>
  <c r="M84" i="11"/>
  <c r="M83" i="11"/>
  <c r="M80" i="11"/>
  <c r="M81" i="11"/>
  <c r="M73" i="11"/>
  <c r="M78" i="11"/>
  <c r="M74" i="11"/>
  <c r="M75" i="11"/>
  <c r="M72" i="11"/>
  <c r="M76" i="11"/>
  <c r="M79" i="11"/>
  <c r="M71" i="11"/>
  <c r="L70" i="11"/>
  <c r="K70" i="11"/>
  <c r="J70" i="11"/>
  <c r="I70" i="11"/>
  <c r="H70" i="11"/>
  <c r="G70" i="11"/>
  <c r="F70" i="11"/>
  <c r="E70" i="11"/>
  <c r="D70" i="11"/>
  <c r="C70" i="11"/>
  <c r="M65" i="11"/>
  <c r="M64" i="11"/>
  <c r="M63" i="11"/>
  <c r="M62" i="11"/>
  <c r="M55" i="11"/>
  <c r="M54" i="11"/>
  <c r="M47" i="11"/>
  <c r="L46" i="11"/>
  <c r="K46" i="11"/>
  <c r="J46" i="11"/>
  <c r="I46" i="11"/>
  <c r="H46" i="11"/>
  <c r="G46" i="11"/>
  <c r="F46" i="11"/>
  <c r="E46" i="11"/>
  <c r="D46" i="11"/>
  <c r="C46" i="11"/>
  <c r="M43" i="11"/>
  <c r="M38" i="11"/>
  <c r="M36" i="11"/>
  <c r="M32" i="11"/>
  <c r="M34" i="11"/>
  <c r="M31" i="11"/>
  <c r="M30" i="11"/>
  <c r="M29" i="11"/>
  <c r="M28" i="11"/>
  <c r="M27" i="11"/>
  <c r="M122" i="11" l="1"/>
  <c r="M90" i="11"/>
  <c r="M46" i="11"/>
  <c r="M70" i="11"/>
  <c r="L26" i="11"/>
  <c r="K26" i="11"/>
  <c r="J26" i="11"/>
  <c r="I26" i="11"/>
  <c r="H26" i="11"/>
  <c r="G26" i="11"/>
  <c r="F26" i="11"/>
  <c r="E26" i="11"/>
  <c r="D26" i="11"/>
  <c r="C26" i="11"/>
  <c r="M25" i="11"/>
  <c r="M23" i="11"/>
  <c r="M21" i="11"/>
  <c r="M18" i="11"/>
  <c r="M24" i="11"/>
  <c r="M16" i="11"/>
  <c r="M22" i="11"/>
  <c r="M15" i="11"/>
  <c r="M13" i="11"/>
  <c r="M14" i="11"/>
  <c r="M12" i="11"/>
  <c r="M11" i="11"/>
  <c r="M6" i="11"/>
  <c r="M10" i="11"/>
  <c r="M9" i="11"/>
  <c r="M7" i="11"/>
  <c r="M8" i="11"/>
  <c r="M5" i="11"/>
  <c r="M344" i="10"/>
  <c r="L344" i="10"/>
  <c r="K344" i="10"/>
  <c r="J344" i="10"/>
  <c r="I344" i="10"/>
  <c r="H344" i="10"/>
  <c r="G344" i="10"/>
  <c r="F344" i="10"/>
  <c r="E344" i="10"/>
  <c r="D344" i="10"/>
  <c r="N343" i="10"/>
  <c r="M342" i="10"/>
  <c r="L342" i="10"/>
  <c r="K342" i="10"/>
  <c r="J342" i="10"/>
  <c r="I342" i="10"/>
  <c r="H342" i="10"/>
  <c r="G342" i="10"/>
  <c r="F342" i="10"/>
  <c r="E342" i="10"/>
  <c r="D342" i="10"/>
  <c r="N333" i="10"/>
  <c r="N335" i="10"/>
  <c r="N327" i="10"/>
  <c r="N330" i="10"/>
  <c r="N332" i="10"/>
  <c r="N329" i="10"/>
  <c r="N328" i="10"/>
  <c r="N325" i="10"/>
  <c r="N326" i="10"/>
  <c r="N324" i="10"/>
  <c r="N323" i="10"/>
  <c r="M322" i="10"/>
  <c r="L322" i="10"/>
  <c r="K322" i="10"/>
  <c r="J322" i="10"/>
  <c r="I322" i="10"/>
  <c r="H322" i="10"/>
  <c r="G322" i="10"/>
  <c r="F322" i="10"/>
  <c r="E322" i="10"/>
  <c r="D322" i="10"/>
  <c r="N314" i="10"/>
  <c r="N311" i="10"/>
  <c r="N309" i="10"/>
  <c r="N310" i="10"/>
  <c r="N308" i="10"/>
  <c r="N307" i="10"/>
  <c r="N306" i="10"/>
  <c r="N305" i="10"/>
  <c r="N304" i="10"/>
  <c r="M298" i="10"/>
  <c r="L298" i="10"/>
  <c r="K298" i="10"/>
  <c r="J298" i="10"/>
  <c r="I298" i="10"/>
  <c r="H298" i="10"/>
  <c r="G298" i="10"/>
  <c r="F298" i="10"/>
  <c r="E298" i="10"/>
  <c r="D298" i="10"/>
  <c r="N297" i="10"/>
  <c r="M296" i="10"/>
  <c r="L296" i="10"/>
  <c r="K296" i="10"/>
  <c r="J296" i="10"/>
  <c r="I296" i="10"/>
  <c r="H296" i="10"/>
  <c r="G296" i="10"/>
  <c r="F296" i="10"/>
  <c r="E296" i="10"/>
  <c r="D296" i="10"/>
  <c r="N292" i="10"/>
  <c r="N289" i="10"/>
  <c r="N285" i="10"/>
  <c r="N288" i="10"/>
  <c r="N287" i="10"/>
  <c r="N286" i="10"/>
  <c r="N283" i="10"/>
  <c r="N284" i="10"/>
  <c r="N282" i="10"/>
  <c r="N281" i="10"/>
  <c r="N291" i="10"/>
  <c r="N280" i="10"/>
  <c r="N279" i="10"/>
  <c r="N278" i="10"/>
  <c r="N277" i="10"/>
  <c r="M276" i="10"/>
  <c r="L276" i="10"/>
  <c r="K276" i="10"/>
  <c r="J276" i="10"/>
  <c r="I276" i="10"/>
  <c r="H276" i="10"/>
  <c r="G276" i="10"/>
  <c r="F276" i="10"/>
  <c r="E276" i="10"/>
  <c r="D276" i="10"/>
  <c r="N259" i="10"/>
  <c r="N263" i="10"/>
  <c r="N273" i="10"/>
  <c r="N267" i="10"/>
  <c r="N269" i="10"/>
  <c r="N272" i="10"/>
  <c r="N270" i="10"/>
  <c r="N265" i="10"/>
  <c r="N264" i="10"/>
  <c r="N260" i="10"/>
  <c r="N262" i="10"/>
  <c r="N261" i="10"/>
  <c r="N258" i="10"/>
  <c r="N256" i="10"/>
  <c r="N257" i="10"/>
  <c r="N255" i="10"/>
  <c r="M247" i="10"/>
  <c r="L247" i="10"/>
  <c r="K247" i="10"/>
  <c r="J247" i="10"/>
  <c r="I247" i="10"/>
  <c r="H247" i="10"/>
  <c r="G247" i="10"/>
  <c r="F247" i="10"/>
  <c r="E247" i="10"/>
  <c r="D247" i="10"/>
  <c r="N246" i="10"/>
  <c r="M26" i="11" l="1"/>
  <c r="N342" i="10"/>
  <c r="N276" i="10"/>
  <c r="N296" i="10"/>
  <c r="N247" i="10"/>
  <c r="N298" i="10"/>
  <c r="M245" i="10"/>
  <c r="L245" i="10"/>
  <c r="K245" i="10"/>
  <c r="J245" i="10"/>
  <c r="I245" i="10"/>
  <c r="H245" i="10"/>
  <c r="G245" i="10"/>
  <c r="F245" i="10"/>
  <c r="E245" i="10"/>
  <c r="D245" i="10"/>
  <c r="N243" i="10"/>
  <c r="N241" i="10"/>
  <c r="N237" i="10"/>
  <c r="N238" i="10"/>
  <c r="N239" i="10"/>
  <c r="N235" i="10"/>
  <c r="N236" i="10"/>
  <c r="N233" i="10"/>
  <c r="N234" i="10"/>
  <c r="N232" i="10"/>
  <c r="N240" i="10"/>
  <c r="N231" i="10"/>
  <c r="N230" i="10"/>
  <c r="N229" i="10"/>
  <c r="N228" i="10"/>
  <c r="N227" i="10"/>
  <c r="N226" i="10"/>
  <c r="N225" i="10"/>
  <c r="N245" i="10" l="1"/>
  <c r="M224" i="10"/>
  <c r="L224" i="10"/>
  <c r="K224" i="10"/>
  <c r="J224" i="10"/>
  <c r="I224" i="10"/>
  <c r="H224" i="10"/>
  <c r="G224" i="10"/>
  <c r="F224" i="10"/>
  <c r="E224" i="10"/>
  <c r="D224" i="10"/>
  <c r="N213" i="10"/>
  <c r="N212" i="10"/>
  <c r="N224" i="10" l="1"/>
  <c r="M206" i="10"/>
  <c r="L206" i="10"/>
  <c r="K206" i="10"/>
  <c r="J206" i="10"/>
  <c r="I206" i="10"/>
  <c r="H206" i="10"/>
  <c r="G206" i="10"/>
  <c r="F206" i="10"/>
  <c r="E206" i="10"/>
  <c r="D206" i="10"/>
  <c r="N205" i="10"/>
  <c r="M204" i="10"/>
  <c r="L204" i="10"/>
  <c r="K204" i="10"/>
  <c r="J204" i="10"/>
  <c r="I204" i="10"/>
  <c r="H204" i="10"/>
  <c r="G204" i="10"/>
  <c r="F204" i="10"/>
  <c r="E204" i="10"/>
  <c r="D204" i="10"/>
  <c r="N189" i="10"/>
  <c r="N200" i="10"/>
  <c r="N197" i="10"/>
  <c r="N199" i="10"/>
  <c r="N188" i="10"/>
  <c r="N194" i="10"/>
  <c r="N196" i="10"/>
  <c r="N190" i="10"/>
  <c r="N191" i="10"/>
  <c r="N193" i="10"/>
  <c r="N201" i="10"/>
  <c r="N195" i="10"/>
  <c r="N192" i="10"/>
  <c r="N184" i="10"/>
  <c r="N182" i="10"/>
  <c r="N187" i="10"/>
  <c r="N185" i="10"/>
  <c r="N186" i="10"/>
  <c r="N183" i="10"/>
  <c r="N181" i="10"/>
  <c r="N180" i="10"/>
  <c r="N179" i="10"/>
  <c r="M178" i="10"/>
  <c r="L178" i="10"/>
  <c r="K178" i="10"/>
  <c r="J178" i="10"/>
  <c r="I178" i="10"/>
  <c r="H178" i="10"/>
  <c r="G178" i="10"/>
  <c r="F178" i="10"/>
  <c r="E178" i="10"/>
  <c r="D178" i="10"/>
  <c r="N177" i="10"/>
  <c r="N163" i="10"/>
  <c r="N164" i="10"/>
  <c r="N162" i="10"/>
  <c r="M154" i="10"/>
  <c r="L154" i="10"/>
  <c r="K154" i="10"/>
  <c r="J154" i="10"/>
  <c r="I154" i="10"/>
  <c r="H154" i="10"/>
  <c r="G154" i="10"/>
  <c r="F154" i="10"/>
  <c r="E154" i="10"/>
  <c r="D154" i="10"/>
  <c r="N153" i="10"/>
  <c r="M152" i="10"/>
  <c r="L152" i="10"/>
  <c r="K152" i="10"/>
  <c r="J152" i="10"/>
  <c r="I152" i="10"/>
  <c r="H152" i="10"/>
  <c r="G152" i="10"/>
  <c r="F152" i="10"/>
  <c r="E152" i="10"/>
  <c r="D152" i="10"/>
  <c r="N144" i="10"/>
  <c r="N143" i="10"/>
  <c r="N149" i="10"/>
  <c r="N140" i="10"/>
  <c r="N146" i="10"/>
  <c r="N147" i="10"/>
  <c r="N139" i="10"/>
  <c r="N133" i="10"/>
  <c r="N134" i="10"/>
  <c r="N132" i="10"/>
  <c r="N135" i="10"/>
  <c r="N136" i="10"/>
  <c r="N131" i="10"/>
  <c r="N130" i="10"/>
  <c r="M129" i="10"/>
  <c r="L129" i="10"/>
  <c r="K129" i="10"/>
  <c r="J129" i="10"/>
  <c r="I129" i="10"/>
  <c r="H129" i="10"/>
  <c r="G129" i="10"/>
  <c r="F129" i="10"/>
  <c r="E129" i="10"/>
  <c r="D129" i="10"/>
  <c r="N119" i="10"/>
  <c r="N124" i="10"/>
  <c r="N121" i="10"/>
  <c r="N123" i="10"/>
  <c r="N120" i="10"/>
  <c r="N116" i="10"/>
  <c r="N118" i="10"/>
  <c r="N117" i="10"/>
  <c r="N115" i="10"/>
  <c r="N114" i="10"/>
  <c r="N112" i="10"/>
  <c r="N111" i="10"/>
  <c r="N113" i="10"/>
  <c r="N105" i="10"/>
  <c r="M104" i="10"/>
  <c r="L104" i="10"/>
  <c r="K104" i="10"/>
  <c r="J104" i="10"/>
  <c r="I104" i="10"/>
  <c r="H104" i="10"/>
  <c r="G104" i="10"/>
  <c r="F104" i="10"/>
  <c r="E104" i="10"/>
  <c r="D104" i="10"/>
  <c r="N98" i="10"/>
  <c r="N96" i="10"/>
  <c r="N97" i="10"/>
  <c r="N94" i="10"/>
  <c r="N101" i="10"/>
  <c r="N93" i="10"/>
  <c r="N92" i="10"/>
  <c r="N91" i="10"/>
  <c r="N206" i="10" l="1"/>
  <c r="N152" i="10"/>
  <c r="N178" i="10"/>
  <c r="N154" i="10"/>
  <c r="N204" i="10"/>
  <c r="N129" i="10"/>
  <c r="M90" i="10"/>
  <c r="L90" i="10"/>
  <c r="K90" i="10"/>
  <c r="J90" i="10"/>
  <c r="I90" i="10"/>
  <c r="H90" i="10"/>
  <c r="G90" i="10"/>
  <c r="F90" i="10"/>
  <c r="E90" i="10"/>
  <c r="D90" i="10"/>
  <c r="N84" i="10"/>
  <c r="N78" i="10"/>
  <c r="N69" i="10"/>
  <c r="N71" i="10"/>
  <c r="N70" i="10"/>
  <c r="N72" i="10"/>
  <c r="N74" i="10"/>
  <c r="N68" i="10"/>
  <c r="N67" i="10"/>
  <c r="N66" i="10"/>
  <c r="M60" i="10"/>
  <c r="L60" i="10"/>
  <c r="O60" i="10" s="1"/>
  <c r="K60" i="10"/>
  <c r="J60" i="10"/>
  <c r="I60" i="10"/>
  <c r="H60" i="10"/>
  <c r="G60" i="10"/>
  <c r="F60" i="10"/>
  <c r="E60" i="10"/>
  <c r="D60" i="10"/>
  <c r="N59" i="10"/>
  <c r="M58" i="10"/>
  <c r="L58" i="10"/>
  <c r="K58" i="10"/>
  <c r="J58" i="10"/>
  <c r="I58" i="10"/>
  <c r="H58" i="10"/>
  <c r="G58" i="10"/>
  <c r="F58" i="10"/>
  <c r="E58" i="10"/>
  <c r="D58" i="10"/>
  <c r="N54" i="10"/>
  <c r="N52" i="10"/>
  <c r="N49" i="10"/>
  <c r="N51" i="10"/>
  <c r="N50" i="10"/>
  <c r="N48" i="10"/>
  <c r="M47" i="10"/>
  <c r="L47" i="10"/>
  <c r="K47" i="10"/>
  <c r="J47" i="10"/>
  <c r="I47" i="10"/>
  <c r="H47" i="10"/>
  <c r="G47" i="10"/>
  <c r="F47" i="10"/>
  <c r="E47" i="10"/>
  <c r="D47" i="10"/>
  <c r="N43" i="10"/>
  <c r="N40" i="10"/>
  <c r="N36" i="10"/>
  <c r="N35" i="10"/>
  <c r="N33" i="10"/>
  <c r="N30" i="10"/>
  <c r="N34" i="10"/>
  <c r="N42" i="10"/>
  <c r="N31" i="10"/>
  <c r="N32" i="10"/>
  <c r="N29" i="10"/>
  <c r="N28" i="10"/>
  <c r="M27" i="10"/>
  <c r="L27" i="10"/>
  <c r="K27" i="10"/>
  <c r="J27" i="10"/>
  <c r="I27" i="10"/>
  <c r="H27" i="10"/>
  <c r="G27" i="10"/>
  <c r="F27" i="10"/>
  <c r="E27" i="10"/>
  <c r="D27" i="10"/>
  <c r="N19" i="10"/>
  <c r="N20" i="10"/>
  <c r="N23" i="10"/>
  <c r="N18" i="10"/>
  <c r="N17" i="10"/>
  <c r="N21" i="10"/>
  <c r="N15" i="10"/>
  <c r="N16" i="10"/>
  <c r="N14" i="10"/>
  <c r="N13" i="10"/>
  <c r="N12" i="10"/>
  <c r="M11" i="10"/>
  <c r="L11" i="10"/>
  <c r="K11" i="10"/>
  <c r="J11" i="10"/>
  <c r="I11" i="10"/>
  <c r="H11" i="10"/>
  <c r="G11" i="10"/>
  <c r="F11" i="10"/>
  <c r="E11" i="10"/>
  <c r="D11" i="10"/>
  <c r="P60" i="10" l="1"/>
  <c r="Q60" i="10" s="1"/>
  <c r="N60" i="10"/>
  <c r="N11" i="10"/>
  <c r="N27" i="10"/>
  <c r="N5" i="10"/>
  <c r="M49" i="9"/>
  <c r="L48" i="9" l="1"/>
  <c r="K48" i="9"/>
  <c r="J48" i="9"/>
  <c r="I48" i="9"/>
  <c r="H48" i="9"/>
  <c r="G48" i="9"/>
  <c r="F48" i="9"/>
  <c r="E48" i="9"/>
  <c r="D48" i="9"/>
  <c r="C48" i="9"/>
  <c r="M36" i="9"/>
  <c r="M34" i="9"/>
  <c r="M33" i="9"/>
  <c r="M48" i="9" l="1"/>
  <c r="L32" i="9"/>
  <c r="K32" i="9"/>
  <c r="J32" i="9"/>
  <c r="I32" i="9"/>
  <c r="H32" i="9"/>
  <c r="G32" i="9"/>
  <c r="F32" i="9"/>
  <c r="E32" i="9"/>
  <c r="D32" i="9"/>
  <c r="C32" i="9"/>
  <c r="M26" i="9"/>
  <c r="M29" i="9"/>
  <c r="M28" i="9"/>
  <c r="M27" i="9"/>
  <c r="M23" i="9"/>
  <c r="M24" i="9"/>
  <c r="M22" i="9"/>
  <c r="M19" i="9"/>
  <c r="M12" i="9"/>
  <c r="M16" i="9"/>
  <c r="M17" i="9"/>
  <c r="M13" i="9"/>
  <c r="M15" i="9"/>
  <c r="M14" i="9"/>
  <c r="M8" i="9"/>
  <c r="M11" i="9"/>
  <c r="M10" i="9"/>
  <c r="M9" i="9"/>
  <c r="M7" i="9"/>
  <c r="M6" i="9"/>
  <c r="M5" i="9"/>
  <c r="M98" i="8"/>
  <c r="L98" i="8"/>
  <c r="K98" i="8"/>
  <c r="J98" i="8"/>
  <c r="I98" i="8"/>
  <c r="H98" i="8"/>
  <c r="G98" i="8"/>
  <c r="F98" i="8"/>
  <c r="E98" i="8"/>
  <c r="D98" i="8"/>
  <c r="M96" i="8"/>
  <c r="L96" i="8"/>
  <c r="K96" i="8"/>
  <c r="J96" i="8"/>
  <c r="I96" i="8"/>
  <c r="H96" i="8"/>
  <c r="G96" i="8"/>
  <c r="F96" i="8"/>
  <c r="E96" i="8"/>
  <c r="D96" i="8"/>
  <c r="N88" i="8"/>
  <c r="N79" i="8"/>
  <c r="N76" i="8"/>
  <c r="N87" i="8"/>
  <c r="N74" i="8"/>
  <c r="N80" i="8"/>
  <c r="N75" i="8"/>
  <c r="N73" i="8"/>
  <c r="N72" i="8"/>
  <c r="N98" i="8" l="1"/>
  <c r="M32" i="9"/>
  <c r="N96" i="8"/>
  <c r="M70" i="8"/>
  <c r="L70" i="8"/>
  <c r="K70" i="8"/>
  <c r="J70" i="8"/>
  <c r="I70" i="8"/>
  <c r="H70" i="8"/>
  <c r="G70" i="8"/>
  <c r="F70" i="8"/>
  <c r="E70" i="8"/>
  <c r="D70" i="8"/>
  <c r="N53" i="8"/>
  <c r="N55" i="8"/>
  <c r="N57" i="8"/>
  <c r="N51" i="8"/>
  <c r="N50" i="8"/>
  <c r="M49" i="8"/>
  <c r="N49" i="8" s="1"/>
  <c r="L49" i="8"/>
  <c r="K49" i="8"/>
  <c r="J49" i="8"/>
  <c r="I49" i="8"/>
  <c r="H49" i="8"/>
  <c r="G49" i="8"/>
  <c r="F49" i="8"/>
  <c r="E49" i="8"/>
  <c r="D49" i="8"/>
  <c r="N48" i="8"/>
  <c r="M47" i="8"/>
  <c r="L47" i="8"/>
  <c r="K47" i="8"/>
  <c r="J47" i="8"/>
  <c r="I47" i="8"/>
  <c r="H47" i="8"/>
  <c r="G47" i="8"/>
  <c r="F47" i="8"/>
  <c r="E47" i="8"/>
  <c r="D47" i="8"/>
  <c r="N37" i="8"/>
  <c r="N35" i="8"/>
  <c r="N36" i="8"/>
  <c r="N32" i="8"/>
  <c r="N34" i="8"/>
  <c r="N33" i="8"/>
  <c r="N31" i="8"/>
  <c r="N30" i="8"/>
  <c r="N29" i="8"/>
  <c r="M28" i="8" l="1"/>
  <c r="L28" i="8" l="1"/>
  <c r="K28" i="8"/>
  <c r="J28" i="8"/>
  <c r="I28" i="8"/>
  <c r="H28" i="8"/>
  <c r="G28" i="8"/>
  <c r="F28" i="8"/>
  <c r="E28" i="8"/>
  <c r="D28" i="8"/>
  <c r="N16" i="8"/>
  <c r="N15" i="8"/>
  <c r="N13" i="8"/>
  <c r="N12" i="8"/>
  <c r="N11" i="8"/>
  <c r="N10" i="8"/>
  <c r="N9" i="8"/>
  <c r="N6" i="8"/>
  <c r="N8" i="8"/>
  <c r="N7" i="8"/>
  <c r="M266" i="7"/>
  <c r="L265" i="7"/>
  <c r="K265" i="7"/>
  <c r="M265" i="7" l="1"/>
  <c r="J265" i="7"/>
  <c r="I265" i="7"/>
  <c r="H265" i="7"/>
  <c r="G265" i="7"/>
  <c r="F265" i="7"/>
  <c r="E265" i="7"/>
  <c r="D265" i="7"/>
  <c r="C265" i="7"/>
  <c r="M258" i="7"/>
  <c r="M257" i="7"/>
  <c r="M260" i="7"/>
  <c r="M256" i="7"/>
  <c r="M255" i="7"/>
  <c r="M254" i="7"/>
  <c r="M253" i="7"/>
  <c r="M252" i="7"/>
  <c r="M251" i="7"/>
  <c r="M250" i="7"/>
  <c r="L249" i="7"/>
  <c r="K249" i="7"/>
  <c r="J249" i="7"/>
  <c r="I249" i="7"/>
  <c r="H249" i="7"/>
  <c r="G249" i="7"/>
  <c r="F249" i="7"/>
  <c r="E249" i="7"/>
  <c r="D249" i="7"/>
  <c r="C249" i="7"/>
  <c r="M247" i="7"/>
  <c r="M248" i="7"/>
  <c r="M244" i="7"/>
  <c r="M238" i="7"/>
  <c r="M245" i="7"/>
  <c r="M242" i="7"/>
  <c r="M237" i="7"/>
  <c r="M241" i="7"/>
  <c r="M240" i="7"/>
  <c r="M243" i="7"/>
  <c r="M236" i="7"/>
  <c r="M235" i="7"/>
  <c r="M232" i="7"/>
  <c r="M234" i="7"/>
  <c r="M230" i="7"/>
  <c r="M233" i="7"/>
  <c r="M229" i="7"/>
  <c r="M228" i="7"/>
  <c r="M227" i="7"/>
  <c r="M226" i="7"/>
  <c r="M231" i="7"/>
  <c r="M225" i="7"/>
  <c r="M224" i="7"/>
  <c r="M217" i="7"/>
  <c r="L216" i="7"/>
  <c r="K216" i="7"/>
  <c r="J216" i="7"/>
  <c r="I216" i="7"/>
  <c r="H216" i="7"/>
  <c r="G216" i="7"/>
  <c r="F216" i="7"/>
  <c r="E216" i="7"/>
  <c r="D216" i="7"/>
  <c r="C216" i="7"/>
  <c r="M209" i="7"/>
  <c r="M215" i="7"/>
  <c r="M214" i="7"/>
  <c r="M211" i="7"/>
  <c r="M213" i="7"/>
  <c r="M210" i="7"/>
  <c r="M208" i="7"/>
  <c r="M207" i="7"/>
  <c r="M206" i="7"/>
  <c r="M205" i="7"/>
  <c r="M204" i="7"/>
  <c r="M203" i="7"/>
  <c r="M202" i="7"/>
  <c r="L201" i="7"/>
  <c r="K201" i="7"/>
  <c r="J201" i="7"/>
  <c r="I201" i="7"/>
  <c r="H201" i="7"/>
  <c r="G201" i="7"/>
  <c r="F201" i="7"/>
  <c r="E201" i="7"/>
  <c r="D201" i="7"/>
  <c r="C201" i="7"/>
  <c r="M196" i="7"/>
  <c r="M195" i="7"/>
  <c r="M194" i="7"/>
  <c r="M197" i="7"/>
  <c r="M193" i="7"/>
  <c r="M192" i="7"/>
  <c r="M185" i="7"/>
  <c r="M184" i="7"/>
  <c r="M190" i="7"/>
  <c r="M188" i="7"/>
  <c r="M191" i="7"/>
  <c r="M187" i="7"/>
  <c r="M183" i="7"/>
  <c r="M186" i="7"/>
  <c r="M182" i="7"/>
  <c r="M181" i="7"/>
  <c r="M174" i="7"/>
  <c r="L173" i="7"/>
  <c r="K173" i="7"/>
  <c r="J173" i="7"/>
  <c r="I173" i="7"/>
  <c r="H173" i="7"/>
  <c r="G173" i="7"/>
  <c r="F173" i="7"/>
  <c r="E173" i="7"/>
  <c r="D173" i="7"/>
  <c r="C173" i="7"/>
  <c r="M169" i="7"/>
  <c r="M167" i="7"/>
  <c r="M161" i="7"/>
  <c r="M163" i="7"/>
  <c r="M159" i="7"/>
  <c r="M164" i="7"/>
  <c r="M160" i="7"/>
  <c r="M158" i="7"/>
  <c r="M162" i="7"/>
  <c r="M157" i="7"/>
  <c r="M156" i="7"/>
  <c r="L155" i="7"/>
  <c r="K155" i="7"/>
  <c r="J155" i="7"/>
  <c r="I155" i="7"/>
  <c r="H155" i="7"/>
  <c r="G155" i="7"/>
  <c r="F155" i="7"/>
  <c r="E155" i="7"/>
  <c r="D155" i="7"/>
  <c r="C155" i="7"/>
  <c r="M152" i="7"/>
  <c r="M150" i="7"/>
  <c r="M148" i="7"/>
  <c r="M147" i="7"/>
  <c r="M146" i="7"/>
  <c r="M145" i="7"/>
  <c r="M144" i="7"/>
  <c r="M143" i="7"/>
  <c r="M141" i="7"/>
  <c r="M142" i="7"/>
  <c r="M140" i="7"/>
  <c r="M139" i="7"/>
  <c r="M138" i="7"/>
  <c r="M131" i="7"/>
  <c r="L130" i="7"/>
  <c r="K130" i="7"/>
  <c r="J130" i="7"/>
  <c r="I130" i="7"/>
  <c r="H130" i="7"/>
  <c r="G130" i="7"/>
  <c r="F130" i="7"/>
  <c r="E130" i="7"/>
  <c r="D130" i="7"/>
  <c r="C130" i="7"/>
  <c r="M126" i="7"/>
  <c r="M120" i="7"/>
  <c r="M121" i="7"/>
  <c r="M119" i="7"/>
  <c r="M118" i="7"/>
  <c r="M117" i="7"/>
  <c r="M116" i="7"/>
  <c r="M115" i="7"/>
  <c r="L114" i="7"/>
  <c r="K114" i="7"/>
  <c r="J114" i="7"/>
  <c r="I114" i="7"/>
  <c r="H114" i="7"/>
  <c r="G114" i="7"/>
  <c r="F114" i="7"/>
  <c r="E114" i="7"/>
  <c r="D114" i="7"/>
  <c r="C114" i="7"/>
  <c r="M111" i="7"/>
  <c r="M106" i="7"/>
  <c r="M107" i="7"/>
  <c r="M109" i="7"/>
  <c r="M105" i="7"/>
  <c r="M101" i="7"/>
  <c r="M100" i="7"/>
  <c r="M96" i="7"/>
  <c r="M94" i="7"/>
  <c r="M98" i="7"/>
  <c r="M97" i="7"/>
  <c r="M95" i="7"/>
  <c r="M102" i="7"/>
  <c r="M93" i="7"/>
  <c r="M92" i="7"/>
  <c r="M91" i="7"/>
  <c r="M90" i="7"/>
  <c r="M89" i="7"/>
  <c r="M82" i="7"/>
  <c r="M173" i="7" l="1"/>
  <c r="M216" i="7"/>
  <c r="M130" i="7"/>
  <c r="M155" i="7"/>
  <c r="M114" i="7"/>
  <c r="M249" i="7"/>
  <c r="L81" i="7"/>
  <c r="K81" i="7"/>
  <c r="J81" i="7"/>
  <c r="I81" i="7"/>
  <c r="H81" i="7"/>
  <c r="G81" i="7"/>
  <c r="F81" i="7"/>
  <c r="E81" i="7"/>
  <c r="D81" i="7"/>
  <c r="C81" i="7"/>
  <c r="M69" i="7"/>
  <c r="M77" i="7"/>
  <c r="M73" i="7"/>
  <c r="M74" i="7"/>
  <c r="M70" i="7"/>
  <c r="M72" i="7"/>
  <c r="M68" i="7"/>
  <c r="M71" i="7"/>
  <c r="M67" i="7"/>
  <c r="M66" i="7"/>
  <c r="M64" i="7"/>
  <c r="M63" i="7"/>
  <c r="L62" i="7"/>
  <c r="K62" i="7"/>
  <c r="J62" i="7"/>
  <c r="I62" i="7"/>
  <c r="H62" i="7"/>
  <c r="G62" i="7"/>
  <c r="F62" i="7"/>
  <c r="E62" i="7"/>
  <c r="D62" i="7"/>
  <c r="C62" i="7"/>
  <c r="M57" i="7"/>
  <c r="M56" i="7"/>
  <c r="M55" i="7"/>
  <c r="M54" i="7"/>
  <c r="M51" i="7"/>
  <c r="M52" i="7"/>
  <c r="M47" i="7"/>
  <c r="M50" i="7"/>
  <c r="M53" i="7"/>
  <c r="M49" i="7"/>
  <c r="M48" i="7"/>
  <c r="M46" i="7"/>
  <c r="M45" i="7"/>
  <c r="M44" i="7"/>
  <c r="M43" i="7"/>
  <c r="M42" i="7"/>
  <c r="M35" i="7"/>
  <c r="L34" i="7"/>
  <c r="K34" i="7"/>
  <c r="J34" i="7"/>
  <c r="I34" i="7"/>
  <c r="H34" i="7"/>
  <c r="G34" i="7"/>
  <c r="F34" i="7"/>
  <c r="E34" i="7"/>
  <c r="D34" i="7"/>
  <c r="C34" i="7"/>
  <c r="M27" i="7"/>
  <c r="M25" i="7"/>
  <c r="M24" i="7"/>
  <c r="M22" i="7"/>
  <c r="M21" i="7"/>
  <c r="M20" i="7"/>
  <c r="M19" i="7"/>
  <c r="M18" i="7"/>
  <c r="L17" i="7"/>
  <c r="K17" i="7"/>
  <c r="J17" i="7"/>
  <c r="I17" i="7"/>
  <c r="H17" i="7"/>
  <c r="G17" i="7"/>
  <c r="F17" i="7"/>
  <c r="E17" i="7"/>
  <c r="D17" i="7"/>
  <c r="C17" i="7"/>
  <c r="M9" i="7"/>
  <c r="M8" i="7"/>
  <c r="M6" i="7"/>
  <c r="M7" i="7"/>
  <c r="M5" i="7"/>
  <c r="AH39" i="24"/>
  <c r="F39" i="23" s="1"/>
  <c r="AF39" i="24"/>
  <c r="D39" i="23" s="1"/>
  <c r="AE39" i="24"/>
  <c r="C39" i="23" s="1"/>
  <c r="AD39" i="24"/>
  <c r="B39" i="23" s="1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AH37" i="24"/>
  <c r="F37" i="23" s="1"/>
  <c r="AF37" i="24"/>
  <c r="D37" i="23" s="1"/>
  <c r="AE37" i="24"/>
  <c r="C37" i="23" s="1"/>
  <c r="AD37" i="24"/>
  <c r="B37" i="23" s="1"/>
  <c r="AH36" i="24"/>
  <c r="F36" i="23" s="1"/>
  <c r="AF36" i="24"/>
  <c r="D36" i="23" s="1"/>
  <c r="AE36" i="24"/>
  <c r="C36" i="23" s="1"/>
  <c r="AD36" i="24"/>
  <c r="B36" i="23" s="1"/>
  <c r="AH35" i="24"/>
  <c r="F35" i="23" s="1"/>
  <c r="AF35" i="24"/>
  <c r="D35" i="23" s="1"/>
  <c r="AE35" i="24"/>
  <c r="C35" i="23" s="1"/>
  <c r="AD35" i="24"/>
  <c r="B35" i="23" s="1"/>
  <c r="AH34" i="24"/>
  <c r="F34" i="23" s="1"/>
  <c r="AF34" i="24"/>
  <c r="D34" i="23" s="1"/>
  <c r="AE34" i="24"/>
  <c r="C34" i="23" s="1"/>
  <c r="AD34" i="24"/>
  <c r="B34" i="23" s="1"/>
  <c r="AH33" i="24"/>
  <c r="F33" i="23" s="1"/>
  <c r="AF33" i="24"/>
  <c r="D33" i="23" s="1"/>
  <c r="AE33" i="24"/>
  <c r="C33" i="23" s="1"/>
  <c r="AD33" i="24"/>
  <c r="B33" i="23" s="1"/>
  <c r="AH32" i="24"/>
  <c r="F32" i="23" s="1"/>
  <c r="AF32" i="24"/>
  <c r="D32" i="23" s="1"/>
  <c r="AE32" i="24"/>
  <c r="C32" i="23" s="1"/>
  <c r="AD32" i="24"/>
  <c r="B32" i="23" s="1"/>
  <c r="AH31" i="24"/>
  <c r="F31" i="23" s="1"/>
  <c r="AF31" i="24"/>
  <c r="D31" i="23" s="1"/>
  <c r="AE31" i="24"/>
  <c r="C31" i="23" s="1"/>
  <c r="AD31" i="24"/>
  <c r="B31" i="23" s="1"/>
  <c r="AH30" i="24"/>
  <c r="F30" i="23" s="1"/>
  <c r="AF30" i="24"/>
  <c r="D30" i="23" s="1"/>
  <c r="AE30" i="24"/>
  <c r="C30" i="23" s="1"/>
  <c r="AD30" i="24"/>
  <c r="B30" i="23" s="1"/>
  <c r="AH29" i="24"/>
  <c r="F29" i="23" s="1"/>
  <c r="AF29" i="24"/>
  <c r="D29" i="23" s="1"/>
  <c r="AE29" i="24"/>
  <c r="C29" i="23" s="1"/>
  <c r="AD29" i="24"/>
  <c r="B29" i="23" s="1"/>
  <c r="AH28" i="24"/>
  <c r="F28" i="23" s="1"/>
  <c r="AF28" i="24"/>
  <c r="D28" i="23" s="1"/>
  <c r="AE28" i="24"/>
  <c r="C28" i="23" s="1"/>
  <c r="AD28" i="24"/>
  <c r="B28" i="23" s="1"/>
  <c r="AH27" i="24"/>
  <c r="F27" i="23" s="1"/>
  <c r="AF27" i="24"/>
  <c r="D27" i="23" s="1"/>
  <c r="AE27" i="24"/>
  <c r="C27" i="23" s="1"/>
  <c r="AD27" i="24"/>
  <c r="B27" i="23" s="1"/>
  <c r="AH26" i="24"/>
  <c r="F26" i="23" s="1"/>
  <c r="AF26" i="24"/>
  <c r="D26" i="23" s="1"/>
  <c r="AE26" i="24"/>
  <c r="C26" i="23" s="1"/>
  <c r="AD26" i="24"/>
  <c r="B26" i="23" s="1"/>
  <c r="AH25" i="24"/>
  <c r="F25" i="23" s="1"/>
  <c r="AF25" i="24"/>
  <c r="D25" i="23" s="1"/>
  <c r="AE25" i="24"/>
  <c r="C25" i="23" s="1"/>
  <c r="AD25" i="24"/>
  <c r="B25" i="23" s="1"/>
  <c r="AH24" i="24"/>
  <c r="F24" i="23" s="1"/>
  <c r="AF24" i="24"/>
  <c r="D24" i="23" s="1"/>
  <c r="AE24" i="24"/>
  <c r="C24" i="23" s="1"/>
  <c r="AD24" i="24"/>
  <c r="B24" i="23" s="1"/>
  <c r="AH23" i="24"/>
  <c r="F23" i="23" s="1"/>
  <c r="G23" i="23" s="1"/>
  <c r="AF23" i="24"/>
  <c r="D23" i="23" s="1"/>
  <c r="AE23" i="24"/>
  <c r="C23" i="23" s="1"/>
  <c r="AD23" i="24"/>
  <c r="B23" i="23" s="1"/>
  <c r="AH22" i="24"/>
  <c r="F22" i="23" s="1"/>
  <c r="G22" i="23" s="1"/>
  <c r="AF22" i="24"/>
  <c r="D22" i="23" s="1"/>
  <c r="AE22" i="24"/>
  <c r="C22" i="23" s="1"/>
  <c r="AD22" i="24"/>
  <c r="B22" i="23" s="1"/>
  <c r="AH21" i="24"/>
  <c r="F21" i="23" s="1"/>
  <c r="G21" i="23" s="1"/>
  <c r="AF21" i="24"/>
  <c r="D21" i="23" s="1"/>
  <c r="AE21" i="24"/>
  <c r="C21" i="23" s="1"/>
  <c r="AD21" i="24"/>
  <c r="B21" i="23" s="1"/>
  <c r="AH20" i="24"/>
  <c r="F20" i="23" s="1"/>
  <c r="G20" i="23" s="1"/>
  <c r="AF20" i="24"/>
  <c r="D20" i="23" s="1"/>
  <c r="AE20" i="24"/>
  <c r="C20" i="23" s="1"/>
  <c r="AD20" i="24"/>
  <c r="B20" i="23" s="1"/>
  <c r="AH19" i="24"/>
  <c r="F19" i="23" s="1"/>
  <c r="G19" i="23" s="1"/>
  <c r="AF19" i="24"/>
  <c r="D19" i="23" s="1"/>
  <c r="AE19" i="24"/>
  <c r="C19" i="23" s="1"/>
  <c r="AD19" i="24"/>
  <c r="B19" i="23" s="1"/>
  <c r="AH18" i="24"/>
  <c r="F18" i="23" s="1"/>
  <c r="G18" i="23" s="1"/>
  <c r="AF18" i="24"/>
  <c r="D18" i="23" s="1"/>
  <c r="AE18" i="24"/>
  <c r="C18" i="23" s="1"/>
  <c r="AD18" i="24"/>
  <c r="B18" i="23" s="1"/>
  <c r="AH17" i="24"/>
  <c r="F17" i="23" s="1"/>
  <c r="G17" i="23" s="1"/>
  <c r="AF17" i="24"/>
  <c r="D17" i="23" s="1"/>
  <c r="AE17" i="24"/>
  <c r="C17" i="23" s="1"/>
  <c r="AD17" i="24"/>
  <c r="B17" i="23" s="1"/>
  <c r="AH16" i="24"/>
  <c r="F16" i="23" s="1"/>
  <c r="G16" i="23" s="1"/>
  <c r="AF16" i="24"/>
  <c r="D16" i="23" s="1"/>
  <c r="AE16" i="24"/>
  <c r="C16" i="23" s="1"/>
  <c r="AD16" i="24"/>
  <c r="B16" i="23" s="1"/>
  <c r="AH15" i="24"/>
  <c r="F15" i="23" s="1"/>
  <c r="G15" i="23" s="1"/>
  <c r="AF15" i="24"/>
  <c r="D15" i="23" s="1"/>
  <c r="AE15" i="24"/>
  <c r="C15" i="23" s="1"/>
  <c r="AD15" i="24"/>
  <c r="B15" i="23" s="1"/>
  <c r="AH14" i="24"/>
  <c r="F14" i="23" s="1"/>
  <c r="G14" i="23" s="1"/>
  <c r="AF14" i="24"/>
  <c r="D14" i="23" s="1"/>
  <c r="AE14" i="24"/>
  <c r="C14" i="23" s="1"/>
  <c r="AD14" i="24"/>
  <c r="B14" i="23" s="1"/>
  <c r="AH13" i="24"/>
  <c r="F13" i="23" s="1"/>
  <c r="AF13" i="24"/>
  <c r="D13" i="23" s="1"/>
  <c r="AE13" i="24"/>
  <c r="C13" i="23" s="1"/>
  <c r="AD13" i="24"/>
  <c r="B13" i="23" s="1"/>
  <c r="AH12" i="24"/>
  <c r="F12" i="23" s="1"/>
  <c r="G12" i="23" s="1"/>
  <c r="AF12" i="24"/>
  <c r="D12" i="23" s="1"/>
  <c r="AE12" i="24"/>
  <c r="C12" i="23" s="1"/>
  <c r="AD12" i="24"/>
  <c r="B12" i="23" s="1"/>
  <c r="AH11" i="24"/>
  <c r="F11" i="23" s="1"/>
  <c r="G11" i="23" s="1"/>
  <c r="AF11" i="24"/>
  <c r="D11" i="23" s="1"/>
  <c r="AE11" i="24"/>
  <c r="C11" i="23" s="1"/>
  <c r="AD11" i="24"/>
  <c r="B11" i="23" s="1"/>
  <c r="AH10" i="24"/>
  <c r="F10" i="23" s="1"/>
  <c r="G10" i="23" s="1"/>
  <c r="AF10" i="24"/>
  <c r="D10" i="23" s="1"/>
  <c r="AE10" i="24"/>
  <c r="C10" i="23" s="1"/>
  <c r="AD10" i="24"/>
  <c r="B10" i="23" s="1"/>
  <c r="AH9" i="24"/>
  <c r="F9" i="23" s="1"/>
  <c r="G9" i="23" s="1"/>
  <c r="AF9" i="24"/>
  <c r="D9" i="23" s="1"/>
  <c r="AE9" i="24"/>
  <c r="C9" i="23" s="1"/>
  <c r="AD9" i="24"/>
  <c r="B9" i="23" s="1"/>
  <c r="AH8" i="24"/>
  <c r="F8" i="23" s="1"/>
  <c r="G8" i="23" s="1"/>
  <c r="AF8" i="24"/>
  <c r="D8" i="23" s="1"/>
  <c r="AE8" i="24"/>
  <c r="C8" i="23" s="1"/>
  <c r="AD8" i="24"/>
  <c r="B8" i="23" s="1"/>
  <c r="AH39" i="22"/>
  <c r="F39" i="20" s="1"/>
  <c r="AF39" i="22"/>
  <c r="D39" i="20" s="1"/>
  <c r="AE39" i="22"/>
  <c r="C39" i="20" s="1"/>
  <c r="AD39" i="22"/>
  <c r="B39" i="20" s="1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M81" i="7" l="1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G24" i="23"/>
  <c r="G25" i="23"/>
  <c r="G26" i="23"/>
  <c r="G27" i="23"/>
  <c r="G28" i="23"/>
  <c r="G29" i="23"/>
  <c r="G30" i="23"/>
  <c r="G31" i="23"/>
  <c r="G32" i="23"/>
  <c r="E30" i="23"/>
  <c r="G33" i="23"/>
  <c r="G34" i="23"/>
  <c r="G35" i="23"/>
  <c r="G36" i="23"/>
  <c r="G37" i="23"/>
  <c r="E32" i="23"/>
  <c r="E34" i="23"/>
  <c r="E36" i="23"/>
  <c r="C38" i="23"/>
  <c r="G39" i="23"/>
  <c r="F38" i="23"/>
  <c r="E39" i="23"/>
  <c r="B38" i="23"/>
  <c r="G13" i="23"/>
  <c r="D38" i="23"/>
  <c r="E31" i="23"/>
  <c r="E33" i="23"/>
  <c r="E35" i="23"/>
  <c r="E37" i="23"/>
  <c r="E39" i="20"/>
  <c r="G39" i="20"/>
  <c r="M62" i="7"/>
  <c r="AG8" i="24"/>
  <c r="AG39" i="22"/>
  <c r="AI39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8" i="24"/>
  <c r="AI39" i="22"/>
  <c r="AG11" i="24"/>
  <c r="AG39" i="24"/>
  <c r="AG19" i="24"/>
  <c r="AG27" i="24"/>
  <c r="AD38" i="24"/>
  <c r="AG15" i="24"/>
  <c r="AG31" i="24"/>
  <c r="AG23" i="24"/>
  <c r="AG35" i="24"/>
  <c r="AG9" i="24"/>
  <c r="AG13" i="24"/>
  <c r="AG17" i="24"/>
  <c r="AG21" i="24"/>
  <c r="AG25" i="24"/>
  <c r="AG29" i="24"/>
  <c r="AG33" i="24"/>
  <c r="AG37" i="24"/>
  <c r="AG12" i="24"/>
  <c r="AG16" i="24"/>
  <c r="AG20" i="24"/>
  <c r="AG24" i="24"/>
  <c r="AG28" i="24"/>
  <c r="AG32" i="24"/>
  <c r="AG36" i="24"/>
  <c r="AG10" i="24"/>
  <c r="AG14" i="24"/>
  <c r="AG18" i="24"/>
  <c r="AG22" i="24"/>
  <c r="AG26" i="24"/>
  <c r="AG30" i="24"/>
  <c r="AG34" i="24"/>
  <c r="J38" i="22"/>
  <c r="I38" i="22"/>
  <c r="H38" i="22"/>
  <c r="F38" i="22"/>
  <c r="E38" i="22"/>
  <c r="D38" i="22"/>
  <c r="C38" i="22"/>
  <c r="B38" i="22"/>
  <c r="AH37" i="22"/>
  <c r="F37" i="20" s="1"/>
  <c r="AF37" i="22"/>
  <c r="D37" i="20" s="1"/>
  <c r="AE37" i="22"/>
  <c r="C37" i="20" s="1"/>
  <c r="AD37" i="22"/>
  <c r="B37" i="20" s="1"/>
  <c r="AH36" i="22"/>
  <c r="F36" i="20" s="1"/>
  <c r="AF36" i="22"/>
  <c r="D36" i="20" s="1"/>
  <c r="AE36" i="22"/>
  <c r="C36" i="20" s="1"/>
  <c r="AD36" i="22"/>
  <c r="B36" i="20" s="1"/>
  <c r="AH35" i="22"/>
  <c r="F35" i="20" s="1"/>
  <c r="AF35" i="22"/>
  <c r="D35" i="20" s="1"/>
  <c r="AE35" i="22"/>
  <c r="C35" i="20" s="1"/>
  <c r="AD35" i="22"/>
  <c r="B35" i="20" s="1"/>
  <c r="AH34" i="22"/>
  <c r="F34" i="20" s="1"/>
  <c r="AF34" i="22"/>
  <c r="D34" i="20" s="1"/>
  <c r="AE34" i="22"/>
  <c r="C34" i="20" s="1"/>
  <c r="AD34" i="22"/>
  <c r="B34" i="20" s="1"/>
  <c r="AH33" i="22"/>
  <c r="F33" i="20" s="1"/>
  <c r="AF33" i="22"/>
  <c r="D33" i="20" s="1"/>
  <c r="AE33" i="22"/>
  <c r="C33" i="20" s="1"/>
  <c r="AD33" i="22"/>
  <c r="B33" i="20" s="1"/>
  <c r="AH32" i="22"/>
  <c r="F32" i="20" s="1"/>
  <c r="AF32" i="22"/>
  <c r="D32" i="20" s="1"/>
  <c r="AE32" i="22"/>
  <c r="C32" i="20" s="1"/>
  <c r="AD32" i="22"/>
  <c r="B32" i="20" s="1"/>
  <c r="AH31" i="22"/>
  <c r="F31" i="20" s="1"/>
  <c r="AF31" i="22"/>
  <c r="D31" i="20" s="1"/>
  <c r="AE31" i="22"/>
  <c r="C31" i="20" s="1"/>
  <c r="AD31" i="22"/>
  <c r="B31" i="20" s="1"/>
  <c r="AH30" i="22"/>
  <c r="F30" i="20" s="1"/>
  <c r="AF30" i="22"/>
  <c r="D30" i="20" s="1"/>
  <c r="AE30" i="22"/>
  <c r="C30" i="20" s="1"/>
  <c r="AD30" i="22"/>
  <c r="B30" i="20" s="1"/>
  <c r="AH29" i="22"/>
  <c r="F29" i="20" s="1"/>
  <c r="AF29" i="22"/>
  <c r="D29" i="20" s="1"/>
  <c r="AE29" i="22"/>
  <c r="C29" i="20" s="1"/>
  <c r="AD29" i="22"/>
  <c r="B29" i="20" s="1"/>
  <c r="AH28" i="22"/>
  <c r="F28" i="20" s="1"/>
  <c r="AF28" i="22"/>
  <c r="D28" i="20" s="1"/>
  <c r="AE28" i="22"/>
  <c r="C28" i="20" s="1"/>
  <c r="AD28" i="22"/>
  <c r="B28" i="20" s="1"/>
  <c r="AH27" i="22"/>
  <c r="F27" i="20" s="1"/>
  <c r="AF27" i="22"/>
  <c r="D27" i="20" s="1"/>
  <c r="AE27" i="22"/>
  <c r="C27" i="20" s="1"/>
  <c r="AD27" i="22"/>
  <c r="B27" i="20" s="1"/>
  <c r="AH26" i="22"/>
  <c r="F26" i="20" s="1"/>
  <c r="AF26" i="22"/>
  <c r="D26" i="20" s="1"/>
  <c r="AE26" i="22"/>
  <c r="C26" i="20" s="1"/>
  <c r="AD26" i="22"/>
  <c r="B26" i="20" s="1"/>
  <c r="AH25" i="22"/>
  <c r="F25" i="20" s="1"/>
  <c r="AF25" i="22"/>
  <c r="D25" i="20" s="1"/>
  <c r="AE25" i="22"/>
  <c r="C25" i="20" s="1"/>
  <c r="AD25" i="22"/>
  <c r="B25" i="20" s="1"/>
  <c r="AH24" i="22"/>
  <c r="F24" i="20" s="1"/>
  <c r="AF24" i="22"/>
  <c r="D24" i="20" s="1"/>
  <c r="AE24" i="22"/>
  <c r="C24" i="20" s="1"/>
  <c r="AD24" i="22"/>
  <c r="B24" i="20" s="1"/>
  <c r="AH23" i="22"/>
  <c r="F23" i="20" s="1"/>
  <c r="AF23" i="22"/>
  <c r="D23" i="20" s="1"/>
  <c r="AE23" i="22"/>
  <c r="C23" i="20" s="1"/>
  <c r="AD23" i="22"/>
  <c r="B23" i="20" s="1"/>
  <c r="AH22" i="22"/>
  <c r="F22" i="20" s="1"/>
  <c r="AF22" i="22"/>
  <c r="D22" i="20" s="1"/>
  <c r="AE22" i="22"/>
  <c r="C22" i="20" s="1"/>
  <c r="AD22" i="22"/>
  <c r="B22" i="20" s="1"/>
  <c r="AH21" i="22"/>
  <c r="F21" i="20" s="1"/>
  <c r="AF21" i="22"/>
  <c r="D21" i="20" s="1"/>
  <c r="AE21" i="22"/>
  <c r="C21" i="20" s="1"/>
  <c r="AD21" i="22"/>
  <c r="B21" i="20" s="1"/>
  <c r="AH20" i="22"/>
  <c r="F20" i="20" s="1"/>
  <c r="AF20" i="22"/>
  <c r="D20" i="20" s="1"/>
  <c r="AE20" i="22"/>
  <c r="C20" i="20" s="1"/>
  <c r="AD20" i="22"/>
  <c r="B20" i="20" s="1"/>
  <c r="AH19" i="22"/>
  <c r="F19" i="20" s="1"/>
  <c r="AF19" i="22"/>
  <c r="D19" i="20" s="1"/>
  <c r="AE19" i="22"/>
  <c r="C19" i="20" s="1"/>
  <c r="AD19" i="22"/>
  <c r="B19" i="20" s="1"/>
  <c r="AH18" i="22"/>
  <c r="F18" i="20" s="1"/>
  <c r="AF18" i="22"/>
  <c r="D18" i="20" s="1"/>
  <c r="AE18" i="22"/>
  <c r="C18" i="20" s="1"/>
  <c r="AD18" i="22"/>
  <c r="B18" i="20" s="1"/>
  <c r="AH17" i="22"/>
  <c r="F17" i="20" s="1"/>
  <c r="AF17" i="22"/>
  <c r="D17" i="20" s="1"/>
  <c r="AE17" i="22"/>
  <c r="C17" i="20" s="1"/>
  <c r="AD17" i="22"/>
  <c r="B17" i="20" s="1"/>
  <c r="AH16" i="22"/>
  <c r="F16" i="20" s="1"/>
  <c r="AF16" i="22"/>
  <c r="D16" i="20" s="1"/>
  <c r="AE16" i="22"/>
  <c r="C16" i="20" s="1"/>
  <c r="AD16" i="22"/>
  <c r="B16" i="20" s="1"/>
  <c r="AH15" i="22"/>
  <c r="F15" i="20" s="1"/>
  <c r="AF15" i="22"/>
  <c r="D15" i="20" s="1"/>
  <c r="AE15" i="22"/>
  <c r="C15" i="20" s="1"/>
  <c r="AD15" i="22"/>
  <c r="B15" i="20" s="1"/>
  <c r="AH14" i="22"/>
  <c r="F14" i="20" s="1"/>
  <c r="AF14" i="22"/>
  <c r="D14" i="20" s="1"/>
  <c r="AE14" i="22"/>
  <c r="C14" i="20" s="1"/>
  <c r="AD14" i="22"/>
  <c r="B14" i="20" s="1"/>
  <c r="AH13" i="22"/>
  <c r="F13" i="20" s="1"/>
  <c r="AF13" i="22"/>
  <c r="D13" i="20" s="1"/>
  <c r="AE13" i="22"/>
  <c r="C13" i="20" s="1"/>
  <c r="AD13" i="22"/>
  <c r="B13" i="20" s="1"/>
  <c r="AH12" i="22"/>
  <c r="F12" i="20" s="1"/>
  <c r="AF12" i="22"/>
  <c r="D12" i="20" s="1"/>
  <c r="AE12" i="22"/>
  <c r="C12" i="20" s="1"/>
  <c r="AD12" i="22"/>
  <c r="B12" i="20" s="1"/>
  <c r="AH11" i="22"/>
  <c r="F11" i="20" s="1"/>
  <c r="AF11" i="22"/>
  <c r="D11" i="20" s="1"/>
  <c r="AE11" i="22"/>
  <c r="C11" i="20" s="1"/>
  <c r="AD11" i="22"/>
  <c r="B11" i="20" s="1"/>
  <c r="AH10" i="22"/>
  <c r="F10" i="20" s="1"/>
  <c r="AF10" i="22"/>
  <c r="D10" i="20" s="1"/>
  <c r="AE10" i="22"/>
  <c r="C10" i="20" s="1"/>
  <c r="AD10" i="22"/>
  <c r="B10" i="20" s="1"/>
  <c r="AH9" i="22"/>
  <c r="F9" i="20" s="1"/>
  <c r="AF9" i="22"/>
  <c r="D9" i="20" s="1"/>
  <c r="AE9" i="22"/>
  <c r="C9" i="20" s="1"/>
  <c r="AD9" i="22"/>
  <c r="B9" i="20" s="1"/>
  <c r="AH8" i="22"/>
  <c r="F8" i="20" s="1"/>
  <c r="E9" i="20" l="1"/>
  <c r="E10" i="20"/>
  <c r="E11" i="20"/>
  <c r="E12" i="20"/>
  <c r="E13" i="20"/>
  <c r="E14" i="20"/>
  <c r="E15" i="20"/>
  <c r="E16" i="20"/>
  <c r="G9" i="20"/>
  <c r="G10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G11" i="20"/>
  <c r="G12" i="20"/>
  <c r="E38" i="23"/>
  <c r="G38" i="23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F38" i="20"/>
  <c r="AG9" i="22"/>
  <c r="AI10" i="22"/>
  <c r="AI13" i="22"/>
  <c r="AI16" i="22"/>
  <c r="AI21" i="22"/>
  <c r="AI24" i="22"/>
  <c r="AI27" i="22"/>
  <c r="AI31" i="22"/>
  <c r="AI37" i="22"/>
  <c r="AI11" i="22"/>
  <c r="AI14" i="22"/>
  <c r="AI17" i="22"/>
  <c r="AI19" i="22"/>
  <c r="AI23" i="22"/>
  <c r="AI26" i="22"/>
  <c r="AI29" i="22"/>
  <c r="AI30" i="22"/>
  <c r="AI32" i="22"/>
  <c r="AI33" i="22"/>
  <c r="AI34" i="22"/>
  <c r="AI36" i="22"/>
  <c r="AI9" i="22"/>
  <c r="AI12" i="22"/>
  <c r="AI15" i="22"/>
  <c r="AI18" i="22"/>
  <c r="AI20" i="22"/>
  <c r="AI22" i="22"/>
  <c r="AI25" i="22"/>
  <c r="AI28" i="22"/>
  <c r="AI35" i="22"/>
  <c r="AG22" i="22"/>
  <c r="AG18" i="22"/>
  <c r="AG34" i="22"/>
  <c r="AG14" i="22"/>
  <c r="AG10" i="22"/>
  <c r="AG26" i="22"/>
  <c r="AG13" i="22"/>
  <c r="AG21" i="22"/>
  <c r="AG29" i="22"/>
  <c r="AG17" i="22"/>
  <c r="AG25" i="22"/>
  <c r="AG33" i="22"/>
  <c r="AG30" i="22"/>
  <c r="AG37" i="22"/>
  <c r="AG12" i="22"/>
  <c r="AG16" i="22"/>
  <c r="AG20" i="22"/>
  <c r="AG24" i="22"/>
  <c r="AG28" i="22"/>
  <c r="AG32" i="22"/>
  <c r="AG36" i="22"/>
  <c r="AG11" i="22"/>
  <c r="AG15" i="22"/>
  <c r="AG19" i="22"/>
  <c r="AG23" i="22"/>
  <c r="AG27" i="22"/>
  <c r="AG31" i="22"/>
  <c r="AG35" i="22"/>
  <c r="AF8" i="22"/>
  <c r="D8" i="20" s="1"/>
  <c r="AE8" i="22"/>
  <c r="C8" i="20" s="1"/>
  <c r="C38" i="20" s="1"/>
  <c r="AD8" i="22"/>
  <c r="B8" i="20" s="1"/>
  <c r="B38" i="20" s="1"/>
  <c r="G8" i="20" l="1"/>
  <c r="G38" i="20"/>
  <c r="E8" i="20"/>
  <c r="D38" i="20"/>
  <c r="E38" i="20" s="1"/>
  <c r="AI8" i="22"/>
  <c r="AG8" i="22"/>
  <c r="AA65" i="12"/>
  <c r="Y65" i="12"/>
  <c r="AA64" i="12"/>
  <c r="Y64" i="12"/>
  <c r="Z59" i="12" l="1"/>
  <c r="X59" i="12" l="1"/>
  <c r="W59" i="12"/>
  <c r="AA59" i="12" s="1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Z58" i="12"/>
  <c r="X58" i="12"/>
  <c r="W58" i="12"/>
  <c r="V58" i="12"/>
  <c r="U58" i="12"/>
  <c r="T58" i="12"/>
  <c r="S58" i="12"/>
  <c r="R58" i="12"/>
  <c r="Q58" i="12"/>
  <c r="P58" i="12"/>
  <c r="N58" i="12"/>
  <c r="M58" i="12"/>
  <c r="L58" i="12"/>
  <c r="K58" i="12"/>
  <c r="J58" i="12"/>
  <c r="I58" i="12"/>
  <c r="H58" i="12"/>
  <c r="G58" i="12"/>
  <c r="F58" i="12"/>
  <c r="E58" i="12"/>
  <c r="D58" i="12"/>
  <c r="Z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Z56" i="12"/>
  <c r="Y58" i="12" l="1"/>
  <c r="AA57" i="12"/>
  <c r="Y57" i="12"/>
  <c r="AA58" i="12"/>
  <c r="Y59" i="12"/>
  <c r="X56" i="12"/>
  <c r="W56" i="12"/>
  <c r="AA56" i="12" s="1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AA55" i="12"/>
  <c r="Y55" i="12"/>
  <c r="AA54" i="12"/>
  <c r="Y54" i="12"/>
  <c r="Z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Z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AA51" i="12"/>
  <c r="Y51" i="12"/>
  <c r="AA50" i="12"/>
  <c r="Y50" i="12"/>
  <c r="AA49" i="12"/>
  <c r="Y49" i="12"/>
  <c r="AA48" i="12"/>
  <c r="Y48" i="12"/>
  <c r="AA47" i="12"/>
  <c r="Y47" i="12"/>
  <c r="AA46" i="12"/>
  <c r="Y46" i="12"/>
  <c r="Z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Z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A43" i="12"/>
  <c r="Y43" i="12"/>
  <c r="AA42" i="12"/>
  <c r="Y42" i="12"/>
  <c r="AA41" i="12"/>
  <c r="Y41" i="12"/>
  <c r="AA40" i="12"/>
  <c r="Y40" i="12"/>
  <c r="AA39" i="12"/>
  <c r="Y39" i="12"/>
  <c r="AA38" i="12"/>
  <c r="Y38" i="12"/>
  <c r="Z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Z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AA35" i="12"/>
  <c r="Y35" i="12"/>
  <c r="AA34" i="12"/>
  <c r="Y34" i="12"/>
  <c r="AA33" i="12"/>
  <c r="Y33" i="12"/>
  <c r="AA32" i="12"/>
  <c r="Y32" i="12"/>
  <c r="AA31" i="12"/>
  <c r="Y31" i="12"/>
  <c r="AA30" i="12"/>
  <c r="Y30" i="12"/>
  <c r="Z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A29" i="12" l="1"/>
  <c r="AA37" i="12"/>
  <c r="AA45" i="12"/>
  <c r="AA53" i="12"/>
  <c r="Y29" i="12"/>
  <c r="Y37" i="12"/>
  <c r="Y45" i="12"/>
  <c r="Y53" i="12"/>
  <c r="Y52" i="12"/>
  <c r="Y36" i="12"/>
  <c r="Y44" i="12"/>
  <c r="AA36" i="12"/>
  <c r="AA44" i="12"/>
  <c r="AA52" i="12"/>
  <c r="Y56" i="12"/>
  <c r="Z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A27" i="12"/>
  <c r="Y27" i="12"/>
  <c r="AA26" i="12"/>
  <c r="Y26" i="12"/>
  <c r="AA25" i="12"/>
  <c r="Y25" i="12"/>
  <c r="AA24" i="12"/>
  <c r="Y24" i="12"/>
  <c r="AA23" i="12"/>
  <c r="Y23" i="12"/>
  <c r="AA22" i="12"/>
  <c r="Y22" i="12"/>
  <c r="Z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Z20" i="12"/>
  <c r="X20" i="12"/>
  <c r="W20" i="12"/>
  <c r="V20" i="12"/>
  <c r="U20" i="12"/>
  <c r="T20" i="12"/>
  <c r="S20" i="12"/>
  <c r="R20" i="12"/>
  <c r="Q20" i="12"/>
  <c r="P20" i="12"/>
  <c r="N20" i="12"/>
  <c r="M20" i="12"/>
  <c r="L20" i="12"/>
  <c r="K20" i="12"/>
  <c r="J20" i="12"/>
  <c r="I20" i="12"/>
  <c r="H20" i="12"/>
  <c r="G20" i="12"/>
  <c r="F20" i="12"/>
  <c r="E20" i="12"/>
  <c r="D20" i="12"/>
  <c r="AA19" i="12"/>
  <c r="Y19" i="12"/>
  <c r="AA18" i="12"/>
  <c r="Y18" i="12"/>
  <c r="O18" i="12"/>
  <c r="O58" i="12" s="1"/>
  <c r="AA17" i="12"/>
  <c r="Y17" i="12"/>
  <c r="AA16" i="12"/>
  <c r="Y16" i="12"/>
  <c r="AA15" i="12"/>
  <c r="Y15" i="12"/>
  <c r="AA14" i="12"/>
  <c r="Y14" i="12"/>
  <c r="Z13" i="12"/>
  <c r="X13" i="12"/>
  <c r="W13" i="12"/>
  <c r="W61" i="12" s="1"/>
  <c r="W63" i="12" s="1"/>
  <c r="V13" i="12"/>
  <c r="U13" i="12"/>
  <c r="T13" i="12"/>
  <c r="S13" i="12"/>
  <c r="S61" i="12" s="1"/>
  <c r="S63" i="12" s="1"/>
  <c r="R13" i="12"/>
  <c r="Q13" i="12"/>
  <c r="Q61" i="12" s="1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Z12" i="12"/>
  <c r="Z60" i="12" s="1"/>
  <c r="X12" i="12"/>
  <c r="W12" i="12"/>
  <c r="W60" i="12" s="1"/>
  <c r="V12" i="12"/>
  <c r="V60" i="12" s="1"/>
  <c r="U12" i="12"/>
  <c r="T12" i="12"/>
  <c r="S12" i="12"/>
  <c r="S60" i="12" s="1"/>
  <c r="S62" i="12" s="1"/>
  <c r="R12" i="12"/>
  <c r="R60" i="12" s="1"/>
  <c r="R62" i="12" s="1"/>
  <c r="Q12" i="12"/>
  <c r="Q60" i="12" s="1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AA11" i="12"/>
  <c r="Y11" i="12"/>
  <c r="AA10" i="12"/>
  <c r="Y10" i="12"/>
  <c r="AA9" i="12"/>
  <c r="Y9" i="12"/>
  <c r="AA8" i="12"/>
  <c r="Y8" i="12"/>
  <c r="O106" i="2"/>
  <c r="N106" i="2"/>
  <c r="M106" i="2"/>
  <c r="L106" i="2"/>
  <c r="K106" i="2"/>
  <c r="J106" i="2"/>
  <c r="I106" i="2"/>
  <c r="H106" i="2"/>
  <c r="G106" i="2"/>
  <c r="F106" i="2"/>
  <c r="E106" i="2"/>
  <c r="O105" i="2"/>
  <c r="N105" i="2"/>
  <c r="M105" i="2"/>
  <c r="L105" i="2"/>
  <c r="K105" i="2"/>
  <c r="J105" i="2"/>
  <c r="I105" i="2"/>
  <c r="H105" i="2"/>
  <c r="G105" i="2"/>
  <c r="F105" i="2"/>
  <c r="E105" i="2"/>
  <c r="O104" i="2"/>
  <c r="N104" i="2"/>
  <c r="M104" i="2"/>
  <c r="L104" i="2"/>
  <c r="K104" i="2"/>
  <c r="J104" i="2"/>
  <c r="I104" i="2"/>
  <c r="H104" i="2"/>
  <c r="G104" i="2"/>
  <c r="F104" i="2"/>
  <c r="E104" i="2"/>
  <c r="P103" i="2"/>
  <c r="P102" i="2"/>
  <c r="O101" i="2"/>
  <c r="N101" i="2"/>
  <c r="M101" i="2"/>
  <c r="L101" i="2"/>
  <c r="K101" i="2"/>
  <c r="J101" i="2"/>
  <c r="I101" i="2"/>
  <c r="H101" i="2"/>
  <c r="G101" i="2"/>
  <c r="F101" i="2"/>
  <c r="E101" i="2"/>
  <c r="P100" i="2"/>
  <c r="P99" i="2"/>
  <c r="O97" i="2"/>
  <c r="N97" i="2"/>
  <c r="M97" i="2"/>
  <c r="L97" i="2"/>
  <c r="K97" i="2"/>
  <c r="J97" i="2"/>
  <c r="I97" i="2"/>
  <c r="H97" i="2"/>
  <c r="G97" i="2"/>
  <c r="F97" i="2"/>
  <c r="E97" i="2"/>
  <c r="O96" i="2"/>
  <c r="N96" i="2"/>
  <c r="M96" i="2"/>
  <c r="L96" i="2"/>
  <c r="K96" i="2"/>
  <c r="J96" i="2"/>
  <c r="I96" i="2"/>
  <c r="H96" i="2"/>
  <c r="G96" i="2"/>
  <c r="F96" i="2"/>
  <c r="E96" i="2"/>
  <c r="O95" i="2"/>
  <c r="N95" i="2"/>
  <c r="M95" i="2"/>
  <c r="L95" i="2"/>
  <c r="K95" i="2"/>
  <c r="J95" i="2"/>
  <c r="I95" i="2"/>
  <c r="H95" i="2"/>
  <c r="G95" i="2"/>
  <c r="F95" i="2"/>
  <c r="E95" i="2"/>
  <c r="P94" i="2"/>
  <c r="P93" i="2"/>
  <c r="O92" i="2"/>
  <c r="N92" i="2"/>
  <c r="M92" i="2"/>
  <c r="L92" i="2"/>
  <c r="K92" i="2"/>
  <c r="J92" i="2"/>
  <c r="I92" i="2"/>
  <c r="H92" i="2"/>
  <c r="G92" i="2"/>
  <c r="F92" i="2"/>
  <c r="E92" i="2"/>
  <c r="P91" i="2"/>
  <c r="P90" i="2"/>
  <c r="O88" i="2"/>
  <c r="N88" i="2"/>
  <c r="M88" i="2"/>
  <c r="L88" i="2"/>
  <c r="K88" i="2"/>
  <c r="J88" i="2"/>
  <c r="I88" i="2"/>
  <c r="H88" i="2"/>
  <c r="G88" i="2"/>
  <c r="F88" i="2"/>
  <c r="E88" i="2"/>
  <c r="O87" i="2"/>
  <c r="N87" i="2"/>
  <c r="M87" i="2"/>
  <c r="L87" i="2"/>
  <c r="K87" i="2"/>
  <c r="J87" i="2"/>
  <c r="I87" i="2"/>
  <c r="H87" i="2"/>
  <c r="G87" i="2"/>
  <c r="F87" i="2"/>
  <c r="E87" i="2"/>
  <c r="O86" i="2"/>
  <c r="N86" i="2"/>
  <c r="M86" i="2"/>
  <c r="L86" i="2"/>
  <c r="K86" i="2"/>
  <c r="J86" i="2"/>
  <c r="I86" i="2"/>
  <c r="H86" i="2"/>
  <c r="G86" i="2"/>
  <c r="F86" i="2"/>
  <c r="E86" i="2"/>
  <c r="P85" i="2"/>
  <c r="P84" i="2"/>
  <c r="O83" i="2"/>
  <c r="N83" i="2"/>
  <c r="M83" i="2"/>
  <c r="L83" i="2"/>
  <c r="K83" i="2"/>
  <c r="J83" i="2"/>
  <c r="I83" i="2"/>
  <c r="H83" i="2"/>
  <c r="G83" i="2"/>
  <c r="F83" i="2"/>
  <c r="E83" i="2"/>
  <c r="P82" i="2"/>
  <c r="P81" i="2"/>
  <c r="O79" i="2"/>
  <c r="N79" i="2"/>
  <c r="M79" i="2"/>
  <c r="L79" i="2"/>
  <c r="K79" i="2"/>
  <c r="J79" i="2"/>
  <c r="I79" i="2"/>
  <c r="H79" i="2"/>
  <c r="G79" i="2"/>
  <c r="F79" i="2"/>
  <c r="E79" i="2"/>
  <c r="O78" i="2"/>
  <c r="N78" i="2"/>
  <c r="M78" i="2"/>
  <c r="L78" i="2"/>
  <c r="K78" i="2"/>
  <c r="J78" i="2"/>
  <c r="I78" i="2"/>
  <c r="H78" i="2"/>
  <c r="G78" i="2"/>
  <c r="F78" i="2"/>
  <c r="E78" i="2"/>
  <c r="O77" i="2"/>
  <c r="N77" i="2"/>
  <c r="M77" i="2"/>
  <c r="L77" i="2"/>
  <c r="K77" i="2"/>
  <c r="J77" i="2"/>
  <c r="I77" i="2"/>
  <c r="H77" i="2"/>
  <c r="G77" i="2"/>
  <c r="F77" i="2"/>
  <c r="E77" i="2"/>
  <c r="P76" i="2"/>
  <c r="P75" i="2"/>
  <c r="O74" i="2"/>
  <c r="N74" i="2"/>
  <c r="P74" i="2" s="1"/>
  <c r="M74" i="2"/>
  <c r="L74" i="2"/>
  <c r="K74" i="2"/>
  <c r="J74" i="2"/>
  <c r="I74" i="2"/>
  <c r="H74" i="2"/>
  <c r="G74" i="2"/>
  <c r="F74" i="2"/>
  <c r="E74" i="2"/>
  <c r="P73" i="2"/>
  <c r="P72" i="2"/>
  <c r="AA28" i="12" l="1"/>
  <c r="G80" i="2"/>
  <c r="Y20" i="12"/>
  <c r="Y28" i="12"/>
  <c r="P78" i="2"/>
  <c r="P101" i="2"/>
  <c r="P105" i="2"/>
  <c r="P79" i="2"/>
  <c r="O89" i="2"/>
  <c r="J98" i="2"/>
  <c r="P86" i="2"/>
  <c r="I98" i="2"/>
  <c r="P104" i="2"/>
  <c r="P60" i="12"/>
  <c r="AA20" i="12"/>
  <c r="Y13" i="12"/>
  <c r="AA60" i="12"/>
  <c r="AA21" i="12"/>
  <c r="Y12" i="12"/>
  <c r="Y21" i="12"/>
  <c r="N89" i="2"/>
  <c r="O107" i="2"/>
  <c r="P87" i="2"/>
  <c r="P92" i="2"/>
  <c r="P96" i="2"/>
  <c r="P97" i="2"/>
  <c r="P106" i="2"/>
  <c r="H98" i="2"/>
  <c r="M89" i="2"/>
  <c r="L89" i="2" s="1"/>
  <c r="K89" i="2" s="1"/>
  <c r="J89" i="2" s="1"/>
  <c r="I89" i="2" s="1"/>
  <c r="H89" i="2" s="1"/>
  <c r="G89" i="2" s="1"/>
  <c r="F89" i="2" s="1"/>
  <c r="E89" i="2" s="1"/>
  <c r="G98" i="2"/>
  <c r="K80" i="2"/>
  <c r="J80" i="2"/>
  <c r="I80" i="2" s="1"/>
  <c r="H80" i="2" s="1"/>
  <c r="F98" i="2"/>
  <c r="E98" i="2" s="1"/>
  <c r="N98" i="2"/>
  <c r="N107" i="2"/>
  <c r="F80" i="2"/>
  <c r="E80" i="2" s="1"/>
  <c r="P77" i="2"/>
  <c r="P83" i="2"/>
  <c r="P88" i="2"/>
  <c r="P95" i="2"/>
  <c r="E107" i="2"/>
  <c r="I107" i="2"/>
  <c r="H107" i="2" s="1"/>
  <c r="G107" i="2" s="1"/>
  <c r="F107" i="2" s="1"/>
  <c r="AA13" i="12"/>
  <c r="M80" i="2"/>
  <c r="L80" i="2" s="1"/>
  <c r="O80" i="2"/>
  <c r="O98" i="2"/>
  <c r="P98" i="2" s="1"/>
  <c r="R61" i="12"/>
  <c r="R63" i="12" s="1"/>
  <c r="V61" i="12"/>
  <c r="V63" i="12" s="1"/>
  <c r="O20" i="12"/>
  <c r="P61" i="12"/>
  <c r="O61" i="12" s="1"/>
  <c r="N61" i="12" s="1"/>
  <c r="M61" i="12" s="1"/>
  <c r="L61" i="12" s="1"/>
  <c r="K61" i="12" s="1"/>
  <c r="J61" i="12" s="1"/>
  <c r="I61" i="12" s="1"/>
  <c r="H61" i="12" s="1"/>
  <c r="G61" i="12" s="1"/>
  <c r="F61" i="12" s="1"/>
  <c r="E61" i="12" s="1"/>
  <c r="D61" i="12" s="1"/>
  <c r="Q63" i="12"/>
  <c r="AA12" i="12"/>
  <c r="O60" i="12"/>
  <c r="N60" i="12" s="1"/>
  <c r="M60" i="12" s="1"/>
  <c r="L60" i="12" s="1"/>
  <c r="K60" i="12" s="1"/>
  <c r="J60" i="12" s="1"/>
  <c r="I60" i="12" s="1"/>
  <c r="H60" i="12" s="1"/>
  <c r="G60" i="12" s="1"/>
  <c r="F60" i="12" s="1"/>
  <c r="E60" i="12" s="1"/>
  <c r="D60" i="12" s="1"/>
  <c r="Q62" i="12"/>
  <c r="U61" i="12"/>
  <c r="U63" i="12" s="1"/>
  <c r="U60" i="12"/>
  <c r="U62" i="12" s="1"/>
  <c r="T61" i="12"/>
  <c r="T63" i="12" s="1"/>
  <c r="T60" i="12"/>
  <c r="T62" i="12" s="1"/>
  <c r="M98" i="2"/>
  <c r="L98" i="2" s="1"/>
  <c r="K98" i="2" s="1"/>
  <c r="M107" i="2"/>
  <c r="L107" i="2" s="1"/>
  <c r="K107" i="2" s="1"/>
  <c r="J107" i="2" s="1"/>
  <c r="O70" i="2"/>
  <c r="N70" i="2"/>
  <c r="M70" i="2"/>
  <c r="L70" i="2"/>
  <c r="K70" i="2"/>
  <c r="J70" i="2"/>
  <c r="I70" i="2"/>
  <c r="H70" i="2"/>
  <c r="G70" i="2"/>
  <c r="F70" i="2"/>
  <c r="E70" i="2"/>
  <c r="O69" i="2"/>
  <c r="N69" i="2"/>
  <c r="M69" i="2"/>
  <c r="L69" i="2"/>
  <c r="K69" i="2"/>
  <c r="J69" i="2"/>
  <c r="I69" i="2"/>
  <c r="H69" i="2"/>
  <c r="G69" i="2"/>
  <c r="F69" i="2"/>
  <c r="E69" i="2"/>
  <c r="P69" i="2" l="1"/>
  <c r="F71" i="2"/>
  <c r="P62" i="12"/>
  <c r="P107" i="2"/>
  <c r="P89" i="2"/>
  <c r="P63" i="12"/>
  <c r="O63" i="12" s="1"/>
  <c r="N63" i="12" s="1"/>
  <c r="M63" i="12" s="1"/>
  <c r="L63" i="12"/>
  <c r="K63" i="12" s="1"/>
  <c r="J63" i="12" s="1"/>
  <c r="I63" i="12" s="1"/>
  <c r="H63" i="12" s="1"/>
  <c r="G63" i="12" s="1"/>
  <c r="F63" i="12" s="1"/>
  <c r="E63" i="12" s="1"/>
  <c r="D63" i="12" s="1"/>
  <c r="H71" i="2"/>
  <c r="J71" i="2"/>
  <c r="N71" i="2"/>
  <c r="E71" i="2"/>
  <c r="I71" i="2"/>
  <c r="L71" i="2"/>
  <c r="G71" i="2"/>
  <c r="K71" i="2"/>
  <c r="P70" i="2"/>
  <c r="O71" i="2"/>
  <c r="N80" i="2"/>
  <c r="P80" i="2" s="1"/>
  <c r="O62" i="12"/>
  <c r="N62" i="12" s="1"/>
  <c r="M62" i="12" s="1"/>
  <c r="L62" i="12" s="1"/>
  <c r="K62" i="12" s="1"/>
  <c r="J62" i="12" s="1"/>
  <c r="I62" i="12" s="1"/>
  <c r="H62" i="12" s="1"/>
  <c r="G62" i="12" s="1"/>
  <c r="F62" i="12" s="1"/>
  <c r="E62" i="12" s="1"/>
  <c r="D62" i="12" s="1"/>
  <c r="M71" i="2"/>
  <c r="O68" i="2"/>
  <c r="N68" i="2"/>
  <c r="M68" i="2"/>
  <c r="L68" i="2"/>
  <c r="K68" i="2"/>
  <c r="J68" i="2"/>
  <c r="I68" i="2"/>
  <c r="H68" i="2"/>
  <c r="G68" i="2"/>
  <c r="F68" i="2"/>
  <c r="E68" i="2"/>
  <c r="P67" i="2"/>
  <c r="P66" i="2"/>
  <c r="O65" i="2"/>
  <c r="N65" i="2"/>
  <c r="M65" i="2"/>
  <c r="L65" i="2"/>
  <c r="K65" i="2"/>
  <c r="J65" i="2"/>
  <c r="I65" i="2"/>
  <c r="H65" i="2"/>
  <c r="G65" i="2"/>
  <c r="F65" i="2"/>
  <c r="E65" i="2"/>
  <c r="P64" i="2"/>
  <c r="P63" i="2"/>
  <c r="P68" i="2" l="1"/>
  <c r="P71" i="2"/>
  <c r="P65" i="2"/>
  <c r="O59" i="2"/>
  <c r="N59" i="2"/>
  <c r="M59" i="2"/>
  <c r="L59" i="2"/>
  <c r="K59" i="2"/>
  <c r="J59" i="2"/>
  <c r="I59" i="2"/>
  <c r="H59" i="2"/>
  <c r="G59" i="2"/>
  <c r="F59" i="2"/>
  <c r="E59" i="2"/>
  <c r="P58" i="2"/>
  <c r="P57" i="2"/>
  <c r="O56" i="2"/>
  <c r="N56" i="2"/>
  <c r="M56" i="2"/>
  <c r="L56" i="2"/>
  <c r="K56" i="2"/>
  <c r="J56" i="2"/>
  <c r="I56" i="2"/>
  <c r="H56" i="2"/>
  <c r="G56" i="2"/>
  <c r="F56" i="2"/>
  <c r="E56" i="2"/>
  <c r="P55" i="2"/>
  <c r="P54" i="2"/>
  <c r="O53" i="2"/>
  <c r="N53" i="2"/>
  <c r="M53" i="2"/>
  <c r="L53" i="2"/>
  <c r="K53" i="2"/>
  <c r="J53" i="2"/>
  <c r="I53" i="2"/>
  <c r="H53" i="2"/>
  <c r="G53" i="2"/>
  <c r="F53" i="2"/>
  <c r="E53" i="2"/>
  <c r="P52" i="2"/>
  <c r="P51" i="2"/>
  <c r="O50" i="2"/>
  <c r="N50" i="2"/>
  <c r="M50" i="2"/>
  <c r="L50" i="2"/>
  <c r="K50" i="2"/>
  <c r="J50" i="2"/>
  <c r="I50" i="2"/>
  <c r="H50" i="2"/>
  <c r="G50" i="2"/>
  <c r="F50" i="2"/>
  <c r="E50" i="2"/>
  <c r="P49" i="2"/>
  <c r="P48" i="2"/>
  <c r="O47" i="2"/>
  <c r="N47" i="2"/>
  <c r="M47" i="2"/>
  <c r="L47" i="2"/>
  <c r="K47" i="2"/>
  <c r="J47" i="2"/>
  <c r="I47" i="2"/>
  <c r="H47" i="2"/>
  <c r="G47" i="2"/>
  <c r="F47" i="2"/>
  <c r="E47" i="2"/>
  <c r="P46" i="2"/>
  <c r="P45" i="2"/>
  <c r="O44" i="2"/>
  <c r="P44" i="2" s="1"/>
  <c r="N44" i="2"/>
  <c r="M44" i="2"/>
  <c r="L44" i="2"/>
  <c r="K44" i="2"/>
  <c r="J44" i="2"/>
  <c r="I44" i="2"/>
  <c r="H44" i="2"/>
  <c r="G44" i="2"/>
  <c r="F44" i="2"/>
  <c r="E44" i="2"/>
  <c r="P43" i="2"/>
  <c r="P42" i="2"/>
  <c r="O40" i="2"/>
  <c r="N40" i="2"/>
  <c r="Q40" i="2" s="1"/>
  <c r="L40" i="2"/>
  <c r="K40" i="2"/>
  <c r="J40" i="2"/>
  <c r="I40" i="2"/>
  <c r="H40" i="2"/>
  <c r="G40" i="2"/>
  <c r="F40" i="2"/>
  <c r="E40" i="2"/>
  <c r="E61" i="2" s="1"/>
  <c r="O39" i="2"/>
  <c r="N39" i="2"/>
  <c r="M39" i="2"/>
  <c r="M41" i="2" s="1"/>
  <c r="L39" i="2"/>
  <c r="L60" i="2" s="1"/>
  <c r="K39" i="2"/>
  <c r="K60" i="2" s="1"/>
  <c r="J39" i="2"/>
  <c r="J60" i="2" s="1"/>
  <c r="I39" i="2"/>
  <c r="I60" i="2" s="1"/>
  <c r="H39" i="2"/>
  <c r="H60" i="2" s="1"/>
  <c r="G39" i="2"/>
  <c r="G60" i="2" s="1"/>
  <c r="F39" i="2"/>
  <c r="F60" i="2" s="1"/>
  <c r="E39" i="2"/>
  <c r="E60" i="2" s="1"/>
  <c r="O38" i="2"/>
  <c r="N38" i="2"/>
  <c r="M38" i="2"/>
  <c r="L38" i="2"/>
  <c r="K38" i="2"/>
  <c r="J38" i="2"/>
  <c r="I38" i="2"/>
  <c r="H38" i="2"/>
  <c r="G38" i="2"/>
  <c r="F38" i="2"/>
  <c r="E38" i="2"/>
  <c r="P37" i="2"/>
  <c r="P36" i="2"/>
  <c r="O35" i="2"/>
  <c r="N35" i="2"/>
  <c r="M35" i="2"/>
  <c r="L35" i="2"/>
  <c r="K35" i="2"/>
  <c r="J35" i="2"/>
  <c r="I35" i="2"/>
  <c r="H35" i="2"/>
  <c r="G35" i="2"/>
  <c r="F35" i="2"/>
  <c r="E35" i="2"/>
  <c r="P34" i="2"/>
  <c r="P33" i="2"/>
  <c r="P47" i="2" l="1"/>
  <c r="P50" i="2"/>
  <c r="P35" i="2"/>
  <c r="P39" i="2"/>
  <c r="R39" i="2"/>
  <c r="N60" i="2"/>
  <c r="Q39" i="2"/>
  <c r="Q60" i="2" s="1"/>
  <c r="O61" i="2"/>
  <c r="R40" i="2"/>
  <c r="Q61" i="2"/>
  <c r="Q41" i="2"/>
  <c r="P56" i="2"/>
  <c r="M60" i="2"/>
  <c r="P38" i="2"/>
  <c r="I41" i="2"/>
  <c r="N41" i="2"/>
  <c r="H41" i="2"/>
  <c r="L41" i="2"/>
  <c r="P53" i="2"/>
  <c r="N61" i="2"/>
  <c r="G41" i="2"/>
  <c r="P59" i="2"/>
  <c r="O60" i="2"/>
  <c r="F41" i="2"/>
  <c r="J41" i="2"/>
  <c r="P40" i="2"/>
  <c r="I61" i="2"/>
  <c r="H61" i="2" s="1"/>
  <c r="G61" i="2" s="1"/>
  <c r="F61" i="2" s="1"/>
  <c r="E41" i="2"/>
  <c r="K41" i="2"/>
  <c r="O41" i="2"/>
  <c r="M61" i="2"/>
  <c r="O29" i="2"/>
  <c r="P29" i="2" s="1"/>
  <c r="N29" i="2"/>
  <c r="M29" i="2"/>
  <c r="L29" i="2"/>
  <c r="K29" i="2"/>
  <c r="J29" i="2"/>
  <c r="I29" i="2"/>
  <c r="H29" i="2"/>
  <c r="G29" i="2"/>
  <c r="F29" i="2"/>
  <c r="E29" i="2"/>
  <c r="P28" i="2"/>
  <c r="P27" i="2"/>
  <c r="O26" i="2"/>
  <c r="N26" i="2"/>
  <c r="M26" i="2"/>
  <c r="L26" i="2"/>
  <c r="K26" i="2"/>
  <c r="J26" i="2"/>
  <c r="I26" i="2"/>
  <c r="H26" i="2"/>
  <c r="G26" i="2"/>
  <c r="F26" i="2"/>
  <c r="E26" i="2"/>
  <c r="P25" i="2"/>
  <c r="P24" i="2"/>
  <c r="O23" i="2"/>
  <c r="N23" i="2"/>
  <c r="M23" i="2"/>
  <c r="L23" i="2"/>
  <c r="K23" i="2"/>
  <c r="J23" i="2"/>
  <c r="I23" i="2"/>
  <c r="H23" i="2"/>
  <c r="G23" i="2"/>
  <c r="F23" i="2"/>
  <c r="E23" i="2"/>
  <c r="P22" i="2"/>
  <c r="P21" i="2"/>
  <c r="O20" i="2"/>
  <c r="P20" i="2" s="1"/>
  <c r="N20" i="2"/>
  <c r="M20" i="2"/>
  <c r="L20" i="2"/>
  <c r="K20" i="2"/>
  <c r="J20" i="2"/>
  <c r="I20" i="2"/>
  <c r="H20" i="2"/>
  <c r="G20" i="2"/>
  <c r="F20" i="2"/>
  <c r="E20" i="2"/>
  <c r="P19" i="2"/>
  <c r="P18" i="2"/>
  <c r="O17" i="2"/>
  <c r="N17" i="2"/>
  <c r="M17" i="2"/>
  <c r="L17" i="2"/>
  <c r="K17" i="2"/>
  <c r="J17" i="2"/>
  <c r="I17" i="2"/>
  <c r="H17" i="2"/>
  <c r="G17" i="2"/>
  <c r="F17" i="2"/>
  <c r="E17" i="2"/>
  <c r="P16" i="2"/>
  <c r="P15" i="2"/>
  <c r="O14" i="2"/>
  <c r="N14" i="2"/>
  <c r="M14" i="2"/>
  <c r="L14" i="2"/>
  <c r="K14" i="2"/>
  <c r="J14" i="2"/>
  <c r="I14" i="2"/>
  <c r="H14" i="2"/>
  <c r="G14" i="2"/>
  <c r="F14" i="2"/>
  <c r="E14" i="2"/>
  <c r="P13" i="2"/>
  <c r="P12" i="2"/>
  <c r="P23" i="2" l="1"/>
  <c r="P41" i="2"/>
  <c r="P61" i="2"/>
  <c r="P14" i="2"/>
  <c r="Q62" i="2"/>
  <c r="P60" i="2"/>
  <c r="S39" i="2"/>
  <c r="R60" i="2"/>
  <c r="S60" i="2" s="1"/>
  <c r="R61" i="2"/>
  <c r="R41" i="2"/>
  <c r="S41" i="2" s="1"/>
  <c r="S40" i="2"/>
  <c r="P17" i="2"/>
  <c r="P26" i="2"/>
  <c r="L61" i="2"/>
  <c r="M62" i="2"/>
  <c r="O10" i="2"/>
  <c r="N10" i="2"/>
  <c r="Q10" i="2" s="1"/>
  <c r="Q31" i="2" s="1"/>
  <c r="M10" i="2"/>
  <c r="L10" i="2"/>
  <c r="K10" i="2"/>
  <c r="J10" i="2"/>
  <c r="J31" i="2" s="1"/>
  <c r="I10" i="2"/>
  <c r="H10" i="2"/>
  <c r="H31" i="2" s="1"/>
  <c r="G10" i="2"/>
  <c r="G31" i="2" s="1"/>
  <c r="F10" i="2"/>
  <c r="F31" i="2" s="1"/>
  <c r="E10" i="2"/>
  <c r="E31" i="2" s="1"/>
  <c r="O9" i="2"/>
  <c r="N9" i="2"/>
  <c r="M9" i="2"/>
  <c r="L9" i="2"/>
  <c r="K9" i="2"/>
  <c r="K30" i="2" s="1"/>
  <c r="J9" i="2"/>
  <c r="I9" i="2"/>
  <c r="H9" i="2"/>
  <c r="G9" i="2"/>
  <c r="F9" i="2"/>
  <c r="E9" i="2"/>
  <c r="O8" i="2"/>
  <c r="N8" i="2"/>
  <c r="M8" i="2"/>
  <c r="L8" i="2"/>
  <c r="K8" i="2"/>
  <c r="J8" i="2"/>
  <c r="I8" i="2"/>
  <c r="H8" i="2"/>
  <c r="G8" i="2"/>
  <c r="F8" i="2"/>
  <c r="E8" i="2"/>
  <c r="P7" i="2"/>
  <c r="P6" i="2"/>
  <c r="O30" i="2" l="1"/>
  <c r="R9" i="2"/>
  <c r="N30" i="2"/>
  <c r="Q9" i="2"/>
  <c r="P10" i="2"/>
  <c r="R10" i="2"/>
  <c r="S61" i="2"/>
  <c r="R62" i="2"/>
  <c r="S62" i="2" s="1"/>
  <c r="P8" i="2"/>
  <c r="J30" i="2"/>
  <c r="I30" i="2" s="1"/>
  <c r="P9" i="2"/>
  <c r="K61" i="2"/>
  <c r="J61" i="2" s="1"/>
  <c r="L62" i="2"/>
  <c r="H30" i="2"/>
  <c r="G30" i="2" s="1"/>
  <c r="F30" i="2" s="1"/>
  <c r="E30" i="2" s="1"/>
  <c r="E32" i="2" s="1"/>
  <c r="M11" i="2"/>
  <c r="E11" i="2"/>
  <c r="L31" i="2"/>
  <c r="L11" i="2"/>
  <c r="K31" i="2"/>
  <c r="K32" i="2" s="1"/>
  <c r="K11" i="2"/>
  <c r="J11" i="2" s="1"/>
  <c r="I11" i="2" s="1"/>
  <c r="O31" i="2"/>
  <c r="O11" i="2"/>
  <c r="H11" i="2"/>
  <c r="N31" i="2"/>
  <c r="N11" i="2"/>
  <c r="M30" i="2"/>
  <c r="L30" i="2" s="1"/>
  <c r="I31" i="2"/>
  <c r="I32" i="2" s="1"/>
  <c r="G11" i="2"/>
  <c r="F11" i="2" s="1"/>
  <c r="O106" i="1"/>
  <c r="N106" i="1"/>
  <c r="M106" i="1"/>
  <c r="L106" i="1"/>
  <c r="K106" i="1"/>
  <c r="J106" i="1"/>
  <c r="I106" i="1"/>
  <c r="H106" i="1"/>
  <c r="G106" i="1"/>
  <c r="F106" i="1"/>
  <c r="E106" i="1"/>
  <c r="O105" i="1"/>
  <c r="N105" i="1"/>
  <c r="M105" i="1"/>
  <c r="L105" i="1"/>
  <c r="K105" i="1"/>
  <c r="J105" i="1"/>
  <c r="I105" i="1"/>
  <c r="H105" i="1"/>
  <c r="G105" i="1"/>
  <c r="F105" i="1"/>
  <c r="E105" i="1"/>
  <c r="O104" i="1"/>
  <c r="N104" i="1"/>
  <c r="M104" i="1"/>
  <c r="L104" i="1"/>
  <c r="K104" i="1"/>
  <c r="J104" i="1"/>
  <c r="I104" i="1"/>
  <c r="H104" i="1"/>
  <c r="G104" i="1"/>
  <c r="F104" i="1"/>
  <c r="E104" i="1"/>
  <c r="P103" i="1"/>
  <c r="P102" i="1"/>
  <c r="O101" i="1"/>
  <c r="N101" i="1"/>
  <c r="M101" i="1"/>
  <c r="L101" i="1"/>
  <c r="K101" i="1"/>
  <c r="J101" i="1"/>
  <c r="I101" i="1"/>
  <c r="H101" i="1"/>
  <c r="G101" i="1"/>
  <c r="F101" i="1"/>
  <c r="E101" i="1"/>
  <c r="P100" i="1"/>
  <c r="P99" i="1"/>
  <c r="O97" i="1"/>
  <c r="N97" i="1"/>
  <c r="M97" i="1"/>
  <c r="L97" i="1"/>
  <c r="K97" i="1"/>
  <c r="J97" i="1"/>
  <c r="I97" i="1"/>
  <c r="H97" i="1"/>
  <c r="G97" i="1"/>
  <c r="F97" i="1"/>
  <c r="E97" i="1"/>
  <c r="O96" i="1"/>
  <c r="P96" i="1" s="1"/>
  <c r="N96" i="1"/>
  <c r="M96" i="1"/>
  <c r="L96" i="1"/>
  <c r="K96" i="1"/>
  <c r="J96" i="1"/>
  <c r="I96" i="1"/>
  <c r="H96" i="1"/>
  <c r="G96" i="1"/>
  <c r="F96" i="1"/>
  <c r="E96" i="1"/>
  <c r="O95" i="1"/>
  <c r="N95" i="1"/>
  <c r="M95" i="1"/>
  <c r="L95" i="1"/>
  <c r="K95" i="1"/>
  <c r="J95" i="1"/>
  <c r="I95" i="1"/>
  <c r="H95" i="1"/>
  <c r="G95" i="1"/>
  <c r="F95" i="1"/>
  <c r="E95" i="1"/>
  <c r="P94" i="1"/>
  <c r="P93" i="1"/>
  <c r="O92" i="1"/>
  <c r="N92" i="1"/>
  <c r="M92" i="1"/>
  <c r="L92" i="1"/>
  <c r="K92" i="1"/>
  <c r="J92" i="1"/>
  <c r="I92" i="1"/>
  <c r="H92" i="1"/>
  <c r="G92" i="1"/>
  <c r="F92" i="1"/>
  <c r="E92" i="1"/>
  <c r="P91" i="1"/>
  <c r="P90" i="1"/>
  <c r="P92" i="1" l="1"/>
  <c r="P101" i="1"/>
  <c r="P106" i="1"/>
  <c r="P30" i="2"/>
  <c r="P104" i="1"/>
  <c r="L98" i="1"/>
  <c r="R31" i="2"/>
  <c r="R11" i="2"/>
  <c r="S10" i="2"/>
  <c r="S9" i="2"/>
  <c r="R30" i="2"/>
  <c r="Q11" i="2"/>
  <c r="Q30" i="2"/>
  <c r="Q32" i="2" s="1"/>
  <c r="H98" i="1"/>
  <c r="K107" i="1"/>
  <c r="G32" i="2"/>
  <c r="J32" i="2"/>
  <c r="O98" i="1"/>
  <c r="P105" i="1"/>
  <c r="P95" i="1"/>
  <c r="F107" i="1"/>
  <c r="E107" i="1" s="1"/>
  <c r="J107" i="1"/>
  <c r="I107" i="1" s="1"/>
  <c r="H107" i="1" s="1"/>
  <c r="G107" i="1" s="1"/>
  <c r="F32" i="2"/>
  <c r="K62" i="2"/>
  <c r="J62" i="2" s="1"/>
  <c r="I62" i="2" s="1"/>
  <c r="H62" i="2" s="1"/>
  <c r="G62" i="2" s="1"/>
  <c r="F62" i="2" s="1"/>
  <c r="E62" i="2" s="1"/>
  <c r="N98" i="1"/>
  <c r="P98" i="1" s="1"/>
  <c r="K98" i="1"/>
  <c r="J98" i="1" s="1"/>
  <c r="I98" i="1" s="1"/>
  <c r="P97" i="1"/>
  <c r="P11" i="2"/>
  <c r="H32" i="2"/>
  <c r="O107" i="1"/>
  <c r="N107" i="1"/>
  <c r="L32" i="2"/>
  <c r="M31" i="2"/>
  <c r="M32" i="2" s="1"/>
  <c r="N32" i="2"/>
  <c r="O32" i="2"/>
  <c r="P31" i="2"/>
  <c r="G98" i="1"/>
  <c r="F98" i="1" s="1"/>
  <c r="E98" i="1" s="1"/>
  <c r="M98" i="1"/>
  <c r="M107" i="1"/>
  <c r="L107" i="1" s="1"/>
  <c r="S30" i="2" l="1"/>
  <c r="S31" i="2"/>
  <c r="R32" i="2"/>
  <c r="S32" i="2" s="1"/>
  <c r="S11" i="2"/>
  <c r="P32" i="2"/>
  <c r="P107" i="1"/>
  <c r="O88" i="1"/>
  <c r="N88" i="1"/>
  <c r="M88" i="1"/>
  <c r="L88" i="1"/>
  <c r="K88" i="1"/>
  <c r="J88" i="1"/>
  <c r="I88" i="1"/>
  <c r="H88" i="1"/>
  <c r="G88" i="1"/>
  <c r="F88" i="1"/>
  <c r="E88" i="1"/>
  <c r="O87" i="1"/>
  <c r="N87" i="1"/>
  <c r="M87" i="1"/>
  <c r="L87" i="1"/>
  <c r="K87" i="1"/>
  <c r="J87" i="1"/>
  <c r="I87" i="1"/>
  <c r="H87" i="1"/>
  <c r="G87" i="1"/>
  <c r="F87" i="1"/>
  <c r="E87" i="1"/>
  <c r="O86" i="1"/>
  <c r="N86" i="1"/>
  <c r="M86" i="1"/>
  <c r="L86" i="1"/>
  <c r="K86" i="1"/>
  <c r="J86" i="1"/>
  <c r="I86" i="1"/>
  <c r="H86" i="1"/>
  <c r="G86" i="1"/>
  <c r="F86" i="1"/>
  <c r="E86" i="1"/>
  <c r="P85" i="1"/>
  <c r="P84" i="1"/>
  <c r="O83" i="1"/>
  <c r="N83" i="1"/>
  <c r="M83" i="1"/>
  <c r="L83" i="1"/>
  <c r="K83" i="1"/>
  <c r="J83" i="1"/>
  <c r="I83" i="1"/>
  <c r="H83" i="1"/>
  <c r="G83" i="1"/>
  <c r="F83" i="1"/>
  <c r="E83" i="1"/>
  <c r="P82" i="1"/>
  <c r="P81" i="1"/>
  <c r="O79" i="1"/>
  <c r="N79" i="1"/>
  <c r="M79" i="1"/>
  <c r="L79" i="1"/>
  <c r="K79" i="1"/>
  <c r="J79" i="1"/>
  <c r="I79" i="1"/>
  <c r="H79" i="1"/>
  <c r="G79" i="1"/>
  <c r="F79" i="1"/>
  <c r="E79" i="1"/>
  <c r="O78" i="1"/>
  <c r="N78" i="1"/>
  <c r="M78" i="1"/>
  <c r="L78" i="1"/>
  <c r="K78" i="1"/>
  <c r="J78" i="1"/>
  <c r="I78" i="1"/>
  <c r="H78" i="1"/>
  <c r="G78" i="1"/>
  <c r="F78" i="1"/>
  <c r="E78" i="1"/>
  <c r="O77" i="1"/>
  <c r="N77" i="1"/>
  <c r="M77" i="1"/>
  <c r="L77" i="1"/>
  <c r="K77" i="1"/>
  <c r="J77" i="1"/>
  <c r="I77" i="1"/>
  <c r="H77" i="1"/>
  <c r="G77" i="1"/>
  <c r="F77" i="1"/>
  <c r="E77" i="1"/>
  <c r="P76" i="1"/>
  <c r="P75" i="1"/>
  <c r="O74" i="1"/>
  <c r="N74" i="1"/>
  <c r="M74" i="1"/>
  <c r="L74" i="1"/>
  <c r="K74" i="1"/>
  <c r="J74" i="1"/>
  <c r="I74" i="1"/>
  <c r="H74" i="1"/>
  <c r="G74" i="1"/>
  <c r="F74" i="1"/>
  <c r="E74" i="1"/>
  <c r="P73" i="1"/>
  <c r="P72" i="1"/>
  <c r="O70" i="1"/>
  <c r="N70" i="1"/>
  <c r="M70" i="1"/>
  <c r="L70" i="1"/>
  <c r="L71" i="1" s="1"/>
  <c r="K70" i="1"/>
  <c r="J70" i="1"/>
  <c r="I70" i="1"/>
  <c r="H70" i="1"/>
  <c r="H71" i="1" s="1"/>
  <c r="G70" i="1"/>
  <c r="F70" i="1"/>
  <c r="E70" i="1"/>
  <c r="O69" i="1"/>
  <c r="N69" i="1"/>
  <c r="M69" i="1"/>
  <c r="L69" i="1"/>
  <c r="K69" i="1"/>
  <c r="J69" i="1"/>
  <c r="I69" i="1"/>
  <c r="H69" i="1"/>
  <c r="G69" i="1"/>
  <c r="F69" i="1"/>
  <c r="E69" i="1"/>
  <c r="O68" i="1"/>
  <c r="N68" i="1"/>
  <c r="M68" i="1"/>
  <c r="L68" i="1"/>
  <c r="K68" i="1"/>
  <c r="J68" i="1"/>
  <c r="I68" i="1"/>
  <c r="H68" i="1"/>
  <c r="G68" i="1"/>
  <c r="F68" i="1"/>
  <c r="E68" i="1"/>
  <c r="P67" i="1"/>
  <c r="P66" i="1"/>
  <c r="O65" i="1"/>
  <c r="N65" i="1"/>
  <c r="M65" i="1"/>
  <c r="L65" i="1"/>
  <c r="K65" i="1"/>
  <c r="J65" i="1"/>
  <c r="I65" i="1"/>
  <c r="H65" i="1"/>
  <c r="G65" i="1"/>
  <c r="F65" i="1"/>
  <c r="E65" i="1"/>
  <c r="P64" i="1"/>
  <c r="P63" i="1"/>
  <c r="F71" i="1" l="1"/>
  <c r="P70" i="1"/>
  <c r="P88" i="1"/>
  <c r="P74" i="1"/>
  <c r="P78" i="1"/>
  <c r="P87" i="1"/>
  <c r="M89" i="1"/>
  <c r="J71" i="1"/>
  <c r="F80" i="1"/>
  <c r="J80" i="1"/>
  <c r="N80" i="1"/>
  <c r="P77" i="1"/>
  <c r="E80" i="1"/>
  <c r="I80" i="1"/>
  <c r="P86" i="1"/>
  <c r="I89" i="1"/>
  <c r="P65" i="1"/>
  <c r="P69" i="1"/>
  <c r="G71" i="1"/>
  <c r="K71" i="1"/>
  <c r="H89" i="1"/>
  <c r="G89" i="1" s="1"/>
  <c r="K89" i="1"/>
  <c r="H80" i="1"/>
  <c r="L80" i="1"/>
  <c r="F89" i="1"/>
  <c r="J89" i="1"/>
  <c r="P68" i="1"/>
  <c r="G80" i="1"/>
  <c r="K80" i="1"/>
  <c r="P79" i="1"/>
  <c r="P83" i="1"/>
  <c r="E89" i="1"/>
  <c r="E71" i="1"/>
  <c r="O71" i="1"/>
  <c r="L89" i="1"/>
  <c r="O80" i="1"/>
  <c r="P80" i="1" s="1"/>
  <c r="O89" i="1"/>
  <c r="I71" i="1"/>
  <c r="N89" i="1"/>
  <c r="M80" i="1"/>
  <c r="M71" i="1"/>
  <c r="O59" i="1"/>
  <c r="N59" i="1"/>
  <c r="M59" i="1"/>
  <c r="L59" i="1"/>
  <c r="K59" i="1"/>
  <c r="J59" i="1"/>
  <c r="I59" i="1"/>
  <c r="H59" i="1"/>
  <c r="G59" i="1"/>
  <c r="F59" i="1"/>
  <c r="E59" i="1"/>
  <c r="P58" i="1"/>
  <c r="P57" i="1"/>
  <c r="O56" i="1"/>
  <c r="N56" i="1"/>
  <c r="M56" i="1"/>
  <c r="L56" i="1"/>
  <c r="K56" i="1"/>
  <c r="J56" i="1"/>
  <c r="I56" i="1"/>
  <c r="H56" i="1"/>
  <c r="G56" i="1"/>
  <c r="F56" i="1"/>
  <c r="E56" i="1"/>
  <c r="P55" i="1"/>
  <c r="P54" i="1"/>
  <c r="O53" i="1"/>
  <c r="N53" i="1"/>
  <c r="M53" i="1"/>
  <c r="L53" i="1"/>
  <c r="K53" i="1"/>
  <c r="J53" i="1"/>
  <c r="I53" i="1"/>
  <c r="H53" i="1"/>
  <c r="G53" i="1"/>
  <c r="F53" i="1"/>
  <c r="E53" i="1"/>
  <c r="P52" i="1"/>
  <c r="P51" i="1"/>
  <c r="O50" i="1"/>
  <c r="N50" i="1"/>
  <c r="M50" i="1"/>
  <c r="L50" i="1"/>
  <c r="K50" i="1"/>
  <c r="J50" i="1"/>
  <c r="I50" i="1"/>
  <c r="H50" i="1"/>
  <c r="G50" i="1"/>
  <c r="F50" i="1"/>
  <c r="E50" i="1"/>
  <c r="P49" i="1"/>
  <c r="P48" i="1"/>
  <c r="O47" i="1"/>
  <c r="N47" i="1"/>
  <c r="M47" i="1"/>
  <c r="L47" i="1"/>
  <c r="K47" i="1"/>
  <c r="J47" i="1"/>
  <c r="I47" i="1"/>
  <c r="H47" i="1"/>
  <c r="G47" i="1"/>
  <c r="F47" i="1"/>
  <c r="E47" i="1"/>
  <c r="P46" i="1"/>
  <c r="P45" i="1"/>
  <c r="O44" i="1"/>
  <c r="N44" i="1"/>
  <c r="M44" i="1"/>
  <c r="L44" i="1"/>
  <c r="K44" i="1"/>
  <c r="J44" i="1"/>
  <c r="I44" i="1"/>
  <c r="H44" i="1"/>
  <c r="G44" i="1"/>
  <c r="F44" i="1"/>
  <c r="E44" i="1"/>
  <c r="P43" i="1"/>
  <c r="P42" i="1"/>
  <c r="O40" i="1"/>
  <c r="R40" i="1" s="1"/>
  <c r="N40" i="1"/>
  <c r="L40" i="1"/>
  <c r="L61" i="1" s="1"/>
  <c r="K40" i="1"/>
  <c r="K61" i="1" s="1"/>
  <c r="J40" i="1"/>
  <c r="I40" i="1"/>
  <c r="H40" i="1"/>
  <c r="G40" i="1"/>
  <c r="F40" i="1"/>
  <c r="E40" i="1"/>
  <c r="E61" i="1" s="1"/>
  <c r="O39" i="1"/>
  <c r="N39" i="1"/>
  <c r="M39" i="1"/>
  <c r="M41" i="1" s="1"/>
  <c r="L39" i="1"/>
  <c r="K39" i="1"/>
  <c r="J39" i="1"/>
  <c r="I39" i="1"/>
  <c r="H39" i="1"/>
  <c r="G39" i="1"/>
  <c r="F39" i="1"/>
  <c r="E39" i="1"/>
  <c r="O38" i="1"/>
  <c r="N38" i="1"/>
  <c r="M38" i="1"/>
  <c r="L38" i="1"/>
  <c r="K38" i="1"/>
  <c r="J38" i="1"/>
  <c r="I38" i="1"/>
  <c r="H38" i="1"/>
  <c r="G38" i="1"/>
  <c r="F38" i="1"/>
  <c r="E38" i="1"/>
  <c r="P37" i="1"/>
  <c r="P36" i="1"/>
  <c r="O35" i="1"/>
  <c r="N35" i="1"/>
  <c r="M35" i="1"/>
  <c r="L35" i="1"/>
  <c r="K35" i="1"/>
  <c r="J35" i="1"/>
  <c r="I35" i="1"/>
  <c r="H35" i="1"/>
  <c r="G35" i="1"/>
  <c r="F35" i="1"/>
  <c r="E35" i="1"/>
  <c r="P34" i="1"/>
  <c r="P33" i="1"/>
  <c r="P38" i="1" l="1"/>
  <c r="P47" i="1"/>
  <c r="P59" i="1"/>
  <c r="P50" i="1"/>
  <c r="P89" i="1"/>
  <c r="R61" i="1"/>
  <c r="P40" i="1"/>
  <c r="Q40" i="1"/>
  <c r="O60" i="1"/>
  <c r="R39" i="1"/>
  <c r="R41" i="1" s="1"/>
  <c r="N60" i="1"/>
  <c r="M60" i="1" s="1"/>
  <c r="Q39" i="1"/>
  <c r="Q60" i="1" s="1"/>
  <c r="P35" i="1"/>
  <c r="J41" i="1"/>
  <c r="J61" i="1"/>
  <c r="P44" i="1"/>
  <c r="P56" i="1"/>
  <c r="L60" i="1"/>
  <c r="K60" i="1" s="1"/>
  <c r="J60" i="1" s="1"/>
  <c r="I60" i="1" s="1"/>
  <c r="H60" i="1" s="1"/>
  <c r="G60" i="1" s="1"/>
  <c r="F60" i="1" s="1"/>
  <c r="E60" i="1" s="1"/>
  <c r="E62" i="1" s="1"/>
  <c r="I41" i="1"/>
  <c r="H41" i="1" s="1"/>
  <c r="G41" i="1" s="1"/>
  <c r="L41" i="1"/>
  <c r="F41" i="1"/>
  <c r="E41" i="1" s="1"/>
  <c r="O41" i="1"/>
  <c r="P53" i="1"/>
  <c r="I61" i="1"/>
  <c r="K41" i="1"/>
  <c r="F61" i="1"/>
  <c r="O61" i="1"/>
  <c r="N71" i="1"/>
  <c r="P71" i="1" s="1"/>
  <c r="N61" i="1"/>
  <c r="M61" i="1" s="1"/>
  <c r="P39" i="1"/>
  <c r="N41" i="1"/>
  <c r="M62" i="1" l="1"/>
  <c r="P60" i="1"/>
  <c r="Q61" i="1"/>
  <c r="Q62" i="1" s="1"/>
  <c r="Q41" i="1"/>
  <c r="S41" i="1" s="1"/>
  <c r="R60" i="1"/>
  <c r="R62" i="1" s="1"/>
  <c r="S39" i="1"/>
  <c r="S40" i="1"/>
  <c r="P41" i="1"/>
  <c r="J62" i="1"/>
  <c r="L62" i="1"/>
  <c r="K62" i="1" s="1"/>
  <c r="H61" i="1"/>
  <c r="I62" i="1"/>
  <c r="P61" i="1"/>
  <c r="O62" i="1"/>
  <c r="O29" i="1"/>
  <c r="N29" i="1"/>
  <c r="M29" i="1"/>
  <c r="L29" i="1"/>
  <c r="K29" i="1"/>
  <c r="J29" i="1"/>
  <c r="I29" i="1"/>
  <c r="H29" i="1"/>
  <c r="G29" i="1"/>
  <c r="F29" i="1"/>
  <c r="E29" i="1"/>
  <c r="P28" i="1"/>
  <c r="P27" i="1"/>
  <c r="O26" i="1"/>
  <c r="P26" i="1" s="1"/>
  <c r="N26" i="1"/>
  <c r="M26" i="1"/>
  <c r="L26" i="1"/>
  <c r="K26" i="1"/>
  <c r="J26" i="1"/>
  <c r="I26" i="1"/>
  <c r="H26" i="1"/>
  <c r="G26" i="1"/>
  <c r="F26" i="1"/>
  <c r="E26" i="1"/>
  <c r="P25" i="1"/>
  <c r="P24" i="1"/>
  <c r="O23" i="1"/>
  <c r="N23" i="1"/>
  <c r="M23" i="1"/>
  <c r="L23" i="1"/>
  <c r="K23" i="1"/>
  <c r="J23" i="1"/>
  <c r="I23" i="1"/>
  <c r="H23" i="1"/>
  <c r="G23" i="1"/>
  <c r="F23" i="1"/>
  <c r="E23" i="1"/>
  <c r="P22" i="1"/>
  <c r="P21" i="1"/>
  <c r="O20" i="1"/>
  <c r="N20" i="1"/>
  <c r="M20" i="1"/>
  <c r="L20" i="1"/>
  <c r="K20" i="1"/>
  <c r="J20" i="1"/>
  <c r="I20" i="1"/>
  <c r="H20" i="1"/>
  <c r="G20" i="1"/>
  <c r="F20" i="1"/>
  <c r="E20" i="1"/>
  <c r="P19" i="1"/>
  <c r="P18" i="1"/>
  <c r="O17" i="1"/>
  <c r="N17" i="1"/>
  <c r="M17" i="1"/>
  <c r="L17" i="1"/>
  <c r="K17" i="1"/>
  <c r="J17" i="1"/>
  <c r="I17" i="1"/>
  <c r="H17" i="1"/>
  <c r="G17" i="1"/>
  <c r="F17" i="1"/>
  <c r="E17" i="1"/>
  <c r="P16" i="1"/>
  <c r="P15" i="1"/>
  <c r="O14" i="1"/>
  <c r="P14" i="1" s="1"/>
  <c r="N14" i="1"/>
  <c r="M14" i="1"/>
  <c r="L14" i="1"/>
  <c r="K14" i="1"/>
  <c r="J14" i="1"/>
  <c r="I14" i="1"/>
  <c r="H14" i="1"/>
  <c r="G14" i="1"/>
  <c r="F14" i="1"/>
  <c r="E14" i="1"/>
  <c r="P13" i="1"/>
  <c r="P12" i="1"/>
  <c r="O10" i="1"/>
  <c r="N10" i="1"/>
  <c r="M10" i="1"/>
  <c r="L10" i="1"/>
  <c r="L31" i="1" s="1"/>
  <c r="K10" i="1"/>
  <c r="J10" i="1"/>
  <c r="I10" i="1"/>
  <c r="H10" i="1"/>
  <c r="G10" i="1"/>
  <c r="F10" i="1"/>
  <c r="E10" i="1"/>
  <c r="O9" i="1"/>
  <c r="N9" i="1"/>
  <c r="M9" i="1"/>
  <c r="L9" i="1"/>
  <c r="L30" i="1" s="1"/>
  <c r="K9" i="1"/>
  <c r="J9" i="1"/>
  <c r="I9" i="1"/>
  <c r="H9" i="1"/>
  <c r="G9" i="1"/>
  <c r="F9" i="1"/>
  <c r="E9" i="1"/>
  <c r="O8" i="1"/>
  <c r="N8" i="1"/>
  <c r="M8" i="1"/>
  <c r="L8" i="1"/>
  <c r="K8" i="1"/>
  <c r="J8" i="1"/>
  <c r="I8" i="1"/>
  <c r="H8" i="1"/>
  <c r="G8" i="1"/>
  <c r="F8" i="1"/>
  <c r="E8" i="1"/>
  <c r="P7" i="1"/>
  <c r="P6" i="1"/>
  <c r="P23" i="1" l="1"/>
  <c r="S62" i="1"/>
  <c r="O30" i="1"/>
  <c r="R9" i="1"/>
  <c r="N30" i="1"/>
  <c r="M30" i="1" s="1"/>
  <c r="Q9" i="1"/>
  <c r="Q30" i="1" s="1"/>
  <c r="O31" i="1"/>
  <c r="O32" i="1" s="1"/>
  <c r="R10" i="1"/>
  <c r="N31" i="1"/>
  <c r="N32" i="1" s="1"/>
  <c r="Q10" i="1"/>
  <c r="S60" i="1"/>
  <c r="S61" i="1"/>
  <c r="G11" i="1"/>
  <c r="F11" i="1"/>
  <c r="E11" i="1" s="1"/>
  <c r="J11" i="1"/>
  <c r="I11" i="1" s="1"/>
  <c r="H11" i="1" s="1"/>
  <c r="P20" i="1"/>
  <c r="P8" i="1"/>
  <c r="M11" i="1"/>
  <c r="L11" i="1" s="1"/>
  <c r="K11" i="1" s="1"/>
  <c r="P17" i="1"/>
  <c r="P29" i="1"/>
  <c r="K31" i="1"/>
  <c r="L32" i="1"/>
  <c r="G61" i="1"/>
  <c r="H62" i="1"/>
  <c r="M31" i="1"/>
  <c r="O11" i="1"/>
  <c r="N62" i="1"/>
  <c r="P62" i="1" s="1"/>
  <c r="K30" i="1"/>
  <c r="J30" i="1" s="1"/>
  <c r="I30" i="1" s="1"/>
  <c r="H30" i="1" s="1"/>
  <c r="G30" i="1" s="1"/>
  <c r="F30" i="1" s="1"/>
  <c r="E30" i="1" s="1"/>
  <c r="P9" i="1"/>
  <c r="P10" i="1"/>
  <c r="R31" i="1" l="1"/>
  <c r="R11" i="1"/>
  <c r="S10" i="1"/>
  <c r="S9" i="1"/>
  <c r="R30" i="1"/>
  <c r="S30" i="1" s="1"/>
  <c r="Q31" i="1"/>
  <c r="Q32" i="1" s="1"/>
  <c r="Q11" i="1"/>
  <c r="M32" i="1"/>
  <c r="J31" i="1"/>
  <c r="K32" i="1"/>
  <c r="P32" i="1"/>
  <c r="N11" i="1"/>
  <c r="P11" i="1" s="1"/>
  <c r="G62" i="1"/>
  <c r="F62" i="1" s="1"/>
  <c r="H58" i="13"/>
  <c r="G58" i="13"/>
  <c r="F58" i="13"/>
  <c r="E58" i="13"/>
  <c r="D58" i="13"/>
  <c r="C58" i="13"/>
  <c r="H57" i="13"/>
  <c r="G57" i="13"/>
  <c r="F57" i="13"/>
  <c r="E57" i="13"/>
  <c r="D57" i="13"/>
  <c r="C57" i="13"/>
  <c r="M55" i="13"/>
  <c r="P55" i="13" s="1"/>
  <c r="L55" i="13"/>
  <c r="O55" i="13" s="1"/>
  <c r="K55" i="13"/>
  <c r="J55" i="13"/>
  <c r="I55" i="13"/>
  <c r="M54" i="13"/>
  <c r="P54" i="13" s="1"/>
  <c r="L54" i="13"/>
  <c r="O54" i="13" s="1"/>
  <c r="K54" i="13"/>
  <c r="J54" i="13"/>
  <c r="I54" i="13"/>
  <c r="M52" i="13"/>
  <c r="P52" i="13" s="1"/>
  <c r="L52" i="13"/>
  <c r="O52" i="13" s="1"/>
  <c r="K52" i="13"/>
  <c r="J52" i="13"/>
  <c r="I52" i="13"/>
  <c r="M51" i="13"/>
  <c r="P51" i="13" s="1"/>
  <c r="L51" i="13"/>
  <c r="O51" i="13" s="1"/>
  <c r="K51" i="13"/>
  <c r="J51" i="13"/>
  <c r="I51" i="13"/>
  <c r="S31" i="1" l="1"/>
  <c r="R32" i="1"/>
  <c r="S32" i="1" s="1"/>
  <c r="S11" i="1"/>
  <c r="J53" i="13"/>
  <c r="N52" i="13"/>
  <c r="O53" i="13"/>
  <c r="Q51" i="13"/>
  <c r="P53" i="13"/>
  <c r="Q52" i="13"/>
  <c r="P56" i="13"/>
  <c r="Q55" i="13"/>
  <c r="Q54" i="13"/>
  <c r="O56" i="13"/>
  <c r="N51" i="13"/>
  <c r="D59" i="13"/>
  <c r="N54" i="13"/>
  <c r="C59" i="13"/>
  <c r="I31" i="1"/>
  <c r="J32" i="1"/>
  <c r="K56" i="13"/>
  <c r="J56" i="13" s="1"/>
  <c r="H59" i="13"/>
  <c r="G59" i="13" s="1"/>
  <c r="F59" i="13" s="1"/>
  <c r="E59" i="13" s="1"/>
  <c r="I53" i="13"/>
  <c r="M53" i="13"/>
  <c r="I56" i="13"/>
  <c r="K53" i="13"/>
  <c r="L56" i="13"/>
  <c r="L53" i="13"/>
  <c r="N53" i="13" s="1"/>
  <c r="N55" i="13"/>
  <c r="M49" i="13"/>
  <c r="P49" i="13" s="1"/>
  <c r="L49" i="13"/>
  <c r="O49" i="13" s="1"/>
  <c r="K49" i="13"/>
  <c r="J49" i="13"/>
  <c r="I49" i="13"/>
  <c r="M48" i="13"/>
  <c r="P48" i="13" s="1"/>
  <c r="L48" i="13"/>
  <c r="O48" i="13" s="1"/>
  <c r="K48" i="13"/>
  <c r="J48" i="13"/>
  <c r="I48" i="13"/>
  <c r="Q48" i="13" l="1"/>
  <c r="O50" i="13"/>
  <c r="Q53" i="13"/>
  <c r="P50" i="13"/>
  <c r="Q49" i="13"/>
  <c r="Q56" i="13"/>
  <c r="N49" i="13"/>
  <c r="N48" i="13"/>
  <c r="H31" i="1"/>
  <c r="I32" i="1"/>
  <c r="K50" i="13"/>
  <c r="I50" i="13"/>
  <c r="J50" i="13"/>
  <c r="L50" i="13"/>
  <c r="M50" i="13"/>
  <c r="M46" i="13"/>
  <c r="P46" i="13" s="1"/>
  <c r="L46" i="13"/>
  <c r="O46" i="13" s="1"/>
  <c r="K46" i="13"/>
  <c r="J46" i="13"/>
  <c r="I46" i="13"/>
  <c r="M45" i="13"/>
  <c r="P45" i="13" s="1"/>
  <c r="L45" i="13"/>
  <c r="O45" i="13" s="1"/>
  <c r="K45" i="13"/>
  <c r="J45" i="13"/>
  <c r="I45" i="13"/>
  <c r="M43" i="13"/>
  <c r="P43" i="13" s="1"/>
  <c r="L43" i="13"/>
  <c r="K43" i="13"/>
  <c r="J43" i="13"/>
  <c r="I43" i="13"/>
  <c r="M42" i="13"/>
  <c r="P42" i="13" s="1"/>
  <c r="L42" i="13"/>
  <c r="O42" i="13" s="1"/>
  <c r="K42" i="13"/>
  <c r="J42" i="13"/>
  <c r="I42" i="13"/>
  <c r="Q50" i="13" l="1"/>
  <c r="Q45" i="13"/>
  <c r="O47" i="13"/>
  <c r="P44" i="13"/>
  <c r="P47" i="13"/>
  <c r="Q46" i="13"/>
  <c r="N43" i="13"/>
  <c r="O43" i="13"/>
  <c r="O44" i="13" s="1"/>
  <c r="Q42" i="13"/>
  <c r="G31" i="1"/>
  <c r="H32" i="1"/>
  <c r="N45" i="13"/>
  <c r="K47" i="13"/>
  <c r="N50" i="13"/>
  <c r="I47" i="13"/>
  <c r="N46" i="13"/>
  <c r="N42" i="13"/>
  <c r="J47" i="13"/>
  <c r="L47" i="13"/>
  <c r="K44" i="13"/>
  <c r="J44" i="13" s="1"/>
  <c r="I44" i="13" s="1"/>
  <c r="M47" i="13"/>
  <c r="M40" i="13"/>
  <c r="P40" i="13" s="1"/>
  <c r="L40" i="13"/>
  <c r="O40" i="13" s="1"/>
  <c r="K40" i="13"/>
  <c r="J40" i="13"/>
  <c r="I40" i="13"/>
  <c r="M39" i="13"/>
  <c r="P39" i="13" s="1"/>
  <c r="L39" i="13"/>
  <c r="O39" i="13" s="1"/>
  <c r="K39" i="13"/>
  <c r="J39" i="13"/>
  <c r="I39" i="13"/>
  <c r="M37" i="13"/>
  <c r="P37" i="13" s="1"/>
  <c r="L37" i="13"/>
  <c r="K37" i="13"/>
  <c r="J37" i="13"/>
  <c r="I37" i="13"/>
  <c r="M36" i="13"/>
  <c r="P36" i="13" s="1"/>
  <c r="L36" i="13"/>
  <c r="O36" i="13" s="1"/>
  <c r="K36" i="13"/>
  <c r="J36" i="13"/>
  <c r="I36" i="13"/>
  <c r="Q39" i="13" l="1"/>
  <c r="O41" i="13"/>
  <c r="Q44" i="13"/>
  <c r="Q36" i="13"/>
  <c r="Q47" i="13"/>
  <c r="P41" i="13"/>
  <c r="Q41" i="13" s="1"/>
  <c r="Q40" i="13"/>
  <c r="Q43" i="13"/>
  <c r="P38" i="13"/>
  <c r="L58" i="13"/>
  <c r="O58" i="13" s="1"/>
  <c r="O37" i="13"/>
  <c r="O38" i="13" s="1"/>
  <c r="J57" i="13"/>
  <c r="N36" i="13"/>
  <c r="J41" i="13"/>
  <c r="N40" i="13"/>
  <c r="M57" i="13"/>
  <c r="P57" i="13" s="1"/>
  <c r="F31" i="1"/>
  <c r="G32" i="1"/>
  <c r="I41" i="13"/>
  <c r="M41" i="13"/>
  <c r="N39" i="13"/>
  <c r="N47" i="13"/>
  <c r="K58" i="13"/>
  <c r="K41" i="13"/>
  <c r="I57" i="13"/>
  <c r="I38" i="13"/>
  <c r="L57" i="13"/>
  <c r="O57" i="13" s="1"/>
  <c r="N37" i="13"/>
  <c r="L41" i="13"/>
  <c r="J38" i="13"/>
  <c r="M38" i="13"/>
  <c r="J58" i="13"/>
  <c r="J59" i="13" s="1"/>
  <c r="L38" i="13"/>
  <c r="K57" i="13"/>
  <c r="I58" i="13"/>
  <c r="K38" i="13"/>
  <c r="Q37" i="13" l="1"/>
  <c r="O59" i="13"/>
  <c r="Q57" i="13"/>
  <c r="Q38" i="13"/>
  <c r="N41" i="13"/>
  <c r="N57" i="13"/>
  <c r="E31" i="1"/>
  <c r="F32" i="1"/>
  <c r="K59" i="13"/>
  <c r="L59" i="13"/>
  <c r="N38" i="13"/>
  <c r="I59" i="13"/>
  <c r="P30" i="1" l="1"/>
  <c r="E32" i="1"/>
  <c r="P31" i="1" s="1"/>
  <c r="H28" i="13"/>
  <c r="G28" i="13"/>
  <c r="F28" i="13"/>
  <c r="E28" i="13"/>
  <c r="D28" i="13"/>
  <c r="C28" i="13"/>
  <c r="H27" i="13" l="1"/>
  <c r="G27" i="13"/>
  <c r="F27" i="13"/>
  <c r="E27" i="13"/>
  <c r="D27" i="13"/>
  <c r="C27" i="13"/>
  <c r="M25" i="13"/>
  <c r="P25" i="13" s="1"/>
  <c r="L25" i="13"/>
  <c r="O25" i="13" s="1"/>
  <c r="K25" i="13"/>
  <c r="J25" i="13"/>
  <c r="I25" i="13"/>
  <c r="Q25" i="13" l="1"/>
  <c r="N25" i="13"/>
  <c r="M24" i="13"/>
  <c r="L24" i="13"/>
  <c r="O24" i="13" s="1"/>
  <c r="O26" i="13" s="1"/>
  <c r="K24" i="13"/>
  <c r="K26" i="13" s="1"/>
  <c r="J24" i="13"/>
  <c r="J26" i="13" s="1"/>
  <c r="I24" i="13"/>
  <c r="I26" i="13" s="1"/>
  <c r="M26" i="13" l="1"/>
  <c r="P24" i="13"/>
  <c r="N24" i="13"/>
  <c r="L26" i="13"/>
  <c r="M22" i="13"/>
  <c r="P22" i="13" s="1"/>
  <c r="L22" i="13"/>
  <c r="O22" i="13" s="1"/>
  <c r="K22" i="13"/>
  <c r="J22" i="13"/>
  <c r="I22" i="13"/>
  <c r="M21" i="13"/>
  <c r="P21" i="13" s="1"/>
  <c r="L21" i="13"/>
  <c r="O21" i="13" s="1"/>
  <c r="K21" i="13"/>
  <c r="J21" i="13"/>
  <c r="I21" i="13"/>
  <c r="Q21" i="13" l="1"/>
  <c r="O23" i="13"/>
  <c r="P23" i="13"/>
  <c r="Q22" i="13"/>
  <c r="Q24" i="13"/>
  <c r="P26" i="13"/>
  <c r="Q26" i="13" s="1"/>
  <c r="J23" i="13"/>
  <c r="N26" i="13"/>
  <c r="N22" i="13"/>
  <c r="N21" i="13"/>
  <c r="K23" i="13"/>
  <c r="I23" i="13"/>
  <c r="M23" i="13"/>
  <c r="L23" i="13"/>
  <c r="M19" i="13"/>
  <c r="P19" i="13" s="1"/>
  <c r="L19" i="13"/>
  <c r="O19" i="13" s="1"/>
  <c r="K19" i="13"/>
  <c r="J19" i="13"/>
  <c r="I19" i="13"/>
  <c r="M18" i="13"/>
  <c r="P18" i="13" s="1"/>
  <c r="L18" i="13"/>
  <c r="O18" i="13" s="1"/>
  <c r="K18" i="13"/>
  <c r="J18" i="13"/>
  <c r="I18" i="13"/>
  <c r="Q18" i="13" l="1"/>
  <c r="Q23" i="13"/>
  <c r="P20" i="13"/>
  <c r="Q19" i="13"/>
  <c r="O20" i="13"/>
  <c r="K20" i="13"/>
  <c r="N23" i="13"/>
  <c r="N18" i="13"/>
  <c r="L20" i="13"/>
  <c r="J20" i="13"/>
  <c r="N19" i="13"/>
  <c r="I20" i="13"/>
  <c r="M20" i="13"/>
  <c r="M16" i="13"/>
  <c r="P16" i="13" s="1"/>
  <c r="L16" i="13"/>
  <c r="O16" i="13" s="1"/>
  <c r="K16" i="13"/>
  <c r="J16" i="13"/>
  <c r="I16" i="13"/>
  <c r="Q20" i="13" l="1"/>
  <c r="Q16" i="13"/>
  <c r="N16" i="13"/>
  <c r="N20" i="13"/>
  <c r="M15" i="13"/>
  <c r="L15" i="13"/>
  <c r="O15" i="13" s="1"/>
  <c r="O17" i="13" s="1"/>
  <c r="K15" i="13"/>
  <c r="K17" i="13" s="1"/>
  <c r="J15" i="13"/>
  <c r="J17" i="13" s="1"/>
  <c r="I15" i="13"/>
  <c r="M17" i="13" l="1"/>
  <c r="P15" i="13"/>
  <c r="N15" i="13"/>
  <c r="I17" i="13"/>
  <c r="L17" i="13"/>
  <c r="M13" i="13"/>
  <c r="P13" i="13" s="1"/>
  <c r="L13" i="13"/>
  <c r="O13" i="13" s="1"/>
  <c r="K13" i="13"/>
  <c r="J13" i="13"/>
  <c r="I13" i="13"/>
  <c r="M12" i="13"/>
  <c r="P12" i="13" s="1"/>
  <c r="L12" i="13"/>
  <c r="O12" i="13" s="1"/>
  <c r="K12" i="13"/>
  <c r="J12" i="13"/>
  <c r="I12" i="13"/>
  <c r="M10" i="13"/>
  <c r="P10" i="13" s="1"/>
  <c r="L10" i="13"/>
  <c r="O10" i="13" s="1"/>
  <c r="K10" i="13"/>
  <c r="J10" i="13"/>
  <c r="I10" i="13"/>
  <c r="M9" i="13"/>
  <c r="P9" i="13" s="1"/>
  <c r="L9" i="13"/>
  <c r="O9" i="13" s="1"/>
  <c r="K9" i="13"/>
  <c r="J9" i="13"/>
  <c r="I9" i="13"/>
  <c r="M7" i="13"/>
  <c r="P7" i="13" s="1"/>
  <c r="L7" i="13"/>
  <c r="O7" i="13" s="1"/>
  <c r="K7" i="13"/>
  <c r="J7" i="13"/>
  <c r="I7" i="13"/>
  <c r="M6" i="13"/>
  <c r="P6" i="13" s="1"/>
  <c r="L6" i="13"/>
  <c r="O6" i="13" s="1"/>
  <c r="K6" i="13"/>
  <c r="J6" i="13"/>
  <c r="I6" i="13"/>
  <c r="Q9" i="13" l="1"/>
  <c r="N17" i="13"/>
  <c r="O11" i="13"/>
  <c r="Q10" i="13"/>
  <c r="P11" i="13"/>
  <c r="Q7" i="13"/>
  <c r="P8" i="13"/>
  <c r="P14" i="13"/>
  <c r="Q13" i="13"/>
  <c r="Q15" i="13"/>
  <c r="P17" i="13"/>
  <c r="Q17" i="13" s="1"/>
  <c r="Q6" i="13"/>
  <c r="O8" i="13"/>
  <c r="Q12" i="13"/>
  <c r="O14" i="13"/>
  <c r="J11" i="13"/>
  <c r="I11" i="13"/>
  <c r="N9" i="13"/>
  <c r="N6" i="13"/>
  <c r="N10" i="13"/>
  <c r="M14" i="13"/>
  <c r="K11" i="13"/>
  <c r="K27" i="13"/>
  <c r="I28" i="13"/>
  <c r="M28" i="13"/>
  <c r="P28" i="13" s="1"/>
  <c r="J27" i="13"/>
  <c r="L28" i="13"/>
  <c r="O28" i="13" s="1"/>
  <c r="N12" i="13"/>
  <c r="L11" i="13"/>
  <c r="N13" i="13"/>
  <c r="K28" i="13"/>
  <c r="I8" i="13"/>
  <c r="M8" i="13"/>
  <c r="K8" i="13"/>
  <c r="M11" i="13"/>
  <c r="J8" i="13"/>
  <c r="L14" i="13"/>
  <c r="N14" i="13" s="1"/>
  <c r="I27" i="13"/>
  <c r="M27" i="13"/>
  <c r="P27" i="13" s="1"/>
  <c r="L27" i="13"/>
  <c r="O27" i="13" s="1"/>
  <c r="N7" i="13"/>
  <c r="L8" i="13"/>
  <c r="K14" i="13"/>
  <c r="J14" i="13" s="1"/>
  <c r="I14" i="13" s="1"/>
  <c r="Q11" i="13" l="1"/>
  <c r="Q14" i="13"/>
  <c r="P29" i="13"/>
  <c r="Q28" i="13"/>
  <c r="Q27" i="13"/>
  <c r="O29" i="13"/>
  <c r="Q8" i="13"/>
  <c r="L29" i="13"/>
  <c r="N28" i="13"/>
  <c r="N27" i="13"/>
  <c r="N11" i="13"/>
  <c r="N8" i="13"/>
  <c r="J28" i="13"/>
  <c r="J29" i="13" s="1"/>
  <c r="I29" i="13" s="1"/>
  <c r="H29" i="13" s="1"/>
  <c r="G29" i="13" s="1"/>
  <c r="F29" i="13" s="1"/>
  <c r="E29" i="13" s="1"/>
  <c r="D29" i="13" s="1"/>
  <c r="C29" i="13" s="1"/>
  <c r="K29" i="13"/>
  <c r="M29" i="13"/>
  <c r="M44" i="13"/>
  <c r="L44" i="13"/>
  <c r="M58" i="13"/>
  <c r="M56" i="13"/>
  <c r="N56" i="13" s="1"/>
  <c r="AD38" i="22"/>
  <c r="AF38" i="22"/>
  <c r="AE38" i="22"/>
  <c r="Q29" i="13" l="1"/>
  <c r="N58" i="13"/>
  <c r="P58" i="13"/>
  <c r="N29" i="13"/>
  <c r="N44" i="13"/>
  <c r="M59" i="13"/>
  <c r="N59" i="13" s="1"/>
  <c r="AG38" i="22"/>
  <c r="AF38" i="24"/>
  <c r="AG38" i="24" s="1"/>
  <c r="AE38" i="24"/>
  <c r="AH38" i="24"/>
  <c r="AH38" i="22"/>
  <c r="AI38" i="22" s="1"/>
  <c r="Q58" i="13" l="1"/>
  <c r="P59" i="13"/>
  <c r="Q59" i="13" s="1"/>
  <c r="AI38" i="24"/>
  <c r="O62" i="2"/>
  <c r="N62" i="2"/>
  <c r="X61" i="12"/>
  <c r="Y61" i="12" s="1"/>
  <c r="X60" i="12"/>
  <c r="X62" i="12" s="1"/>
  <c r="Z61" i="12"/>
  <c r="AA61" i="12" s="1"/>
  <c r="V62" i="12"/>
  <c r="W62" i="12"/>
  <c r="Z62" i="12"/>
  <c r="AA62" i="12" l="1"/>
  <c r="P62" i="2"/>
  <c r="Z63" i="12"/>
  <c r="AA63" i="12" s="1"/>
  <c r="Y60" i="12"/>
  <c r="Y62" i="12"/>
  <c r="X63" i="12"/>
  <c r="Y63" i="12" l="1"/>
  <c r="Q32" i="9"/>
  <c r="S32" i="9" s="1"/>
  <c r="S26" i="9"/>
  <c r="N26" i="9"/>
  <c r="P26" i="9" s="1"/>
  <c r="N32" i="9" l="1"/>
  <c r="P32" i="9" s="1"/>
</calcChain>
</file>

<file path=xl/sharedStrings.xml><?xml version="1.0" encoding="utf-8"?>
<sst xmlns="http://schemas.openxmlformats.org/spreadsheetml/2006/main" count="7226" uniqueCount="759">
  <si>
    <t>(단위 : 톤, 천불, %)</t>
  </si>
  <si>
    <t>구                분</t>
  </si>
  <si>
    <t>2011년</t>
  </si>
  <si>
    <t>2012년</t>
  </si>
  <si>
    <t>2013년</t>
  </si>
  <si>
    <t>2014년</t>
  </si>
  <si>
    <t>2015년</t>
  </si>
  <si>
    <t>2016년</t>
  </si>
  <si>
    <t>2017년</t>
  </si>
  <si>
    <t>1월</t>
    <phoneticPr fontId="4" type="noConversion"/>
  </si>
  <si>
    <t>동기비</t>
  </si>
  <si>
    <t>구리
(74류)</t>
    <phoneticPr fontId="4" type="noConversion"/>
  </si>
  <si>
    <t>전기동</t>
  </si>
  <si>
    <t>수량</t>
    <phoneticPr fontId="4" type="noConversion"/>
  </si>
  <si>
    <t>금액</t>
    <phoneticPr fontId="4" type="noConversion"/>
  </si>
  <si>
    <t>단가</t>
    <phoneticPr fontId="4" type="noConversion"/>
  </si>
  <si>
    <t>반제품</t>
  </si>
  <si>
    <t>스크랩</t>
  </si>
  <si>
    <t xml:space="preserve"> </t>
  </si>
  <si>
    <t>봉</t>
  </si>
  <si>
    <t>선</t>
  </si>
  <si>
    <t>판</t>
  </si>
  <si>
    <t>박</t>
  </si>
  <si>
    <t>관</t>
  </si>
  <si>
    <t>기타</t>
  </si>
  <si>
    <t>소계</t>
  </si>
  <si>
    <t>알루미늄
(76류)</t>
    <phoneticPr fontId="4" type="noConversion"/>
  </si>
  <si>
    <t>순괴</t>
  </si>
  <si>
    <t>합금괴</t>
  </si>
  <si>
    <t>건축재</t>
  </si>
  <si>
    <t>가  정
용  품</t>
    <phoneticPr fontId="4" type="noConversion"/>
  </si>
  <si>
    <t>아연
(79류)</t>
    <phoneticPr fontId="4" type="noConversion"/>
  </si>
  <si>
    <t>괴</t>
  </si>
  <si>
    <t>납
(78류)</t>
    <phoneticPr fontId="4" type="noConversion"/>
  </si>
  <si>
    <t>니켈
(75류)</t>
    <phoneticPr fontId="4" type="noConversion"/>
  </si>
  <si>
    <t>주석
(80류)</t>
    <phoneticPr fontId="4" type="noConversion"/>
  </si>
  <si>
    <t>기타
(81류)</t>
    <phoneticPr fontId="4" type="noConversion"/>
  </si>
  <si>
    <t>수량</t>
  </si>
  <si>
    <t>금액</t>
  </si>
  <si>
    <t>합      계</t>
  </si>
  <si>
    <t>1월</t>
  </si>
  <si>
    <t>관</t>
    <phoneticPr fontId="4" type="noConversion"/>
  </si>
  <si>
    <t>합금괴</t>
    <phoneticPr fontId="4" type="noConversion"/>
  </si>
  <si>
    <t>국가명</t>
  </si>
  <si>
    <t>중 량</t>
  </si>
  <si>
    <t>금  액</t>
  </si>
  <si>
    <t>중  량</t>
  </si>
  <si>
    <t>중 량</t>
    <phoneticPr fontId="12" type="noConversion"/>
  </si>
  <si>
    <t>중  량</t>
    <phoneticPr fontId="12" type="noConversion"/>
  </si>
  <si>
    <t>전년대비</t>
  </si>
  <si>
    <t>중국</t>
  </si>
  <si>
    <t>베트남</t>
  </si>
  <si>
    <t>인도(인디아)</t>
  </si>
  <si>
    <t>미국</t>
  </si>
  <si>
    <t>일본</t>
  </si>
  <si>
    <t>태국</t>
  </si>
  <si>
    <t>말레이시아</t>
  </si>
  <si>
    <t>대만</t>
  </si>
  <si>
    <t>인도네시아</t>
  </si>
  <si>
    <t>필리핀</t>
  </si>
  <si>
    <t>홍콩</t>
  </si>
  <si>
    <t>호주</t>
  </si>
  <si>
    <t>방글라데시</t>
  </si>
  <si>
    <t>사우디아라비아</t>
  </si>
  <si>
    <t>아랍에미리트 연합</t>
  </si>
  <si>
    <t>멕시코</t>
  </si>
  <si>
    <t>싱가포르</t>
  </si>
  <si>
    <t>캄보디아</t>
  </si>
  <si>
    <t>독일</t>
  </si>
  <si>
    <t>네덜란드</t>
  </si>
  <si>
    <t>파키스탄</t>
  </si>
  <si>
    <t>영국</t>
  </si>
  <si>
    <t>캐나다</t>
  </si>
  <si>
    <t>이탈리아</t>
  </si>
  <si>
    <t>브라질</t>
  </si>
  <si>
    <t>터키</t>
  </si>
  <si>
    <t>프랑스</t>
  </si>
  <si>
    <t>스페인</t>
  </si>
  <si>
    <t>기타</t>
    <phoneticPr fontId="12" type="noConversion"/>
  </si>
  <si>
    <t>합         계</t>
  </si>
  <si>
    <r>
      <t>(</t>
    </r>
    <r>
      <rPr>
        <sz val="10"/>
        <rFont val="맑은 고딕"/>
        <family val="3"/>
        <charset val="129"/>
      </rPr>
      <t>단위</t>
    </r>
    <r>
      <rPr>
        <sz val="10"/>
        <rFont val="Times New Roman"/>
        <family val="1"/>
      </rPr>
      <t xml:space="preserve"> : </t>
    </r>
    <r>
      <rPr>
        <sz val="10"/>
        <rFont val="맑은 고딕"/>
        <family val="3"/>
        <charset val="129"/>
      </rPr>
      <t>톤</t>
    </r>
    <r>
      <rPr>
        <sz val="10"/>
        <rFont val="Times New Roman"/>
        <family val="1"/>
      </rPr>
      <t xml:space="preserve">, </t>
    </r>
    <r>
      <rPr>
        <sz val="10"/>
        <rFont val="맑은 고딕"/>
        <family val="3"/>
        <charset val="129"/>
      </rPr>
      <t>천불</t>
    </r>
    <r>
      <rPr>
        <sz val="10"/>
        <rFont val="Times New Roman"/>
        <family val="1"/>
      </rPr>
      <t>, %)</t>
    </r>
  </si>
  <si>
    <t>2017년</t>
    <phoneticPr fontId="4" type="noConversion"/>
  </si>
  <si>
    <t>기타</t>
    <phoneticPr fontId="4" type="noConversion"/>
  </si>
  <si>
    <t>2018년</t>
  </si>
  <si>
    <t>칠레</t>
  </si>
  <si>
    <t>콩고 민주공화국</t>
  </si>
  <si>
    <t>러시아</t>
  </si>
  <si>
    <t>카타르</t>
  </si>
  <si>
    <t>나이지리아</t>
  </si>
  <si>
    <t>남아프리카 공화국</t>
  </si>
  <si>
    <t>뉴질랜드</t>
  </si>
  <si>
    <t>바레인</t>
  </si>
  <si>
    <t>이스라엘</t>
  </si>
  <si>
    <t>① 전기동</t>
    <phoneticPr fontId="4" type="noConversion"/>
  </si>
  <si>
    <t>(톤, %)</t>
  </si>
  <si>
    <t>구     분</t>
  </si>
  <si>
    <t>중국</t>
    <phoneticPr fontId="4" type="noConversion"/>
  </si>
  <si>
    <t>수출</t>
    <phoneticPr fontId="4" type="noConversion"/>
  </si>
  <si>
    <t>베트남</t>
    <phoneticPr fontId="4" type="noConversion"/>
  </si>
  <si>
    <t>말레이시아</t>
    <phoneticPr fontId="4" type="noConversion"/>
  </si>
  <si>
    <t>대만</t>
    <phoneticPr fontId="4" type="noConversion"/>
  </si>
  <si>
    <t>태국</t>
    <phoneticPr fontId="4" type="noConversion"/>
  </si>
  <si>
    <t>방글라데시</t>
    <phoneticPr fontId="4" type="noConversion"/>
  </si>
  <si>
    <t>인도네시아</t>
    <phoneticPr fontId="4" type="noConversion"/>
  </si>
  <si>
    <t>이란</t>
    <phoneticPr fontId="4" type="noConversion"/>
  </si>
  <si>
    <t>홍콩</t>
    <phoneticPr fontId="4" type="noConversion"/>
  </si>
  <si>
    <t>싱가포르</t>
    <phoneticPr fontId="4" type="noConversion"/>
  </si>
  <si>
    <t>일본</t>
    <phoneticPr fontId="4" type="noConversion"/>
  </si>
  <si>
    <t>계</t>
  </si>
  <si>
    <t>칠레</t>
    <phoneticPr fontId="4" type="noConversion"/>
  </si>
  <si>
    <t>수입</t>
  </si>
  <si>
    <t>필리핀</t>
    <phoneticPr fontId="4" type="noConversion"/>
  </si>
  <si>
    <t>호주</t>
    <phoneticPr fontId="4" type="noConversion"/>
  </si>
  <si>
    <t>미국</t>
    <phoneticPr fontId="4" type="noConversion"/>
  </si>
  <si>
    <t>벨기에</t>
    <phoneticPr fontId="4" type="noConversion"/>
  </si>
  <si>
    <t>미얀마</t>
    <phoneticPr fontId="4" type="noConversion"/>
  </si>
  <si>
    <t>독일</t>
    <phoneticPr fontId="4" type="noConversion"/>
  </si>
  <si>
    <t>브라질</t>
    <phoneticPr fontId="4" type="noConversion"/>
  </si>
  <si>
    <t>주&gt; 수출입 : KOTIS 통계자료기준</t>
  </si>
  <si>
    <t>② 구리의 봉</t>
    <phoneticPr fontId="4" type="noConversion"/>
  </si>
  <si>
    <t>(7407)</t>
    <phoneticPr fontId="4" type="noConversion"/>
  </si>
  <si>
    <t>수출</t>
  </si>
  <si>
    <t>네덜란드</t>
    <phoneticPr fontId="4" type="noConversion"/>
  </si>
  <si>
    <t>인도(인디아)</t>
    <phoneticPr fontId="4" type="noConversion"/>
  </si>
  <si>
    <t>뉴질랜드</t>
    <phoneticPr fontId="4" type="noConversion"/>
  </si>
  <si>
    <t>이탈리아</t>
    <phoneticPr fontId="4" type="noConversion"/>
  </si>
  <si>
    <t>스페인</t>
    <phoneticPr fontId="4" type="noConversion"/>
  </si>
  <si>
    <t>카자흐스탄</t>
  </si>
  <si>
    <t>프랑스</t>
    <phoneticPr fontId="4" type="noConversion"/>
  </si>
  <si>
    <t>그리스</t>
    <phoneticPr fontId="4" type="noConversion"/>
  </si>
  <si>
    <t>영국</t>
    <phoneticPr fontId="4" type="noConversion"/>
  </si>
  <si>
    <t>③ 구리의 선</t>
    <phoneticPr fontId="4" type="noConversion"/>
  </si>
  <si>
    <t>(7408)</t>
    <phoneticPr fontId="4" type="noConversion"/>
  </si>
  <si>
    <t>멕시코</t>
    <phoneticPr fontId="4" type="noConversion"/>
  </si>
  <si>
    <t>수입</t>
    <phoneticPr fontId="4" type="noConversion"/>
  </si>
  <si>
    <t>④ 구리의 판</t>
    <phoneticPr fontId="4" type="noConversion"/>
  </si>
  <si>
    <t>(7409)</t>
    <phoneticPr fontId="4" type="noConversion"/>
  </si>
  <si>
    <t>남아프리카 공화국</t>
    <phoneticPr fontId="4" type="noConversion"/>
  </si>
  <si>
    <t>아랍에미리트 연합</t>
    <phoneticPr fontId="4" type="noConversion"/>
  </si>
  <si>
    <t>스웨덴</t>
    <phoneticPr fontId="4" type="noConversion"/>
  </si>
  <si>
    <t>⑤ 구리의 박</t>
    <phoneticPr fontId="4" type="noConversion"/>
  </si>
  <si>
    <t>(7410)</t>
    <phoneticPr fontId="4" type="noConversion"/>
  </si>
  <si>
    <t>오스트리아</t>
    <phoneticPr fontId="4" type="noConversion"/>
  </si>
  <si>
    <t>⑥ 구리로 만든 관</t>
    <phoneticPr fontId="4" type="noConversion"/>
  </si>
  <si>
    <t>(7411)</t>
    <phoneticPr fontId="4" type="noConversion"/>
  </si>
  <si>
    <t>사우디아라비아</t>
    <phoneticPr fontId="4" type="noConversion"/>
  </si>
  <si>
    <t>카타르</t>
    <phoneticPr fontId="4" type="noConversion"/>
  </si>
  <si>
    <t>이집트</t>
  </si>
  <si>
    <t>쿠웨이트</t>
    <phoneticPr fontId="4" type="noConversion"/>
  </si>
  <si>
    <t>바레인</t>
    <phoneticPr fontId="4" type="noConversion"/>
  </si>
  <si>
    <t>레바논</t>
    <phoneticPr fontId="4" type="noConversion"/>
  </si>
  <si>
    <t>핀란드</t>
  </si>
  <si>
    <t>⑦ 납괴</t>
    <phoneticPr fontId="4" type="noConversion"/>
  </si>
  <si>
    <t>미국</t>
    <phoneticPr fontId="4" type="noConversion"/>
  </si>
  <si>
    <t>수출</t>
    <phoneticPr fontId="4" type="noConversion"/>
  </si>
  <si>
    <t>인도(인디아)</t>
    <phoneticPr fontId="4" type="noConversion"/>
  </si>
  <si>
    <t>베트남</t>
    <phoneticPr fontId="4" type="noConversion"/>
  </si>
  <si>
    <t>태국</t>
    <phoneticPr fontId="4" type="noConversion"/>
  </si>
  <si>
    <t>일본</t>
    <phoneticPr fontId="4" type="noConversion"/>
  </si>
  <si>
    <t>말레이시아</t>
    <phoneticPr fontId="4" type="noConversion"/>
  </si>
  <si>
    <t>포르투갈</t>
    <phoneticPr fontId="4" type="noConversion"/>
  </si>
  <si>
    <t>중국</t>
    <phoneticPr fontId="4" type="noConversion"/>
  </si>
  <si>
    <t>방글라데시</t>
    <phoneticPr fontId="4" type="noConversion"/>
  </si>
  <si>
    <t>필리핀</t>
    <phoneticPr fontId="4" type="noConversion"/>
  </si>
  <si>
    <t>영국</t>
    <phoneticPr fontId="4" type="noConversion"/>
  </si>
  <si>
    <t>스페인</t>
    <phoneticPr fontId="4" type="noConversion"/>
  </si>
  <si>
    <t>대만</t>
    <phoneticPr fontId="4" type="noConversion"/>
  </si>
  <si>
    <t>파키스탄</t>
    <phoneticPr fontId="4" type="noConversion"/>
  </si>
  <si>
    <t>페루</t>
    <phoneticPr fontId="4" type="noConversion"/>
  </si>
  <si>
    <t>사우디아라비아</t>
    <phoneticPr fontId="4" type="noConversion"/>
  </si>
  <si>
    <t>지부티</t>
    <phoneticPr fontId="4" type="noConversion"/>
  </si>
  <si>
    <t>네덜란드</t>
    <phoneticPr fontId="4" type="noConversion"/>
  </si>
  <si>
    <t>불가리아</t>
    <phoneticPr fontId="4" type="noConversion"/>
  </si>
  <si>
    <t>기타</t>
    <phoneticPr fontId="4" type="noConversion"/>
  </si>
  <si>
    <t>연
합
금
괴</t>
    <phoneticPr fontId="4" type="noConversion"/>
  </si>
  <si>
    <t>인도네시아</t>
    <phoneticPr fontId="4" type="noConversion"/>
  </si>
  <si>
    <t>크로아티아</t>
    <phoneticPr fontId="4" type="noConversion"/>
  </si>
  <si>
    <t>미얀마</t>
    <phoneticPr fontId="4" type="noConversion"/>
  </si>
  <si>
    <t>이란</t>
    <phoneticPr fontId="4" type="noConversion"/>
  </si>
  <si>
    <t>터키</t>
    <phoneticPr fontId="4" type="noConversion"/>
  </si>
  <si>
    <t>싱가포르</t>
    <phoneticPr fontId="4" type="noConversion"/>
  </si>
  <si>
    <t>합    계</t>
  </si>
  <si>
    <t>수입</t>
    <phoneticPr fontId="4" type="noConversion"/>
  </si>
  <si>
    <t>아랍에미리트 연합</t>
    <phoneticPr fontId="4" type="noConversion"/>
  </si>
  <si>
    <t>호주</t>
    <phoneticPr fontId="4" type="noConversion"/>
  </si>
  <si>
    <t>프랑스</t>
    <phoneticPr fontId="4" type="noConversion"/>
  </si>
  <si>
    <t>나이지리아</t>
    <phoneticPr fontId="4" type="noConversion"/>
  </si>
  <si>
    <t>스웨덴</t>
    <phoneticPr fontId="4" type="noConversion"/>
  </si>
  <si>
    <t>남아프리카 공화국</t>
    <phoneticPr fontId="4" type="noConversion"/>
  </si>
  <si>
    <t>멕시코</t>
    <phoneticPr fontId="4" type="noConversion"/>
  </si>
  <si>
    <t>이탈리아</t>
    <phoneticPr fontId="4" type="noConversion"/>
  </si>
  <si>
    <t>수단</t>
    <phoneticPr fontId="4" type="noConversion"/>
  </si>
  <si>
    <t>예멘</t>
    <phoneticPr fontId="4" type="noConversion"/>
  </si>
  <si>
    <t>모잠비크</t>
    <phoneticPr fontId="4" type="noConversion"/>
  </si>
  <si>
    <t>탄자니아</t>
    <phoneticPr fontId="4" type="noConversion"/>
  </si>
  <si>
    <t>가나</t>
    <phoneticPr fontId="4" type="noConversion"/>
  </si>
  <si>
    <t>세네갈</t>
    <phoneticPr fontId="4" type="noConversion"/>
  </si>
  <si>
    <t>요르단</t>
    <phoneticPr fontId="4" type="noConversion"/>
  </si>
  <si>
    <t>이집트</t>
    <phoneticPr fontId="4" type="noConversion"/>
  </si>
  <si>
    <t>카메룬</t>
    <phoneticPr fontId="4" type="noConversion"/>
  </si>
  <si>
    <t>⑧ 아연괴</t>
    <phoneticPr fontId="4" type="noConversion"/>
  </si>
  <si>
    <t>케냐</t>
    <phoneticPr fontId="4" type="noConversion"/>
  </si>
  <si>
    <t>쿠웨이트</t>
    <phoneticPr fontId="4" type="noConversion"/>
  </si>
  <si>
    <t>카타르</t>
    <phoneticPr fontId="4" type="noConversion"/>
  </si>
  <si>
    <t>이스라엘</t>
    <phoneticPr fontId="4" type="noConversion"/>
  </si>
  <si>
    <t>스리랑카</t>
    <phoneticPr fontId="4" type="noConversion"/>
  </si>
  <si>
    <t>캐나다</t>
    <phoneticPr fontId="4" type="noConversion"/>
  </si>
  <si>
    <t>벨기에</t>
    <phoneticPr fontId="4" type="noConversion"/>
  </si>
  <si>
    <t>⑨ 알루미늄괴</t>
    <phoneticPr fontId="4" type="noConversion"/>
  </si>
  <si>
    <t>(7601)</t>
    <phoneticPr fontId="4" type="noConversion"/>
  </si>
  <si>
    <t>수
출</t>
    <phoneticPr fontId="4" type="noConversion"/>
  </si>
  <si>
    <t>터키</t>
    <phoneticPr fontId="4" type="noConversion"/>
  </si>
  <si>
    <t>소  계</t>
  </si>
  <si>
    <t>캐나다</t>
    <phoneticPr fontId="4" type="noConversion"/>
  </si>
  <si>
    <t>코스타리카</t>
    <phoneticPr fontId="4" type="noConversion"/>
  </si>
  <si>
    <t>케냐</t>
    <phoneticPr fontId="4" type="noConversion"/>
  </si>
  <si>
    <t>탄자니아</t>
    <phoneticPr fontId="4" type="noConversion"/>
  </si>
  <si>
    <t>타지키스탄</t>
  </si>
  <si>
    <t>오만</t>
    <phoneticPr fontId="4" type="noConversion"/>
  </si>
  <si>
    <t>아르헨티나</t>
    <phoneticPr fontId="4" type="noConversion"/>
  </si>
  <si>
    <t>나이지리아</t>
    <phoneticPr fontId="4" type="noConversion"/>
  </si>
  <si>
    <t>노르웨이</t>
    <phoneticPr fontId="4" type="noConversion"/>
  </si>
  <si>
    <t>캄보디아</t>
    <phoneticPr fontId="4" type="noConversion"/>
  </si>
  <si>
    <t>베네수엘라</t>
  </si>
  <si>
    <t>⑫ 알루미늄 판</t>
    <phoneticPr fontId="4" type="noConversion"/>
  </si>
  <si>
    <t>합금하지
않은 것</t>
    <phoneticPr fontId="4" type="noConversion"/>
  </si>
  <si>
    <t>소   계</t>
  </si>
  <si>
    <t>합금의것</t>
    <phoneticPr fontId="4" type="noConversion"/>
  </si>
  <si>
    <t>요르단</t>
    <phoneticPr fontId="4" type="noConversion"/>
  </si>
  <si>
    <t>스리랑카</t>
    <phoneticPr fontId="4" type="noConversion"/>
  </si>
  <si>
    <t>소  계</t>
    <phoneticPr fontId="4" type="noConversion"/>
  </si>
  <si>
    <t>스위스</t>
    <phoneticPr fontId="4" type="noConversion"/>
  </si>
  <si>
    <t>⑬ 알루미늄 박</t>
    <phoneticPr fontId="4" type="noConversion"/>
  </si>
  <si>
    <t xml:space="preserve">  뒷면을 붙인 것 : 7607.20 )</t>
    <phoneticPr fontId="4" type="noConversion"/>
  </si>
  <si>
    <t>뒷면을</t>
  </si>
  <si>
    <t>붙이지</t>
  </si>
  <si>
    <t>않은 것</t>
    <phoneticPr fontId="4" type="noConversion"/>
  </si>
  <si>
    <t>콜롬비아</t>
    <phoneticPr fontId="4" type="noConversion"/>
  </si>
  <si>
    <t>붙인것</t>
  </si>
  <si>
    <t>파키스탄</t>
    <phoneticPr fontId="4" type="noConversion"/>
  </si>
  <si>
    <t>뒷면을</t>
    <phoneticPr fontId="4" type="noConversion"/>
  </si>
  <si>
    <t>않은 것</t>
  </si>
  <si>
    <t>아이슬란드</t>
    <phoneticPr fontId="4" type="noConversion"/>
  </si>
  <si>
    <t>이스라엘</t>
    <phoneticPr fontId="4" type="noConversion"/>
  </si>
  <si>
    <t>체코</t>
    <phoneticPr fontId="4" type="noConversion"/>
  </si>
  <si>
    <t>⑩ 알루미늄의 봉</t>
    <phoneticPr fontId="4" type="noConversion"/>
  </si>
  <si>
    <t>(7604)</t>
    <phoneticPr fontId="4" type="noConversion"/>
  </si>
  <si>
    <t>루마니아</t>
  </si>
  <si>
    <t>벨기에</t>
  </si>
  <si>
    <t>주&gt; 수출입 : KOTIS 통계자료기준</t>
    <phoneticPr fontId="4" type="noConversion"/>
  </si>
  <si>
    <t>⑪ 알루미늄의 선</t>
    <phoneticPr fontId="4" type="noConversion"/>
  </si>
  <si>
    <t>(7605)</t>
    <phoneticPr fontId="4" type="noConversion"/>
  </si>
  <si>
    <t>⑭ 알루미늄 압출</t>
    <phoneticPr fontId="4" type="noConversion"/>
  </si>
  <si>
    <t>(7610)</t>
    <phoneticPr fontId="4" type="noConversion"/>
  </si>
  <si>
    <t>괌</t>
    <phoneticPr fontId="4" type="noConversion"/>
  </si>
  <si>
    <t>몽골</t>
    <phoneticPr fontId="4" type="noConversion"/>
  </si>
  <si>
    <t>루마니아</t>
    <phoneticPr fontId="4" type="noConversion"/>
  </si>
  <si>
    <t>덴마크</t>
    <phoneticPr fontId="4" type="noConversion"/>
  </si>
  <si>
    <t>(7615)</t>
    <phoneticPr fontId="4" type="noConversion"/>
  </si>
  <si>
    <t>이집트</t>
    <phoneticPr fontId="4" type="noConversion"/>
  </si>
  <si>
    <t>▣ 수출입 실적</t>
    <phoneticPr fontId="4" type="noConversion"/>
  </si>
  <si>
    <t>년도</t>
    <phoneticPr fontId="4" type="noConversion"/>
  </si>
  <si>
    <t>2011년</t>
    <phoneticPr fontId="4" type="noConversion"/>
  </si>
  <si>
    <t>2012년</t>
    <phoneticPr fontId="4" type="noConversion"/>
  </si>
  <si>
    <t>2014년</t>
    <phoneticPr fontId="4" type="noConversion"/>
  </si>
  <si>
    <t>1월</t>
    <phoneticPr fontId="4" type="noConversion"/>
  </si>
  <si>
    <t>품명</t>
    <phoneticPr fontId="4" type="noConversion"/>
  </si>
  <si>
    <t>구분</t>
    <phoneticPr fontId="4" type="noConversion"/>
  </si>
  <si>
    <t>증감율</t>
    <phoneticPr fontId="4" type="noConversion"/>
  </si>
  <si>
    <t>구
리</t>
    <phoneticPr fontId="4" type="noConversion"/>
  </si>
  <si>
    <t>스크랩</t>
    <phoneticPr fontId="4" type="noConversion"/>
  </si>
  <si>
    <t>수량</t>
    <phoneticPr fontId="4" type="noConversion"/>
  </si>
  <si>
    <t>금액</t>
    <phoneticPr fontId="4" type="noConversion"/>
  </si>
  <si>
    <t>괴</t>
    <phoneticPr fontId="4" type="noConversion"/>
  </si>
  <si>
    <t>가공
제품</t>
    <phoneticPr fontId="4" type="noConversion"/>
  </si>
  <si>
    <t>계</t>
    <phoneticPr fontId="4" type="noConversion"/>
  </si>
  <si>
    <t>납</t>
    <phoneticPr fontId="4" type="noConversion"/>
  </si>
  <si>
    <t>아
연</t>
    <phoneticPr fontId="4" type="noConversion"/>
  </si>
  <si>
    <t>알
루
미
늄</t>
    <phoneticPr fontId="4" type="noConversion"/>
  </si>
  <si>
    <t>니
켈</t>
    <phoneticPr fontId="4" type="noConversion"/>
  </si>
  <si>
    <t>주
석</t>
    <phoneticPr fontId="4" type="noConversion"/>
  </si>
  <si>
    <t>74
류
~
80
류</t>
    <phoneticPr fontId="4" type="noConversion"/>
  </si>
  <si>
    <t>81
류</t>
    <phoneticPr fontId="4" type="noConversion"/>
  </si>
  <si>
    <t>주 :  한국무역통계(KOTIS)</t>
    <phoneticPr fontId="4" type="noConversion"/>
  </si>
  <si>
    <t>구      분</t>
  </si>
  <si>
    <t>구리</t>
    <phoneticPr fontId="4" type="noConversion"/>
  </si>
  <si>
    <t>단가</t>
  </si>
  <si>
    <t>납</t>
    <phoneticPr fontId="4" type="noConversion"/>
  </si>
  <si>
    <t>아연</t>
  </si>
  <si>
    <t>알루미늄</t>
  </si>
  <si>
    <t>니켈</t>
  </si>
  <si>
    <t>주석</t>
  </si>
  <si>
    <t>소  계</t>
    <phoneticPr fontId="2" type="noConversion"/>
  </si>
  <si>
    <t>소   계</t>
    <phoneticPr fontId="2" type="noConversion"/>
  </si>
  <si>
    <t>Virgin
Ingot
(7601.
10.0000)</t>
    <phoneticPr fontId="4" type="noConversion"/>
  </si>
  <si>
    <t>Billet
(7601.
20.2000)</t>
    <phoneticPr fontId="4" type="noConversion"/>
  </si>
  <si>
    <t>Casting
(Alloy
7601.
20.1000)</t>
    <phoneticPr fontId="4" type="noConversion"/>
  </si>
  <si>
    <r>
      <rPr>
        <sz val="10"/>
        <rFont val="맑은 고딕"/>
        <family val="3"/>
        <charset val="129"/>
      </rPr>
      <t xml:space="preserve">기타
</t>
    </r>
    <r>
      <rPr>
        <sz val="10"/>
        <rFont val="Times New Roman"/>
        <family val="1"/>
      </rPr>
      <t>(7601.
20.9000)</t>
    </r>
    <phoneticPr fontId="4" type="noConversion"/>
  </si>
  <si>
    <t>7403
11</t>
    <phoneticPr fontId="4" type="noConversion"/>
  </si>
  <si>
    <r>
      <t xml:space="preserve">7403
(740311
</t>
    </r>
    <r>
      <rPr>
        <sz val="10"/>
        <color rgb="FFFF8080"/>
        <rFont val="맑은 고딕"/>
        <family val="3"/>
        <charset val="129"/>
      </rPr>
      <t>제외</t>
    </r>
    <r>
      <rPr>
        <sz val="10"/>
        <color rgb="FFFF8080"/>
        <rFont val="Times New Roman"/>
        <family val="1"/>
      </rPr>
      <t>)</t>
    </r>
    <phoneticPr fontId="4" type="noConversion"/>
  </si>
  <si>
    <t>7601
10</t>
    <phoneticPr fontId="2" type="noConversion"/>
  </si>
  <si>
    <t>7601
20</t>
    <phoneticPr fontId="2" type="noConversion"/>
  </si>
  <si>
    <r>
      <t xml:space="preserve">7801
(7801
991000
 </t>
    </r>
    <r>
      <rPr>
        <sz val="10"/>
        <color rgb="FFFF8080"/>
        <rFont val="맑은 고딕"/>
        <family val="3"/>
        <charset val="129"/>
      </rPr>
      <t>제외</t>
    </r>
    <r>
      <rPr>
        <sz val="10"/>
        <color rgb="FFFF8080"/>
        <rFont val="Times New Roman"/>
        <family val="1"/>
      </rPr>
      <t>)</t>
    </r>
    <phoneticPr fontId="4" type="noConversion"/>
  </si>
  <si>
    <r>
      <t xml:space="preserve">7403
(740311
</t>
    </r>
    <r>
      <rPr>
        <sz val="10"/>
        <color rgb="FFFF8080"/>
        <rFont val="맑은 고딕"/>
        <family val="3"/>
        <charset val="129"/>
      </rPr>
      <t>제외</t>
    </r>
    <r>
      <rPr>
        <sz val="10"/>
        <color rgb="FFFF8080"/>
        <rFont val="Times New Roman"/>
        <family val="1"/>
      </rPr>
      <t>)</t>
    </r>
    <phoneticPr fontId="4" type="noConversion"/>
  </si>
  <si>
    <t>우즈베키스탄</t>
    <phoneticPr fontId="2" type="noConversion"/>
  </si>
  <si>
    <t>7901
7904
002000
7907
009010</t>
    <phoneticPr fontId="4" type="noConversion"/>
  </si>
  <si>
    <t>( 합금하지 않은것 : 7606.11 + 7606.91</t>
    <phoneticPr fontId="4" type="noConversion"/>
  </si>
  <si>
    <t>⑮ 알루미늄 가정용품</t>
    <phoneticPr fontId="4" type="noConversion"/>
  </si>
  <si>
    <t>마다가스카르</t>
  </si>
  <si>
    <t>노르웨이</t>
  </si>
  <si>
    <t>몬테네그로</t>
  </si>
  <si>
    <t>수출</t>
    <phoneticPr fontId="4" type="noConversion"/>
  </si>
  <si>
    <t>ㅁ 니켈괴</t>
    <phoneticPr fontId="2" type="noConversion"/>
  </si>
  <si>
    <t>ㅁ 마그네슘괴</t>
    <phoneticPr fontId="2" type="noConversion"/>
  </si>
  <si>
    <t>2019년</t>
    <phoneticPr fontId="4" type="noConversion"/>
  </si>
  <si>
    <t>2019년</t>
  </si>
  <si>
    <t>2018년</t>
    <phoneticPr fontId="2" type="noConversion"/>
  </si>
  <si>
    <t>단가</t>
    <phoneticPr fontId="4" type="noConversion"/>
  </si>
  <si>
    <t>7403
11</t>
    <phoneticPr fontId="4" type="noConversion"/>
  </si>
  <si>
    <t>수량</t>
    <phoneticPr fontId="4" type="noConversion"/>
  </si>
  <si>
    <t>금액</t>
    <phoneticPr fontId="4" type="noConversion"/>
  </si>
  <si>
    <t>단가</t>
    <phoneticPr fontId="4" type="noConversion"/>
  </si>
  <si>
    <t>폴란드</t>
    <phoneticPr fontId="2" type="noConversion"/>
  </si>
  <si>
    <t>요르단</t>
    <phoneticPr fontId="2" type="noConversion"/>
  </si>
  <si>
    <t>바레인</t>
    <phoneticPr fontId="2" type="noConversion"/>
  </si>
  <si>
    <t>도미니카공화국</t>
    <phoneticPr fontId="2" type="noConversion"/>
  </si>
  <si>
    <t>대만</t>
    <phoneticPr fontId="2" type="noConversion"/>
  </si>
  <si>
    <t>독일</t>
    <phoneticPr fontId="2" type="noConversion"/>
  </si>
  <si>
    <t>방글라데시</t>
    <phoneticPr fontId="4" type="noConversion"/>
  </si>
  <si>
    <t>네덜란드</t>
    <phoneticPr fontId="2" type="noConversion"/>
  </si>
  <si>
    <t>터키</t>
    <phoneticPr fontId="2" type="noConversion"/>
  </si>
  <si>
    <t>미얀마</t>
    <phoneticPr fontId="2" type="noConversion"/>
  </si>
  <si>
    <t>(7502)</t>
    <phoneticPr fontId="2" type="noConversion"/>
  </si>
  <si>
    <t>2016년</t>
    <phoneticPr fontId="2" type="noConversion"/>
  </si>
  <si>
    <t>(81041)</t>
    <phoneticPr fontId="2" type="noConversion"/>
  </si>
  <si>
    <t>대만</t>
    <phoneticPr fontId="2" type="noConversion"/>
  </si>
  <si>
    <t>74류~81류 (2월)</t>
    <phoneticPr fontId="4" type="noConversion"/>
  </si>
  <si>
    <t>Virgin
Ingot
(7601.
10.0000)</t>
    <phoneticPr fontId="4" type="noConversion"/>
  </si>
  <si>
    <t>( 뒷면을 붙이지 않은 것 : 7607.11 + 7607.19</t>
    <phoneticPr fontId="4" type="noConversion"/>
  </si>
  <si>
    <t>네덜란드</t>
    <phoneticPr fontId="2" type="noConversion"/>
  </si>
  <si>
    <t>정
제
연
괴</t>
    <phoneticPr fontId="4" type="noConversion"/>
  </si>
  <si>
    <t>정
제
연
괴</t>
    <phoneticPr fontId="2" type="noConversion"/>
  </si>
  <si>
    <t>7901
7904
002000
7907
009010</t>
    <phoneticPr fontId="4" type="noConversion"/>
  </si>
  <si>
    <t>인도(인디아)</t>
    <phoneticPr fontId="4" type="noConversion"/>
  </si>
  <si>
    <t>페루</t>
    <phoneticPr fontId="2" type="noConversion"/>
  </si>
  <si>
    <t>스페인</t>
    <phoneticPr fontId="2" type="noConversion"/>
  </si>
  <si>
    <t>폴란드</t>
    <phoneticPr fontId="2" type="noConversion"/>
  </si>
  <si>
    <r>
      <rPr>
        <sz val="10"/>
        <rFont val="맑은 고딕"/>
        <family val="3"/>
        <charset val="129"/>
      </rPr>
      <t xml:space="preserve">기타
</t>
    </r>
    <r>
      <rPr>
        <sz val="10"/>
        <rFont val="Times New Roman"/>
        <family val="1"/>
      </rPr>
      <t>(7601.
20.9000)</t>
    </r>
    <phoneticPr fontId="4" type="noConversion"/>
  </si>
  <si>
    <t xml:space="preserve">  합금의 것 : 7606.12 + 7606.92 )</t>
    <phoneticPr fontId="4" type="noConversion"/>
  </si>
  <si>
    <t>(7403.11.0000)</t>
    <phoneticPr fontId="4" type="noConversion"/>
  </si>
  <si>
    <t>중국</t>
    <phoneticPr fontId="4" type="noConversion"/>
  </si>
  <si>
    <t>베트남</t>
    <phoneticPr fontId="4" type="noConversion"/>
  </si>
  <si>
    <t>말레이시아</t>
    <phoneticPr fontId="4" type="noConversion"/>
  </si>
  <si>
    <t>대만</t>
    <phoneticPr fontId="4" type="noConversion"/>
  </si>
  <si>
    <t>태국</t>
    <phoneticPr fontId="4" type="noConversion"/>
  </si>
  <si>
    <t>일본</t>
    <phoneticPr fontId="4" type="noConversion"/>
  </si>
  <si>
    <t>방글라데시</t>
    <phoneticPr fontId="4" type="noConversion"/>
  </si>
  <si>
    <t>이란</t>
    <phoneticPr fontId="4" type="noConversion"/>
  </si>
  <si>
    <t>홍콩</t>
    <phoneticPr fontId="4" type="noConversion"/>
  </si>
  <si>
    <t>인도네시아</t>
    <phoneticPr fontId="4" type="noConversion"/>
  </si>
  <si>
    <t>싱가포르</t>
    <phoneticPr fontId="4" type="noConversion"/>
  </si>
  <si>
    <t>기타</t>
    <phoneticPr fontId="4" type="noConversion"/>
  </si>
  <si>
    <t>칠레</t>
    <phoneticPr fontId="4" type="noConversion"/>
  </si>
  <si>
    <t>콩고 민주공화국</t>
    <phoneticPr fontId="4" type="noConversion"/>
  </si>
  <si>
    <t>호주</t>
    <phoneticPr fontId="4" type="noConversion"/>
  </si>
  <si>
    <t>필리핀</t>
    <phoneticPr fontId="4" type="noConversion"/>
  </si>
  <si>
    <t>잠비아</t>
    <phoneticPr fontId="4" type="noConversion"/>
  </si>
  <si>
    <t>미국</t>
    <phoneticPr fontId="4" type="noConversion"/>
  </si>
  <si>
    <t>페루</t>
    <phoneticPr fontId="4" type="noConversion"/>
  </si>
  <si>
    <t>독일</t>
    <phoneticPr fontId="4" type="noConversion"/>
  </si>
  <si>
    <t>벨기에</t>
    <phoneticPr fontId="4" type="noConversion"/>
  </si>
  <si>
    <t>미얀마</t>
    <phoneticPr fontId="4" type="noConversion"/>
  </si>
  <si>
    <t>브라질</t>
    <phoneticPr fontId="4" type="noConversion"/>
  </si>
  <si>
    <t>중국</t>
    <phoneticPr fontId="4" type="noConversion"/>
  </si>
  <si>
    <t>폴란드</t>
    <phoneticPr fontId="4" type="noConversion"/>
  </si>
  <si>
    <t>베트남</t>
    <phoneticPr fontId="4" type="noConversion"/>
  </si>
  <si>
    <t>이탈리아</t>
    <phoneticPr fontId="4" type="noConversion"/>
  </si>
  <si>
    <t>인도(인디아)</t>
    <phoneticPr fontId="4" type="noConversion"/>
  </si>
  <si>
    <t>뉴질랜드</t>
    <phoneticPr fontId="4" type="noConversion"/>
  </si>
  <si>
    <t>네덜란드</t>
    <phoneticPr fontId="4" type="noConversion"/>
  </si>
  <si>
    <t>필리핀</t>
    <phoneticPr fontId="4" type="noConversion"/>
  </si>
  <si>
    <t>스페인</t>
    <phoneticPr fontId="4" type="noConversion"/>
  </si>
  <si>
    <t>이란</t>
    <phoneticPr fontId="4" type="noConversion"/>
  </si>
  <si>
    <t>기타</t>
    <phoneticPr fontId="4" type="noConversion"/>
  </si>
  <si>
    <t>일본</t>
    <phoneticPr fontId="4" type="noConversion"/>
  </si>
  <si>
    <t>태국</t>
    <phoneticPr fontId="4" type="noConversion"/>
  </si>
  <si>
    <t>미국</t>
    <phoneticPr fontId="4" type="noConversion"/>
  </si>
  <si>
    <t>중국</t>
    <phoneticPr fontId="4" type="noConversion"/>
  </si>
  <si>
    <t>독일</t>
    <phoneticPr fontId="4" type="noConversion"/>
  </si>
  <si>
    <t>대만</t>
    <phoneticPr fontId="4" type="noConversion"/>
  </si>
  <si>
    <t>영국</t>
    <phoneticPr fontId="4" type="noConversion"/>
  </si>
  <si>
    <t>프랑스</t>
    <phoneticPr fontId="4" type="noConversion"/>
  </si>
  <si>
    <t>그리스</t>
    <phoneticPr fontId="4" type="noConversion"/>
  </si>
  <si>
    <t>이탈리아</t>
    <phoneticPr fontId="4" type="noConversion"/>
  </si>
  <si>
    <t>싱가포르</t>
    <phoneticPr fontId="4" type="noConversion"/>
  </si>
  <si>
    <t>홍콩</t>
    <phoneticPr fontId="4" type="noConversion"/>
  </si>
  <si>
    <t>인도네시아</t>
    <phoneticPr fontId="4" type="noConversion"/>
  </si>
  <si>
    <t>베트남</t>
    <phoneticPr fontId="4" type="noConversion"/>
  </si>
  <si>
    <t>멕시코</t>
    <phoneticPr fontId="4" type="noConversion"/>
  </si>
  <si>
    <t>호주</t>
    <phoneticPr fontId="4" type="noConversion"/>
  </si>
  <si>
    <t>방글라데시</t>
    <phoneticPr fontId="4" type="noConversion"/>
  </si>
  <si>
    <t>피지</t>
    <phoneticPr fontId="4" type="noConversion"/>
  </si>
  <si>
    <t>뉴질랜드</t>
    <phoneticPr fontId="4" type="noConversion"/>
  </si>
  <si>
    <t>슬로바키아</t>
    <phoneticPr fontId="4" type="noConversion"/>
  </si>
  <si>
    <t>미얀마</t>
    <phoneticPr fontId="4" type="noConversion"/>
  </si>
  <si>
    <t>러시아</t>
    <phoneticPr fontId="2" type="noConversion"/>
  </si>
  <si>
    <t>스페인</t>
    <phoneticPr fontId="4" type="noConversion"/>
  </si>
  <si>
    <t>태국</t>
    <phoneticPr fontId="4" type="noConversion"/>
  </si>
  <si>
    <t>프랑스</t>
    <phoneticPr fontId="4" type="noConversion"/>
  </si>
  <si>
    <t>인도네시아</t>
    <phoneticPr fontId="4" type="noConversion"/>
  </si>
  <si>
    <t>남아프리카 공화국</t>
    <phoneticPr fontId="4" type="noConversion"/>
  </si>
  <si>
    <t>미국</t>
    <phoneticPr fontId="4" type="noConversion"/>
  </si>
  <si>
    <t>뉴질랜드</t>
    <phoneticPr fontId="4" type="noConversion"/>
  </si>
  <si>
    <t>방글라데시</t>
    <phoneticPr fontId="4" type="noConversion"/>
  </si>
  <si>
    <t>싱가포르</t>
    <phoneticPr fontId="4" type="noConversion"/>
  </si>
  <si>
    <t>불가리아</t>
    <phoneticPr fontId="4" type="noConversion"/>
  </si>
  <si>
    <t>태국</t>
    <phoneticPr fontId="4" type="noConversion"/>
  </si>
  <si>
    <t>핀란드</t>
    <phoneticPr fontId="4" type="noConversion"/>
  </si>
  <si>
    <t>말레이시아</t>
    <phoneticPr fontId="4" type="noConversion"/>
  </si>
  <si>
    <t>스웨덴</t>
    <phoneticPr fontId="4" type="noConversion"/>
  </si>
  <si>
    <t>영국</t>
    <phoneticPr fontId="4" type="noConversion"/>
  </si>
  <si>
    <t>싱가포르</t>
    <phoneticPr fontId="4" type="noConversion"/>
  </si>
  <si>
    <t>마카오</t>
    <phoneticPr fontId="4" type="noConversion"/>
  </si>
  <si>
    <t>베트남</t>
    <phoneticPr fontId="4" type="noConversion"/>
  </si>
  <si>
    <t>헝가리</t>
    <phoneticPr fontId="2" type="noConversion"/>
  </si>
  <si>
    <t>폴란드</t>
    <phoneticPr fontId="2" type="noConversion"/>
  </si>
  <si>
    <t>슬로베니아</t>
    <phoneticPr fontId="4" type="noConversion"/>
  </si>
  <si>
    <t>오스트리아</t>
    <phoneticPr fontId="4" type="noConversion"/>
  </si>
  <si>
    <t>룩셈부르크</t>
    <phoneticPr fontId="4" type="noConversion"/>
  </si>
  <si>
    <t>태국</t>
    <phoneticPr fontId="4" type="noConversion"/>
  </si>
  <si>
    <t>독일</t>
    <phoneticPr fontId="4" type="noConversion"/>
  </si>
  <si>
    <t>영국</t>
    <phoneticPr fontId="4" type="noConversion"/>
  </si>
  <si>
    <t>사우디아라비아</t>
    <phoneticPr fontId="4" type="noConversion"/>
  </si>
  <si>
    <t>홍콩</t>
    <phoneticPr fontId="4" type="noConversion"/>
  </si>
  <si>
    <t>브라질</t>
    <phoneticPr fontId="4" type="noConversion"/>
  </si>
  <si>
    <t>싱가포르</t>
    <phoneticPr fontId="4" type="noConversion"/>
  </si>
  <si>
    <t>카타르</t>
    <phoneticPr fontId="4" type="noConversion"/>
  </si>
  <si>
    <t>쿠웨이트</t>
    <phoneticPr fontId="4" type="noConversion"/>
  </si>
  <si>
    <t>바레인</t>
    <phoneticPr fontId="4" type="noConversion"/>
  </si>
  <si>
    <t>레바논</t>
    <phoneticPr fontId="4" type="noConversion"/>
  </si>
  <si>
    <t>오스트리아</t>
    <phoneticPr fontId="2" type="noConversion"/>
  </si>
  <si>
    <t>홍콩</t>
    <phoneticPr fontId="4" type="noConversion"/>
  </si>
  <si>
    <t>호주</t>
    <phoneticPr fontId="4" type="noConversion"/>
  </si>
  <si>
    <t>싱가포르</t>
    <phoneticPr fontId="4" type="noConversion"/>
  </si>
  <si>
    <t>2020년</t>
    <phoneticPr fontId="4" type="noConversion"/>
  </si>
  <si>
    <t>2019년</t>
    <phoneticPr fontId="2" type="noConversion"/>
  </si>
  <si>
    <t>2020년</t>
    <phoneticPr fontId="2" type="noConversion"/>
  </si>
  <si>
    <t>2020년 2월 비철금속 국가별 수출</t>
    <phoneticPr fontId="4" type="noConversion"/>
  </si>
  <si>
    <t>폴란드</t>
  </si>
  <si>
    <t>헝가리</t>
  </si>
  <si>
    <t>2020년 1월 비철금속 국가별 수출</t>
    <phoneticPr fontId="12" type="noConversion"/>
  </si>
  <si>
    <t>74류(1월)</t>
  </si>
  <si>
    <t>75류(1월)</t>
  </si>
  <si>
    <t>76류(1월)</t>
  </si>
  <si>
    <t>78류(1월)</t>
  </si>
  <si>
    <t>79류(1월)</t>
  </si>
  <si>
    <t>80류(1월)</t>
  </si>
  <si>
    <t>81류(1월)</t>
  </si>
  <si>
    <t>74류~81류 (1-1월 누계)</t>
    <phoneticPr fontId="2" type="noConversion"/>
  </si>
  <si>
    <t>2020년</t>
  </si>
  <si>
    <t>2020년 2월 비철금속 국가별 수입</t>
    <phoneticPr fontId="4" type="noConversion"/>
  </si>
  <si>
    <t>2020년 1월 비철금속 국가별 수입</t>
    <phoneticPr fontId="12" type="noConversion"/>
  </si>
  <si>
    <t>오스트리아</t>
    <phoneticPr fontId="2" type="noConversion"/>
  </si>
  <si>
    <t>남아프리카 공화국</t>
    <phoneticPr fontId="2" type="noConversion"/>
  </si>
  <si>
    <t>독일</t>
    <phoneticPr fontId="2" type="noConversion"/>
  </si>
  <si>
    <t>터키</t>
    <phoneticPr fontId="2" type="noConversion"/>
  </si>
  <si>
    <t>크로아티아</t>
    <phoneticPr fontId="2" type="noConversion"/>
  </si>
  <si>
    <t>인도(인디아)</t>
    <phoneticPr fontId="2" type="noConversion"/>
  </si>
  <si>
    <t>싱가포르</t>
    <phoneticPr fontId="4" type="noConversion"/>
  </si>
  <si>
    <t>일본</t>
    <phoneticPr fontId="4" type="noConversion"/>
  </si>
  <si>
    <t>미얀마</t>
    <phoneticPr fontId="2" type="noConversion"/>
  </si>
  <si>
    <t>미국</t>
    <phoneticPr fontId="2" type="noConversion"/>
  </si>
  <si>
    <t>카타르</t>
    <phoneticPr fontId="2" type="noConversion"/>
  </si>
  <si>
    <t>캐나다</t>
    <phoneticPr fontId="2" type="noConversion"/>
  </si>
  <si>
    <t>남아프리카 공화국</t>
    <phoneticPr fontId="4" type="noConversion"/>
  </si>
  <si>
    <t>대만</t>
    <phoneticPr fontId="2" type="noConversion"/>
  </si>
  <si>
    <t>슬로베니아</t>
    <phoneticPr fontId="2" type="noConversion"/>
  </si>
  <si>
    <t>프랑스</t>
    <phoneticPr fontId="2" type="noConversion"/>
  </si>
  <si>
    <t>브라질</t>
    <phoneticPr fontId="2" type="noConversion"/>
  </si>
  <si>
    <t>러시아</t>
    <phoneticPr fontId="2" type="noConversion"/>
  </si>
  <si>
    <t>오만</t>
    <phoneticPr fontId="2" type="noConversion"/>
  </si>
  <si>
    <t>미국</t>
    <phoneticPr fontId="2" type="noConversion"/>
  </si>
  <si>
    <t>우즈베키스탄</t>
    <phoneticPr fontId="2" type="noConversion"/>
  </si>
  <si>
    <t>이탈리아</t>
    <phoneticPr fontId="4" type="noConversion"/>
  </si>
  <si>
    <t>칠레</t>
    <phoneticPr fontId="2" type="noConversion"/>
  </si>
  <si>
    <t>파키스탄</t>
    <phoneticPr fontId="2" type="noConversion"/>
  </si>
  <si>
    <t>콜롬비아</t>
    <phoneticPr fontId="2" type="noConversion"/>
  </si>
  <si>
    <t>슬로바키아</t>
    <phoneticPr fontId="2" type="noConversion"/>
  </si>
  <si>
    <t>1-2월</t>
    <phoneticPr fontId="2" type="noConversion"/>
  </si>
  <si>
    <t>2월</t>
    <phoneticPr fontId="4" type="noConversion"/>
  </si>
  <si>
    <t>1-2월</t>
    <phoneticPr fontId="4" type="noConversion"/>
  </si>
  <si>
    <t>1월</t>
    <phoneticPr fontId="2" type="noConversion"/>
  </si>
  <si>
    <t>2월</t>
    <phoneticPr fontId="2" type="noConversion"/>
  </si>
  <si>
    <t>1-2 월</t>
    <phoneticPr fontId="2" type="noConversion"/>
  </si>
  <si>
    <t>2020년 2월 비철금속 국가별 수출</t>
    <phoneticPr fontId="12" type="noConversion"/>
  </si>
  <si>
    <t>74류(2월)</t>
  </si>
  <si>
    <t>75류(2월)</t>
  </si>
  <si>
    <t>76류(2월)</t>
  </si>
  <si>
    <t>78류(2월)</t>
  </si>
  <si>
    <t>79류(2월)</t>
  </si>
  <si>
    <t>80류(2월)</t>
  </si>
  <si>
    <t>81류(2월)</t>
  </si>
  <si>
    <t>74류~81류 (1-2월 누계)</t>
  </si>
  <si>
    <t>74류~81류 (2월)</t>
    <phoneticPr fontId="4" type="noConversion"/>
  </si>
  <si>
    <t>2020년 2월 비철금속 국가별 수입</t>
    <phoneticPr fontId="12" type="noConversion"/>
  </si>
  <si>
    <t>2월</t>
    <phoneticPr fontId="2" type="noConversion"/>
  </si>
  <si>
    <t>1-2월</t>
    <phoneticPr fontId="2" type="noConversion"/>
  </si>
  <si>
    <t>( 7901 + 7904.00.2000 + 7907.00.9010 )</t>
    <phoneticPr fontId="4" type="noConversion"/>
  </si>
  <si>
    <t>( 정제연괴 : 7801.10.1000 + 9000</t>
    <phoneticPr fontId="4" type="noConversion"/>
  </si>
  <si>
    <t xml:space="preserve">  연합금괴 : 7801.91.0000 + 99.2010 + 99.2090 )</t>
    <phoneticPr fontId="4" type="noConversion"/>
  </si>
  <si>
    <t>2019년</t>
    <phoneticPr fontId="4" type="noConversion"/>
  </si>
  <si>
    <t>2020년</t>
    <phoneticPr fontId="4" type="noConversion"/>
  </si>
  <si>
    <t>수입</t>
    <phoneticPr fontId="4" type="noConversion"/>
  </si>
  <si>
    <t>3월</t>
    <phoneticPr fontId="2" type="noConversion"/>
  </si>
  <si>
    <t>1-3월</t>
    <phoneticPr fontId="2" type="noConversion"/>
  </si>
  <si>
    <t>3월</t>
    <phoneticPr fontId="4" type="noConversion"/>
  </si>
  <si>
    <t>1-3월</t>
    <phoneticPr fontId="4" type="noConversion"/>
  </si>
  <si>
    <t>2020년 3월 비철금속 국가별 수출</t>
    <phoneticPr fontId="4" type="noConversion"/>
  </si>
  <si>
    <t>74류(3월)</t>
    <phoneticPr fontId="2" type="noConversion"/>
  </si>
  <si>
    <t>75류(3월)</t>
    <phoneticPr fontId="2" type="noConversion"/>
  </si>
  <si>
    <t>76류(3월)</t>
    <phoneticPr fontId="2" type="noConversion"/>
  </si>
  <si>
    <t>78류(3월)</t>
    <phoneticPr fontId="2" type="noConversion"/>
  </si>
  <si>
    <t>79류(3월)</t>
    <phoneticPr fontId="2" type="noConversion"/>
  </si>
  <si>
    <t>80류(3월)</t>
    <phoneticPr fontId="2" type="noConversion"/>
  </si>
  <si>
    <t>81류(3월)</t>
    <phoneticPr fontId="2" type="noConversion"/>
  </si>
  <si>
    <t>74류~81류 (1-3월 누계)</t>
    <phoneticPr fontId="2" type="noConversion"/>
  </si>
  <si>
    <t>2020년 3월 비철금속 국가별 수입</t>
    <phoneticPr fontId="4" type="noConversion"/>
  </si>
  <si>
    <t>74류~81류 (3월)</t>
    <phoneticPr fontId="4" type="noConversion"/>
  </si>
  <si>
    <t>독일</t>
    <phoneticPr fontId="2" type="noConversion"/>
  </si>
  <si>
    <t>1-3월</t>
    <phoneticPr fontId="4" type="noConversion"/>
  </si>
  <si>
    <t>1-2월</t>
    <phoneticPr fontId="4" type="noConversion"/>
  </si>
  <si>
    <t>4월</t>
  </si>
  <si>
    <t>4월</t>
    <phoneticPr fontId="2" type="noConversion"/>
  </si>
  <si>
    <t>1-4월</t>
  </si>
  <si>
    <t>1-4월</t>
    <phoneticPr fontId="2" type="noConversion"/>
  </si>
  <si>
    <t>4월</t>
    <phoneticPr fontId="4" type="noConversion"/>
  </si>
  <si>
    <t>1-4월</t>
    <phoneticPr fontId="4" type="noConversion"/>
  </si>
  <si>
    <t>2020년 4월 비철금속 국가별 수출</t>
    <phoneticPr fontId="4" type="noConversion"/>
  </si>
  <si>
    <t>74류~81류 (4월)</t>
    <phoneticPr fontId="4" type="noConversion"/>
  </si>
  <si>
    <t>2020년 3월 비철금속 국가별 수출</t>
    <phoneticPr fontId="12" type="noConversion"/>
  </si>
  <si>
    <t>2020년 4월 비철금속 국가별 수출</t>
    <phoneticPr fontId="12" type="noConversion"/>
  </si>
  <si>
    <t>74류(4월)</t>
  </si>
  <si>
    <t>75류(4월)</t>
  </si>
  <si>
    <t>76류(4월)</t>
  </si>
  <si>
    <t>78류(4월)</t>
  </si>
  <si>
    <t>79류(4월)</t>
  </si>
  <si>
    <t>80류(4월)</t>
  </si>
  <si>
    <t>81류(4월)</t>
  </si>
  <si>
    <t>74류~81류 (1-4월 누계)</t>
  </si>
  <si>
    <t>2020년 3월 비철금속 국가별 수입</t>
    <phoneticPr fontId="12" type="noConversion"/>
  </si>
  <si>
    <t>2020년 4월 비철금속 국가별 수입</t>
    <phoneticPr fontId="12" type="noConversion"/>
  </si>
  <si>
    <t>2020년 4월 비철금속 국가별 수입</t>
    <phoneticPr fontId="4" type="noConversion"/>
  </si>
  <si>
    <t>5월</t>
    <phoneticPr fontId="4" type="noConversion"/>
  </si>
  <si>
    <t>1-5월</t>
    <phoneticPr fontId="4" type="noConversion"/>
  </si>
  <si>
    <t>2020년</t>
    <phoneticPr fontId="4" type="noConversion"/>
  </si>
  <si>
    <t>5월</t>
    <phoneticPr fontId="2" type="noConversion"/>
  </si>
  <si>
    <t>1-5월</t>
    <phoneticPr fontId="2" type="noConversion"/>
  </si>
  <si>
    <t>증감율</t>
    <phoneticPr fontId="4" type="noConversion"/>
  </si>
  <si>
    <t>2020년 5월 비철금속 국가별 수출</t>
    <phoneticPr fontId="4" type="noConversion"/>
  </si>
  <si>
    <t>74류~81류 (5월)</t>
    <phoneticPr fontId="4" type="noConversion"/>
  </si>
  <si>
    <t>기타</t>
    <phoneticPr fontId="12" type="noConversion"/>
  </si>
  <si>
    <t>2020년 5월 비철금속 국가별 수출</t>
    <phoneticPr fontId="12" type="noConversion"/>
  </si>
  <si>
    <t>74류~81류 (1-5월 누계)</t>
  </si>
  <si>
    <t>74류~81류 (1-5월 누계)</t>
    <phoneticPr fontId="2" type="noConversion"/>
  </si>
  <si>
    <t>2020년 5월 비철금속 국가별 수입</t>
    <phoneticPr fontId="4" type="noConversion"/>
  </si>
  <si>
    <t>74류~81류 (5월)</t>
    <phoneticPr fontId="4" type="noConversion"/>
  </si>
  <si>
    <t>74류~81류 (4월)</t>
    <phoneticPr fontId="4" type="noConversion"/>
  </si>
  <si>
    <t>2020년 5월 비철금속 국가별 수입</t>
    <phoneticPr fontId="12" type="noConversion"/>
  </si>
  <si>
    <t>74류(5월)</t>
  </si>
  <si>
    <t>75류(5월)</t>
  </si>
  <si>
    <t>76류(5월)</t>
  </si>
  <si>
    <t>78류(5월)</t>
  </si>
  <si>
    <t>79류(5월)</t>
  </si>
  <si>
    <t>80류(5월)</t>
  </si>
  <si>
    <t>81류(5월)</t>
  </si>
  <si>
    <t>5월</t>
    <phoneticPr fontId="2" type="noConversion"/>
  </si>
  <si>
    <t>1-5월</t>
    <phoneticPr fontId="2" type="noConversion"/>
  </si>
  <si>
    <t>2019년</t>
    <phoneticPr fontId="2" type="noConversion"/>
  </si>
  <si>
    <t>2020년</t>
    <phoneticPr fontId="2" type="noConversion"/>
  </si>
  <si>
    <t>5월</t>
    <phoneticPr fontId="2" type="noConversion"/>
  </si>
  <si>
    <t>1-5월</t>
    <phoneticPr fontId="2" type="noConversion"/>
  </si>
  <si>
    <t>2019년</t>
    <phoneticPr fontId="2" type="noConversion"/>
  </si>
  <si>
    <t>2020년</t>
    <phoneticPr fontId="2" type="noConversion"/>
  </si>
  <si>
    <t>6월</t>
    <phoneticPr fontId="2" type="noConversion"/>
  </si>
  <si>
    <t>1-6월</t>
    <phoneticPr fontId="2" type="noConversion"/>
  </si>
  <si>
    <t>6월</t>
    <phoneticPr fontId="2" type="noConversion"/>
  </si>
  <si>
    <t>6월</t>
    <phoneticPr fontId="4" type="noConversion"/>
  </si>
  <si>
    <t>1-6월</t>
    <phoneticPr fontId="4" type="noConversion"/>
  </si>
  <si>
    <t>1-6월</t>
    <phoneticPr fontId="2" type="noConversion"/>
  </si>
  <si>
    <t>6월</t>
    <phoneticPr fontId="2" type="noConversion"/>
  </si>
  <si>
    <t>2020년 6월 비철금속 국가별 수출</t>
    <phoneticPr fontId="12" type="noConversion"/>
  </si>
  <si>
    <t>74류(6월)</t>
  </si>
  <si>
    <t>75류(6월)</t>
  </si>
  <si>
    <t>76류(6월)</t>
  </si>
  <si>
    <t>78류(6월)</t>
  </si>
  <si>
    <t>79류(6월)</t>
  </si>
  <si>
    <t>80류(6월)</t>
  </si>
  <si>
    <t>81류(6월)</t>
  </si>
  <si>
    <t>74류~81류 (1-6월 누계)</t>
  </si>
  <si>
    <t>2020년 6월 비철금속 국가별 수입</t>
    <phoneticPr fontId="12" type="noConversion"/>
  </si>
  <si>
    <t>74류~81류 (1-6월 누계)</t>
    <phoneticPr fontId="2" type="noConversion"/>
  </si>
  <si>
    <t>2020년 6월 비철금속 국가별 수출</t>
    <phoneticPr fontId="4" type="noConversion"/>
  </si>
  <si>
    <t>74류~81류 (6월)</t>
    <phoneticPr fontId="4" type="noConversion"/>
  </si>
  <si>
    <t>2020년 6월 비철금속 국가별 수입</t>
    <phoneticPr fontId="4" type="noConversion"/>
  </si>
  <si>
    <t>7월</t>
  </si>
  <si>
    <t>7월</t>
    <phoneticPr fontId="2" type="noConversion"/>
  </si>
  <si>
    <t>1-7월</t>
  </si>
  <si>
    <t>1-7월</t>
    <phoneticPr fontId="2" type="noConversion"/>
  </si>
  <si>
    <t>2020년 7월 비철금속 국가별 수출</t>
    <phoneticPr fontId="4" type="noConversion"/>
  </si>
  <si>
    <t>74류~81류 (7월)</t>
    <phoneticPr fontId="4" type="noConversion"/>
  </si>
  <si>
    <t>74류(7월)</t>
  </si>
  <si>
    <t>75류(7월)</t>
  </si>
  <si>
    <t>76류(7월)</t>
  </si>
  <si>
    <t>78류(7월)</t>
  </si>
  <si>
    <t>79류(7월)</t>
  </si>
  <si>
    <t>80류(7월)</t>
  </si>
  <si>
    <t>81류(7월)</t>
  </si>
  <si>
    <t>74류~81류 (1-7월 누계)</t>
  </si>
  <si>
    <t>2020년 7월 비철금속 국가별 수출</t>
    <phoneticPr fontId="12" type="noConversion"/>
  </si>
  <si>
    <t>2020년 7월 비철금속 국가별 수입</t>
    <phoneticPr fontId="4" type="noConversion"/>
  </si>
  <si>
    <t>2020년  7월 비철금속 국가별 수입</t>
    <phoneticPr fontId="12" type="noConversion"/>
  </si>
  <si>
    <t>7월</t>
    <phoneticPr fontId="2" type="noConversion"/>
  </si>
  <si>
    <t>1-7월</t>
    <phoneticPr fontId="2" type="noConversion"/>
  </si>
  <si>
    <t xml:space="preserve"> </t>
    <phoneticPr fontId="2" type="noConversion"/>
  </si>
  <si>
    <t>2019년</t>
    <phoneticPr fontId="2" type="noConversion"/>
  </si>
  <si>
    <t>2020년</t>
    <phoneticPr fontId="2" type="noConversion"/>
  </si>
  <si>
    <t>8월</t>
  </si>
  <si>
    <t>8월</t>
    <phoneticPr fontId="2" type="noConversion"/>
  </si>
  <si>
    <t>1-8월</t>
  </si>
  <si>
    <t>1-8월</t>
    <phoneticPr fontId="2" type="noConversion"/>
  </si>
  <si>
    <t>8월</t>
    <phoneticPr fontId="2" type="noConversion"/>
  </si>
  <si>
    <t>1-8월</t>
    <phoneticPr fontId="2" type="noConversion"/>
  </si>
  <si>
    <t>2020년 8월 비철금속 국가별 수출</t>
    <phoneticPr fontId="4" type="noConversion"/>
  </si>
  <si>
    <t>74류~81류 (8월)</t>
    <phoneticPr fontId="4" type="noConversion"/>
  </si>
  <si>
    <t>2020년 8월 비철금속 국가별 수출</t>
    <phoneticPr fontId="12" type="noConversion"/>
  </si>
  <si>
    <t>74류~81류 (1-8월 누계)</t>
  </si>
  <si>
    <t>74류~81류 (1-8월 누계)</t>
    <phoneticPr fontId="2" type="noConversion"/>
  </si>
  <si>
    <t>74류(8월)</t>
  </si>
  <si>
    <t>75류(8월)</t>
  </si>
  <si>
    <t>76류(8월)</t>
  </si>
  <si>
    <t>78류(8월)</t>
  </si>
  <si>
    <t>79류(8월)</t>
  </si>
  <si>
    <t>80류(8월)</t>
  </si>
  <si>
    <t>81류(8월)</t>
  </si>
  <si>
    <t>2020년 8월 비철금속 국가별 수입</t>
    <phoneticPr fontId="4" type="noConversion"/>
  </si>
  <si>
    <t>2020년  8월 비철금속 국가별 수입</t>
    <phoneticPr fontId="12" type="noConversion"/>
  </si>
  <si>
    <t>2019년</t>
    <phoneticPr fontId="2" type="noConversion"/>
  </si>
  <si>
    <t>2020년</t>
    <phoneticPr fontId="2" type="noConversion"/>
  </si>
  <si>
    <t>9월</t>
    <phoneticPr fontId="2" type="noConversion"/>
  </si>
  <si>
    <t>1-9월</t>
    <phoneticPr fontId="2" type="noConversion"/>
  </si>
  <si>
    <t>9월</t>
    <phoneticPr fontId="2" type="noConversion"/>
  </si>
  <si>
    <t>1-9월</t>
    <phoneticPr fontId="2" type="noConversion"/>
  </si>
  <si>
    <t>2019년</t>
    <phoneticPr fontId="4" type="noConversion"/>
  </si>
  <si>
    <t>2020년</t>
    <phoneticPr fontId="4" type="noConversion"/>
  </si>
  <si>
    <t>증감율</t>
    <phoneticPr fontId="4" type="noConversion"/>
  </si>
  <si>
    <t>2020년 9월 비철금속 국가별 수출</t>
    <phoneticPr fontId="4" type="noConversion"/>
  </si>
  <si>
    <t>2020년 9월 비철금속 국가별 수출</t>
    <phoneticPr fontId="12" type="noConversion"/>
  </si>
  <si>
    <t>74류(9월)</t>
  </si>
  <si>
    <t>75류(9월)</t>
  </si>
  <si>
    <t>76류(9월)</t>
  </si>
  <si>
    <t>78류(9월)</t>
  </si>
  <si>
    <t>79류(9월)</t>
  </si>
  <si>
    <t>80류(9월)</t>
  </si>
  <si>
    <t>81류(9월)</t>
  </si>
  <si>
    <t>74류~81류 (1-9월 누계)</t>
  </si>
  <si>
    <t>74류~81류 (9월)</t>
  </si>
  <si>
    <t>74류~81류 (9월)</t>
    <phoneticPr fontId="4" type="noConversion"/>
  </si>
  <si>
    <t>2020년  9월 비철금속 국가별 수입</t>
  </si>
  <si>
    <t>2020년 9월 비철금속 국가별 수입</t>
  </si>
  <si>
    <t>2019년</t>
    <phoneticPr fontId="2" type="noConversion"/>
  </si>
  <si>
    <t>2019년</t>
    <phoneticPr fontId="2" type="noConversion"/>
  </si>
  <si>
    <t>2020년</t>
    <phoneticPr fontId="2" type="noConversion"/>
  </si>
  <si>
    <t xml:space="preserve"> </t>
    <phoneticPr fontId="2" type="noConversion"/>
  </si>
  <si>
    <t>2020년</t>
    <phoneticPr fontId="2" type="noConversion"/>
  </si>
  <si>
    <t>10월</t>
    <phoneticPr fontId="2" type="noConversion"/>
  </si>
  <si>
    <t>1-10월</t>
    <phoneticPr fontId="2" type="noConversion"/>
  </si>
  <si>
    <t>10월</t>
    <phoneticPr fontId="2" type="noConversion"/>
  </si>
  <si>
    <t>1-10월</t>
    <phoneticPr fontId="2" type="noConversion"/>
  </si>
  <si>
    <t>2019년</t>
    <phoneticPr fontId="4" type="noConversion"/>
  </si>
  <si>
    <t>수출</t>
    <phoneticPr fontId="4" type="noConversion"/>
  </si>
  <si>
    <t>수입</t>
    <phoneticPr fontId="4" type="noConversion"/>
  </si>
  <si>
    <t>증감율</t>
    <phoneticPr fontId="4" type="noConversion"/>
  </si>
  <si>
    <t>2020년 10월 비철금속 국가별 수출</t>
    <phoneticPr fontId="4" type="noConversion"/>
  </si>
  <si>
    <t>74류~81류 (10월)</t>
    <phoneticPr fontId="4" type="noConversion"/>
  </si>
  <si>
    <t>2020년 10월 비철금속 국가별 수입</t>
    <phoneticPr fontId="2" type="noConversion"/>
  </si>
  <si>
    <t>74류~81류 (10월)</t>
    <phoneticPr fontId="2" type="noConversion"/>
  </si>
  <si>
    <t>2020년 10월 비철금속 국가별 수출</t>
    <phoneticPr fontId="12" type="noConversion"/>
  </si>
  <si>
    <t>74류(10월)</t>
  </si>
  <si>
    <t>75류(10월)</t>
  </si>
  <si>
    <t>76류(10월)</t>
  </si>
  <si>
    <t>78류(10월)</t>
  </si>
  <si>
    <t>79류(10월)</t>
  </si>
  <si>
    <t>80류(10월)</t>
  </si>
  <si>
    <t>81류(10월)</t>
  </si>
  <si>
    <t>74류~81류 (1-10월 누계)</t>
  </si>
  <si>
    <t>2020년  10월 비철금속 국가별 수입</t>
    <phoneticPr fontId="2" type="noConversion"/>
  </si>
  <si>
    <t>2019년</t>
    <phoneticPr fontId="2" type="noConversion"/>
  </si>
  <si>
    <t>2020년</t>
    <phoneticPr fontId="2" type="noConversion"/>
  </si>
  <si>
    <t>2019년</t>
    <phoneticPr fontId="2" type="noConversion"/>
  </si>
  <si>
    <t>2020년</t>
    <phoneticPr fontId="2" type="noConversion"/>
  </si>
  <si>
    <t xml:space="preserve"> </t>
    <phoneticPr fontId="2" type="noConversion"/>
  </si>
  <si>
    <t>1-10월</t>
    <phoneticPr fontId="2" type="noConversion"/>
  </si>
  <si>
    <t>2019년</t>
    <phoneticPr fontId="2" type="noConversion"/>
  </si>
  <si>
    <t>2020년</t>
    <phoneticPr fontId="2" type="noConversion"/>
  </si>
  <si>
    <t>2019년</t>
    <phoneticPr fontId="2" type="noConversion"/>
  </si>
  <si>
    <t>2020년</t>
    <phoneticPr fontId="2" type="noConversion"/>
  </si>
  <si>
    <t>2020년 11월 비철금속 수출 실적</t>
    <phoneticPr fontId="4" type="noConversion"/>
  </si>
  <si>
    <t>11월</t>
    <phoneticPr fontId="2" type="noConversion"/>
  </si>
  <si>
    <t>1-11월</t>
    <phoneticPr fontId="2" type="noConversion"/>
  </si>
  <si>
    <t>2020년 11월 비철금속 수입 실적</t>
    <phoneticPr fontId="4" type="noConversion"/>
  </si>
  <si>
    <t>2020년 11월 품목별 수출실적</t>
    <phoneticPr fontId="4" type="noConversion"/>
  </si>
  <si>
    <t>1-11월</t>
    <phoneticPr fontId="2" type="noConversion"/>
  </si>
  <si>
    <t>11월</t>
    <phoneticPr fontId="2" type="noConversion"/>
  </si>
  <si>
    <t>11월</t>
    <phoneticPr fontId="2" type="noConversion"/>
  </si>
  <si>
    <t>1-11월</t>
    <phoneticPr fontId="2" type="noConversion"/>
  </si>
  <si>
    <t>2020년</t>
    <phoneticPr fontId="4" type="noConversion"/>
  </si>
  <si>
    <t>2020년</t>
    <phoneticPr fontId="4" type="noConversion"/>
  </si>
  <si>
    <t>2020년</t>
    <phoneticPr fontId="4" type="noConversion"/>
  </si>
  <si>
    <t>2020년 11월 품목별 수입실적</t>
    <phoneticPr fontId="4" type="noConversion"/>
  </si>
  <si>
    <t>11월</t>
    <phoneticPr fontId="2" type="noConversion"/>
  </si>
  <si>
    <t>2020년</t>
    <phoneticPr fontId="4" type="noConversion"/>
  </si>
  <si>
    <t>수입</t>
    <phoneticPr fontId="4" type="noConversion"/>
  </si>
  <si>
    <t>증감율</t>
    <phoneticPr fontId="4" type="noConversion"/>
  </si>
  <si>
    <t>2020년 11월 비철금속 국가별 수출</t>
    <phoneticPr fontId="4" type="noConversion"/>
  </si>
  <si>
    <t>74류~81류 (11월)</t>
    <phoneticPr fontId="4" type="noConversion"/>
  </si>
  <si>
    <t>74류~81류 (11+341+D352:360월)</t>
    <phoneticPr fontId="4" type="noConversion"/>
  </si>
  <si>
    <t>2020년 11월 비철금속 국가별 수입</t>
    <phoneticPr fontId="2" type="noConversion"/>
  </si>
  <si>
    <t>74류~81류 (11월)</t>
    <phoneticPr fontId="2" type="noConversion"/>
  </si>
  <si>
    <t>2020년 11월 비철금속 국가별 수출</t>
    <phoneticPr fontId="12" type="noConversion"/>
  </si>
  <si>
    <t>74류~81류 (1-11월 누계)</t>
    <phoneticPr fontId="2" type="noConversion"/>
  </si>
  <si>
    <t>기타</t>
    <phoneticPr fontId="12" type="noConversion"/>
  </si>
  <si>
    <t>2020년  11월 비철금속 국가별 수입</t>
    <phoneticPr fontId="2" type="noConversion"/>
  </si>
  <si>
    <t>74류~81류 (1-11월 누계)</t>
    <phoneticPr fontId="2" type="noConversion"/>
  </si>
  <si>
    <t>74류(11월)</t>
  </si>
  <si>
    <t>75류(11월)</t>
  </si>
  <si>
    <t>76류(11월)</t>
  </si>
  <si>
    <t>78류(11월)</t>
  </si>
  <si>
    <t>79류(11월)</t>
  </si>
  <si>
    <t>80류(11월)</t>
  </si>
  <si>
    <t>81류(11월)</t>
  </si>
  <si>
    <t>기타</t>
    <phoneticPr fontId="12" type="noConversion"/>
  </si>
  <si>
    <t>1-11월</t>
    <phoneticPr fontId="2" type="noConversion"/>
  </si>
  <si>
    <t>2020년</t>
    <phoneticPr fontId="2" type="noConversion"/>
  </si>
  <si>
    <t>2019년</t>
    <phoneticPr fontId="2" type="noConversion"/>
  </si>
  <si>
    <t>11월</t>
    <phoneticPr fontId="2" type="noConversion"/>
  </si>
  <si>
    <t>2020년</t>
    <phoneticPr fontId="2" type="noConversion"/>
  </si>
  <si>
    <t>11월</t>
    <phoneticPr fontId="2" type="noConversion"/>
  </si>
  <si>
    <t>11월</t>
    <phoneticPr fontId="2" type="noConversion"/>
  </si>
  <si>
    <t>2019년</t>
    <phoneticPr fontId="2" type="noConversion"/>
  </si>
  <si>
    <t>1-11월</t>
    <phoneticPr fontId="2" type="noConversion"/>
  </si>
  <si>
    <t>2020년</t>
    <phoneticPr fontId="2" type="noConversion"/>
  </si>
  <si>
    <t>2019년</t>
    <phoneticPr fontId="2" type="noConversion"/>
  </si>
  <si>
    <t>2019년</t>
    <phoneticPr fontId="2" type="noConversion"/>
  </si>
  <si>
    <t>11월</t>
    <phoneticPr fontId="2" type="noConversion"/>
  </si>
  <si>
    <t>2020년</t>
    <phoneticPr fontId="2" type="noConversion"/>
  </si>
  <si>
    <t>2019년</t>
    <phoneticPr fontId="2" type="noConversion"/>
  </si>
  <si>
    <t>1-11월</t>
    <phoneticPr fontId="2" type="noConversion"/>
  </si>
  <si>
    <t>2020년</t>
    <phoneticPr fontId="2" type="noConversion"/>
  </si>
  <si>
    <t>2019년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</si>
</sst>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#,##0_ "/>
    <numFmt numFmtId="177" formatCode="0.0_ ;[Red]\-0.0\ "/>
    <numFmt numFmtId="178" formatCode="#,##0_);[Red]\(#,##0\)"/>
    <numFmt numFmtId="179" formatCode="#,##0.0_ ;[Red]\-#,##0.0\ "/>
    <numFmt numFmtId="180" formatCode="#,##0.0_ "/>
    <numFmt numFmtId="181" formatCode="0_);\(0\)"/>
  </numFmts>
  <fonts count="4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8"/>
      <name val="HY견명조"/>
      <family val="1"/>
      <charset val="129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rgb="FF0000FF"/>
      <name val="맑은 고딕"/>
      <family val="3"/>
      <charset val="129"/>
      <scheme val="minor"/>
    </font>
    <font>
      <sz val="10"/>
      <color rgb="FF333399"/>
      <name val="맑은 고딕"/>
      <family val="3"/>
      <charset val="129"/>
      <scheme val="minor"/>
    </font>
    <font>
      <sz val="10"/>
      <color rgb="FFFF8080"/>
      <name val="맑은 고딕"/>
      <family val="3"/>
      <charset val="129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name val="맑은 고딕"/>
      <family val="3"/>
      <charset val="129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0"/>
      <name val="Times New R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맑은 고딕"/>
      <family val="3"/>
      <charset val="129"/>
      <scheme val="major"/>
    </font>
    <font>
      <b/>
      <sz val="11"/>
      <name val="돋움"/>
      <family val="3"/>
      <charset val="129"/>
    </font>
    <font>
      <sz val="11"/>
      <name val="맑은 고딕"/>
      <family val="2"/>
      <charset val="129"/>
      <scheme val="minor"/>
    </font>
    <font>
      <sz val="10"/>
      <color rgb="FFFF8080"/>
      <name val="Times New Roman"/>
      <family val="1"/>
    </font>
    <font>
      <b/>
      <sz val="11"/>
      <color theme="1"/>
      <name val="맑은 고딕"/>
      <family val="3"/>
      <charset val="129"/>
      <scheme val="minor"/>
    </font>
    <font>
      <b/>
      <sz val="10"/>
      <color rgb="FF333399"/>
      <name val="맑은 고딕"/>
      <family val="3"/>
      <charset val="129"/>
      <scheme val="minor"/>
    </font>
    <font>
      <b/>
      <sz val="10"/>
      <color rgb="FFFF8080"/>
      <name val="Times New Roman"/>
      <family val="1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Times New R"/>
    </font>
  </fonts>
  <fills count="3">
    <fill>
      <patternFill patternType="none"/>
    </fill>
    <fill>
      <patternFill patternType="gray125"/>
    </fill>
    <fill>
      <patternFill patternType="solid">
        <fgColor rgb="FFFFFFE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186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76" fontId="10" fillId="0" borderId="9" xfId="0" applyNumberFormat="1" applyFont="1" applyBorder="1" applyAlignment="1">
      <alignment horizontal="right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176" fontId="10" fillId="0" borderId="6" xfId="0" applyNumberFormat="1" applyFont="1" applyBorder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76" fontId="11" fillId="0" borderId="12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vertical="center"/>
    </xf>
    <xf numFmtId="176" fontId="11" fillId="0" borderId="9" xfId="0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176" fontId="11" fillId="0" borderId="6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right" vertical="center"/>
    </xf>
    <xf numFmtId="0" fontId="5" fillId="0" borderId="0" xfId="0" applyFont="1" applyBorder="1" applyAlignment="1"/>
    <xf numFmtId="0" fontId="5" fillId="0" borderId="0" xfId="0" applyFont="1" applyAlignment="1"/>
    <xf numFmtId="0" fontId="5" fillId="0" borderId="0" xfId="0" applyFont="1" applyFill="1" applyAlignment="1"/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horizontal="right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center" vertical="center"/>
    </xf>
    <xf numFmtId="41" fontId="10" fillId="0" borderId="4" xfId="1" applyFont="1" applyFill="1" applyBorder="1" applyAlignment="1">
      <alignment vertical="center"/>
    </xf>
    <xf numFmtId="41" fontId="10" fillId="0" borderId="5" xfId="1" applyFont="1" applyFill="1" applyBorder="1" applyAlignment="1">
      <alignment vertical="center"/>
    </xf>
    <xf numFmtId="0" fontId="5" fillId="0" borderId="0" xfId="0" applyFont="1" applyFill="1" applyBorder="1" applyAlignment="1"/>
    <xf numFmtId="41" fontId="10" fillId="0" borderId="2" xfId="1" applyFont="1" applyFill="1" applyBorder="1" applyAlignment="1">
      <alignment vertical="center"/>
    </xf>
    <xf numFmtId="41" fontId="10" fillId="0" borderId="8" xfId="1" applyFont="1" applyFill="1" applyBorder="1" applyAlignment="1">
      <alignment vertical="center"/>
    </xf>
    <xf numFmtId="177" fontId="10" fillId="0" borderId="7" xfId="0" applyNumberFormat="1" applyFont="1" applyBorder="1">
      <alignment vertical="center"/>
    </xf>
    <xf numFmtId="177" fontId="10" fillId="0" borderId="6" xfId="0" applyNumberFormat="1" applyFont="1" applyBorder="1">
      <alignment vertical="center"/>
    </xf>
    <xf numFmtId="0" fontId="5" fillId="0" borderId="7" xfId="0" applyFont="1" applyBorder="1" applyAlignment="1">
      <alignment horizontal="distributed" vertical="center"/>
    </xf>
    <xf numFmtId="41" fontId="10" fillId="0" borderId="7" xfId="0" applyNumberFormat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41" fontId="10" fillId="0" borderId="2" xfId="0" applyNumberFormat="1" applyFont="1" applyBorder="1">
      <alignment vertical="center"/>
    </xf>
    <xf numFmtId="176" fontId="5" fillId="0" borderId="0" xfId="0" applyNumberFormat="1" applyFont="1" applyAlignment="1">
      <alignment horizontal="center" vertical="center"/>
    </xf>
    <xf numFmtId="176" fontId="10" fillId="0" borderId="0" xfId="0" applyNumberFormat="1" applyFont="1">
      <alignment vertical="center"/>
    </xf>
    <xf numFmtId="179" fontId="10" fillId="0" borderId="0" xfId="0" applyNumberFormat="1" applyFont="1">
      <alignment vertical="center"/>
    </xf>
    <xf numFmtId="179" fontId="6" fillId="2" borderId="8" xfId="0" applyNumberFormat="1" applyFont="1" applyFill="1" applyBorder="1" applyAlignment="1">
      <alignment horizontal="center" vertical="center"/>
    </xf>
    <xf numFmtId="179" fontId="6" fillId="2" borderId="21" xfId="0" applyNumberFormat="1" applyFont="1" applyFill="1" applyBorder="1" applyAlignment="1">
      <alignment horizontal="center" vertical="center"/>
    </xf>
    <xf numFmtId="176" fontId="10" fillId="0" borderId="7" xfId="0" applyNumberFormat="1" applyFont="1" applyBorder="1">
      <alignment vertical="center"/>
    </xf>
    <xf numFmtId="179" fontId="10" fillId="0" borderId="7" xfId="0" applyNumberFormat="1" applyFont="1" applyBorder="1">
      <alignment vertical="center"/>
    </xf>
    <xf numFmtId="176" fontId="10" fillId="0" borderId="2" xfId="0" applyNumberFormat="1" applyFont="1" applyBorder="1">
      <alignment vertical="center"/>
    </xf>
    <xf numFmtId="0" fontId="5" fillId="0" borderId="0" xfId="0" applyFont="1" applyAlignment="1">
      <alignment horizontal="center" vertical="center"/>
    </xf>
    <xf numFmtId="176" fontId="5" fillId="0" borderId="6" xfId="0" applyNumberFormat="1" applyFont="1" applyBorder="1" applyAlignment="1">
      <alignment horizontal="distributed" vertical="center"/>
    </xf>
    <xf numFmtId="176" fontId="10" fillId="0" borderId="6" xfId="0" applyNumberFormat="1" applyFont="1" applyBorder="1">
      <alignment vertical="center"/>
    </xf>
    <xf numFmtId="179" fontId="10" fillId="0" borderId="6" xfId="0" applyNumberFormat="1" applyFont="1" applyBorder="1">
      <alignment vertical="center"/>
    </xf>
    <xf numFmtId="176" fontId="5" fillId="0" borderId="6" xfId="0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/>
    </xf>
    <xf numFmtId="178" fontId="5" fillId="0" borderId="0" xfId="0" applyNumberFormat="1" applyFont="1">
      <alignment vertical="center"/>
    </xf>
    <xf numFmtId="178" fontId="6" fillId="0" borderId="0" xfId="0" applyNumberFormat="1" applyFont="1">
      <alignment vertical="center"/>
    </xf>
    <xf numFmtId="41" fontId="5" fillId="0" borderId="0" xfId="0" applyNumberFormat="1" applyFont="1">
      <alignment vertical="center"/>
    </xf>
    <xf numFmtId="0" fontId="14" fillId="0" borderId="0" xfId="0" applyFont="1" applyAlignment="1">
      <alignment horizontal="right" vertical="center"/>
    </xf>
    <xf numFmtId="178" fontId="14" fillId="0" borderId="0" xfId="0" applyNumberFormat="1" applyFont="1" applyAlignment="1">
      <alignment horizontal="right" vertical="center"/>
    </xf>
    <xf numFmtId="41" fontId="10" fillId="0" borderId="11" xfId="0" applyNumberFormat="1" applyFont="1" applyBorder="1">
      <alignment vertical="center"/>
    </xf>
    <xf numFmtId="0" fontId="5" fillId="0" borderId="2" xfId="0" applyFont="1" applyBorder="1" applyAlignment="1">
      <alignment horizontal="distributed" vertical="center"/>
    </xf>
    <xf numFmtId="0" fontId="14" fillId="0" borderId="0" xfId="0" applyFont="1" applyAlignment="1">
      <alignment horizontal="left" vertical="center"/>
    </xf>
    <xf numFmtId="0" fontId="14" fillId="0" borderId="0" xfId="0" applyFont="1">
      <alignment vertical="center"/>
    </xf>
    <xf numFmtId="178" fontId="14" fillId="0" borderId="0" xfId="0" applyNumberFormat="1" applyFont="1">
      <alignment vertical="center"/>
    </xf>
    <xf numFmtId="178" fontId="10" fillId="0" borderId="0" xfId="0" applyNumberFormat="1" applyFont="1">
      <alignment vertical="center"/>
    </xf>
    <xf numFmtId="41" fontId="10" fillId="0" borderId="0" xfId="0" applyNumberFormat="1" applyFont="1">
      <alignment vertical="center"/>
    </xf>
    <xf numFmtId="0" fontId="18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right" vertical="center"/>
    </xf>
    <xf numFmtId="41" fontId="5" fillId="0" borderId="0" xfId="0" applyNumberFormat="1" applyFont="1" applyAlignment="1">
      <alignment horizontal="right" vertical="center"/>
    </xf>
    <xf numFmtId="0" fontId="5" fillId="0" borderId="32" xfId="0" applyFont="1" applyBorder="1" applyAlignment="1">
      <alignment horizontal="center" vertical="center"/>
    </xf>
    <xf numFmtId="0" fontId="5" fillId="0" borderId="29" xfId="0" applyFont="1" applyBorder="1" applyAlignment="1">
      <alignment horizontal="distributed" vertical="center"/>
    </xf>
    <xf numFmtId="178" fontId="10" fillId="0" borderId="11" xfId="0" applyNumberFormat="1" applyFont="1" applyBorder="1">
      <alignment vertical="center"/>
    </xf>
    <xf numFmtId="0" fontId="5" fillId="0" borderId="4" xfId="0" applyFont="1" applyBorder="1" applyAlignment="1">
      <alignment horizontal="distributed" vertical="center"/>
    </xf>
    <xf numFmtId="0" fontId="5" fillId="0" borderId="8" xfId="0" applyFont="1" applyBorder="1" applyAlignment="1">
      <alignment horizontal="distributed" vertical="center"/>
    </xf>
    <xf numFmtId="0" fontId="13" fillId="0" borderId="0" xfId="0" applyFont="1" applyAlignment="1">
      <alignment horizontal="left" vertical="center"/>
    </xf>
    <xf numFmtId="0" fontId="13" fillId="0" borderId="0" xfId="0" applyFont="1">
      <alignment vertical="center"/>
    </xf>
    <xf numFmtId="41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5" fillId="0" borderId="11" xfId="0" applyFont="1" applyBorder="1" applyAlignment="1">
      <alignment horizontal="distributed" vertical="center"/>
    </xf>
    <xf numFmtId="0" fontId="14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79" fontId="10" fillId="0" borderId="37" xfId="0" applyNumberFormat="1" applyFont="1" applyBorder="1">
      <alignment vertical="center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3" xfId="0" applyFont="1" applyBorder="1" applyAlignment="1">
      <alignment horizontal="distributed" vertical="center"/>
    </xf>
    <xf numFmtId="41" fontId="10" fillId="0" borderId="13" xfId="0" applyNumberFormat="1" applyFont="1" applyBorder="1">
      <alignment vertical="center"/>
    </xf>
    <xf numFmtId="0" fontId="5" fillId="0" borderId="3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41" fontId="21" fillId="0" borderId="7" xfId="0" applyNumberFormat="1" applyFont="1" applyBorder="1">
      <alignment vertical="center"/>
    </xf>
    <xf numFmtId="41" fontId="21" fillId="0" borderId="2" xfId="0" applyNumberFormat="1" applyFont="1" applyBorder="1">
      <alignment vertical="center"/>
    </xf>
    <xf numFmtId="176" fontId="21" fillId="0" borderId="2" xfId="0" applyNumberFormat="1" applyFont="1" applyBorder="1">
      <alignment vertical="center"/>
    </xf>
    <xf numFmtId="0" fontId="13" fillId="0" borderId="0" xfId="0" applyFont="1" applyAlignment="1">
      <alignment horizontal="center" vertical="center"/>
    </xf>
    <xf numFmtId="41" fontId="13" fillId="0" borderId="0" xfId="0" applyNumberFormat="1" applyFont="1">
      <alignment vertical="center"/>
    </xf>
    <xf numFmtId="0" fontId="5" fillId="0" borderId="11" xfId="0" applyNumberFormat="1" applyFont="1" applyBorder="1" applyAlignment="1">
      <alignment horizontal="distributed" vertical="center"/>
    </xf>
    <xf numFmtId="41" fontId="21" fillId="0" borderId="11" xfId="0" applyNumberFormat="1" applyFont="1" applyBorder="1">
      <alignment vertical="center"/>
    </xf>
    <xf numFmtId="0" fontId="5" fillId="0" borderId="7" xfId="0" applyNumberFormat="1" applyFont="1" applyBorder="1" applyAlignment="1">
      <alignment horizontal="distributed" vertical="center"/>
    </xf>
    <xf numFmtId="41" fontId="21" fillId="0" borderId="31" xfId="0" applyNumberFormat="1" applyFont="1" applyBorder="1">
      <alignment vertical="center"/>
    </xf>
    <xf numFmtId="41" fontId="21" fillId="0" borderId="6" xfId="0" applyNumberFormat="1" applyFont="1" applyBorder="1">
      <alignment vertical="center"/>
    </xf>
    <xf numFmtId="41" fontId="21" fillId="0" borderId="1" xfId="0" applyNumberFormat="1" applyFont="1" applyBorder="1">
      <alignment vertical="center"/>
    </xf>
    <xf numFmtId="0" fontId="5" fillId="0" borderId="16" xfId="0" applyFont="1" applyBorder="1" applyAlignment="1">
      <alignment horizontal="center" vertical="center"/>
    </xf>
    <xf numFmtId="41" fontId="6" fillId="0" borderId="0" xfId="0" applyNumberFormat="1" applyFont="1" applyAlignment="1">
      <alignment horizontal="left" vertical="center"/>
    </xf>
    <xf numFmtId="41" fontId="21" fillId="0" borderId="2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41" fontId="22" fillId="0" borderId="11" xfId="0" applyNumberFormat="1" applyFont="1" applyBorder="1">
      <alignment vertical="center"/>
    </xf>
    <xf numFmtId="177" fontId="22" fillId="0" borderId="11" xfId="0" applyNumberFormat="1" applyFont="1" applyBorder="1">
      <alignment vertical="center"/>
    </xf>
    <xf numFmtId="0" fontId="18" fillId="0" borderId="6" xfId="0" applyFont="1" applyBorder="1" applyAlignment="1">
      <alignment horizontal="center" vertical="center"/>
    </xf>
    <xf numFmtId="41" fontId="22" fillId="0" borderId="6" xfId="0" applyNumberFormat="1" applyFont="1" applyBorder="1">
      <alignment vertical="center"/>
    </xf>
    <xf numFmtId="177" fontId="22" fillId="0" borderId="6" xfId="0" applyNumberFormat="1" applyFont="1" applyBorder="1">
      <alignment vertical="center"/>
    </xf>
    <xf numFmtId="0" fontId="13" fillId="0" borderId="11" xfId="0" applyFont="1" applyBorder="1" applyAlignment="1">
      <alignment horizontal="center" vertical="center"/>
    </xf>
    <xf numFmtId="41" fontId="23" fillId="0" borderId="11" xfId="0" applyNumberFormat="1" applyFont="1" applyBorder="1">
      <alignment vertical="center"/>
    </xf>
    <xf numFmtId="177" fontId="23" fillId="0" borderId="11" xfId="0" applyNumberFormat="1" applyFont="1" applyBorder="1">
      <alignment vertical="center"/>
    </xf>
    <xf numFmtId="0" fontId="13" fillId="0" borderId="19" xfId="0" applyFont="1" applyBorder="1" applyAlignment="1">
      <alignment horizontal="center" vertical="center"/>
    </xf>
    <xf numFmtId="41" fontId="23" fillId="0" borderId="19" xfId="0" applyNumberFormat="1" applyFont="1" applyBorder="1">
      <alignment vertical="center"/>
    </xf>
    <xf numFmtId="177" fontId="23" fillId="0" borderId="19" xfId="0" applyNumberFormat="1" applyFont="1" applyBorder="1">
      <alignment vertical="center"/>
    </xf>
    <xf numFmtId="0" fontId="18" fillId="0" borderId="7" xfId="0" applyFont="1" applyBorder="1" applyAlignment="1">
      <alignment horizontal="center" vertical="center"/>
    </xf>
    <xf numFmtId="41" fontId="22" fillId="0" borderId="7" xfId="0" applyNumberFormat="1" applyFont="1" applyBorder="1">
      <alignment vertical="center"/>
    </xf>
    <xf numFmtId="177" fontId="22" fillId="0" borderId="7" xfId="0" applyNumberFormat="1" applyFont="1" applyBorder="1">
      <alignment vertical="center"/>
    </xf>
    <xf numFmtId="0" fontId="18" fillId="0" borderId="22" xfId="0" applyFont="1" applyBorder="1" applyAlignment="1">
      <alignment horizontal="center" vertical="center"/>
    </xf>
    <xf numFmtId="41" fontId="22" fillId="0" borderId="22" xfId="0" applyNumberFormat="1" applyFont="1" applyBorder="1">
      <alignment vertical="center"/>
    </xf>
    <xf numFmtId="177" fontId="22" fillId="0" borderId="22" xfId="0" applyNumberFormat="1" applyFont="1" applyBorder="1">
      <alignment vertical="center"/>
    </xf>
    <xf numFmtId="0" fontId="5" fillId="0" borderId="42" xfId="0" applyFont="1" applyBorder="1" applyAlignment="1">
      <alignment horizontal="center" vertical="center"/>
    </xf>
    <xf numFmtId="178" fontId="10" fillId="0" borderId="9" xfId="0" applyNumberFormat="1" applyFont="1" applyBorder="1">
      <alignment vertical="center"/>
    </xf>
    <xf numFmtId="176" fontId="10" fillId="0" borderId="9" xfId="0" applyNumberFormat="1" applyFont="1" applyBorder="1">
      <alignment vertical="center"/>
    </xf>
    <xf numFmtId="0" fontId="6" fillId="0" borderId="43" xfId="0" applyFont="1" applyBorder="1" applyAlignment="1">
      <alignment horizontal="center" vertical="center"/>
    </xf>
    <xf numFmtId="178" fontId="11" fillId="0" borderId="43" xfId="0" applyNumberFormat="1" applyFont="1" applyBorder="1">
      <alignment vertical="center"/>
    </xf>
    <xf numFmtId="176" fontId="11" fillId="0" borderId="43" xfId="0" applyNumberFormat="1" applyFont="1" applyBorder="1">
      <alignment vertical="center"/>
    </xf>
    <xf numFmtId="178" fontId="11" fillId="0" borderId="9" xfId="0" applyNumberFormat="1" applyFont="1" applyBorder="1">
      <alignment vertical="center"/>
    </xf>
    <xf numFmtId="176" fontId="11" fillId="0" borderId="9" xfId="0" applyNumberFormat="1" applyFont="1" applyBorder="1">
      <alignment vertical="center"/>
    </xf>
    <xf numFmtId="176" fontId="11" fillId="0" borderId="6" xfId="0" applyNumberFormat="1" applyFont="1" applyBorder="1">
      <alignment vertical="center"/>
    </xf>
    <xf numFmtId="0" fontId="25" fillId="0" borderId="0" xfId="0" applyFont="1">
      <alignment vertical="center"/>
    </xf>
    <xf numFmtId="0" fontId="5" fillId="0" borderId="44" xfId="0" applyFont="1" applyBorder="1" applyAlignment="1">
      <alignment horizontal="center" vertical="center"/>
    </xf>
    <xf numFmtId="176" fontId="10" fillId="0" borderId="44" xfId="0" applyNumberFormat="1" applyFont="1" applyBorder="1">
      <alignment vertical="center"/>
    </xf>
    <xf numFmtId="0" fontId="6" fillId="0" borderId="10" xfId="0" applyFont="1" applyBorder="1" applyAlignment="1">
      <alignment horizontal="center" vertical="center"/>
    </xf>
    <xf numFmtId="176" fontId="11" fillId="0" borderId="10" xfId="0" applyNumberFormat="1" applyFont="1" applyBorder="1">
      <alignment vertical="center"/>
    </xf>
    <xf numFmtId="178" fontId="10" fillId="0" borderId="45" xfId="0" applyNumberFormat="1" applyFont="1" applyBorder="1">
      <alignment vertical="center"/>
    </xf>
    <xf numFmtId="179" fontId="24" fillId="2" borderId="3" xfId="0" applyNumberFormat="1" applyFont="1" applyFill="1" applyBorder="1" applyAlignment="1">
      <alignment horizontal="center" vertical="center"/>
    </xf>
    <xf numFmtId="179" fontId="10" fillId="0" borderId="42" xfId="0" applyNumberFormat="1" applyFont="1" applyBorder="1">
      <alignment vertical="center"/>
    </xf>
    <xf numFmtId="179" fontId="10" fillId="0" borderId="9" xfId="0" applyNumberFormat="1" applyFont="1" applyBorder="1">
      <alignment vertical="center"/>
    </xf>
    <xf numFmtId="179" fontId="10" fillId="0" borderId="12" xfId="0" applyNumberFormat="1" applyFont="1" applyBorder="1">
      <alignment vertical="center"/>
    </xf>
    <xf numFmtId="179" fontId="11" fillId="0" borderId="43" xfId="0" applyNumberFormat="1" applyFont="1" applyBorder="1">
      <alignment vertical="center"/>
    </xf>
    <xf numFmtId="179" fontId="11" fillId="0" borderId="9" xfId="0" applyNumberFormat="1" applyFont="1" applyBorder="1">
      <alignment vertical="center"/>
    </xf>
    <xf numFmtId="179" fontId="11" fillId="0" borderId="6" xfId="0" applyNumberFormat="1" applyFont="1" applyBorder="1">
      <alignment vertical="center"/>
    </xf>
    <xf numFmtId="179" fontId="25" fillId="0" borderId="0" xfId="0" applyNumberFormat="1" applyFont="1">
      <alignment vertical="center"/>
    </xf>
    <xf numFmtId="179" fontId="6" fillId="2" borderId="3" xfId="0" applyNumberFormat="1" applyFont="1" applyFill="1" applyBorder="1" applyAlignment="1">
      <alignment horizontal="center" vertical="center"/>
    </xf>
    <xf numFmtId="179" fontId="10" fillId="0" borderId="14" xfId="0" applyNumberFormat="1" applyFont="1" applyBorder="1">
      <alignment vertical="center"/>
    </xf>
    <xf numFmtId="179" fontId="10" fillId="0" borderId="44" xfId="0" applyNumberFormat="1" applyFont="1" applyBorder="1">
      <alignment vertical="center"/>
    </xf>
    <xf numFmtId="179" fontId="10" fillId="0" borderId="10" xfId="0" applyNumberFormat="1" applyFont="1" applyBorder="1">
      <alignment vertical="center"/>
    </xf>
    <xf numFmtId="179" fontId="11" fillId="0" borderId="10" xfId="0" applyNumberFormat="1" applyFont="1" applyBorder="1">
      <alignment vertical="center"/>
    </xf>
    <xf numFmtId="179" fontId="0" fillId="0" borderId="0" xfId="0" applyNumberFormat="1">
      <alignment vertical="center"/>
    </xf>
    <xf numFmtId="176" fontId="10" fillId="0" borderId="11" xfId="0" applyNumberFormat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78" fontId="6" fillId="0" borderId="0" xfId="0" applyNumberFormat="1" applyFont="1" applyAlignment="1">
      <alignment vertical="center"/>
    </xf>
    <xf numFmtId="41" fontId="5" fillId="0" borderId="0" xfId="0" applyNumberFormat="1" applyFont="1" applyAlignment="1"/>
    <xf numFmtId="0" fontId="5" fillId="0" borderId="12" xfId="0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right" vertical="center"/>
    </xf>
    <xf numFmtId="41" fontId="13" fillId="0" borderId="0" xfId="0" applyNumberFormat="1" applyFont="1" applyFill="1" applyBorder="1" applyAlignment="1">
      <alignment horizontal="center"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41" fontId="21" fillId="0" borderId="31" xfId="1" applyFont="1" applyBorder="1">
      <alignment vertical="center"/>
    </xf>
    <xf numFmtId="41" fontId="10" fillId="0" borderId="9" xfId="1" applyFont="1" applyBorder="1" applyAlignment="1">
      <alignment vertical="center"/>
    </xf>
    <xf numFmtId="41" fontId="10" fillId="0" borderId="10" xfId="1" applyFont="1" applyBorder="1" applyAlignment="1">
      <alignment vertical="center"/>
    </xf>
    <xf numFmtId="41" fontId="10" fillId="0" borderId="11" xfId="1" applyFont="1" applyBorder="1" applyAlignment="1">
      <alignment vertical="center"/>
    </xf>
    <xf numFmtId="41" fontId="10" fillId="0" borderId="12" xfId="1" applyFont="1" applyBorder="1" applyAlignment="1">
      <alignment vertical="center"/>
    </xf>
    <xf numFmtId="41" fontId="10" fillId="0" borderId="6" xfId="1" applyFont="1" applyBorder="1" applyAlignment="1">
      <alignment vertical="center"/>
    </xf>
    <xf numFmtId="41" fontId="11" fillId="0" borderId="12" xfId="1" applyFont="1" applyBorder="1" applyAlignment="1">
      <alignment vertical="center"/>
    </xf>
    <xf numFmtId="41" fontId="11" fillId="0" borderId="9" xfId="1" applyFont="1" applyBorder="1" applyAlignment="1">
      <alignment vertical="center"/>
    </xf>
    <xf numFmtId="41" fontId="11" fillId="0" borderId="6" xfId="1" applyFont="1" applyBorder="1" applyAlignment="1">
      <alignment vertical="center"/>
    </xf>
    <xf numFmtId="41" fontId="10" fillId="0" borderId="7" xfId="1" applyFont="1" applyBorder="1">
      <alignment vertical="center"/>
    </xf>
    <xf numFmtId="41" fontId="10" fillId="0" borderId="11" xfId="1" applyFont="1" applyBorder="1">
      <alignment vertical="center"/>
    </xf>
    <xf numFmtId="41" fontId="10" fillId="0" borderId="14" xfId="1" applyFont="1" applyBorder="1" applyAlignment="1">
      <alignment vertical="center"/>
    </xf>
    <xf numFmtId="41" fontId="10" fillId="0" borderId="12" xfId="1" applyFont="1" applyFill="1" applyBorder="1" applyAlignment="1">
      <alignment vertical="center"/>
    </xf>
    <xf numFmtId="177" fontId="10" fillId="0" borderId="14" xfId="0" applyNumberFormat="1" applyFont="1" applyBorder="1" applyAlignment="1">
      <alignment vertical="center"/>
    </xf>
    <xf numFmtId="177" fontId="10" fillId="0" borderId="9" xfId="0" applyNumberFormat="1" applyFont="1" applyBorder="1" applyAlignment="1">
      <alignment vertical="center"/>
    </xf>
    <xf numFmtId="177" fontId="10" fillId="0" borderId="6" xfId="0" applyNumberFormat="1" applyFont="1" applyBorder="1" applyAlignment="1">
      <alignment vertical="center"/>
    </xf>
    <xf numFmtId="177" fontId="10" fillId="0" borderId="12" xfId="0" applyNumberFormat="1" applyFont="1" applyBorder="1" applyAlignment="1">
      <alignment vertical="center"/>
    </xf>
    <xf numFmtId="177" fontId="10" fillId="0" borderId="12" xfId="0" applyNumberFormat="1" applyFont="1" applyFill="1" applyBorder="1" applyAlignment="1">
      <alignment vertical="center"/>
    </xf>
    <xf numFmtId="177" fontId="11" fillId="0" borderId="12" xfId="0" applyNumberFormat="1" applyFont="1" applyBorder="1" applyAlignment="1">
      <alignment vertical="center"/>
    </xf>
    <xf numFmtId="177" fontId="11" fillId="0" borderId="9" xfId="0" applyNumberFormat="1" applyFont="1" applyBorder="1" applyAlignment="1">
      <alignment vertical="center"/>
    </xf>
    <xf numFmtId="177" fontId="11" fillId="0" borderId="6" xfId="0" applyNumberFormat="1" applyFont="1" applyBorder="1" applyAlignment="1">
      <alignment vertical="center"/>
    </xf>
    <xf numFmtId="178" fontId="10" fillId="0" borderId="7" xfId="0" applyNumberFormat="1" applyFont="1" applyBorder="1" applyAlignment="1">
      <alignment vertical="center"/>
    </xf>
    <xf numFmtId="177" fontId="10" fillId="0" borderId="7" xfId="0" applyNumberFormat="1" applyFont="1" applyBorder="1" applyAlignment="1">
      <alignment vertical="center"/>
    </xf>
    <xf numFmtId="178" fontId="10" fillId="0" borderId="9" xfId="0" applyNumberFormat="1" applyFont="1" applyBorder="1" applyAlignment="1">
      <alignment vertical="center"/>
    </xf>
    <xf numFmtId="178" fontId="10" fillId="0" borderId="10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8" fontId="10" fillId="0" borderId="11" xfId="0" applyNumberFormat="1" applyFont="1" applyBorder="1" applyAlignment="1">
      <alignment vertical="center"/>
    </xf>
    <xf numFmtId="177" fontId="10" fillId="0" borderId="11" xfId="0" applyNumberFormat="1" applyFont="1" applyBorder="1" applyAlignment="1">
      <alignment vertical="center"/>
    </xf>
    <xf numFmtId="178" fontId="10" fillId="0" borderId="12" xfId="0" applyNumberFormat="1" applyFont="1" applyBorder="1" applyAlignment="1">
      <alignment vertical="center"/>
    </xf>
    <xf numFmtId="178" fontId="10" fillId="0" borderId="6" xfId="0" applyNumberFormat="1" applyFont="1" applyBorder="1" applyAlignment="1">
      <alignment vertical="center"/>
    </xf>
    <xf numFmtId="178" fontId="11" fillId="0" borderId="12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78" fontId="11" fillId="0" borderId="6" xfId="0" applyNumberFormat="1" applyFont="1" applyBorder="1" applyAlignment="1">
      <alignment vertical="center"/>
    </xf>
    <xf numFmtId="41" fontId="21" fillId="0" borderId="4" xfId="1" applyFon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8" fillId="0" borderId="0" xfId="0" applyFont="1">
      <alignment vertical="center"/>
    </xf>
    <xf numFmtId="181" fontId="13" fillId="0" borderId="0" xfId="0" applyNumberFormat="1" applyFont="1">
      <alignment vertical="center"/>
    </xf>
    <xf numFmtId="0" fontId="26" fillId="0" borderId="0" xfId="0" applyFo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177" fontId="10" fillId="0" borderId="2" xfId="0" applyNumberFormat="1" applyFont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>
      <alignment vertical="center"/>
    </xf>
    <xf numFmtId="41" fontId="14" fillId="0" borderId="0" xfId="0" applyNumberFormat="1" applyFont="1" applyAlignment="1">
      <alignment horizontal="right" vertical="center"/>
    </xf>
    <xf numFmtId="41" fontId="14" fillId="0" borderId="0" xfId="0" applyNumberFormat="1" applyFont="1">
      <alignment vertical="center"/>
    </xf>
    <xf numFmtId="179" fontId="10" fillId="0" borderId="29" xfId="0" applyNumberFormat="1" applyFont="1" applyBorder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79" fontId="5" fillId="0" borderId="0" xfId="0" applyNumberFormat="1" applyFont="1">
      <alignment vertical="center"/>
    </xf>
    <xf numFmtId="179" fontId="14" fillId="0" borderId="0" xfId="0" applyNumberFormat="1" applyFont="1" applyAlignment="1">
      <alignment horizontal="right" vertical="center"/>
    </xf>
    <xf numFmtId="179" fontId="17" fillId="2" borderId="25" xfId="0" applyNumberFormat="1" applyFont="1" applyFill="1" applyBorder="1" applyAlignment="1">
      <alignment horizontal="center" vertical="center"/>
    </xf>
    <xf numFmtId="179" fontId="14" fillId="0" borderId="0" xfId="0" applyNumberFormat="1" applyFont="1">
      <alignment vertical="center"/>
    </xf>
    <xf numFmtId="179" fontId="5" fillId="0" borderId="0" xfId="0" applyNumberFormat="1" applyFont="1" applyAlignment="1">
      <alignment horizontal="right" vertical="center"/>
    </xf>
    <xf numFmtId="179" fontId="6" fillId="0" borderId="0" xfId="0" applyNumberFormat="1" applyFont="1">
      <alignment vertical="center"/>
    </xf>
    <xf numFmtId="0" fontId="0" fillId="0" borderId="0" xfId="0">
      <alignment vertical="center"/>
    </xf>
    <xf numFmtId="0" fontId="13" fillId="0" borderId="0" xfId="0" applyFont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79" fontId="14" fillId="0" borderId="0" xfId="0" applyNumberFormat="1" applyFont="1" applyAlignment="1">
      <alignment horizontal="right" vertical="center"/>
    </xf>
    <xf numFmtId="179" fontId="17" fillId="2" borderId="8" xfId="0" applyNumberFormat="1" applyFont="1" applyFill="1" applyBorder="1" applyAlignment="1">
      <alignment horizontal="center" vertical="center"/>
    </xf>
    <xf numFmtId="0" fontId="20" fillId="0" borderId="0" xfId="0" applyFont="1">
      <alignment vertical="center"/>
    </xf>
    <xf numFmtId="41" fontId="10" fillId="0" borderId="24" xfId="0" applyNumberFormat="1" applyFont="1" applyFill="1" applyBorder="1">
      <alignment vertical="center"/>
    </xf>
    <xf numFmtId="0" fontId="0" fillId="0" borderId="0" xfId="0">
      <alignment vertical="center"/>
    </xf>
    <xf numFmtId="0" fontId="6" fillId="0" borderId="0" xfId="0" applyFont="1">
      <alignment vertical="center"/>
    </xf>
    <xf numFmtId="179" fontId="17" fillId="2" borderId="25" xfId="0" applyNumberFormat="1" applyFont="1" applyFill="1" applyBorder="1" applyAlignment="1">
      <alignment horizontal="center" vertical="center"/>
    </xf>
    <xf numFmtId="179" fontId="5" fillId="0" borderId="0" xfId="0" applyNumberFormat="1" applyFont="1" applyAlignment="1">
      <alignment horizontal="right" vertical="center"/>
    </xf>
    <xf numFmtId="41" fontId="21" fillId="0" borderId="27" xfId="0" applyNumberFormat="1" applyFont="1" applyBorder="1">
      <alignment vertical="center"/>
    </xf>
    <xf numFmtId="41" fontId="21" fillId="0" borderId="32" xfId="0" applyNumberFormat="1" applyFont="1" applyBorder="1">
      <alignment vertical="center"/>
    </xf>
    <xf numFmtId="179" fontId="21" fillId="0" borderId="25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0" fontId="0" fillId="0" borderId="0" xfId="0">
      <alignment vertical="center"/>
    </xf>
    <xf numFmtId="180" fontId="5" fillId="0" borderId="0" xfId="0" applyNumberFormat="1" applyFont="1" applyAlignment="1">
      <alignment horizontal="right" vertical="center"/>
    </xf>
    <xf numFmtId="180" fontId="21" fillId="0" borderId="31" xfId="0" applyNumberFormat="1" applyFont="1" applyBorder="1">
      <alignment vertical="center"/>
    </xf>
    <xf numFmtId="180" fontId="21" fillId="0" borderId="25" xfId="0" applyNumberFormat="1" applyFont="1" applyBorder="1">
      <alignment vertical="center"/>
    </xf>
    <xf numFmtId="180" fontId="13" fillId="0" borderId="0" xfId="0" applyNumberFormat="1" applyFont="1">
      <alignment vertical="center"/>
    </xf>
    <xf numFmtId="180" fontId="6" fillId="2" borderId="29" xfId="0" applyNumberFormat="1" applyFont="1" applyFill="1" applyBorder="1" applyAlignment="1">
      <alignment horizontal="center" vertical="center"/>
    </xf>
    <xf numFmtId="180" fontId="6" fillId="2" borderId="25" xfId="0" applyNumberFormat="1" applyFont="1" applyFill="1" applyBorder="1" applyAlignment="1">
      <alignment horizontal="center" vertical="center"/>
    </xf>
    <xf numFmtId="177" fontId="21" fillId="0" borderId="13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7" fontId="21" fillId="0" borderId="31" xfId="0" applyNumberFormat="1" applyFont="1" applyBorder="1">
      <alignment vertical="center"/>
    </xf>
    <xf numFmtId="177" fontId="21" fillId="0" borderId="25" xfId="0" applyNumberFormat="1" applyFont="1" applyBorder="1">
      <alignment vertical="center"/>
    </xf>
    <xf numFmtId="177" fontId="21" fillId="0" borderId="29" xfId="0" applyNumberFormat="1" applyFont="1" applyBorder="1">
      <alignment vertical="center"/>
    </xf>
    <xf numFmtId="0" fontId="0" fillId="0" borderId="0" xfId="0">
      <alignment vertical="center"/>
    </xf>
    <xf numFmtId="180" fontId="5" fillId="0" borderId="0" xfId="0" applyNumberFormat="1" applyFont="1" applyAlignment="1">
      <alignment horizontal="right" vertical="center"/>
    </xf>
    <xf numFmtId="180" fontId="21" fillId="0" borderId="25" xfId="0" applyNumberFormat="1" applyFont="1" applyBorder="1">
      <alignment vertical="center"/>
    </xf>
    <xf numFmtId="180" fontId="6" fillId="2" borderId="25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right" vertical="center"/>
    </xf>
    <xf numFmtId="0" fontId="0" fillId="0" borderId="0" xfId="0">
      <alignment vertical="center"/>
    </xf>
    <xf numFmtId="180" fontId="5" fillId="0" borderId="0" xfId="0" applyNumberFormat="1" applyFont="1" applyAlignment="1">
      <alignment horizontal="right" vertical="center"/>
    </xf>
    <xf numFmtId="180" fontId="5" fillId="0" borderId="18" xfId="0" applyNumberFormat="1" applyFont="1" applyBorder="1">
      <alignment vertical="center"/>
    </xf>
    <xf numFmtId="180" fontId="13" fillId="0" borderId="0" xfId="0" applyNumberFormat="1" applyFont="1">
      <alignment vertical="center"/>
    </xf>
    <xf numFmtId="180" fontId="6" fillId="2" borderId="25" xfId="0" applyNumberFormat="1" applyFont="1" applyFill="1" applyBorder="1" applyAlignment="1">
      <alignment horizontal="center" vertical="center"/>
    </xf>
    <xf numFmtId="180" fontId="6" fillId="0" borderId="0" xfId="0" applyNumberFormat="1" applyFont="1">
      <alignment vertical="center"/>
    </xf>
    <xf numFmtId="41" fontId="5" fillId="0" borderId="0" xfId="0" applyNumberFormat="1" applyFont="1" applyAlignment="1">
      <alignment horizontal="right" vertical="center"/>
    </xf>
    <xf numFmtId="41" fontId="6" fillId="0" borderId="0" xfId="0" applyNumberFormat="1" applyFont="1">
      <alignment vertical="center"/>
    </xf>
    <xf numFmtId="41" fontId="10" fillId="0" borderId="15" xfId="0" applyNumberFormat="1" applyFont="1" applyBorder="1">
      <alignment vertical="center"/>
    </xf>
    <xf numFmtId="41" fontId="10" fillId="0" borderId="18" xfId="0" applyNumberFormat="1" applyFont="1" applyBorder="1">
      <alignment vertical="center"/>
    </xf>
    <xf numFmtId="41" fontId="10" fillId="0" borderId="0" xfId="0" applyNumberFormat="1" applyFont="1" applyBorder="1">
      <alignment vertical="center"/>
    </xf>
    <xf numFmtId="0" fontId="0" fillId="0" borderId="0" xfId="0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177" fontId="6" fillId="2" borderId="8" xfId="0" applyNumberFormat="1" applyFont="1" applyFill="1" applyBorder="1" applyAlignment="1">
      <alignment horizontal="center" vertical="center"/>
    </xf>
    <xf numFmtId="41" fontId="21" fillId="0" borderId="37" xfId="1" applyFont="1" applyBorder="1">
      <alignment vertical="center"/>
    </xf>
    <xf numFmtId="0" fontId="0" fillId="0" borderId="0" xfId="0">
      <alignment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41" fontId="17" fillId="2" borderId="24" xfId="0" applyNumberFormat="1" applyFont="1" applyFill="1" applyBorder="1" applyAlignment="1">
      <alignment horizontal="center" vertical="center"/>
    </xf>
    <xf numFmtId="41" fontId="10" fillId="0" borderId="24" xfId="0" applyNumberFormat="1" applyFont="1" applyBorder="1">
      <alignment vertical="center"/>
    </xf>
    <xf numFmtId="41" fontId="22" fillId="0" borderId="11" xfId="0" applyNumberFormat="1" applyFont="1" applyBorder="1">
      <alignment vertical="center"/>
    </xf>
    <xf numFmtId="41" fontId="22" fillId="0" borderId="6" xfId="0" applyNumberFormat="1" applyFont="1" applyBorder="1">
      <alignment vertical="center"/>
    </xf>
    <xf numFmtId="41" fontId="23" fillId="0" borderId="11" xfId="0" applyNumberFormat="1" applyFont="1" applyBorder="1">
      <alignment vertical="center"/>
    </xf>
    <xf numFmtId="41" fontId="23" fillId="0" borderId="19" xfId="0" applyNumberFormat="1" applyFont="1" applyBorder="1">
      <alignment vertical="center"/>
    </xf>
    <xf numFmtId="41" fontId="22" fillId="0" borderId="7" xfId="0" applyNumberFormat="1" applyFont="1" applyBorder="1">
      <alignment vertical="center"/>
    </xf>
    <xf numFmtId="41" fontId="22" fillId="0" borderId="22" xfId="0" applyNumberFormat="1" applyFont="1" applyBorder="1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177" fontId="6" fillId="2" borderId="8" xfId="0" applyNumberFormat="1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6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176" fontId="10" fillId="0" borderId="12" xfId="0" applyNumberFormat="1" applyFont="1" applyFill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76" fontId="11" fillId="0" borderId="6" xfId="0" applyNumberFormat="1" applyFont="1" applyBorder="1" applyAlignment="1">
      <alignment vertical="center"/>
    </xf>
    <xf numFmtId="176" fontId="10" fillId="0" borderId="7" xfId="0" applyNumberFormat="1" applyFont="1" applyBorder="1" applyAlignment="1">
      <alignment vertical="center"/>
    </xf>
    <xf numFmtId="176" fontId="10" fillId="0" borderId="10" xfId="0" applyNumberFormat="1" applyFont="1" applyBorder="1" applyAlignment="1">
      <alignment vertical="center"/>
    </xf>
    <xf numFmtId="176" fontId="10" fillId="0" borderId="11" xfId="0" applyNumberFormat="1" applyFont="1" applyBorder="1" applyAlignment="1">
      <alignment vertical="center"/>
    </xf>
    <xf numFmtId="176" fontId="26" fillId="0" borderId="0" xfId="0" applyNumberFormat="1" applyFont="1">
      <alignment vertical="center"/>
    </xf>
    <xf numFmtId="0" fontId="26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1" fontId="10" fillId="0" borderId="30" xfId="1" applyFont="1" applyBorder="1">
      <alignment vertical="center"/>
    </xf>
    <xf numFmtId="41" fontId="10" fillId="0" borderId="2" xfId="1" applyFont="1" applyBorder="1">
      <alignment vertical="center"/>
    </xf>
    <xf numFmtId="0" fontId="5" fillId="0" borderId="7" xfId="0" applyFont="1" applyFill="1" applyBorder="1" applyAlignment="1">
      <alignment horizontal="center" vertical="center"/>
    </xf>
    <xf numFmtId="41" fontId="10" fillId="0" borderId="7" xfId="1" applyFont="1" applyFill="1" applyBorder="1">
      <alignment vertical="center"/>
    </xf>
    <xf numFmtId="41" fontId="10" fillId="0" borderId="30" xfId="0" applyNumberFormat="1" applyFont="1" applyFill="1" applyBorder="1">
      <alignment vertical="center"/>
    </xf>
    <xf numFmtId="179" fontId="10" fillId="0" borderId="31" xfId="0" applyNumberFormat="1" applyFont="1" applyFill="1" applyBorder="1">
      <alignment vertical="center"/>
    </xf>
    <xf numFmtId="0" fontId="5" fillId="0" borderId="2" xfId="0" applyFont="1" applyFill="1" applyBorder="1" applyAlignment="1">
      <alignment horizontal="distributed" vertical="center"/>
    </xf>
    <xf numFmtId="179" fontId="10" fillId="0" borderId="25" xfId="0" applyNumberFormat="1" applyFont="1" applyFill="1" applyBorder="1">
      <alignment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distributed" vertical="center"/>
    </xf>
    <xf numFmtId="41" fontId="10" fillId="0" borderId="11" xfId="1" applyFont="1" applyFill="1" applyBorder="1">
      <alignment vertical="center"/>
    </xf>
    <xf numFmtId="41" fontId="10" fillId="0" borderId="38" xfId="0" applyNumberFormat="1" applyFont="1" applyFill="1" applyBorder="1">
      <alignment vertical="center"/>
    </xf>
    <xf numFmtId="41" fontId="10" fillId="0" borderId="34" xfId="0" applyNumberFormat="1" applyFont="1" applyFill="1" applyBorder="1">
      <alignment vertical="center"/>
    </xf>
    <xf numFmtId="179" fontId="10" fillId="0" borderId="29" xfId="0" applyNumberFormat="1" applyFont="1" applyFill="1" applyBorder="1">
      <alignment vertical="center"/>
    </xf>
    <xf numFmtId="41" fontId="10" fillId="0" borderId="30" xfId="1" applyFont="1" applyFill="1" applyBorder="1">
      <alignment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distributed" vertical="center"/>
    </xf>
    <xf numFmtId="41" fontId="10" fillId="0" borderId="7" xfId="0" applyNumberFormat="1" applyFont="1" applyFill="1" applyBorder="1">
      <alignment vertical="center"/>
    </xf>
    <xf numFmtId="41" fontId="21" fillId="0" borderId="7" xfId="0" applyNumberFormat="1" applyFont="1" applyFill="1" applyBorder="1">
      <alignment vertical="center"/>
    </xf>
    <xf numFmtId="41" fontId="21" fillId="0" borderId="25" xfId="0" applyNumberFormat="1" applyFont="1" applyBorder="1">
      <alignment vertical="center"/>
    </xf>
    <xf numFmtId="41" fontId="21" fillId="0" borderId="37" xfId="0" applyNumberFormat="1" applyFont="1" applyBorder="1">
      <alignment vertical="center"/>
    </xf>
    <xf numFmtId="41" fontId="21" fillId="0" borderId="25" xfId="0" applyNumberFormat="1" applyFont="1" applyBorder="1" applyAlignment="1">
      <alignment horizontal="right" vertical="center"/>
    </xf>
    <xf numFmtId="0" fontId="5" fillId="0" borderId="7" xfId="0" applyNumberFormat="1" applyFont="1" applyFill="1" applyBorder="1" applyAlignment="1">
      <alignment horizontal="distributed" vertical="center"/>
    </xf>
    <xf numFmtId="177" fontId="21" fillId="0" borderId="31" xfId="0" applyNumberFormat="1" applyFont="1" applyFill="1" applyBorder="1">
      <alignment vertical="center"/>
    </xf>
    <xf numFmtId="180" fontId="21" fillId="0" borderId="31" xfId="0" applyNumberFormat="1" applyFont="1" applyFill="1" applyBorder="1">
      <alignment vertical="center"/>
    </xf>
    <xf numFmtId="41" fontId="21" fillId="0" borderId="4" xfId="0" applyNumberFormat="1" applyFont="1" applyBorder="1">
      <alignment vertical="center"/>
    </xf>
    <xf numFmtId="41" fontId="21" fillId="0" borderId="5" xfId="0" applyNumberFormat="1" applyFont="1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41" fontId="21" fillId="0" borderId="2" xfId="0" applyNumberFormat="1" applyFont="1" applyFill="1" applyBorder="1">
      <alignment vertical="center"/>
    </xf>
    <xf numFmtId="177" fontId="21" fillId="0" borderId="25" xfId="0" applyNumberFormat="1" applyFont="1" applyFill="1" applyBorder="1">
      <alignment vertical="center"/>
    </xf>
    <xf numFmtId="0" fontId="5" fillId="0" borderId="11" xfId="0" applyNumberFormat="1" applyFont="1" applyFill="1" applyBorder="1" applyAlignment="1">
      <alignment horizontal="distributed" vertical="center"/>
    </xf>
    <xf numFmtId="41" fontId="21" fillId="0" borderId="11" xfId="0" applyNumberFormat="1" applyFont="1" applyFill="1" applyBorder="1">
      <alignment vertical="center"/>
    </xf>
    <xf numFmtId="180" fontId="21" fillId="0" borderId="13" xfId="0" applyNumberFormat="1" applyFont="1" applyFill="1" applyBorder="1">
      <alignment vertical="center"/>
    </xf>
    <xf numFmtId="176" fontId="21" fillId="0" borderId="4" xfId="0" applyNumberFormat="1" applyFont="1" applyFill="1" applyBorder="1">
      <alignment vertical="center"/>
    </xf>
    <xf numFmtId="49" fontId="6" fillId="0" borderId="0" xfId="0" applyNumberFormat="1" applyFont="1">
      <alignment vertical="center"/>
    </xf>
    <xf numFmtId="41" fontId="10" fillId="0" borderId="11" xfId="1" applyFont="1" applyBorder="1" applyAlignment="1">
      <alignment horizontal="left" vertical="center"/>
    </xf>
    <xf numFmtId="41" fontId="10" fillId="0" borderId="7" xfId="1" applyFont="1" applyBorder="1" applyAlignment="1">
      <alignment horizontal="left" vertical="center"/>
    </xf>
    <xf numFmtId="41" fontId="10" fillId="0" borderId="2" xfId="1" applyFont="1" applyBorder="1" applyAlignment="1">
      <alignment horizontal="left" vertical="center"/>
    </xf>
    <xf numFmtId="41" fontId="10" fillId="0" borderId="6" xfId="0" applyNumberFormat="1" applyFont="1" applyBorder="1">
      <alignment vertical="center"/>
    </xf>
    <xf numFmtId="41" fontId="10" fillId="0" borderId="4" xfId="1" applyFont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76" fontId="26" fillId="0" borderId="0" xfId="0" applyNumberFormat="1" applyFont="1" applyAlignment="1">
      <alignment horizontal="right" vertical="center"/>
    </xf>
    <xf numFmtId="41" fontId="10" fillId="0" borderId="13" xfId="1" applyFont="1" applyFill="1" applyBorder="1">
      <alignment vertical="center"/>
    </xf>
    <xf numFmtId="41" fontId="10" fillId="0" borderId="8" xfId="1" applyFont="1" applyBorder="1">
      <alignment vertical="center"/>
    </xf>
    <xf numFmtId="41" fontId="10" fillId="0" borderId="38" xfId="1" applyFont="1" applyBorder="1">
      <alignment vertical="center"/>
    </xf>
    <xf numFmtId="41" fontId="10" fillId="0" borderId="4" xfId="1" applyFont="1" applyFill="1" applyBorder="1">
      <alignment vertical="center"/>
    </xf>
    <xf numFmtId="41" fontId="10" fillId="0" borderId="8" xfId="1" applyFont="1" applyFill="1" applyBorder="1">
      <alignment vertical="center"/>
    </xf>
    <xf numFmtId="41" fontId="10" fillId="0" borderId="2" xfId="1" applyFont="1" applyFill="1" applyBorder="1">
      <alignment vertical="center"/>
    </xf>
    <xf numFmtId="41" fontId="10" fillId="0" borderId="13" xfId="1" applyFont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21" fillId="0" borderId="34" xfId="0" applyNumberFormat="1" applyFont="1" applyBorder="1">
      <alignment vertical="center"/>
    </xf>
    <xf numFmtId="41" fontId="21" fillId="0" borderId="28" xfId="0" applyNumberFormat="1" applyFont="1" applyBorder="1">
      <alignment vertical="center"/>
    </xf>
    <xf numFmtId="41" fontId="21" fillId="0" borderId="24" xfId="0" applyNumberFormat="1" applyFont="1" applyBorder="1">
      <alignment vertical="center"/>
    </xf>
    <xf numFmtId="41" fontId="10" fillId="0" borderId="28" xfId="0" applyNumberFormat="1" applyFont="1" applyFill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0" fontId="31" fillId="0" borderId="0" xfId="0" applyFont="1">
      <alignment vertical="center"/>
    </xf>
    <xf numFmtId="176" fontId="15" fillId="0" borderId="2" xfId="0" applyNumberFormat="1" applyFont="1" applyBorder="1">
      <alignment vertical="center"/>
    </xf>
    <xf numFmtId="0" fontId="13" fillId="0" borderId="0" xfId="0" applyFont="1" applyFill="1" applyBorder="1" applyAlignment="1">
      <alignment horizontal="right" vertical="center"/>
    </xf>
    <xf numFmtId="0" fontId="24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1" fontId="21" fillId="0" borderId="28" xfId="0" applyNumberFormat="1" applyFont="1" applyFill="1" applyBorder="1">
      <alignment vertical="center"/>
    </xf>
    <xf numFmtId="41" fontId="21" fillId="0" borderId="34" xfId="0" applyNumberFormat="1" applyFont="1" applyFill="1" applyBorder="1">
      <alignment vertical="center"/>
    </xf>
    <xf numFmtId="41" fontId="10" fillId="0" borderId="26" xfId="1" applyFont="1" applyBorder="1">
      <alignment vertical="center"/>
    </xf>
    <xf numFmtId="41" fontId="10" fillId="0" borderId="24" xfId="1" applyFont="1" applyBorder="1">
      <alignment vertical="center"/>
    </xf>
    <xf numFmtId="41" fontId="10" fillId="0" borderId="26" xfId="1" applyFont="1" applyFill="1" applyBorder="1">
      <alignment vertical="center"/>
    </xf>
    <xf numFmtId="41" fontId="10" fillId="0" borderId="24" xfId="1" applyFont="1" applyFill="1" applyBorder="1">
      <alignment vertical="center"/>
    </xf>
    <xf numFmtId="41" fontId="10" fillId="0" borderId="26" xfId="0" applyNumberFormat="1" applyFont="1" applyBorder="1">
      <alignment vertical="center"/>
    </xf>
    <xf numFmtId="41" fontId="10" fillId="0" borderId="26" xfId="0" applyNumberFormat="1" applyFont="1" applyFill="1" applyBorder="1">
      <alignment vertical="center"/>
    </xf>
    <xf numFmtId="41" fontId="21" fillId="0" borderId="23" xfId="0" applyNumberFormat="1" applyFont="1" applyBorder="1">
      <alignment vertical="center"/>
    </xf>
    <xf numFmtId="41" fontId="21" fillId="0" borderId="36" xfId="0" applyNumberFormat="1" applyFont="1" applyBorder="1">
      <alignment vertical="center"/>
    </xf>
    <xf numFmtId="41" fontId="21" fillId="0" borderId="33" xfId="0" applyNumberFormat="1" applyFont="1" applyBorder="1">
      <alignment vertical="center"/>
    </xf>
    <xf numFmtId="41" fontId="21" fillId="0" borderId="40" xfId="0" applyNumberFormat="1" applyFont="1" applyBorder="1">
      <alignment vertical="center"/>
    </xf>
    <xf numFmtId="41" fontId="21" fillId="0" borderId="26" xfId="0" applyNumberFormat="1" applyFont="1" applyBorder="1">
      <alignment vertical="center"/>
    </xf>
    <xf numFmtId="41" fontId="10" fillId="0" borderId="6" xfId="1" applyFont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/>
    </xf>
    <xf numFmtId="41" fontId="17" fillId="2" borderId="26" xfId="0" applyNumberFormat="1" applyFont="1" applyFill="1" applyBorder="1" applyAlignment="1">
      <alignment horizontal="center" vertical="center"/>
    </xf>
    <xf numFmtId="41" fontId="10" fillId="0" borderId="28" xfId="1" applyFont="1" applyBorder="1">
      <alignment vertical="center"/>
    </xf>
    <xf numFmtId="41" fontId="10" fillId="0" borderId="34" xfId="1" applyFont="1" applyBorder="1">
      <alignment vertical="center"/>
    </xf>
    <xf numFmtId="41" fontId="10" fillId="0" borderId="28" xfId="1" applyFont="1" applyFill="1" applyBorder="1">
      <alignment vertical="center"/>
    </xf>
    <xf numFmtId="41" fontId="21" fillId="0" borderId="30" xfId="0" applyNumberFormat="1" applyFont="1" applyBorder="1">
      <alignment vertical="center"/>
    </xf>
    <xf numFmtId="41" fontId="6" fillId="2" borderId="15" xfId="0" applyNumberFormat="1" applyFont="1" applyFill="1" applyBorder="1" applyAlignment="1">
      <alignment horizontal="center" vertical="center"/>
    </xf>
    <xf numFmtId="41" fontId="6" fillId="2" borderId="34" xfId="0" applyNumberFormat="1" applyFont="1" applyFill="1" applyBorder="1" applyAlignment="1">
      <alignment horizontal="center" vertical="center"/>
    </xf>
    <xf numFmtId="41" fontId="21" fillId="0" borderId="18" xfId="0" applyNumberFormat="1" applyFont="1" applyBorder="1">
      <alignment vertical="center"/>
    </xf>
    <xf numFmtId="41" fontId="21" fillId="0" borderId="0" xfId="0" applyNumberFormat="1" applyFont="1" applyBorder="1">
      <alignment vertical="center"/>
    </xf>
    <xf numFmtId="41" fontId="21" fillId="0" borderId="15" xfId="0" applyNumberFormat="1" applyFont="1" applyBorder="1">
      <alignment vertical="center"/>
    </xf>
    <xf numFmtId="41" fontId="21" fillId="0" borderId="0" xfId="0" applyNumberFormat="1" applyFont="1" applyFill="1" applyBorder="1">
      <alignment vertical="center"/>
    </xf>
    <xf numFmtId="41" fontId="21" fillId="0" borderId="15" xfId="0" applyNumberFormat="1" applyFont="1" applyFill="1" applyBorder="1">
      <alignment vertical="center"/>
    </xf>
    <xf numFmtId="41" fontId="21" fillId="0" borderId="24" xfId="0" applyNumberFormat="1" applyFont="1" applyFill="1" applyBorder="1">
      <alignment vertical="center"/>
    </xf>
    <xf numFmtId="41" fontId="21" fillId="0" borderId="18" xfId="0" applyNumberFormat="1" applyFont="1" applyFill="1" applyBorder="1">
      <alignment vertical="center"/>
    </xf>
    <xf numFmtId="41" fontId="6" fillId="2" borderId="24" xfId="0" applyNumberFormat="1" applyFont="1" applyFill="1" applyBorder="1" applyAlignment="1">
      <alignment horizontal="center" vertical="center"/>
    </xf>
    <xf numFmtId="41" fontId="21" fillId="0" borderId="30" xfId="0" applyNumberFormat="1" applyFont="1" applyFill="1" applyBorder="1">
      <alignment vertical="center"/>
    </xf>
    <xf numFmtId="41" fontId="21" fillId="0" borderId="26" xfId="0" applyNumberFormat="1" applyFont="1" applyBorder="1" applyAlignment="1">
      <alignment horizontal="right" vertical="center"/>
    </xf>
    <xf numFmtId="41" fontId="21" fillId="0" borderId="24" xfId="0" applyNumberFormat="1" applyFont="1" applyBorder="1" applyAlignment="1">
      <alignment horizontal="right" vertical="center"/>
    </xf>
    <xf numFmtId="177" fontId="21" fillId="0" borderId="37" xfId="0" applyNumberFormat="1" applyFont="1" applyBorder="1">
      <alignment vertical="center"/>
    </xf>
    <xf numFmtId="41" fontId="10" fillId="0" borderId="0" xfId="0" applyNumberFormat="1" applyFont="1" applyFill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76" fontId="10" fillId="0" borderId="7" xfId="0" applyNumberFormat="1" applyFont="1" applyFill="1" applyBorder="1" applyAlignment="1">
      <alignment vertical="center"/>
    </xf>
    <xf numFmtId="176" fontId="22" fillId="0" borderId="11" xfId="0" applyNumberFormat="1" applyFont="1" applyBorder="1">
      <alignment vertical="center"/>
    </xf>
    <xf numFmtId="176" fontId="22" fillId="0" borderId="6" xfId="0" applyNumberFormat="1" applyFont="1" applyBorder="1">
      <alignment vertical="center"/>
    </xf>
    <xf numFmtId="176" fontId="10" fillId="0" borderId="9" xfId="0" applyNumberFormat="1" applyFont="1" applyFill="1" applyBorder="1" applyAlignment="1">
      <alignment vertical="center"/>
    </xf>
    <xf numFmtId="176" fontId="10" fillId="0" borderId="10" xfId="0" applyNumberFormat="1" applyFont="1" applyFill="1" applyBorder="1" applyAlignment="1">
      <alignment vertical="center"/>
    </xf>
    <xf numFmtId="176" fontId="10" fillId="0" borderId="14" xfId="0" applyNumberFormat="1" applyFont="1" applyFill="1" applyBorder="1" applyAlignment="1">
      <alignment vertical="center"/>
    </xf>
    <xf numFmtId="176" fontId="10" fillId="0" borderId="11" xfId="0" applyNumberFormat="1" applyFont="1" applyFill="1" applyBorder="1" applyAlignment="1">
      <alignment vertical="center"/>
    </xf>
    <xf numFmtId="176" fontId="10" fillId="0" borderId="6" xfId="0" applyNumberFormat="1" applyFont="1" applyFill="1" applyBorder="1" applyAlignment="1">
      <alignment vertical="center"/>
    </xf>
    <xf numFmtId="176" fontId="11" fillId="0" borderId="12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76" fontId="11" fillId="0" borderId="6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8" fontId="11" fillId="0" borderId="6" xfId="0" applyNumberFormat="1" applyFont="1" applyBorder="1">
      <alignment vertical="center"/>
    </xf>
    <xf numFmtId="178" fontId="10" fillId="0" borderId="7" xfId="0" applyNumberFormat="1" applyFont="1" applyBorder="1" applyAlignment="1">
      <alignment horizontal="right" vertical="center"/>
    </xf>
    <xf numFmtId="178" fontId="10" fillId="0" borderId="9" xfId="0" applyNumberFormat="1" applyFont="1" applyBorder="1" applyAlignment="1">
      <alignment horizontal="right" vertical="center"/>
    </xf>
    <xf numFmtId="178" fontId="10" fillId="0" borderId="10" xfId="0" applyNumberFormat="1" applyFont="1" applyBorder="1" applyAlignment="1">
      <alignment horizontal="right" vertical="center"/>
    </xf>
    <xf numFmtId="178" fontId="10" fillId="0" borderId="11" xfId="0" applyNumberFormat="1" applyFont="1" applyBorder="1" applyAlignment="1">
      <alignment horizontal="right" vertical="center"/>
    </xf>
    <xf numFmtId="178" fontId="10" fillId="0" borderId="12" xfId="0" applyNumberFormat="1" applyFont="1" applyBorder="1" applyAlignment="1">
      <alignment horizontal="right" vertical="center"/>
    </xf>
    <xf numFmtId="178" fontId="10" fillId="0" borderId="6" xfId="0" applyNumberFormat="1" applyFont="1" applyBorder="1" applyAlignment="1">
      <alignment horizontal="right" vertical="center"/>
    </xf>
    <xf numFmtId="178" fontId="11" fillId="0" borderId="12" xfId="0" applyNumberFormat="1" applyFont="1" applyBorder="1" applyAlignment="1">
      <alignment horizontal="right" vertical="center"/>
    </xf>
    <xf numFmtId="178" fontId="11" fillId="0" borderId="9" xfId="0" applyNumberFormat="1" applyFont="1" applyBorder="1" applyAlignment="1">
      <alignment horizontal="right" vertical="center"/>
    </xf>
    <xf numFmtId="178" fontId="11" fillId="0" borderId="6" xfId="0" applyNumberFormat="1" applyFont="1" applyBorder="1" applyAlignment="1">
      <alignment horizontal="right" vertical="center"/>
    </xf>
    <xf numFmtId="41" fontId="10" fillId="0" borderId="29" xfId="0" applyNumberFormat="1" applyFont="1" applyBorder="1">
      <alignment vertical="center"/>
    </xf>
    <xf numFmtId="41" fontId="10" fillId="0" borderId="31" xfId="0" applyNumberFormat="1" applyFont="1" applyBorder="1">
      <alignment vertical="center"/>
    </xf>
    <xf numFmtId="41" fontId="10" fillId="0" borderId="31" xfId="0" applyNumberFormat="1" applyFont="1" applyFill="1" applyBorder="1">
      <alignment vertical="center"/>
    </xf>
    <xf numFmtId="41" fontId="10" fillId="0" borderId="25" xfId="0" applyNumberFormat="1" applyFont="1" applyFill="1" applyBorder="1">
      <alignment vertical="center"/>
    </xf>
    <xf numFmtId="41" fontId="10" fillId="0" borderId="25" xfId="0" applyNumberFormat="1" applyFont="1" applyBorder="1">
      <alignment vertical="center"/>
    </xf>
    <xf numFmtId="41" fontId="10" fillId="0" borderId="2" xfId="0" applyNumberFormat="1" applyFont="1" applyFill="1" applyBorder="1">
      <alignment vertical="center"/>
    </xf>
    <xf numFmtId="41" fontId="10" fillId="0" borderId="11" xfId="0" applyNumberFormat="1" applyFont="1" applyFill="1" applyBorder="1">
      <alignment vertical="center"/>
    </xf>
    <xf numFmtId="41" fontId="21" fillId="0" borderId="31" xfId="0" applyNumberFormat="1" applyFont="1" applyFill="1" applyBorder="1">
      <alignment vertical="center"/>
    </xf>
    <xf numFmtId="0" fontId="24" fillId="2" borderId="3" xfId="0" applyFont="1" applyFill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79" fontId="10" fillId="0" borderId="13" xfId="0" applyNumberFormat="1" applyFont="1" applyBorder="1">
      <alignment vertical="center"/>
    </xf>
    <xf numFmtId="179" fontId="10" fillId="0" borderId="31" xfId="1" applyNumberFormat="1" applyFont="1" applyBorder="1">
      <alignment vertical="center"/>
    </xf>
    <xf numFmtId="0" fontId="26" fillId="0" borderId="0" xfId="0" applyFont="1" applyFill="1">
      <alignment vertical="center"/>
    </xf>
    <xf numFmtId="41" fontId="21" fillId="0" borderId="31" xfId="1" applyFont="1" applyFill="1" applyBorder="1">
      <alignment vertical="center"/>
    </xf>
    <xf numFmtId="176" fontId="21" fillId="0" borderId="2" xfId="0" applyNumberFormat="1" applyFont="1" applyFill="1" applyBorder="1">
      <alignment vertical="center"/>
    </xf>
    <xf numFmtId="41" fontId="21" fillId="0" borderId="26" xfId="0" applyNumberFormat="1" applyFont="1" applyFill="1" applyBorder="1">
      <alignment vertical="center"/>
    </xf>
    <xf numFmtId="41" fontId="21" fillId="0" borderId="25" xfId="0" applyNumberFormat="1" applyFont="1" applyFill="1" applyBorder="1">
      <alignment vertical="center"/>
    </xf>
    <xf numFmtId="176" fontId="10" fillId="0" borderId="42" xfId="0" applyNumberFormat="1" applyFont="1" applyBorder="1" applyAlignment="1">
      <alignment vertical="center"/>
    </xf>
    <xf numFmtId="41" fontId="10" fillId="0" borderId="46" xfId="0" applyNumberFormat="1" applyFont="1" applyBorder="1">
      <alignment vertical="center"/>
    </xf>
    <xf numFmtId="41" fontId="10" fillId="0" borderId="32" xfId="1" applyFont="1" applyBorder="1">
      <alignment vertical="center"/>
    </xf>
    <xf numFmtId="41" fontId="10" fillId="0" borderId="48" xfId="1" applyFont="1" applyBorder="1">
      <alignment vertical="center"/>
    </xf>
    <xf numFmtId="41" fontId="10" fillId="0" borderId="36" xfId="1" applyFont="1" applyBorder="1">
      <alignment vertical="center"/>
    </xf>
    <xf numFmtId="41" fontId="10" fillId="0" borderId="23" xfId="1" applyFont="1" applyBorder="1">
      <alignment vertical="center"/>
    </xf>
    <xf numFmtId="41" fontId="10" fillId="0" borderId="48" xfId="0" applyNumberFormat="1" applyFont="1" applyBorder="1">
      <alignment vertical="center"/>
    </xf>
    <xf numFmtId="0" fontId="24" fillId="0" borderId="0" xfId="0" applyFont="1">
      <alignment vertical="center"/>
    </xf>
    <xf numFmtId="0" fontId="5" fillId="0" borderId="1" xfId="0" applyFont="1" applyBorder="1" applyAlignment="1">
      <alignment vertical="center"/>
    </xf>
    <xf numFmtId="179" fontId="5" fillId="0" borderId="1" xfId="0" applyNumberFormat="1" applyFont="1" applyBorder="1" applyAlignment="1">
      <alignment vertical="center"/>
    </xf>
    <xf numFmtId="41" fontId="21" fillId="0" borderId="32" xfId="0" applyNumberFormat="1" applyFont="1" applyFill="1" applyBorder="1">
      <alignment vertical="center"/>
    </xf>
    <xf numFmtId="176" fontId="6" fillId="2" borderId="3" xfId="0" applyNumberFormat="1" applyFont="1" applyFill="1" applyBorder="1" applyAlignment="1">
      <alignment horizontal="center" vertical="center"/>
    </xf>
    <xf numFmtId="177" fontId="21" fillId="0" borderId="8" xfId="0" applyNumberFormat="1" applyFont="1" applyBorder="1">
      <alignment vertical="center"/>
    </xf>
    <xf numFmtId="176" fontId="10" fillId="0" borderId="9" xfId="0" applyNumberFormat="1" applyFont="1" applyBorder="1" applyAlignment="1">
      <alignment vertical="center" wrapText="1"/>
    </xf>
    <xf numFmtId="41" fontId="10" fillId="0" borderId="47" xfId="0" applyNumberFormat="1" applyFont="1" applyBorder="1">
      <alignment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176" fontId="21" fillId="0" borderId="24" xfId="0" applyNumberFormat="1" applyFont="1" applyFill="1" applyBorder="1">
      <alignment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24" fillId="2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41" fontId="21" fillId="0" borderId="31" xfId="1" applyFont="1" applyBorder="1">
      <alignment vertical="center"/>
    </xf>
    <xf numFmtId="41" fontId="21" fillId="0" borderId="4" xfId="1" applyFont="1" applyBorder="1">
      <alignment vertical="center"/>
    </xf>
    <xf numFmtId="41" fontId="21" fillId="0" borderId="37" xfId="1" applyFont="1" applyBorder="1">
      <alignment vertical="center"/>
    </xf>
    <xf numFmtId="41" fontId="10" fillId="0" borderId="4" xfId="1" applyFont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21" fillId="0" borderId="31" xfId="1" applyFont="1" applyFill="1" applyBorder="1">
      <alignment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76" fontId="21" fillId="0" borderId="0" xfId="0" applyNumberFormat="1" applyFont="1" applyFill="1">
      <alignment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41" fontId="21" fillId="0" borderId="0" xfId="1" applyFont="1" applyFill="1">
      <alignment vertical="center"/>
    </xf>
    <xf numFmtId="41" fontId="21" fillId="0" borderId="28" xfId="1" applyFont="1" applyBorder="1">
      <alignment vertical="center"/>
    </xf>
    <xf numFmtId="41" fontId="21" fillId="0" borderId="24" xfId="1" applyFont="1" applyBorder="1">
      <alignment vertical="center"/>
    </xf>
    <xf numFmtId="41" fontId="21" fillId="0" borderId="36" xfId="1" applyFont="1" applyBorder="1">
      <alignment vertical="center"/>
    </xf>
    <xf numFmtId="41" fontId="21" fillId="0" borderId="37" xfId="1" applyFont="1" applyFill="1" applyBorder="1">
      <alignment vertical="center"/>
    </xf>
    <xf numFmtId="41" fontId="21" fillId="0" borderId="0" xfId="1" applyFont="1">
      <alignment vertical="center"/>
    </xf>
    <xf numFmtId="41" fontId="10" fillId="0" borderId="33" xfId="0" applyNumberFormat="1" applyFont="1" applyBorder="1">
      <alignment vertical="center"/>
    </xf>
    <xf numFmtId="179" fontId="10" fillId="0" borderId="2" xfId="0" applyNumberFormat="1" applyFont="1" applyBorder="1">
      <alignment vertical="center"/>
    </xf>
    <xf numFmtId="41" fontId="10" fillId="0" borderId="30" xfId="1" applyFont="1" applyBorder="1">
      <alignment vertical="center"/>
    </xf>
    <xf numFmtId="41" fontId="10" fillId="0" borderId="38" xfId="1" applyFont="1" applyBorder="1">
      <alignment vertical="center"/>
    </xf>
    <xf numFmtId="41" fontId="10" fillId="0" borderId="30" xfId="1" applyFont="1" applyFill="1" applyBorder="1">
      <alignment vertical="center"/>
    </xf>
    <xf numFmtId="0" fontId="0" fillId="0" borderId="0" xfId="0">
      <alignment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176" fontId="10" fillId="0" borderId="7" xfId="0" applyNumberFormat="1" applyFont="1" applyBorder="1">
      <alignment vertical="center"/>
    </xf>
    <xf numFmtId="179" fontId="10" fillId="0" borderId="7" xfId="0" applyNumberFormat="1" applyFont="1" applyBorder="1">
      <alignment vertical="center"/>
    </xf>
    <xf numFmtId="176" fontId="10" fillId="0" borderId="6" xfId="0" applyNumberFormat="1" applyFont="1" applyBorder="1">
      <alignment vertical="center"/>
    </xf>
    <xf numFmtId="179" fontId="10" fillId="0" borderId="6" xfId="0" applyNumberFormat="1" applyFont="1" applyBorder="1">
      <alignment vertical="center"/>
    </xf>
    <xf numFmtId="178" fontId="10" fillId="0" borderId="11" xfId="0" applyNumberFormat="1" applyFont="1" applyBorder="1">
      <alignment vertical="center"/>
    </xf>
    <xf numFmtId="178" fontId="10" fillId="0" borderId="9" xfId="0" applyNumberFormat="1" applyFont="1" applyBorder="1">
      <alignment vertical="center"/>
    </xf>
    <xf numFmtId="176" fontId="10" fillId="0" borderId="9" xfId="0" applyNumberFormat="1" applyFont="1" applyBorder="1">
      <alignment vertical="center"/>
    </xf>
    <xf numFmtId="176" fontId="11" fillId="0" borderId="43" xfId="0" applyNumberFormat="1" applyFont="1" applyBorder="1">
      <alignment vertical="center"/>
    </xf>
    <xf numFmtId="176" fontId="11" fillId="0" borderId="9" xfId="0" applyNumberFormat="1" applyFont="1" applyBorder="1">
      <alignment vertical="center"/>
    </xf>
    <xf numFmtId="176" fontId="11" fillId="0" borderId="6" xfId="0" applyNumberFormat="1" applyFont="1" applyBorder="1">
      <alignment vertical="center"/>
    </xf>
    <xf numFmtId="0" fontId="25" fillId="0" borderId="0" xfId="0" applyFont="1">
      <alignment vertical="center"/>
    </xf>
    <xf numFmtId="176" fontId="10" fillId="0" borderId="44" xfId="0" applyNumberFormat="1" applyFont="1" applyBorder="1">
      <alignment vertical="center"/>
    </xf>
    <xf numFmtId="176" fontId="11" fillId="0" borderId="10" xfId="0" applyNumberFormat="1" applyFont="1" applyBorder="1">
      <alignment vertical="center"/>
    </xf>
    <xf numFmtId="178" fontId="10" fillId="0" borderId="45" xfId="0" applyNumberFormat="1" applyFont="1" applyBorder="1">
      <alignment vertical="center"/>
    </xf>
    <xf numFmtId="179" fontId="24" fillId="2" borderId="3" xfId="0" applyNumberFormat="1" applyFont="1" applyFill="1" applyBorder="1" applyAlignment="1">
      <alignment horizontal="center" vertical="center"/>
    </xf>
    <xf numFmtId="179" fontId="10" fillId="0" borderId="42" xfId="0" applyNumberFormat="1" applyFont="1" applyBorder="1">
      <alignment vertical="center"/>
    </xf>
    <xf numFmtId="179" fontId="10" fillId="0" borderId="9" xfId="0" applyNumberFormat="1" applyFont="1" applyBorder="1">
      <alignment vertical="center"/>
    </xf>
    <xf numFmtId="179" fontId="10" fillId="0" borderId="12" xfId="0" applyNumberFormat="1" applyFont="1" applyBorder="1">
      <alignment vertical="center"/>
    </xf>
    <xf numFmtId="179" fontId="11" fillId="0" borderId="43" xfId="0" applyNumberFormat="1" applyFont="1" applyBorder="1">
      <alignment vertical="center"/>
    </xf>
    <xf numFmtId="179" fontId="11" fillId="0" borderId="9" xfId="0" applyNumberFormat="1" applyFont="1" applyBorder="1">
      <alignment vertical="center"/>
    </xf>
    <xf numFmtId="179" fontId="11" fillId="0" borderId="6" xfId="0" applyNumberFormat="1" applyFont="1" applyBorder="1">
      <alignment vertical="center"/>
    </xf>
    <xf numFmtId="179" fontId="25" fillId="0" borderId="0" xfId="0" applyNumberFormat="1" applyFont="1">
      <alignment vertical="center"/>
    </xf>
    <xf numFmtId="179" fontId="6" fillId="2" borderId="3" xfId="0" applyNumberFormat="1" applyFont="1" applyFill="1" applyBorder="1" applyAlignment="1">
      <alignment horizontal="center" vertical="center"/>
    </xf>
    <xf numFmtId="179" fontId="10" fillId="0" borderId="14" xfId="0" applyNumberFormat="1" applyFont="1" applyBorder="1">
      <alignment vertical="center"/>
    </xf>
    <xf numFmtId="179" fontId="10" fillId="0" borderId="44" xfId="0" applyNumberFormat="1" applyFont="1" applyBorder="1">
      <alignment vertical="center"/>
    </xf>
    <xf numFmtId="179" fontId="10" fillId="0" borderId="10" xfId="0" applyNumberFormat="1" applyFont="1" applyBorder="1">
      <alignment vertical="center"/>
    </xf>
    <xf numFmtId="179" fontId="11" fillId="0" borderId="10" xfId="0" applyNumberFormat="1" applyFont="1" applyBorder="1">
      <alignment vertical="center"/>
    </xf>
    <xf numFmtId="179" fontId="0" fillId="0" borderId="0" xfId="0" applyNumberFormat="1">
      <alignment vertical="center"/>
    </xf>
    <xf numFmtId="176" fontId="10" fillId="0" borderId="11" xfId="0" applyNumberFormat="1" applyFont="1" applyBorder="1">
      <alignment vertical="center"/>
    </xf>
    <xf numFmtId="177" fontId="10" fillId="0" borderId="14" xfId="0" applyNumberFormat="1" applyFont="1" applyBorder="1" applyAlignment="1">
      <alignment vertical="center"/>
    </xf>
    <xf numFmtId="177" fontId="10" fillId="0" borderId="9" xfId="0" applyNumberFormat="1" applyFont="1" applyBorder="1" applyAlignment="1">
      <alignment vertical="center"/>
    </xf>
    <xf numFmtId="177" fontId="10" fillId="0" borderId="6" xfId="0" applyNumberFormat="1" applyFont="1" applyBorder="1" applyAlignment="1">
      <alignment vertical="center"/>
    </xf>
    <xf numFmtId="177" fontId="10" fillId="0" borderId="12" xfId="0" applyNumberFormat="1" applyFont="1" applyBorder="1" applyAlignment="1">
      <alignment vertical="center"/>
    </xf>
    <xf numFmtId="177" fontId="11" fillId="0" borderId="12" xfId="0" applyNumberFormat="1" applyFont="1" applyBorder="1" applyAlignment="1">
      <alignment vertical="center"/>
    </xf>
    <xf numFmtId="177" fontId="11" fillId="0" borderId="9" xfId="0" applyNumberFormat="1" applyFont="1" applyBorder="1" applyAlignment="1">
      <alignment vertical="center"/>
    </xf>
    <xf numFmtId="177" fontId="11" fillId="0" borderId="6" xfId="0" applyNumberFormat="1" applyFont="1" applyBorder="1" applyAlignment="1">
      <alignment vertical="center"/>
    </xf>
    <xf numFmtId="177" fontId="10" fillId="0" borderId="7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7" fontId="10" fillId="0" borderId="11" xfId="0" applyNumberFormat="1" applyFont="1" applyBorder="1" applyAlignme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6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76" fontId="11" fillId="0" borderId="6" xfId="0" applyNumberFormat="1" applyFont="1" applyBorder="1" applyAlignment="1">
      <alignment vertical="center"/>
    </xf>
    <xf numFmtId="176" fontId="10" fillId="0" borderId="10" xfId="0" applyNumberFormat="1" applyFont="1" applyBorder="1" applyAlignment="1">
      <alignment vertical="center"/>
    </xf>
    <xf numFmtId="176" fontId="26" fillId="0" borderId="0" xfId="0" applyNumberFormat="1" applyFo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176" fontId="10" fillId="0" borderId="42" xfId="0" applyNumberFormat="1" applyFont="1" applyBorder="1" applyAlignment="1">
      <alignment vertical="center"/>
    </xf>
    <xf numFmtId="179" fontId="5" fillId="0" borderId="1" xfId="0" applyNumberFormat="1" applyFont="1" applyBorder="1" applyAlignment="1">
      <alignment vertical="center"/>
    </xf>
    <xf numFmtId="176" fontId="10" fillId="0" borderId="11" xfId="0" applyNumberFormat="1" applyFont="1" applyBorder="1" applyAlignment="1">
      <alignment vertical="center"/>
    </xf>
    <xf numFmtId="0" fontId="0" fillId="0" borderId="0" xfId="0">
      <alignment vertical="center"/>
    </xf>
    <xf numFmtId="177" fontId="10" fillId="0" borderId="14" xfId="0" applyNumberFormat="1" applyFont="1" applyBorder="1" applyAlignment="1">
      <alignment vertical="center"/>
    </xf>
    <xf numFmtId="177" fontId="10" fillId="0" borderId="9" xfId="0" applyNumberFormat="1" applyFont="1" applyBorder="1" applyAlignment="1">
      <alignment vertical="center"/>
    </xf>
    <xf numFmtId="177" fontId="10" fillId="0" borderId="6" xfId="0" applyNumberFormat="1" applyFont="1" applyBorder="1" applyAlignment="1">
      <alignment vertical="center"/>
    </xf>
    <xf numFmtId="177" fontId="10" fillId="0" borderId="12" xfId="0" applyNumberFormat="1" applyFont="1" applyBorder="1" applyAlignment="1">
      <alignment vertical="center"/>
    </xf>
    <xf numFmtId="177" fontId="11" fillId="0" borderId="12" xfId="0" applyNumberFormat="1" applyFont="1" applyBorder="1" applyAlignment="1">
      <alignment vertical="center"/>
    </xf>
    <xf numFmtId="177" fontId="11" fillId="0" borderId="9" xfId="0" applyNumberFormat="1" applyFont="1" applyBorder="1" applyAlignment="1">
      <alignment vertical="center"/>
    </xf>
    <xf numFmtId="177" fontId="11" fillId="0" borderId="6" xfId="0" applyNumberFormat="1" applyFont="1" applyBorder="1" applyAlignment="1">
      <alignment vertical="center"/>
    </xf>
    <xf numFmtId="177" fontId="10" fillId="0" borderId="7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7" fontId="10" fillId="0" borderId="11" xfId="0" applyNumberFormat="1" applyFont="1" applyBorder="1" applyAlignme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6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76" fontId="11" fillId="0" borderId="6" xfId="0" applyNumberFormat="1" applyFont="1" applyBorder="1" applyAlignment="1">
      <alignment vertical="center"/>
    </xf>
    <xf numFmtId="176" fontId="10" fillId="0" borderId="10" xfId="0" applyNumberFormat="1" applyFont="1" applyBorder="1" applyAlignment="1">
      <alignment vertical="center"/>
    </xf>
    <xf numFmtId="176" fontId="26" fillId="0" borderId="0" xfId="0" applyNumberFormat="1" applyFont="1">
      <alignment vertical="center"/>
    </xf>
    <xf numFmtId="0" fontId="6" fillId="2" borderId="3" xfId="0" applyFont="1" applyFill="1" applyBorder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10" fillId="0" borderId="42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76" fontId="10" fillId="0" borderId="14" xfId="0" applyNumberFormat="1" applyFont="1" applyBorder="1" applyAlignment="1">
      <alignment vertical="center"/>
    </xf>
    <xf numFmtId="176" fontId="10" fillId="0" borderId="12" xfId="0" applyNumberFormat="1" applyFont="1" applyFill="1" applyBorder="1" applyAlignment="1">
      <alignment vertical="center"/>
    </xf>
    <xf numFmtId="176" fontId="11" fillId="0" borderId="12" xfId="0" applyNumberFormat="1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0" fontId="0" fillId="0" borderId="0" xfId="0">
      <alignment vertical="center"/>
    </xf>
    <xf numFmtId="0" fontId="14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41" fontId="6" fillId="0" borderId="0" xfId="0" applyNumberFormat="1" applyFont="1">
      <alignment vertical="center"/>
    </xf>
    <xf numFmtId="179" fontId="10" fillId="0" borderId="37" xfId="0" applyNumberFormat="1" applyFont="1" applyBorder="1">
      <alignment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0" fontId="26" fillId="0" borderId="0" xfId="0" applyFont="1">
      <alignment vertical="center"/>
    </xf>
    <xf numFmtId="41" fontId="14" fillId="0" borderId="0" xfId="0" applyNumberFormat="1" applyFont="1">
      <alignment vertical="center"/>
    </xf>
    <xf numFmtId="179" fontId="10" fillId="0" borderId="29" xfId="0" applyNumberFormat="1" applyFont="1" applyBorder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79" fontId="14" fillId="0" borderId="0" xfId="0" applyNumberFormat="1" applyFont="1" applyAlignment="1">
      <alignment horizontal="right" vertical="center"/>
    </xf>
    <xf numFmtId="179" fontId="17" fillId="2" borderId="8" xfId="0" applyNumberFormat="1" applyFont="1" applyFill="1" applyBorder="1" applyAlignment="1">
      <alignment horizontal="center" vertical="center"/>
    </xf>
    <xf numFmtId="0" fontId="20" fillId="0" borderId="0" xfId="0" applyFont="1">
      <alignment vertical="center"/>
    </xf>
    <xf numFmtId="41" fontId="17" fillId="2" borderId="24" xfId="0" applyNumberFormat="1" applyFont="1" applyFill="1" applyBorder="1" applyAlignment="1">
      <alignment horizontal="center" vertical="center"/>
    </xf>
    <xf numFmtId="41" fontId="10" fillId="0" borderId="24" xfId="0" applyNumberFormat="1" applyFont="1" applyBorder="1">
      <alignment vertical="center"/>
    </xf>
    <xf numFmtId="41" fontId="10" fillId="0" borderId="30" xfId="0" applyNumberFormat="1" applyFont="1" applyFill="1" applyBorder="1">
      <alignment vertical="center"/>
    </xf>
    <xf numFmtId="179" fontId="10" fillId="0" borderId="31" xfId="0" applyNumberFormat="1" applyFont="1" applyFill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10" fillId="0" borderId="26" xfId="0" applyNumberFormat="1" applyFont="1" applyBorder="1">
      <alignment vertical="center"/>
    </xf>
    <xf numFmtId="41" fontId="10" fillId="0" borderId="26" xfId="0" applyNumberFormat="1" applyFont="1" applyFill="1" applyBorder="1">
      <alignment vertical="center"/>
    </xf>
    <xf numFmtId="41" fontId="17" fillId="2" borderId="26" xfId="0" applyNumberFormat="1" applyFont="1" applyFill="1" applyBorder="1" applyAlignment="1">
      <alignment horizontal="center" vertical="center"/>
    </xf>
    <xf numFmtId="179" fontId="10" fillId="0" borderId="2" xfId="0" applyNumberFormat="1" applyFont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 applyAlignment="1">
      <alignment horizontal="right" vertical="center"/>
    </xf>
    <xf numFmtId="41" fontId="21" fillId="0" borderId="31" xfId="1" applyFont="1" applyBorder="1">
      <alignment vertical="center"/>
    </xf>
    <xf numFmtId="41" fontId="21" fillId="0" borderId="4" xfId="1" applyFont="1" applyBorder="1">
      <alignment vertical="center"/>
    </xf>
    <xf numFmtId="0" fontId="26" fillId="0" borderId="0" xfId="0" applyFont="1">
      <alignment vertical="center"/>
    </xf>
    <xf numFmtId="179" fontId="10" fillId="0" borderId="31" xfId="0" applyNumberFormat="1" applyFont="1" applyBorder="1">
      <alignment vertical="center"/>
    </xf>
    <xf numFmtId="179" fontId="17" fillId="2" borderId="25" xfId="0" applyNumberFormat="1" applyFont="1" applyFill="1" applyBorder="1" applyAlignment="1">
      <alignment horizontal="center" vertical="center"/>
    </xf>
    <xf numFmtId="179" fontId="5" fillId="0" borderId="0" xfId="0" applyNumberFormat="1" applyFont="1" applyAlignment="1">
      <alignment horizontal="right" vertical="center"/>
    </xf>
    <xf numFmtId="41" fontId="21" fillId="0" borderId="27" xfId="0" applyNumberFormat="1" applyFont="1" applyBorder="1">
      <alignment vertical="center"/>
    </xf>
    <xf numFmtId="41" fontId="21" fillId="0" borderId="32" xfId="0" applyNumberFormat="1" applyFont="1" applyBorder="1">
      <alignment vertical="center"/>
    </xf>
    <xf numFmtId="179" fontId="21" fillId="0" borderId="25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41" fontId="17" fillId="2" borderId="24" xfId="0" applyNumberFormat="1" applyFont="1" applyFill="1" applyBorder="1" applyAlignment="1">
      <alignment horizontal="center" vertical="center"/>
    </xf>
    <xf numFmtId="41" fontId="21" fillId="0" borderId="34" xfId="0" applyNumberFormat="1" applyFont="1" applyBorder="1">
      <alignment vertical="center"/>
    </xf>
    <xf numFmtId="41" fontId="21" fillId="0" borderId="28" xfId="0" applyNumberFormat="1" applyFont="1" applyBorder="1">
      <alignment vertical="center"/>
    </xf>
    <xf numFmtId="41" fontId="21" fillId="0" borderId="24" xfId="0" applyNumberFormat="1" applyFont="1" applyBorder="1">
      <alignment vertical="center"/>
    </xf>
    <xf numFmtId="41" fontId="21" fillId="0" borderId="23" xfId="0" applyNumberFormat="1" applyFont="1" applyBorder="1">
      <alignment vertical="center"/>
    </xf>
    <xf numFmtId="41" fontId="17" fillId="2" borderId="26" xfId="0" applyNumberFormat="1" applyFont="1" applyFill="1" applyBorder="1" applyAlignment="1">
      <alignment horizontal="center" vertical="center"/>
    </xf>
    <xf numFmtId="41" fontId="21" fillId="0" borderId="30" xfId="0" applyNumberFormat="1" applyFont="1" applyBorder="1">
      <alignment vertical="center"/>
    </xf>
    <xf numFmtId="41" fontId="21" fillId="0" borderId="27" xfId="0" applyNumberFormat="1" applyFont="1" applyBorder="1">
      <alignment vertical="center"/>
    </xf>
    <xf numFmtId="41" fontId="21" fillId="0" borderId="32" xfId="0" applyNumberFormat="1" applyFont="1" applyFill="1" applyBorder="1">
      <alignment vertical="center"/>
    </xf>
    <xf numFmtId="41" fontId="21" fillId="0" borderId="32" xfId="0" applyNumberFormat="1" applyFont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 applyAlignment="1">
      <alignment horizontal="right" vertical="center"/>
    </xf>
    <xf numFmtId="41" fontId="13" fillId="0" borderId="0" xfId="0" applyNumberFormat="1" applyFont="1">
      <alignment vertical="center"/>
    </xf>
    <xf numFmtId="41" fontId="21" fillId="0" borderId="1" xfId="0" applyNumberFormat="1" applyFont="1" applyBorder="1">
      <alignment vertical="center"/>
    </xf>
    <xf numFmtId="41" fontId="6" fillId="0" borderId="0" xfId="0" applyNumberFormat="1" applyFont="1" applyAlignment="1">
      <alignment horizontal="left" vertical="center"/>
    </xf>
    <xf numFmtId="41" fontId="21" fillId="0" borderId="31" xfId="1" applyFont="1" applyBorder="1">
      <alignment vertical="center"/>
    </xf>
    <xf numFmtId="0" fontId="26" fillId="0" borderId="0" xfId="0" applyFont="1">
      <alignment vertical="center"/>
    </xf>
    <xf numFmtId="180" fontId="5" fillId="0" borderId="0" xfId="0" applyNumberFormat="1" applyFont="1" applyAlignment="1">
      <alignment horizontal="right" vertical="center"/>
    </xf>
    <xf numFmtId="180" fontId="21" fillId="0" borderId="31" xfId="0" applyNumberFormat="1" applyFont="1" applyBorder="1">
      <alignment vertical="center"/>
    </xf>
    <xf numFmtId="180" fontId="21" fillId="0" borderId="25" xfId="0" applyNumberFormat="1" applyFont="1" applyBorder="1">
      <alignment vertical="center"/>
    </xf>
    <xf numFmtId="180" fontId="13" fillId="0" borderId="0" xfId="0" applyNumberFormat="1" applyFont="1">
      <alignment vertical="center"/>
    </xf>
    <xf numFmtId="180" fontId="6" fillId="2" borderId="29" xfId="0" applyNumberFormat="1" applyFont="1" applyFill="1" applyBorder="1" applyAlignment="1">
      <alignment horizontal="center" vertical="center"/>
    </xf>
    <xf numFmtId="180" fontId="6" fillId="2" borderId="25" xfId="0" applyNumberFormat="1" applyFont="1" applyFill="1" applyBorder="1" applyAlignment="1">
      <alignment horizontal="center" vertical="center"/>
    </xf>
    <xf numFmtId="177" fontId="21" fillId="0" borderId="13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7" fontId="21" fillId="0" borderId="31" xfId="0" applyNumberFormat="1" applyFont="1" applyBorder="1">
      <alignment vertical="center"/>
    </xf>
    <xf numFmtId="177" fontId="21" fillId="0" borderId="25" xfId="0" applyNumberFormat="1" applyFont="1" applyBorder="1">
      <alignment vertical="center"/>
    </xf>
    <xf numFmtId="177" fontId="21" fillId="0" borderId="29" xfId="0" applyNumberFormat="1" applyFont="1" applyBorder="1">
      <alignment vertical="center"/>
    </xf>
    <xf numFmtId="41" fontId="21" fillId="0" borderId="37" xfId="1" applyFont="1" applyBorder="1">
      <alignment vertical="center"/>
    </xf>
    <xf numFmtId="177" fontId="21" fillId="0" borderId="31" xfId="0" applyNumberFormat="1" applyFont="1" applyFill="1" applyBorder="1">
      <alignment vertical="center"/>
    </xf>
    <xf numFmtId="180" fontId="21" fillId="0" borderId="31" xfId="0" applyNumberFormat="1" applyFont="1" applyFill="1" applyBorder="1">
      <alignment vertical="center"/>
    </xf>
    <xf numFmtId="177" fontId="21" fillId="0" borderId="25" xfId="0" applyNumberFormat="1" applyFont="1" applyFill="1" applyBorder="1">
      <alignment vertical="center"/>
    </xf>
    <xf numFmtId="180" fontId="21" fillId="0" borderId="13" xfId="0" applyNumberFormat="1" applyFont="1" applyFill="1" applyBorder="1">
      <alignment vertical="center"/>
    </xf>
    <xf numFmtId="41" fontId="21" fillId="0" borderId="34" xfId="0" applyNumberFormat="1" applyFont="1" applyBorder="1">
      <alignment vertical="center"/>
    </xf>
    <xf numFmtId="41" fontId="21" fillId="0" borderId="28" xfId="0" applyNumberFormat="1" applyFont="1" applyBorder="1">
      <alignment vertical="center"/>
    </xf>
    <xf numFmtId="41" fontId="21" fillId="0" borderId="24" xfId="0" applyNumberFormat="1" applyFont="1" applyBorder="1">
      <alignment vertical="center"/>
    </xf>
    <xf numFmtId="41" fontId="21" fillId="0" borderId="28" xfId="0" applyNumberFormat="1" applyFont="1" applyFill="1" applyBorder="1">
      <alignment vertical="center"/>
    </xf>
    <xf numFmtId="41" fontId="21" fillId="0" borderId="34" xfId="0" applyNumberFormat="1" applyFont="1" applyFill="1" applyBorder="1">
      <alignment vertical="center"/>
    </xf>
    <xf numFmtId="41" fontId="21" fillId="0" borderId="36" xfId="0" applyNumberFormat="1" applyFont="1" applyBorder="1">
      <alignment vertical="center"/>
    </xf>
    <xf numFmtId="41" fontId="21" fillId="0" borderId="33" xfId="0" applyNumberFormat="1" applyFont="1" applyBorder="1">
      <alignment vertical="center"/>
    </xf>
    <xf numFmtId="41" fontId="21" fillId="0" borderId="40" xfId="0" applyNumberFormat="1" applyFont="1" applyBorder="1">
      <alignment vertical="center"/>
    </xf>
    <xf numFmtId="41" fontId="21" fillId="0" borderId="26" xfId="0" applyNumberFormat="1" applyFont="1" applyBorder="1">
      <alignment vertical="center"/>
    </xf>
    <xf numFmtId="41" fontId="21" fillId="0" borderId="30" xfId="0" applyNumberFormat="1" applyFont="1" applyBorder="1">
      <alignment vertical="center"/>
    </xf>
    <xf numFmtId="41" fontId="6" fillId="2" borderId="15" xfId="0" applyNumberFormat="1" applyFont="1" applyFill="1" applyBorder="1" applyAlignment="1">
      <alignment horizontal="center" vertical="center"/>
    </xf>
    <xf numFmtId="41" fontId="6" fillId="2" borderId="34" xfId="0" applyNumberFormat="1" applyFont="1" applyFill="1" applyBorder="1" applyAlignment="1">
      <alignment horizontal="center" vertical="center"/>
    </xf>
    <xf numFmtId="41" fontId="21" fillId="0" borderId="18" xfId="0" applyNumberFormat="1" applyFont="1" applyBorder="1">
      <alignment vertical="center"/>
    </xf>
    <xf numFmtId="41" fontId="21" fillId="0" borderId="0" xfId="0" applyNumberFormat="1" applyFont="1" applyBorder="1">
      <alignment vertical="center"/>
    </xf>
    <xf numFmtId="41" fontId="21" fillId="0" borderId="15" xfId="0" applyNumberFormat="1" applyFont="1" applyBorder="1">
      <alignment vertical="center"/>
    </xf>
    <xf numFmtId="41" fontId="21" fillId="0" borderId="0" xfId="0" applyNumberFormat="1" applyFont="1" applyFill="1" applyBorder="1">
      <alignment vertical="center"/>
    </xf>
    <xf numFmtId="41" fontId="21" fillId="0" borderId="15" xfId="0" applyNumberFormat="1" applyFont="1" applyFill="1" applyBorder="1">
      <alignment vertical="center"/>
    </xf>
    <xf numFmtId="41" fontId="21" fillId="0" borderId="24" xfId="0" applyNumberFormat="1" applyFont="1" applyFill="1" applyBorder="1">
      <alignment vertical="center"/>
    </xf>
    <xf numFmtId="41" fontId="21" fillId="0" borderId="18" xfId="0" applyNumberFormat="1" applyFont="1" applyFill="1" applyBorder="1">
      <alignment vertical="center"/>
    </xf>
    <xf numFmtId="41" fontId="6" fillId="2" borderId="24" xfId="0" applyNumberFormat="1" applyFont="1" applyFill="1" applyBorder="1" applyAlignment="1">
      <alignment horizontal="center" vertical="center"/>
    </xf>
    <xf numFmtId="41" fontId="21" fillId="0" borderId="30" xfId="0" applyNumberFormat="1" applyFont="1" applyFill="1" applyBorder="1">
      <alignment vertical="center"/>
    </xf>
    <xf numFmtId="41" fontId="21" fillId="0" borderId="26" xfId="0" applyNumberFormat="1" applyFont="1" applyBorder="1" applyAlignment="1">
      <alignment horizontal="right" vertical="center"/>
    </xf>
    <xf numFmtId="41" fontId="21" fillId="0" borderId="24" xfId="0" applyNumberFormat="1" applyFont="1" applyBorder="1" applyAlignment="1">
      <alignment horizontal="right" vertical="center"/>
    </xf>
    <xf numFmtId="177" fontId="21" fillId="0" borderId="37" xfId="0" applyNumberFormat="1" applyFont="1" applyBorder="1">
      <alignment vertical="center"/>
    </xf>
    <xf numFmtId="41" fontId="21" fillId="0" borderId="31" xfId="1" applyFont="1" applyFill="1" applyBorder="1">
      <alignment vertical="center"/>
    </xf>
    <xf numFmtId="41" fontId="21" fillId="0" borderId="26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41" fontId="21" fillId="0" borderId="37" xfId="1" applyFont="1" applyFill="1" applyBorder="1">
      <alignment vertical="center"/>
    </xf>
    <xf numFmtId="41" fontId="21" fillId="0" borderId="18" xfId="0" applyNumberFormat="1" applyFont="1" applyBorder="1">
      <alignment vertical="center"/>
    </xf>
    <xf numFmtId="41" fontId="21" fillId="0" borderId="0" xfId="0" applyNumberFormat="1" applyFont="1" applyBorder="1">
      <alignment vertical="center"/>
    </xf>
    <xf numFmtId="41" fontId="21" fillId="0" borderId="0" xfId="0" applyNumberFormat="1" applyFont="1" applyFill="1" applyBorder="1">
      <alignment vertical="center"/>
    </xf>
    <xf numFmtId="41" fontId="21" fillId="0" borderId="18" xfId="0" applyNumberFormat="1" applyFont="1" applyFill="1" applyBorder="1">
      <alignment vertical="center"/>
    </xf>
    <xf numFmtId="0" fontId="0" fillId="0" borderId="0" xfId="0">
      <alignment vertical="center"/>
    </xf>
    <xf numFmtId="41" fontId="5" fillId="0" borderId="0" xfId="0" applyNumberFormat="1" applyFont="1" applyAlignment="1">
      <alignment horizontal="right" vertical="center"/>
    </xf>
    <xf numFmtId="41" fontId="6" fillId="0" borderId="0" xfId="0" applyNumberFormat="1" applyFont="1">
      <alignment vertical="center"/>
    </xf>
    <xf numFmtId="41" fontId="13" fillId="0" borderId="0" xfId="0" applyNumberFormat="1" applyFont="1">
      <alignment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41" fontId="21" fillId="0" borderId="31" xfId="1" applyFont="1" applyBorder="1">
      <alignment vertical="center"/>
    </xf>
    <xf numFmtId="0" fontId="26" fillId="0" borderId="0" xfId="0" applyFont="1">
      <alignment vertical="center"/>
    </xf>
    <xf numFmtId="179" fontId="10" fillId="0" borderId="31" xfId="0" applyNumberFormat="1" applyFont="1" applyBorder="1">
      <alignment vertical="center"/>
    </xf>
    <xf numFmtId="179" fontId="10" fillId="0" borderId="25" xfId="0" applyNumberFormat="1" applyFont="1" applyBorder="1">
      <alignment vertical="center"/>
    </xf>
    <xf numFmtId="180" fontId="5" fillId="0" borderId="0" xfId="0" applyNumberFormat="1" applyFont="1" applyAlignment="1">
      <alignment horizontal="right" vertical="center"/>
    </xf>
    <xf numFmtId="180" fontId="13" fillId="0" borderId="0" xfId="0" applyNumberFormat="1" applyFont="1">
      <alignment vertical="center"/>
    </xf>
    <xf numFmtId="180" fontId="6" fillId="2" borderId="25" xfId="0" applyNumberFormat="1" applyFont="1" applyFill="1" applyBorder="1" applyAlignment="1">
      <alignment horizontal="center" vertical="center"/>
    </xf>
    <xf numFmtId="180" fontId="5" fillId="0" borderId="18" xfId="0" applyNumberFormat="1" applyFont="1" applyBorder="1">
      <alignment vertical="center"/>
    </xf>
    <xf numFmtId="180" fontId="6" fillId="0" borderId="0" xfId="0" applyNumberFormat="1" applyFont="1">
      <alignment vertical="center"/>
    </xf>
    <xf numFmtId="41" fontId="10" fillId="0" borderId="15" xfId="0" applyNumberFormat="1" applyFont="1" applyBorder="1">
      <alignment vertical="center"/>
    </xf>
    <xf numFmtId="41" fontId="10" fillId="0" borderId="18" xfId="0" applyNumberFormat="1" applyFont="1" applyBorder="1">
      <alignment vertical="center"/>
    </xf>
    <xf numFmtId="41" fontId="10" fillId="0" borderId="0" xfId="0" applyNumberFormat="1" applyFont="1" applyBorder="1">
      <alignment vertical="center"/>
    </xf>
    <xf numFmtId="41" fontId="10" fillId="0" borderId="24" xfId="0" applyNumberFormat="1" applyFont="1" applyBorder="1">
      <alignment vertical="center"/>
    </xf>
    <xf numFmtId="41" fontId="26" fillId="0" borderId="0" xfId="0" applyNumberFormat="1" applyFont="1">
      <alignment vertical="center"/>
    </xf>
    <xf numFmtId="179" fontId="10" fillId="0" borderId="31" xfId="0" applyNumberFormat="1" applyFont="1" applyFill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28" xfId="0" applyNumberFormat="1" applyFont="1" applyFill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21" fillId="0" borderId="30" xfId="0" applyNumberFormat="1" applyFont="1" applyBorder="1">
      <alignment vertical="center"/>
    </xf>
    <xf numFmtId="41" fontId="6" fillId="2" borderId="15" xfId="0" applyNumberFormat="1" applyFont="1" applyFill="1" applyBorder="1" applyAlignment="1">
      <alignment horizontal="center" vertical="center"/>
    </xf>
    <xf numFmtId="41" fontId="6" fillId="2" borderId="24" xfId="0" applyNumberFormat="1" applyFont="1" applyFill="1" applyBorder="1" applyAlignment="1">
      <alignment horizontal="center" vertical="center"/>
    </xf>
    <xf numFmtId="41" fontId="21" fillId="0" borderId="30" xfId="0" applyNumberFormat="1" applyFont="1" applyFill="1" applyBorder="1">
      <alignment vertical="center"/>
    </xf>
    <xf numFmtId="41" fontId="10" fillId="0" borderId="0" xfId="0" applyNumberFormat="1" applyFont="1" applyFill="1" applyBorder="1">
      <alignment vertical="center"/>
    </xf>
    <xf numFmtId="179" fontId="10" fillId="0" borderId="13" xfId="0" applyNumberFormat="1" applyFont="1" applyBorder="1">
      <alignment vertical="center"/>
    </xf>
    <xf numFmtId="179" fontId="10" fillId="0" borderId="31" xfId="1" applyNumberFormat="1" applyFont="1" applyBorder="1">
      <alignment vertical="center"/>
    </xf>
    <xf numFmtId="41" fontId="10" fillId="0" borderId="0" xfId="0" applyNumberFormat="1" applyFont="1" applyFill="1" applyBorder="1">
      <alignment vertical="center"/>
    </xf>
    <xf numFmtId="41" fontId="10" fillId="0" borderId="18" xfId="0" applyNumberFormat="1" applyFont="1" applyBorder="1">
      <alignment vertical="center"/>
    </xf>
    <xf numFmtId="41" fontId="10" fillId="0" borderId="0" xfId="0" applyNumberFormat="1" applyFont="1" applyBorder="1">
      <alignment vertical="center"/>
    </xf>
    <xf numFmtId="0" fontId="0" fillId="0" borderId="0" xfId="0">
      <alignment vertical="center"/>
    </xf>
    <xf numFmtId="41" fontId="10" fillId="0" borderId="37" xfId="1" applyFont="1" applyBorder="1">
      <alignment vertical="center"/>
    </xf>
    <xf numFmtId="181" fontId="13" fillId="0" borderId="0" xfId="0" applyNumberFormat="1" applyFont="1">
      <alignment vertical="center"/>
    </xf>
    <xf numFmtId="0" fontId="26" fillId="0" borderId="0" xfId="0" applyFont="1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177" fontId="6" fillId="2" borderId="8" xfId="0" applyNumberFormat="1" applyFont="1" applyFill="1" applyBorder="1" applyAlignment="1">
      <alignment horizontal="center" vertical="center"/>
    </xf>
    <xf numFmtId="41" fontId="10" fillId="0" borderId="24" xfId="0" applyNumberFormat="1" applyFont="1" applyBorder="1">
      <alignment vertical="center"/>
    </xf>
    <xf numFmtId="41" fontId="10" fillId="0" borderId="4" xfId="1" applyFont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10" fillId="0" borderId="26" xfId="0" applyNumberFormat="1" applyFont="1" applyBorder="1">
      <alignment vertical="center"/>
    </xf>
    <xf numFmtId="41" fontId="6" fillId="2" borderId="15" xfId="0" applyNumberFormat="1" applyFont="1" applyFill="1" applyBorder="1" applyAlignment="1">
      <alignment horizontal="center" vertical="center"/>
    </xf>
    <xf numFmtId="41" fontId="6" fillId="2" borderId="24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41" fontId="10" fillId="0" borderId="31" xfId="1" applyFont="1" applyBorder="1">
      <alignment vertical="center"/>
    </xf>
    <xf numFmtId="41" fontId="10" fillId="0" borderId="37" xfId="1" applyFont="1" applyBorder="1">
      <alignment vertical="center"/>
    </xf>
    <xf numFmtId="181" fontId="13" fillId="0" borderId="0" xfId="0" applyNumberFormat="1" applyFont="1">
      <alignment vertical="center"/>
    </xf>
    <xf numFmtId="0" fontId="26" fillId="0" borderId="0" xfId="0" applyFont="1">
      <alignment vertical="center"/>
    </xf>
    <xf numFmtId="177" fontId="5" fillId="0" borderId="0" xfId="0" applyNumberFormat="1" applyFont="1" applyAlignment="1">
      <alignment horizontal="right" vertical="center"/>
    </xf>
    <xf numFmtId="177" fontId="10" fillId="0" borderId="13" xfId="0" applyNumberFormat="1" applyFont="1" applyBorder="1">
      <alignment vertical="center"/>
    </xf>
    <xf numFmtId="177" fontId="10" fillId="0" borderId="4" xfId="0" applyNumberFormat="1" applyFont="1" applyBorder="1">
      <alignment vertical="center"/>
    </xf>
    <xf numFmtId="177" fontId="10" fillId="0" borderId="8" xfId="0" applyNumberFormat="1" applyFont="1" applyBorder="1">
      <alignment vertical="center"/>
    </xf>
    <xf numFmtId="177" fontId="6" fillId="2" borderId="8" xfId="0" applyNumberFormat="1" applyFont="1" applyFill="1" applyBorder="1" applyAlignment="1">
      <alignment horizontal="center" vertical="center"/>
    </xf>
    <xf numFmtId="41" fontId="10" fillId="0" borderId="24" xfId="0" applyNumberFormat="1" applyFont="1" applyBorder="1">
      <alignment vertical="center"/>
    </xf>
    <xf numFmtId="41" fontId="10" fillId="0" borderId="4" xfId="1" applyFont="1" applyBorder="1">
      <alignment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34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41" fontId="10" fillId="0" borderId="26" xfId="0" applyNumberFormat="1" applyFont="1" applyBorder="1">
      <alignment vertical="center"/>
    </xf>
    <xf numFmtId="41" fontId="6" fillId="2" borderId="15" xfId="0" applyNumberFormat="1" applyFont="1" applyFill="1" applyBorder="1" applyAlignment="1">
      <alignment horizontal="center" vertical="center"/>
    </xf>
    <xf numFmtId="41" fontId="6" fillId="2" borderId="24" xfId="0" applyNumberFormat="1" applyFont="1" applyFill="1" applyBorder="1" applyAlignment="1">
      <alignment horizontal="center" vertical="center"/>
    </xf>
    <xf numFmtId="41" fontId="10" fillId="0" borderId="30" xfId="0" applyNumberFormat="1" applyFont="1" applyBorder="1">
      <alignment vertical="center"/>
    </xf>
    <xf numFmtId="41" fontId="10" fillId="0" borderId="38" xfId="0" applyNumberFormat="1" applyFont="1" applyBorder="1">
      <alignment vertical="center"/>
    </xf>
    <xf numFmtId="41" fontId="10" fillId="0" borderId="28" xfId="0" applyNumberFormat="1" applyFont="1" applyBorder="1">
      <alignment vertical="center"/>
    </xf>
    <xf numFmtId="0" fontId="0" fillId="0" borderId="0" xfId="0">
      <alignment vertical="center"/>
    </xf>
    <xf numFmtId="41" fontId="22" fillId="0" borderId="11" xfId="0" applyNumberFormat="1" applyFont="1" applyBorder="1">
      <alignment vertical="center"/>
    </xf>
    <xf numFmtId="177" fontId="22" fillId="0" borderId="11" xfId="0" applyNumberFormat="1" applyFont="1" applyBorder="1">
      <alignment vertical="center"/>
    </xf>
    <xf numFmtId="41" fontId="22" fillId="0" borderId="6" xfId="0" applyNumberFormat="1" applyFont="1" applyBorder="1">
      <alignment vertical="center"/>
    </xf>
    <xf numFmtId="177" fontId="22" fillId="0" borderId="6" xfId="0" applyNumberFormat="1" applyFont="1" applyBorder="1">
      <alignment vertical="center"/>
    </xf>
    <xf numFmtId="41" fontId="23" fillId="0" borderId="11" xfId="0" applyNumberFormat="1" applyFont="1" applyBorder="1">
      <alignment vertical="center"/>
    </xf>
    <xf numFmtId="177" fontId="23" fillId="0" borderId="11" xfId="0" applyNumberFormat="1" applyFont="1" applyBorder="1">
      <alignment vertical="center"/>
    </xf>
    <xf numFmtId="41" fontId="23" fillId="0" borderId="19" xfId="0" applyNumberFormat="1" applyFont="1" applyBorder="1">
      <alignment vertical="center"/>
    </xf>
    <xf numFmtId="177" fontId="23" fillId="0" borderId="19" xfId="0" applyNumberFormat="1" applyFont="1" applyBorder="1">
      <alignment vertical="center"/>
    </xf>
    <xf numFmtId="41" fontId="22" fillId="0" borderId="7" xfId="0" applyNumberFormat="1" applyFont="1" applyBorder="1">
      <alignment vertical="center"/>
    </xf>
    <xf numFmtId="177" fontId="22" fillId="0" borderId="7" xfId="0" applyNumberFormat="1" applyFont="1" applyBorder="1">
      <alignment vertical="center"/>
    </xf>
    <xf numFmtId="41" fontId="22" fillId="0" borderId="22" xfId="0" applyNumberFormat="1" applyFont="1" applyBorder="1">
      <alignment vertical="center"/>
    </xf>
    <xf numFmtId="177" fontId="22" fillId="0" borderId="22" xfId="0" applyNumberFormat="1" applyFont="1" applyBorder="1">
      <alignment vertical="center"/>
    </xf>
    <xf numFmtId="0" fontId="26" fillId="0" borderId="0" xfId="0" applyFo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176" fontId="22" fillId="0" borderId="11" xfId="0" applyNumberFormat="1" applyFont="1" applyBorder="1">
      <alignment vertical="center"/>
    </xf>
    <xf numFmtId="176" fontId="22" fillId="0" borderId="6" xfId="0" applyNumberFormat="1" applyFont="1" applyBorder="1">
      <alignment vertical="center"/>
    </xf>
    <xf numFmtId="41" fontId="22" fillId="0" borderId="11" xfId="0" applyNumberFormat="1" applyFont="1" applyBorder="1">
      <alignment vertical="center"/>
    </xf>
    <xf numFmtId="41" fontId="22" fillId="0" borderId="22" xfId="0" applyNumberFormat="1" applyFont="1" applyBorder="1">
      <alignment vertical="center"/>
    </xf>
    <xf numFmtId="41" fontId="23" fillId="0" borderId="11" xfId="0" applyNumberFormat="1" applyFont="1" applyBorder="1">
      <alignment vertical="center"/>
    </xf>
    <xf numFmtId="41" fontId="23" fillId="0" borderId="19" xfId="0" applyNumberFormat="1" applyFont="1" applyBorder="1">
      <alignment vertical="center"/>
    </xf>
    <xf numFmtId="41" fontId="22" fillId="0" borderId="6" xfId="0" applyNumberFormat="1" applyFont="1" applyBorder="1">
      <alignment vertical="center"/>
    </xf>
    <xf numFmtId="41" fontId="22" fillId="0" borderId="7" xfId="0" applyNumberFormat="1" applyFont="1" applyBorder="1">
      <alignment vertical="center"/>
    </xf>
    <xf numFmtId="0" fontId="0" fillId="0" borderId="0" xfId="0">
      <alignment vertical="center"/>
    </xf>
    <xf numFmtId="0" fontId="5" fillId="0" borderId="0" xfId="0" applyFont="1" applyBorder="1" applyAlignment="1"/>
    <xf numFmtId="0" fontId="5" fillId="0" borderId="0" xfId="0" applyFont="1" applyAlignment="1"/>
    <xf numFmtId="0" fontId="5" fillId="0" borderId="0" xfId="0" applyFont="1" applyFill="1" applyAlignment="1"/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horizontal="right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distributed" vertical="center"/>
    </xf>
    <xf numFmtId="41" fontId="10" fillId="0" borderId="4" xfId="1" applyFont="1" applyFill="1" applyBorder="1" applyAlignment="1">
      <alignment vertical="center"/>
    </xf>
    <xf numFmtId="41" fontId="10" fillId="0" borderId="5" xfId="1" applyFont="1" applyFill="1" applyBorder="1" applyAlignment="1">
      <alignment vertical="center"/>
    </xf>
    <xf numFmtId="41" fontId="10" fillId="0" borderId="2" xfId="1" applyFont="1" applyFill="1" applyBorder="1" applyAlignment="1">
      <alignment vertical="center"/>
    </xf>
    <xf numFmtId="177" fontId="10" fillId="0" borderId="7" xfId="0" applyNumberFormat="1" applyFont="1" applyBorder="1">
      <alignment vertical="center"/>
    </xf>
    <xf numFmtId="177" fontId="10" fillId="0" borderId="6" xfId="0" applyNumberFormat="1" applyFont="1" applyBorder="1">
      <alignment vertical="center"/>
    </xf>
    <xf numFmtId="0" fontId="5" fillId="0" borderId="7" xfId="0" applyFont="1" applyBorder="1" applyAlignment="1">
      <alignment horizontal="distributed" vertical="center"/>
    </xf>
    <xf numFmtId="41" fontId="10" fillId="0" borderId="7" xfId="0" applyNumberFormat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41" fontId="10" fillId="0" borderId="2" xfId="0" applyNumberFormat="1" applyFont="1" applyBorder="1">
      <alignment vertical="center"/>
    </xf>
    <xf numFmtId="177" fontId="10" fillId="0" borderId="2" xfId="0" applyNumberFormat="1" applyFont="1" applyBorder="1">
      <alignment vertical="center"/>
    </xf>
    <xf numFmtId="176" fontId="10" fillId="0" borderId="9" xfId="0" applyNumberFormat="1" applyFont="1" applyBorder="1" applyAlignment="1">
      <alignment vertical="center"/>
    </xf>
    <xf numFmtId="176" fontId="10" fillId="0" borderId="12" xfId="0" applyNumberFormat="1" applyFont="1" applyBorder="1" applyAlignment="1">
      <alignment vertical="center"/>
    </xf>
    <xf numFmtId="41" fontId="10" fillId="0" borderId="7" xfId="0" applyNumberFormat="1" applyFont="1" applyBorder="1">
      <alignment vertical="center"/>
    </xf>
    <xf numFmtId="0" fontId="5" fillId="0" borderId="0" xfId="0" applyFont="1" applyBorder="1" applyAlignment="1"/>
    <xf numFmtId="0" fontId="5" fillId="0" borderId="0" xfId="0" applyFont="1" applyAlignment="1"/>
    <xf numFmtId="0" fontId="5" fillId="0" borderId="0" xfId="0" applyFont="1" applyFill="1" applyAlignment="1"/>
    <xf numFmtId="0" fontId="6" fillId="2" borderId="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center" vertical="center"/>
    </xf>
    <xf numFmtId="41" fontId="10" fillId="0" borderId="4" xfId="1" applyFont="1" applyFill="1" applyBorder="1" applyAlignment="1">
      <alignment vertical="center"/>
    </xf>
    <xf numFmtId="41" fontId="10" fillId="0" borderId="5" xfId="1" applyFont="1" applyFill="1" applyBorder="1" applyAlignment="1">
      <alignment vertical="center"/>
    </xf>
    <xf numFmtId="0" fontId="5" fillId="0" borderId="0" xfId="0" applyFont="1" applyFill="1" applyBorder="1" applyAlignment="1"/>
    <xf numFmtId="41" fontId="10" fillId="0" borderId="2" xfId="1" applyFont="1" applyFill="1" applyBorder="1" applyAlignment="1">
      <alignment vertical="center"/>
    </xf>
    <xf numFmtId="41" fontId="10" fillId="0" borderId="8" xfId="1" applyFont="1" applyFill="1" applyBorder="1" applyAlignment="1">
      <alignment vertical="center"/>
    </xf>
    <xf numFmtId="177" fontId="10" fillId="0" borderId="7" xfId="0" applyNumberFormat="1" applyFont="1" applyBorder="1">
      <alignment vertical="center"/>
    </xf>
    <xf numFmtId="177" fontId="10" fillId="0" borderId="6" xfId="0" applyNumberFormat="1" applyFont="1" applyBorder="1">
      <alignment vertical="center"/>
    </xf>
    <xf numFmtId="41" fontId="10" fillId="0" borderId="2" xfId="0" applyNumberFormat="1" applyFont="1" applyBorder="1">
      <alignment vertical="center"/>
    </xf>
    <xf numFmtId="41" fontId="5" fillId="0" borderId="0" xfId="0" applyNumberFormat="1" applyFont="1" applyAlignment="1"/>
    <xf numFmtId="176" fontId="15" fillId="0" borderId="2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41" fontId="10" fillId="0" borderId="4" xfId="1" applyFont="1" applyFill="1" applyBorder="1" applyAlignment="1">
      <alignment vertical="center"/>
    </xf>
    <xf numFmtId="0" fontId="5" fillId="0" borderId="7" xfId="0" applyFont="1" applyFill="1" applyBorder="1" applyAlignment="1">
      <alignment horizontal="distributed" vertical="center"/>
    </xf>
    <xf numFmtId="41" fontId="10" fillId="0" borderId="5" xfId="1" applyFont="1" applyFill="1" applyBorder="1" applyAlignment="1">
      <alignment vertical="center"/>
    </xf>
    <xf numFmtId="41" fontId="10" fillId="0" borderId="2" xfId="1" applyFont="1" applyFill="1" applyBorder="1" applyAlignment="1">
      <alignment vertical="center"/>
    </xf>
    <xf numFmtId="41" fontId="10" fillId="0" borderId="8" xfId="1" applyFont="1" applyFill="1" applyBorder="1" applyAlignment="1">
      <alignment vertical="center"/>
    </xf>
    <xf numFmtId="177" fontId="10" fillId="0" borderId="7" xfId="0" applyNumberFormat="1" applyFont="1" applyBorder="1">
      <alignment vertical="center"/>
    </xf>
    <xf numFmtId="177" fontId="10" fillId="0" borderId="6" xfId="0" applyNumberFormat="1" applyFont="1" applyBorder="1">
      <alignment vertical="center"/>
    </xf>
    <xf numFmtId="0" fontId="5" fillId="0" borderId="7" xfId="0" applyFont="1" applyBorder="1" applyAlignment="1">
      <alignment horizontal="distributed" vertical="center"/>
    </xf>
    <xf numFmtId="176" fontId="5" fillId="0" borderId="0" xfId="0" applyNumberFormat="1" applyFont="1" applyAlignment="1">
      <alignment horizontal="center" vertical="center"/>
    </xf>
    <xf numFmtId="176" fontId="10" fillId="0" borderId="0" xfId="0" applyNumberFormat="1" applyFont="1">
      <alignment vertical="center"/>
    </xf>
    <xf numFmtId="179" fontId="10" fillId="0" borderId="0" xfId="0" applyNumberFormat="1" applyFont="1">
      <alignment vertical="center"/>
    </xf>
    <xf numFmtId="179" fontId="6" fillId="2" borderId="8" xfId="0" applyNumberFormat="1" applyFont="1" applyFill="1" applyBorder="1" applyAlignment="1">
      <alignment horizontal="center" vertical="center"/>
    </xf>
    <xf numFmtId="179" fontId="6" fillId="2" borderId="21" xfId="0" applyNumberFormat="1" applyFont="1" applyFill="1" applyBorder="1" applyAlignment="1">
      <alignment horizontal="center" vertical="center"/>
    </xf>
    <xf numFmtId="176" fontId="5" fillId="0" borderId="6" xfId="0" applyNumberFormat="1" applyFont="1" applyBorder="1" applyAlignment="1">
      <alignment horizontal="distributed" vertical="center"/>
    </xf>
    <xf numFmtId="176" fontId="5" fillId="0" borderId="6" xfId="0" applyNumberFormat="1" applyFont="1" applyBorder="1" applyAlignment="1">
      <alignment horizontal="center" vertical="center"/>
    </xf>
    <xf numFmtId="41" fontId="10" fillId="0" borderId="7" xfId="1" applyFont="1" applyBorder="1">
      <alignment vertical="center"/>
    </xf>
    <xf numFmtId="177" fontId="10" fillId="0" borderId="2" xfId="0" applyNumberFormat="1" applyFont="1" applyBorder="1">
      <alignment vertical="center"/>
    </xf>
    <xf numFmtId="41" fontId="10" fillId="0" borderId="2" xfId="1" applyFont="1" applyBorder="1">
      <alignment vertical="center"/>
    </xf>
    <xf numFmtId="41" fontId="10" fillId="0" borderId="6" xfId="1" applyFont="1" applyBorder="1">
      <alignment vertical="center"/>
    </xf>
    <xf numFmtId="179" fontId="10" fillId="0" borderId="8" xfId="0" applyNumberFormat="1" applyFont="1" applyBorder="1">
      <alignment vertical="center"/>
    </xf>
    <xf numFmtId="176" fontId="6" fillId="2" borderId="3" xfId="0" applyNumberFormat="1" applyFont="1" applyFill="1" applyBorder="1" applyAlignment="1">
      <alignment horizontal="center" vertical="center"/>
    </xf>
    <xf numFmtId="179" fontId="10" fillId="0" borderId="4" xfId="0" applyNumberFormat="1" applyFont="1" applyBorder="1">
      <alignment vertical="center"/>
    </xf>
    <xf numFmtId="179" fontId="10" fillId="0" borderId="4" xfId="0" applyNumberFormat="1" applyFont="1" applyFill="1" applyBorder="1">
      <alignment vertical="center"/>
    </xf>
    <xf numFmtId="0" fontId="3" fillId="0" borderId="0" xfId="0" applyFont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41" fontId="10" fillId="0" borderId="5" xfId="1" applyFont="1" applyBorder="1">
      <alignment vertical="center"/>
    </xf>
    <xf numFmtId="176" fontId="10" fillId="0" borderId="24" xfId="0" applyNumberFormat="1" applyFont="1" applyBorder="1">
      <alignment vertical="center"/>
    </xf>
    <xf numFmtId="176" fontId="15" fillId="0" borderId="9" xfId="0" applyNumberFormat="1" applyFont="1" applyBorder="1" applyAlignment="1">
      <alignment vertical="center"/>
    </xf>
    <xf numFmtId="176" fontId="15" fillId="0" borderId="7" xfId="0" applyNumberFormat="1" applyFont="1" applyBorder="1" applyAlignment="1">
      <alignment vertical="center"/>
    </xf>
    <xf numFmtId="176" fontId="15" fillId="0" borderId="10" xfId="0" applyNumberFormat="1" applyFont="1" applyBorder="1" applyAlignment="1">
      <alignment vertical="center"/>
    </xf>
    <xf numFmtId="176" fontId="15" fillId="0" borderId="11" xfId="0" applyNumberFormat="1" applyFont="1" applyBorder="1" applyAlignment="1">
      <alignment vertical="center"/>
    </xf>
    <xf numFmtId="176" fontId="15" fillId="0" borderId="12" xfId="0" applyNumberFormat="1" applyFont="1" applyBorder="1" applyAlignment="1">
      <alignment vertical="center"/>
    </xf>
    <xf numFmtId="176" fontId="15" fillId="0" borderId="6" xfId="0" applyNumberFormat="1" applyFont="1" applyBorder="1" applyAlignment="1">
      <alignment vertical="center"/>
    </xf>
    <xf numFmtId="176" fontId="32" fillId="0" borderId="12" xfId="0" applyNumberFormat="1" applyFont="1" applyBorder="1" applyAlignment="1">
      <alignment vertical="center"/>
    </xf>
    <xf numFmtId="176" fontId="32" fillId="0" borderId="9" xfId="0" applyNumberFormat="1" applyFont="1" applyBorder="1" applyAlignment="1">
      <alignment vertical="center"/>
    </xf>
    <xf numFmtId="176" fontId="32" fillId="0" borderId="6" xfId="0" applyNumberFormat="1" applyFont="1" applyBorder="1" applyAlignment="1">
      <alignment vertical="center"/>
    </xf>
    <xf numFmtId="41" fontId="15" fillId="0" borderId="47" xfId="0" applyNumberFormat="1" applyFont="1" applyBorder="1">
      <alignment vertical="center"/>
    </xf>
    <xf numFmtId="176" fontId="15" fillId="0" borderId="14" xfId="0" applyNumberFormat="1" applyFont="1" applyBorder="1" applyAlignment="1">
      <alignment vertical="center"/>
    </xf>
    <xf numFmtId="176" fontId="15" fillId="0" borderId="0" xfId="0" applyNumberFormat="1" applyFont="1">
      <alignment vertical="center"/>
    </xf>
    <xf numFmtId="176" fontId="15" fillId="0" borderId="9" xfId="0" applyNumberFormat="1" applyFont="1" applyBorder="1" applyAlignment="1">
      <alignment vertical="center" wrapText="1"/>
    </xf>
    <xf numFmtId="176" fontId="15" fillId="0" borderId="12" xfId="0" applyNumberFormat="1" applyFont="1" applyFill="1" applyBorder="1" applyAlignment="1">
      <alignment vertical="center"/>
    </xf>
    <xf numFmtId="41" fontId="33" fillId="0" borderId="11" xfId="0" applyNumberFormat="1" applyFont="1" applyBorder="1">
      <alignment vertical="center"/>
    </xf>
    <xf numFmtId="41" fontId="33" fillId="0" borderId="6" xfId="0" applyNumberFormat="1" applyFont="1" applyBorder="1">
      <alignment vertical="center"/>
    </xf>
    <xf numFmtId="41" fontId="34" fillId="0" borderId="11" xfId="0" applyNumberFormat="1" applyFont="1" applyBorder="1">
      <alignment vertical="center"/>
    </xf>
    <xf numFmtId="41" fontId="34" fillId="0" borderId="19" xfId="0" applyNumberFormat="1" applyFont="1" applyBorder="1">
      <alignment vertical="center"/>
    </xf>
    <xf numFmtId="41" fontId="33" fillId="0" borderId="7" xfId="0" applyNumberFormat="1" applyFont="1" applyBorder="1">
      <alignment vertical="center"/>
    </xf>
    <xf numFmtId="41" fontId="33" fillId="0" borderId="22" xfId="0" applyNumberFormat="1" applyFont="1" applyBorder="1">
      <alignment vertical="center"/>
    </xf>
    <xf numFmtId="176" fontId="33" fillId="0" borderId="11" xfId="0" applyNumberFormat="1" applyFont="1" applyBorder="1">
      <alignment vertical="center"/>
    </xf>
    <xf numFmtId="176" fontId="33" fillId="0" borderId="6" xfId="0" applyNumberFormat="1" applyFont="1" applyBorder="1">
      <alignment vertical="center"/>
    </xf>
    <xf numFmtId="41" fontId="31" fillId="0" borderId="0" xfId="0" applyNumberFormat="1" applyFont="1">
      <alignment vertical="center"/>
    </xf>
    <xf numFmtId="41" fontId="35" fillId="0" borderId="0" xfId="0" applyNumberFormat="1" applyFont="1" applyAlignment="1">
      <alignment horizontal="right" vertical="center"/>
    </xf>
    <xf numFmtId="41" fontId="36" fillId="2" borderId="26" xfId="0" applyNumberFormat="1" applyFont="1" applyFill="1" applyBorder="1" applyAlignment="1">
      <alignment horizontal="center" vertical="center"/>
    </xf>
    <xf numFmtId="41" fontId="36" fillId="2" borderId="24" xfId="0" applyNumberFormat="1" applyFont="1" applyFill="1" applyBorder="1" applyAlignment="1">
      <alignment horizontal="center" vertical="center"/>
    </xf>
    <xf numFmtId="41" fontId="15" fillId="0" borderId="30" xfId="1" applyFont="1" applyBorder="1">
      <alignment vertical="center"/>
    </xf>
    <xf numFmtId="41" fontId="15" fillId="0" borderId="28" xfId="1" applyFont="1" applyBorder="1">
      <alignment vertical="center"/>
    </xf>
    <xf numFmtId="41" fontId="15" fillId="0" borderId="32" xfId="1" applyFont="1" applyBorder="1">
      <alignment vertical="center"/>
    </xf>
    <xf numFmtId="41" fontId="15" fillId="0" borderId="23" xfId="1" applyFont="1" applyBorder="1">
      <alignment vertical="center"/>
    </xf>
    <xf numFmtId="176" fontId="15" fillId="0" borderId="24" xfId="0" applyNumberFormat="1" applyFont="1" applyBorder="1">
      <alignment vertical="center"/>
    </xf>
    <xf numFmtId="41" fontId="15" fillId="0" borderId="26" xfId="1" applyFont="1" applyBorder="1">
      <alignment vertical="center"/>
    </xf>
    <xf numFmtId="41" fontId="15" fillId="0" borderId="24" xfId="1" applyFont="1" applyBorder="1">
      <alignment vertical="center"/>
    </xf>
    <xf numFmtId="41" fontId="35" fillId="0" borderId="0" xfId="0" applyNumberFormat="1" applyFont="1">
      <alignment vertical="center"/>
    </xf>
    <xf numFmtId="41" fontId="0" fillId="0" borderId="0" xfId="0" applyNumberFormat="1" applyFont="1">
      <alignment vertical="center"/>
    </xf>
    <xf numFmtId="0" fontId="0" fillId="0" borderId="0" xfId="0" applyFont="1">
      <alignment vertical="center"/>
    </xf>
    <xf numFmtId="41" fontId="31" fillId="0" borderId="0" xfId="0" applyNumberFormat="1" applyFont="1" applyAlignment="1">
      <alignment horizontal="right" vertical="center"/>
    </xf>
    <xf numFmtId="41" fontId="37" fillId="0" borderId="0" xfId="0" applyNumberFormat="1" applyFont="1">
      <alignment vertical="center"/>
    </xf>
    <xf numFmtId="41" fontId="15" fillId="0" borderId="38" xfId="1" applyFont="1" applyBorder="1">
      <alignment vertical="center"/>
    </xf>
    <xf numFmtId="41" fontId="15" fillId="0" borderId="34" xfId="1" applyFont="1" applyBorder="1">
      <alignment vertical="center"/>
    </xf>
    <xf numFmtId="41" fontId="15" fillId="0" borderId="30" xfId="1" applyFont="1" applyFill="1" applyBorder="1">
      <alignment vertical="center"/>
    </xf>
    <xf numFmtId="41" fontId="15" fillId="0" borderId="28" xfId="1" applyFont="1" applyFill="1" applyBorder="1">
      <alignment vertical="center"/>
    </xf>
    <xf numFmtId="41" fontId="15" fillId="0" borderId="26" xfId="1" applyFont="1" applyFill="1" applyBorder="1">
      <alignment vertical="center"/>
    </xf>
    <xf numFmtId="41" fontId="15" fillId="0" borderId="24" xfId="1" applyFont="1" applyFill="1" applyBorder="1">
      <alignment vertical="center"/>
    </xf>
    <xf numFmtId="41" fontId="15" fillId="0" borderId="30" xfId="0" applyNumberFormat="1" applyFont="1" applyBorder="1">
      <alignment vertical="center"/>
    </xf>
    <xf numFmtId="41" fontId="15" fillId="0" borderId="28" xfId="0" applyNumberFormat="1" applyFont="1" applyBorder="1">
      <alignment vertical="center"/>
    </xf>
    <xf numFmtId="41" fontId="15" fillId="0" borderId="26" xfId="0" applyNumberFormat="1" applyFont="1" applyBorder="1">
      <alignment vertical="center"/>
    </xf>
    <xf numFmtId="41" fontId="15" fillId="0" borderId="24" xfId="0" applyNumberFormat="1" applyFont="1" applyBorder="1">
      <alignment vertical="center"/>
    </xf>
    <xf numFmtId="41" fontId="15" fillId="0" borderId="38" xfId="0" applyNumberFormat="1" applyFont="1" applyBorder="1">
      <alignment vertical="center"/>
    </xf>
    <xf numFmtId="41" fontId="15" fillId="0" borderId="34" xfId="0" applyNumberFormat="1" applyFont="1" applyBorder="1">
      <alignment vertical="center"/>
    </xf>
    <xf numFmtId="41" fontId="15" fillId="0" borderId="0" xfId="0" applyNumberFormat="1" applyFont="1" applyBorder="1">
      <alignment vertical="center"/>
    </xf>
    <xf numFmtId="41" fontId="15" fillId="0" borderId="0" xfId="0" applyNumberFormat="1" applyFont="1" applyFill="1" applyBorder="1">
      <alignment vertical="center"/>
    </xf>
    <xf numFmtId="41" fontId="15" fillId="0" borderId="30" xfId="0" applyNumberFormat="1" applyFont="1" applyFill="1" applyBorder="1">
      <alignment vertical="center"/>
    </xf>
    <xf numFmtId="41" fontId="15" fillId="0" borderId="28" xfId="0" applyNumberFormat="1" applyFont="1" applyFill="1" applyBorder="1">
      <alignment vertical="center"/>
    </xf>
    <xf numFmtId="41" fontId="15" fillId="0" borderId="26" xfId="0" applyNumberFormat="1" applyFont="1" applyFill="1" applyBorder="1">
      <alignment vertical="center"/>
    </xf>
    <xf numFmtId="41" fontId="15" fillId="0" borderId="24" xfId="0" applyNumberFormat="1" applyFont="1" applyFill="1" applyBorder="1">
      <alignment vertical="center"/>
    </xf>
    <xf numFmtId="41" fontId="15" fillId="0" borderId="38" xfId="0" applyNumberFormat="1" applyFont="1" applyFill="1" applyBorder="1">
      <alignment vertical="center"/>
    </xf>
    <xf numFmtId="41" fontId="15" fillId="0" borderId="34" xfId="0" applyNumberFormat="1" applyFont="1" applyFill="1" applyBorder="1">
      <alignment vertical="center"/>
    </xf>
    <xf numFmtId="41" fontId="15" fillId="0" borderId="48" xfId="0" applyNumberFormat="1" applyFont="1" applyBorder="1">
      <alignment vertical="center"/>
    </xf>
    <xf numFmtId="0" fontId="38" fillId="0" borderId="0" xfId="0" applyFont="1">
      <alignment vertical="center"/>
    </xf>
    <xf numFmtId="0" fontId="35" fillId="0" borderId="0" xfId="0" applyFont="1" applyAlignment="1">
      <alignment horizontal="right" vertical="center"/>
    </xf>
    <xf numFmtId="41" fontId="15" fillId="0" borderId="15" xfId="0" applyNumberFormat="1" applyFont="1" applyBorder="1">
      <alignment vertical="center"/>
    </xf>
    <xf numFmtId="41" fontId="39" fillId="0" borderId="27" xfId="0" applyNumberFormat="1" applyFont="1" applyBorder="1">
      <alignment vertical="center"/>
    </xf>
    <xf numFmtId="41" fontId="39" fillId="0" borderId="34" xfId="0" applyNumberFormat="1" applyFont="1" applyBorder="1">
      <alignment vertical="center"/>
    </xf>
    <xf numFmtId="41" fontId="39" fillId="0" borderId="32" xfId="0" applyNumberFormat="1" applyFont="1" applyBorder="1">
      <alignment vertical="center"/>
    </xf>
    <xf numFmtId="41" fontId="39" fillId="0" borderId="28" xfId="0" applyNumberFormat="1" applyFont="1" applyBorder="1">
      <alignment vertical="center"/>
    </xf>
    <xf numFmtId="41" fontId="39" fillId="0" borderId="32" xfId="0" applyNumberFormat="1" applyFont="1" applyFill="1" applyBorder="1">
      <alignment vertical="center"/>
    </xf>
    <xf numFmtId="41" fontId="39" fillId="0" borderId="30" xfId="0" applyNumberFormat="1" applyFont="1" applyBorder="1">
      <alignment vertical="center"/>
    </xf>
    <xf numFmtId="41" fontId="39" fillId="0" borderId="23" xfId="0" applyNumberFormat="1" applyFont="1" applyBorder="1">
      <alignment vertical="center"/>
    </xf>
    <xf numFmtId="41" fontId="39" fillId="0" borderId="24" xfId="0" applyNumberFormat="1" applyFont="1" applyBorder="1">
      <alignment vertical="center"/>
    </xf>
    <xf numFmtId="41" fontId="28" fillId="0" borderId="0" xfId="0" applyNumberFormat="1" applyFont="1">
      <alignment vertical="center"/>
    </xf>
    <xf numFmtId="41" fontId="37" fillId="2" borderId="15" xfId="0" applyNumberFormat="1" applyFont="1" applyFill="1" applyBorder="1" applyAlignment="1">
      <alignment horizontal="center" vertical="center"/>
    </xf>
    <xf numFmtId="41" fontId="37" fillId="2" borderId="34" xfId="0" applyNumberFormat="1" applyFont="1" applyFill="1" applyBorder="1" applyAlignment="1">
      <alignment horizontal="center" vertical="center"/>
    </xf>
    <xf numFmtId="41" fontId="39" fillId="0" borderId="18" xfId="0" applyNumberFormat="1" applyFont="1" applyBorder="1">
      <alignment vertical="center"/>
    </xf>
    <xf numFmtId="41" fontId="39" fillId="0" borderId="0" xfId="0" applyNumberFormat="1" applyFont="1" applyBorder="1">
      <alignment vertical="center"/>
    </xf>
    <xf numFmtId="41" fontId="39" fillId="0" borderId="15" xfId="0" applyNumberFormat="1" applyFont="1" applyBorder="1">
      <alignment vertical="center"/>
    </xf>
    <xf numFmtId="41" fontId="39" fillId="0" borderId="0" xfId="0" applyNumberFormat="1" applyFont="1" applyFill="1" applyBorder="1">
      <alignment vertical="center"/>
    </xf>
    <xf numFmtId="41" fontId="39" fillId="0" borderId="28" xfId="0" applyNumberFormat="1" applyFont="1" applyFill="1" applyBorder="1">
      <alignment vertical="center"/>
    </xf>
    <xf numFmtId="41" fontId="39" fillId="0" borderId="15" xfId="0" applyNumberFormat="1" applyFont="1" applyFill="1" applyBorder="1">
      <alignment vertical="center"/>
    </xf>
    <xf numFmtId="41" fontId="39" fillId="0" borderId="24" xfId="0" applyNumberFormat="1" applyFont="1" applyFill="1" applyBorder="1">
      <alignment vertical="center"/>
    </xf>
    <xf numFmtId="41" fontId="39" fillId="0" borderId="18" xfId="0" applyNumberFormat="1" applyFont="1" applyFill="1" applyBorder="1">
      <alignment vertical="center"/>
    </xf>
    <xf numFmtId="41" fontId="39" fillId="0" borderId="34" xfId="0" applyNumberFormat="1" applyFont="1" applyFill="1" applyBorder="1">
      <alignment vertical="center"/>
    </xf>
    <xf numFmtId="41" fontId="39" fillId="0" borderId="1" xfId="0" applyNumberFormat="1" applyFont="1" applyBorder="1">
      <alignment vertical="center"/>
    </xf>
    <xf numFmtId="41" fontId="39" fillId="0" borderId="36" xfId="0" applyNumberFormat="1" applyFont="1" applyBorder="1">
      <alignment vertical="center"/>
    </xf>
    <xf numFmtId="41" fontId="37" fillId="2" borderId="24" xfId="0" applyNumberFormat="1" applyFont="1" applyFill="1" applyBorder="1" applyAlignment="1">
      <alignment horizontal="center" vertical="center"/>
    </xf>
    <xf numFmtId="41" fontId="39" fillId="0" borderId="26" xfId="0" applyNumberFormat="1" applyFont="1" applyBorder="1">
      <alignment vertical="center"/>
    </xf>
    <xf numFmtId="41" fontId="39" fillId="0" borderId="33" xfId="0" applyNumberFormat="1" applyFont="1" applyBorder="1">
      <alignment vertical="center"/>
    </xf>
    <xf numFmtId="41" fontId="37" fillId="0" borderId="0" xfId="0" applyNumberFormat="1" applyFont="1" applyAlignment="1">
      <alignment horizontal="left" vertical="center"/>
    </xf>
    <xf numFmtId="41" fontId="39" fillId="0" borderId="30" xfId="0" applyNumberFormat="1" applyFont="1" applyFill="1" applyBorder="1">
      <alignment vertical="center"/>
    </xf>
    <xf numFmtId="41" fontId="39" fillId="0" borderId="26" xfId="0" applyNumberFormat="1" applyFont="1" applyFill="1" applyBorder="1">
      <alignment vertical="center"/>
    </xf>
    <xf numFmtId="176" fontId="39" fillId="0" borderId="24" xfId="0" applyNumberFormat="1" applyFont="1" applyFill="1" applyBorder="1">
      <alignment vertical="center"/>
    </xf>
    <xf numFmtId="41" fontId="39" fillId="0" borderId="40" xfId="0" applyNumberFormat="1" applyFont="1" applyBorder="1">
      <alignment vertical="center"/>
    </xf>
    <xf numFmtId="41" fontId="39" fillId="0" borderId="0" xfId="1" applyFont="1" applyFill="1">
      <alignment vertical="center"/>
    </xf>
    <xf numFmtId="41" fontId="39" fillId="0" borderId="28" xfId="1" applyFont="1" applyBorder="1">
      <alignment vertical="center"/>
    </xf>
    <xf numFmtId="41" fontId="39" fillId="0" borderId="24" xfId="1" applyFont="1" applyBorder="1">
      <alignment vertical="center"/>
    </xf>
    <xf numFmtId="41" fontId="39" fillId="0" borderId="36" xfId="1" applyFont="1" applyBorder="1">
      <alignment vertical="center"/>
    </xf>
    <xf numFmtId="41" fontId="39" fillId="0" borderId="26" xfId="0" applyNumberFormat="1" applyFont="1" applyBorder="1" applyAlignment="1">
      <alignment horizontal="right" vertical="center"/>
    </xf>
    <xf numFmtId="41" fontId="39" fillId="0" borderId="24" xfId="0" applyNumberFormat="1" applyFont="1" applyBorder="1" applyAlignment="1">
      <alignment horizontal="right" vertical="center"/>
    </xf>
    <xf numFmtId="41" fontId="39" fillId="0" borderId="0" xfId="1" applyFont="1">
      <alignment vertical="center"/>
    </xf>
    <xf numFmtId="41" fontId="15" fillId="0" borderId="18" xfId="0" applyNumberFormat="1" applyFont="1" applyBorder="1">
      <alignment vertical="center"/>
    </xf>
    <xf numFmtId="181" fontId="28" fillId="0" borderId="0" xfId="0" applyNumberFormat="1" applyFont="1">
      <alignment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76" fontId="10" fillId="0" borderId="22" xfId="0" applyNumberFormat="1" applyFont="1" applyBorder="1" applyAlignment="1">
      <alignment vertical="center"/>
    </xf>
    <xf numFmtId="41" fontId="10" fillId="0" borderId="31" xfId="1" applyFont="1" applyFill="1" applyBorder="1">
      <alignment vertical="center"/>
    </xf>
    <xf numFmtId="0" fontId="3" fillId="0" borderId="0" xfId="0" applyFont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76" fontId="22" fillId="0" borderId="22" xfId="0" applyNumberFormat="1" applyFont="1" applyBorder="1" applyAlignment="1">
      <alignment vertical="center"/>
    </xf>
    <xf numFmtId="176" fontId="22" fillId="0" borderId="6" xfId="0" applyNumberFormat="1" applyFont="1" applyBorder="1" applyAlignment="1">
      <alignment vertical="center"/>
    </xf>
    <xf numFmtId="177" fontId="10" fillId="0" borderId="29" xfId="0" applyNumberFormat="1" applyFont="1" applyBorder="1">
      <alignment vertical="center"/>
    </xf>
    <xf numFmtId="176" fontId="21" fillId="0" borderId="23" xfId="0" applyNumberFormat="1" applyFont="1" applyBorder="1">
      <alignment vertical="center"/>
    </xf>
    <xf numFmtId="177" fontId="10" fillId="0" borderId="37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76" fontId="23" fillId="0" borderId="12" xfId="0" applyNumberFormat="1" applyFont="1" applyBorder="1" applyAlignment="1">
      <alignment vertical="center"/>
    </xf>
    <xf numFmtId="176" fontId="23" fillId="0" borderId="49" xfId="0" applyNumberFormat="1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41" fontId="23" fillId="0" borderId="6" xfId="0" applyNumberFormat="1" applyFont="1" applyBorder="1">
      <alignment vertical="center"/>
    </xf>
    <xf numFmtId="177" fontId="23" fillId="0" borderId="6" xfId="0" applyNumberFormat="1" applyFont="1" applyBorder="1">
      <alignment vertical="center"/>
    </xf>
    <xf numFmtId="41" fontId="34" fillId="0" borderId="6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79" fontId="5" fillId="0" borderId="1" xfId="0" applyNumberFormat="1" applyFont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 wrapText="1"/>
    </xf>
    <xf numFmtId="176" fontId="6" fillId="2" borderId="2" xfId="0" applyNumberFormat="1" applyFont="1" applyFill="1" applyBorder="1" applyAlignment="1">
      <alignment horizontal="center" vertical="center"/>
    </xf>
    <xf numFmtId="176" fontId="6" fillId="2" borderId="3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2" borderId="2" xfId="0" applyFont="1" applyFill="1" applyBorder="1" applyAlignment="1">
      <alignment horizontal="center" vertical="center"/>
    </xf>
    <xf numFmtId="41" fontId="13" fillId="2" borderId="2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41" fontId="13" fillId="2" borderId="16" xfId="0" applyNumberFormat="1" applyFont="1" applyFill="1" applyBorder="1" applyAlignment="1">
      <alignment horizontal="center" vertical="center"/>
    </xf>
    <xf numFmtId="41" fontId="13" fillId="2" borderId="11" xfId="0" applyNumberFormat="1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39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9" fontId="10" fillId="0" borderId="1" xfId="0" applyNumberFormat="1" applyFont="1" applyBorder="1" applyAlignment="1">
      <alignment horizontal="right" vertical="center"/>
    </xf>
    <xf numFmtId="176" fontId="6" fillId="2" borderId="21" xfId="0" applyNumberFormat="1" applyFont="1" applyFill="1" applyBorder="1" applyAlignment="1">
      <alignment horizontal="center" vertical="center"/>
    </xf>
    <xf numFmtId="176" fontId="6" fillId="2" borderId="16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78" fontId="17" fillId="2" borderId="8" xfId="0" applyNumberFormat="1" applyFont="1" applyFill="1" applyBorder="1" applyAlignment="1">
      <alignment horizontal="center" vertical="center"/>
    </xf>
    <xf numFmtId="178" fontId="17" fillId="2" borderId="2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78" fontId="17" fillId="2" borderId="13" xfId="0" applyNumberFormat="1" applyFont="1" applyFill="1" applyBorder="1" applyAlignment="1">
      <alignment horizontal="center" vertical="center"/>
    </xf>
    <xf numFmtId="178" fontId="17" fillId="2" borderId="11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41" fontId="17" fillId="2" borderId="11" xfId="0" applyNumberFormat="1" applyFont="1" applyFill="1" applyBorder="1" applyAlignment="1">
      <alignment horizontal="center" vertical="center"/>
    </xf>
    <xf numFmtId="41" fontId="17" fillId="2" borderId="6" xfId="0" applyNumberFormat="1" applyFont="1" applyFill="1" applyBorder="1" applyAlignment="1">
      <alignment horizontal="center" vertical="center"/>
    </xf>
    <xf numFmtId="41" fontId="6" fillId="2" borderId="2" xfId="0" applyNumberFormat="1" applyFont="1" applyFill="1" applyBorder="1" applyAlignment="1">
      <alignment horizontal="center" vertical="center"/>
    </xf>
    <xf numFmtId="41" fontId="6" fillId="2" borderId="8" xfId="0" applyNumberFormat="1" applyFont="1" applyFill="1" applyBorder="1" applyAlignment="1">
      <alignment horizontal="center" vertical="center"/>
    </xf>
    <xf numFmtId="41" fontId="6" fillId="2" borderId="11" xfId="0" applyNumberFormat="1" applyFont="1" applyFill="1" applyBorder="1" applyAlignment="1">
      <alignment horizontal="center" vertical="center"/>
    </xf>
    <xf numFmtId="41" fontId="6" fillId="2" borderId="6" xfId="0" applyNumberFormat="1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176" fontId="6" fillId="2" borderId="8" xfId="0" applyNumberFormat="1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41" fontId="6" fillId="0" borderId="7" xfId="1" applyFont="1" applyBorder="1">
      <alignment vertical="center"/>
    </xf>
    <xf numFmtId="41" fontId="21" fillId="0" borderId="48" xfId="0" applyNumberFormat="1" applyFont="1" applyBorder="1">
      <alignment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0</xdr:rowOff>
    </xdr:from>
    <xdr:to>
      <xdr:col>3</xdr:col>
      <xdr:colOff>0</xdr:colOff>
      <xdr:row>5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638175"/>
          <a:ext cx="1362075" cy="447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9526</xdr:colOff>
      <xdr:row>3</xdr:row>
      <xdr:rowOff>0</xdr:rowOff>
    </xdr:from>
    <xdr:to>
      <xdr:col>2</xdr:col>
      <xdr:colOff>1</xdr:colOff>
      <xdr:row>7</xdr:row>
      <xdr:rowOff>0</xdr:rowOff>
    </xdr:to>
    <xdr:sp macro="" textlink="">
      <xdr:nvSpPr>
        <xdr:cNvPr id="3" name="Line 8"/>
        <xdr:cNvSpPr>
          <a:spLocks noChangeShapeType="1"/>
        </xdr:cNvSpPr>
      </xdr:nvSpPr>
      <xdr:spPr bwMode="auto">
        <a:xfrm>
          <a:off x="9526" y="638175"/>
          <a:ext cx="838200" cy="876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V59"/>
  <sheetViews>
    <sheetView tabSelected="1" workbookViewId="0">
      <pane xSplit="10" ySplit="5" topLeftCell="K6" activePane="bottomRight" state="frozen"/>
      <selection pane="topRight" activeCell="T1" sqref="T1"/>
      <selection pane="bottomLeft" activeCell="A6" sqref="A6"/>
      <selection pane="bottomRight" sqref="A1:BV1"/>
    </sheetView>
  </sheetViews>
  <sheetFormatPr defaultRowHeight="16.5"/>
  <cols>
    <col min="1" max="1" width="11.75" customWidth="1"/>
    <col min="2" max="2" width="8.625" customWidth="1"/>
    <col min="3" max="9" width="13.25" hidden="1" customWidth="1"/>
    <col min="10" max="10" width="13.25" style="291" hidden="1" customWidth="1"/>
    <col min="11" max="11" width="13.25" style="291" customWidth="1"/>
    <col min="12" max="13" width="11.625" hidden="1" customWidth="1"/>
    <col min="14" max="14" width="8.625" style="164" hidden="1" customWidth="1"/>
    <col min="15" max="16" width="11.625" style="291" hidden="1" customWidth="1"/>
    <col min="17" max="17" width="8.625" style="164" hidden="1" customWidth="1"/>
    <col min="18" max="19" width="11.625" style="291" hidden="1" customWidth="1"/>
    <col min="20" max="20" width="8.625" style="164" hidden="1" customWidth="1"/>
    <col min="21" max="22" width="11.625" style="291" hidden="1" customWidth="1"/>
    <col min="23" max="23" width="8.625" style="164" hidden="1" customWidth="1"/>
    <col min="24" max="25" width="11.625" style="291" hidden="1" customWidth="1"/>
    <col min="26" max="26" width="8.625" style="164" hidden="1" customWidth="1"/>
    <col min="27" max="28" width="11.625" style="291" hidden="1" customWidth="1"/>
    <col min="29" max="29" width="8.625" style="164" hidden="1" customWidth="1"/>
    <col min="30" max="31" width="11.625" style="291" hidden="1" customWidth="1"/>
    <col min="32" max="32" width="8.625" style="164" hidden="1" customWidth="1"/>
    <col min="33" max="34" width="11.625" style="291" hidden="1" customWidth="1"/>
    <col min="35" max="35" width="8.625" style="164" hidden="1" customWidth="1"/>
    <col min="36" max="37" width="11.625" style="291" hidden="1" customWidth="1"/>
    <col min="38" max="38" width="8.625" style="164" hidden="1" customWidth="1"/>
    <col min="39" max="40" width="11.625" style="554" hidden="1" customWidth="1"/>
    <col min="41" max="41" width="8.625" style="584" hidden="1" customWidth="1"/>
    <col min="42" max="43" width="11.625" style="554" hidden="1" customWidth="1"/>
    <col min="44" max="44" width="8.625" style="584" hidden="1" customWidth="1"/>
    <col min="45" max="46" width="11.625" style="846" hidden="1" customWidth="1"/>
    <col min="47" max="47" width="8.625" style="584" hidden="1" customWidth="1"/>
    <col min="48" max="49" width="11.625" style="846" hidden="1" customWidth="1"/>
    <col min="50" max="50" width="8.625" style="584" hidden="1" customWidth="1"/>
    <col min="51" max="52" width="11.625" style="846" hidden="1" customWidth="1"/>
    <col min="53" max="53" width="8.625" style="584" hidden="1" customWidth="1"/>
    <col min="54" max="55" width="11.625" style="846" hidden="1" customWidth="1"/>
    <col min="56" max="56" width="8.625" style="584" hidden="1" customWidth="1"/>
    <col min="57" max="58" width="11.625" style="846" hidden="1" customWidth="1"/>
    <col min="59" max="59" width="8.625" style="584" hidden="1" customWidth="1"/>
    <col min="60" max="61" width="11.625" style="846" hidden="1" customWidth="1"/>
    <col min="62" max="62" width="8.625" style="584" hidden="1" customWidth="1"/>
    <col min="63" max="64" width="11.625" style="846" hidden="1" customWidth="1"/>
    <col min="65" max="65" width="8.625" style="584" hidden="1" customWidth="1"/>
    <col min="66" max="67" width="11.625" style="846" hidden="1" customWidth="1"/>
    <col min="68" max="68" width="8.625" style="584" hidden="1" customWidth="1"/>
    <col min="69" max="70" width="11.625" style="846" customWidth="1"/>
    <col min="71" max="71" width="8.625" style="584" customWidth="1"/>
    <col min="72" max="73" width="11.625" style="846" customWidth="1"/>
    <col min="74" max="74" width="8.625" style="584" customWidth="1"/>
  </cols>
  <sheetData>
    <row r="1" spans="1:74" ht="22.5">
      <c r="A1" s="1095" t="s">
        <v>706</v>
      </c>
      <c r="B1" s="1095"/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  <c r="AA1" s="1095"/>
      <c r="AB1" s="1095"/>
      <c r="AC1" s="1095"/>
      <c r="AD1" s="1095"/>
      <c r="AE1" s="1095"/>
      <c r="AF1" s="1095"/>
      <c r="AG1" s="1095"/>
      <c r="AH1" s="1095"/>
      <c r="AI1" s="1095"/>
      <c r="AJ1" s="1095"/>
      <c r="AK1" s="1095"/>
      <c r="AL1" s="1095"/>
      <c r="AM1" s="1095"/>
      <c r="AN1" s="1095"/>
      <c r="AO1" s="1095"/>
      <c r="AP1" s="1095"/>
      <c r="AQ1" s="1095"/>
      <c r="AR1" s="1095"/>
      <c r="AS1" s="1095"/>
      <c r="AT1" s="1095"/>
      <c r="AU1" s="1095"/>
      <c r="AV1" s="1095"/>
      <c r="AW1" s="1095"/>
      <c r="AX1" s="1095"/>
      <c r="AY1" s="1095"/>
      <c r="AZ1" s="1095"/>
      <c r="BA1" s="1095"/>
      <c r="BB1" s="1095"/>
      <c r="BC1" s="1095"/>
      <c r="BD1" s="1095"/>
      <c r="BE1" s="1095"/>
      <c r="BF1" s="1095"/>
      <c r="BG1" s="1095"/>
      <c r="BH1" s="1095"/>
      <c r="BI1" s="1095"/>
      <c r="BJ1" s="1095"/>
      <c r="BK1" s="1095"/>
      <c r="BL1" s="1095"/>
      <c r="BM1" s="1095"/>
      <c r="BN1" s="1095"/>
      <c r="BO1" s="1095"/>
      <c r="BP1" s="1095"/>
      <c r="BQ1" s="1095"/>
      <c r="BR1" s="1095"/>
      <c r="BS1" s="1095"/>
      <c r="BT1" s="1095"/>
      <c r="BU1" s="1095"/>
      <c r="BV1" s="1095"/>
    </row>
    <row r="3" spans="1:74">
      <c r="A3" s="2"/>
      <c r="B3" s="2"/>
      <c r="C3" s="2"/>
      <c r="D3" s="2"/>
      <c r="E3" s="2"/>
      <c r="F3" s="2"/>
      <c r="G3" s="2"/>
      <c r="H3" s="2"/>
      <c r="I3" s="2"/>
      <c r="J3" s="292"/>
      <c r="K3" s="292"/>
      <c r="L3" s="2"/>
      <c r="N3" s="466" t="s">
        <v>0</v>
      </c>
      <c r="O3" s="292"/>
      <c r="P3" s="1080"/>
      <c r="Q3" s="1080"/>
      <c r="R3" s="292"/>
      <c r="S3" s="491"/>
      <c r="T3" s="466" t="s">
        <v>0</v>
      </c>
      <c r="U3" s="292"/>
      <c r="V3" s="1080"/>
      <c r="W3" s="1080"/>
      <c r="X3" s="292"/>
      <c r="Y3" s="491"/>
      <c r="Z3" s="500" t="s">
        <v>0</v>
      </c>
      <c r="AA3" s="292"/>
      <c r="AB3" s="1080"/>
      <c r="AC3" s="1080"/>
      <c r="AD3" s="292"/>
      <c r="AE3" s="491"/>
      <c r="AF3" s="510" t="s">
        <v>0</v>
      </c>
      <c r="AG3" s="292"/>
      <c r="AH3" s="1080"/>
      <c r="AI3" s="1080"/>
      <c r="AJ3" s="292"/>
      <c r="AK3" s="491"/>
      <c r="AL3" s="536" t="s">
        <v>0</v>
      </c>
      <c r="AM3" s="555"/>
      <c r="AN3" s="1080"/>
      <c r="AO3" s="1080"/>
      <c r="AP3" s="555"/>
      <c r="AQ3" s="611"/>
      <c r="AR3" s="608" t="s">
        <v>0</v>
      </c>
      <c r="AS3" s="555"/>
      <c r="AT3" s="1080"/>
      <c r="AU3" s="1080"/>
      <c r="AV3" s="555"/>
      <c r="AW3" s="611"/>
      <c r="AX3" s="914" t="s">
        <v>0</v>
      </c>
      <c r="AY3" s="555"/>
      <c r="AZ3" s="1080"/>
      <c r="BA3" s="1080"/>
      <c r="BB3" s="555"/>
      <c r="BC3" s="611"/>
      <c r="BD3" s="1026" t="s">
        <v>0</v>
      </c>
      <c r="BE3" s="555"/>
      <c r="BF3" s="1080"/>
      <c r="BG3" s="1080"/>
      <c r="BH3" s="555"/>
      <c r="BI3" s="611"/>
      <c r="BJ3" s="1039" t="s">
        <v>0</v>
      </c>
      <c r="BK3" s="555"/>
      <c r="BL3" s="1080"/>
      <c r="BM3" s="1080"/>
      <c r="BN3" s="555"/>
      <c r="BO3" s="611"/>
      <c r="BP3" s="1054" t="s">
        <v>0</v>
      </c>
      <c r="BQ3" s="555"/>
      <c r="BR3" s="1080"/>
      <c r="BS3" s="1080"/>
      <c r="BT3" s="555"/>
      <c r="BU3" s="611"/>
      <c r="BV3" s="1071" t="s">
        <v>0</v>
      </c>
    </row>
    <row r="4" spans="1:74" ht="24" customHeight="1">
      <c r="A4" s="1081" t="s">
        <v>284</v>
      </c>
      <c r="B4" s="1081"/>
      <c r="C4" s="1081" t="s">
        <v>2</v>
      </c>
      <c r="D4" s="1081" t="s">
        <v>3</v>
      </c>
      <c r="E4" s="1081" t="s">
        <v>4</v>
      </c>
      <c r="F4" s="1081" t="s">
        <v>5</v>
      </c>
      <c r="G4" s="1081" t="s">
        <v>6</v>
      </c>
      <c r="H4" s="1081" t="s">
        <v>7</v>
      </c>
      <c r="I4" s="1081" t="s">
        <v>8</v>
      </c>
      <c r="J4" s="1081" t="s">
        <v>83</v>
      </c>
      <c r="K4" s="1081" t="s">
        <v>315</v>
      </c>
      <c r="L4" s="1081" t="s">
        <v>491</v>
      </c>
      <c r="M4" s="1081"/>
      <c r="N4" s="1081"/>
      <c r="O4" s="1081" t="s">
        <v>492</v>
      </c>
      <c r="P4" s="1081"/>
      <c r="Q4" s="1081"/>
      <c r="R4" s="1081" t="s">
        <v>488</v>
      </c>
      <c r="S4" s="1081"/>
      <c r="T4" s="1081"/>
      <c r="U4" s="1081" t="s">
        <v>513</v>
      </c>
      <c r="V4" s="1081"/>
      <c r="W4" s="1081"/>
      <c r="X4" s="1081" t="s">
        <v>514</v>
      </c>
      <c r="Y4" s="1081"/>
      <c r="Z4" s="1081"/>
      <c r="AA4" s="1081" t="s">
        <v>532</v>
      </c>
      <c r="AB4" s="1081"/>
      <c r="AC4" s="1081"/>
      <c r="AD4" s="1081" t="s">
        <v>534</v>
      </c>
      <c r="AE4" s="1081"/>
      <c r="AF4" s="1081"/>
      <c r="AG4" s="1081" t="s">
        <v>555</v>
      </c>
      <c r="AH4" s="1081"/>
      <c r="AI4" s="1081"/>
      <c r="AJ4" s="1081" t="s">
        <v>556</v>
      </c>
      <c r="AK4" s="1081"/>
      <c r="AL4" s="1081"/>
      <c r="AM4" s="1081" t="s">
        <v>585</v>
      </c>
      <c r="AN4" s="1081"/>
      <c r="AO4" s="1081"/>
      <c r="AP4" s="1081" t="s">
        <v>584</v>
      </c>
      <c r="AQ4" s="1081"/>
      <c r="AR4" s="1081"/>
      <c r="AS4" s="1081" t="s">
        <v>605</v>
      </c>
      <c r="AT4" s="1081"/>
      <c r="AU4" s="1081"/>
      <c r="AV4" s="1081" t="s">
        <v>607</v>
      </c>
      <c r="AW4" s="1081"/>
      <c r="AX4" s="1081"/>
      <c r="AY4" s="1081" t="s">
        <v>630</v>
      </c>
      <c r="AZ4" s="1081"/>
      <c r="BA4" s="1081"/>
      <c r="BB4" s="1081" t="s">
        <v>631</v>
      </c>
      <c r="BC4" s="1081"/>
      <c r="BD4" s="1081"/>
      <c r="BE4" s="1081" t="s">
        <v>648</v>
      </c>
      <c r="BF4" s="1081"/>
      <c r="BG4" s="1081"/>
      <c r="BH4" s="1081" t="s">
        <v>649</v>
      </c>
      <c r="BI4" s="1081"/>
      <c r="BJ4" s="1081"/>
      <c r="BK4" s="1081" t="s">
        <v>674</v>
      </c>
      <c r="BL4" s="1081"/>
      <c r="BM4" s="1081"/>
      <c r="BN4" s="1081" t="s">
        <v>675</v>
      </c>
      <c r="BO4" s="1081"/>
      <c r="BP4" s="1081"/>
      <c r="BQ4" s="1081" t="s">
        <v>707</v>
      </c>
      <c r="BR4" s="1081"/>
      <c r="BS4" s="1081"/>
      <c r="BT4" s="1081" t="s">
        <v>708</v>
      </c>
      <c r="BU4" s="1081"/>
      <c r="BV4" s="1081"/>
    </row>
    <row r="5" spans="1:74" ht="24" customHeight="1" thickBot="1">
      <c r="A5" s="1084"/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394" t="s">
        <v>314</v>
      </c>
      <c r="M5" s="394" t="s">
        <v>444</v>
      </c>
      <c r="N5" s="151" t="s">
        <v>10</v>
      </c>
      <c r="O5" s="465" t="s">
        <v>314</v>
      </c>
      <c r="P5" s="465" t="s">
        <v>444</v>
      </c>
      <c r="Q5" s="151" t="s">
        <v>10</v>
      </c>
      <c r="R5" s="465" t="s">
        <v>314</v>
      </c>
      <c r="S5" s="465" t="s">
        <v>444</v>
      </c>
      <c r="T5" s="151" t="s">
        <v>10</v>
      </c>
      <c r="U5" s="497" t="s">
        <v>314</v>
      </c>
      <c r="V5" s="497" t="s">
        <v>444</v>
      </c>
      <c r="W5" s="151" t="s">
        <v>10</v>
      </c>
      <c r="X5" s="497" t="s">
        <v>314</v>
      </c>
      <c r="Y5" s="497" t="s">
        <v>444</v>
      </c>
      <c r="Z5" s="151" t="s">
        <v>10</v>
      </c>
      <c r="AA5" s="511" t="s">
        <v>314</v>
      </c>
      <c r="AB5" s="511" t="s">
        <v>444</v>
      </c>
      <c r="AC5" s="151" t="s">
        <v>10</v>
      </c>
      <c r="AD5" s="511" t="s">
        <v>314</v>
      </c>
      <c r="AE5" s="511" t="s">
        <v>444</v>
      </c>
      <c r="AF5" s="151" t="s">
        <v>10</v>
      </c>
      <c r="AG5" s="533" t="s">
        <v>314</v>
      </c>
      <c r="AH5" s="533" t="s">
        <v>444</v>
      </c>
      <c r="AI5" s="151" t="s">
        <v>10</v>
      </c>
      <c r="AJ5" s="533" t="s">
        <v>314</v>
      </c>
      <c r="AK5" s="533" t="s">
        <v>444</v>
      </c>
      <c r="AL5" s="151" t="s">
        <v>10</v>
      </c>
      <c r="AM5" s="606" t="s">
        <v>314</v>
      </c>
      <c r="AN5" s="606" t="s">
        <v>444</v>
      </c>
      <c r="AO5" s="571" t="s">
        <v>10</v>
      </c>
      <c r="AP5" s="606" t="s">
        <v>314</v>
      </c>
      <c r="AQ5" s="606" t="s">
        <v>444</v>
      </c>
      <c r="AR5" s="571" t="s">
        <v>10</v>
      </c>
      <c r="AS5" s="916" t="s">
        <v>314</v>
      </c>
      <c r="AT5" s="916" t="s">
        <v>444</v>
      </c>
      <c r="AU5" s="571" t="s">
        <v>10</v>
      </c>
      <c r="AV5" s="916" t="s">
        <v>314</v>
      </c>
      <c r="AW5" s="916" t="s">
        <v>444</v>
      </c>
      <c r="AX5" s="571" t="s">
        <v>10</v>
      </c>
      <c r="AY5" s="1028" t="s">
        <v>314</v>
      </c>
      <c r="AZ5" s="1028" t="s">
        <v>444</v>
      </c>
      <c r="BA5" s="571" t="s">
        <v>10</v>
      </c>
      <c r="BB5" s="1028" t="s">
        <v>314</v>
      </c>
      <c r="BC5" s="1028" t="s">
        <v>444</v>
      </c>
      <c r="BD5" s="571" t="s">
        <v>10</v>
      </c>
      <c r="BE5" s="1041" t="s">
        <v>314</v>
      </c>
      <c r="BF5" s="1041" t="s">
        <v>444</v>
      </c>
      <c r="BG5" s="571" t="s">
        <v>10</v>
      </c>
      <c r="BH5" s="1041" t="s">
        <v>314</v>
      </c>
      <c r="BI5" s="1041" t="s">
        <v>444</v>
      </c>
      <c r="BJ5" s="571" t="s">
        <v>10</v>
      </c>
      <c r="BK5" s="1056" t="s">
        <v>314</v>
      </c>
      <c r="BL5" s="1056" t="s">
        <v>444</v>
      </c>
      <c r="BM5" s="571" t="s">
        <v>10</v>
      </c>
      <c r="BN5" s="1056" t="s">
        <v>314</v>
      </c>
      <c r="BO5" s="1056" t="s">
        <v>444</v>
      </c>
      <c r="BP5" s="571" t="s">
        <v>10</v>
      </c>
      <c r="BQ5" s="1073" t="s">
        <v>314</v>
      </c>
      <c r="BR5" s="1073" t="s">
        <v>444</v>
      </c>
      <c r="BS5" s="571" t="s">
        <v>10</v>
      </c>
      <c r="BT5" s="1073" t="s">
        <v>314</v>
      </c>
      <c r="BU5" s="1073" t="s">
        <v>444</v>
      </c>
      <c r="BV5" s="571" t="s">
        <v>10</v>
      </c>
    </row>
    <row r="6" spans="1:74" ht="22.5" customHeight="1">
      <c r="A6" s="1098" t="s">
        <v>285</v>
      </c>
      <c r="B6" s="136" t="s">
        <v>37</v>
      </c>
      <c r="C6" s="150">
        <f>수출!E33</f>
        <v>619158</v>
      </c>
      <c r="D6" s="150">
        <f>수출!F33</f>
        <v>641395</v>
      </c>
      <c r="E6" s="150">
        <f>수출!G33</f>
        <v>647479</v>
      </c>
      <c r="F6" s="150">
        <f>수출!H33</f>
        <v>652631</v>
      </c>
      <c r="G6" s="150">
        <f>수출!I33</f>
        <v>709369</v>
      </c>
      <c r="H6" s="150">
        <f>수출!J33</f>
        <v>686572</v>
      </c>
      <c r="I6" s="150">
        <f>수출!K33</f>
        <v>695520</v>
      </c>
      <c r="J6" s="150">
        <f>수출!L33</f>
        <v>692382</v>
      </c>
      <c r="K6" s="150">
        <f>수출!M33</f>
        <v>689932</v>
      </c>
      <c r="L6" s="150">
        <f>수출!N33</f>
        <v>55968</v>
      </c>
      <c r="M6" s="150">
        <f>수출!O33</f>
        <v>52375</v>
      </c>
      <c r="N6" s="152">
        <f>ROUND(((M6/L6-1)*100),1)</f>
        <v>-6.4</v>
      </c>
      <c r="O6" s="150">
        <f>R6-L6</f>
        <v>53516</v>
      </c>
      <c r="P6" s="150">
        <f>S6-M6</f>
        <v>52333</v>
      </c>
      <c r="Q6" s="152">
        <f>ROUND(((P6/O6-1)*100),1)</f>
        <v>-2.2000000000000002</v>
      </c>
      <c r="R6" s="150">
        <f>수출!T33</f>
        <v>109484</v>
      </c>
      <c r="S6" s="150">
        <f>수출!U33</f>
        <v>104708</v>
      </c>
      <c r="T6" s="152">
        <f>ROUND(((S6/R6-1)*100),1)</f>
        <v>-4.4000000000000004</v>
      </c>
      <c r="U6" s="150">
        <f>X6-R6</f>
        <v>55389</v>
      </c>
      <c r="V6" s="150">
        <f>Y6-S6</f>
        <v>53896</v>
      </c>
      <c r="W6" s="152">
        <f>ROUND(((V6/U6-1)*100),1)</f>
        <v>-2.7</v>
      </c>
      <c r="X6" s="150">
        <f>수출!Z33</f>
        <v>164873</v>
      </c>
      <c r="Y6" s="150">
        <f>수출!AA33</f>
        <v>158604</v>
      </c>
      <c r="Z6" s="152">
        <f>ROUND(((Y6/X6-1)*100),1)</f>
        <v>-3.8</v>
      </c>
      <c r="AA6" s="150">
        <f>AD6-X6</f>
        <v>59275</v>
      </c>
      <c r="AB6" s="150">
        <f>AE6-Y6</f>
        <v>51941</v>
      </c>
      <c r="AC6" s="152">
        <f>ROUND(((AB6/AA6-1)*100),1)</f>
        <v>-12.4</v>
      </c>
      <c r="AD6" s="150">
        <f>수출!AF33</f>
        <v>224148</v>
      </c>
      <c r="AE6" s="150">
        <f>수출!AG33</f>
        <v>210545</v>
      </c>
      <c r="AF6" s="152">
        <f>ROUND(((AE6/AD6-1)*100),1)</f>
        <v>-6.1</v>
      </c>
      <c r="AG6" s="150">
        <f>AJ6-AD6</f>
        <v>72104</v>
      </c>
      <c r="AH6" s="150">
        <f>AK6-AE6</f>
        <v>48956</v>
      </c>
      <c r="AI6" s="152">
        <f>ROUND(((AH6/AG6-1)*100),1)</f>
        <v>-32.1</v>
      </c>
      <c r="AJ6" s="150">
        <f>수출!AL33</f>
        <v>296252</v>
      </c>
      <c r="AK6" s="150">
        <f>수출!AM33</f>
        <v>259501</v>
      </c>
      <c r="AL6" s="152">
        <f>ROUND(((AK6/AJ6-1)*100),1)</f>
        <v>-12.4</v>
      </c>
      <c r="AM6" s="570">
        <f>AP6-AJ6</f>
        <v>53705</v>
      </c>
      <c r="AN6" s="570">
        <f>AQ6-AK6</f>
        <v>59686</v>
      </c>
      <c r="AO6" s="572">
        <f>ROUND(((AN6/AM6-1)*100),1)</f>
        <v>11.1</v>
      </c>
      <c r="AP6" s="570">
        <f>수출!AR33</f>
        <v>349957</v>
      </c>
      <c r="AQ6" s="570">
        <f>수출!AS33</f>
        <v>319187</v>
      </c>
      <c r="AR6" s="572">
        <f>ROUND(((AQ6/AP6-1)*100),1)</f>
        <v>-8.8000000000000007</v>
      </c>
      <c r="AS6" s="570">
        <f>AV6-AP6</f>
        <v>61984</v>
      </c>
      <c r="AT6" s="570">
        <f>AW6-AQ6</f>
        <v>64144</v>
      </c>
      <c r="AU6" s="572">
        <f>ROUND(((AT6/AS6-1)*100),1)</f>
        <v>3.5</v>
      </c>
      <c r="AV6" s="570">
        <f>수출!AX33</f>
        <v>411941</v>
      </c>
      <c r="AW6" s="570">
        <f>수출!AY33</f>
        <v>383331</v>
      </c>
      <c r="AX6" s="572">
        <f>ROUND(((AW6/AV6-1)*100),1)</f>
        <v>-6.9</v>
      </c>
      <c r="AY6" s="570">
        <f>BB6-AV6</f>
        <v>53331</v>
      </c>
      <c r="AZ6" s="570">
        <f>BC6-AW6</f>
        <v>52172</v>
      </c>
      <c r="BA6" s="572">
        <f>ROUND(((AZ6/AY6-1)*100),1)</f>
        <v>-2.2000000000000002</v>
      </c>
      <c r="BB6" s="570">
        <f>수출!BD33</f>
        <v>465272</v>
      </c>
      <c r="BC6" s="570">
        <f>수출!BE33</f>
        <v>435503</v>
      </c>
      <c r="BD6" s="572">
        <f>ROUND(((BC6/BB6-1)*100),1)</f>
        <v>-6.4</v>
      </c>
      <c r="BE6" s="570">
        <f>BH6-BB6</f>
        <v>53984</v>
      </c>
      <c r="BF6" s="570">
        <f>BI6-BC6</f>
        <v>64028</v>
      </c>
      <c r="BG6" s="572">
        <f>ROUND(((BF6/BE6-1)*100),1)</f>
        <v>18.600000000000001</v>
      </c>
      <c r="BH6" s="570">
        <f>수출!BJ33</f>
        <v>519256</v>
      </c>
      <c r="BI6" s="570">
        <f>수출!BK33</f>
        <v>499531</v>
      </c>
      <c r="BJ6" s="572">
        <f>ROUND(((BI6/BH6-1)*100),1)</f>
        <v>-3.8</v>
      </c>
      <c r="BK6" s="570">
        <f>BN6-BH6</f>
        <v>61290</v>
      </c>
      <c r="BL6" s="570">
        <f>BO6-BI6</f>
        <v>66978</v>
      </c>
      <c r="BM6" s="572">
        <f>ROUND(((BL6/BK6-1)*100),1)</f>
        <v>9.3000000000000007</v>
      </c>
      <c r="BN6" s="570">
        <f>수출!BP33</f>
        <v>580546</v>
      </c>
      <c r="BO6" s="570">
        <f>수출!BQ33</f>
        <v>566509</v>
      </c>
      <c r="BP6" s="572">
        <f>ROUND(((BO6/BN6-1)*100),1)</f>
        <v>-2.4</v>
      </c>
      <c r="BQ6" s="570">
        <f>BT6-BN6</f>
        <v>54850</v>
      </c>
      <c r="BR6" s="570">
        <f>BU6-BO6</f>
        <v>71567</v>
      </c>
      <c r="BS6" s="572">
        <f>ROUND(((BR6/BQ6-1)*100),1)</f>
        <v>30.5</v>
      </c>
      <c r="BT6" s="570">
        <f>수출!BV33</f>
        <v>635396</v>
      </c>
      <c r="BU6" s="570">
        <f>수출!BW33</f>
        <v>638076</v>
      </c>
      <c r="BV6" s="572">
        <f>ROUND(((BU6/BT6-1)*100),1)</f>
        <v>0.4</v>
      </c>
    </row>
    <row r="7" spans="1:74" ht="22.5" customHeight="1">
      <c r="A7" s="1085"/>
      <c r="B7" s="5" t="s">
        <v>38</v>
      </c>
      <c r="C7" s="137">
        <f>수출!E34</f>
        <v>5018131</v>
      </c>
      <c r="D7" s="137">
        <f>수출!F34</f>
        <v>4570451</v>
      </c>
      <c r="E7" s="137">
        <f>수출!G34</f>
        <v>4520789</v>
      </c>
      <c r="F7" s="137">
        <f>수출!H34</f>
        <v>4497741</v>
      </c>
      <c r="G7" s="137">
        <f>수출!I34</f>
        <v>4245777</v>
      </c>
      <c r="H7" s="137">
        <f>수출!J34</f>
        <v>3687127</v>
      </c>
      <c r="I7" s="137">
        <f>수출!K34</f>
        <v>4428248</v>
      </c>
      <c r="J7" s="137">
        <f>수출!L34</f>
        <v>4903888</v>
      </c>
      <c r="K7" s="137">
        <f>수출!M34</f>
        <v>4643144</v>
      </c>
      <c r="L7" s="137">
        <f>수출!N34</f>
        <v>386000</v>
      </c>
      <c r="M7" s="137">
        <f>수출!O34</f>
        <v>354851</v>
      </c>
      <c r="N7" s="153">
        <f t="shared" ref="N7:N29" si="0">ROUND(((M7/L7-1)*100),1)</f>
        <v>-8.1</v>
      </c>
      <c r="O7" s="137">
        <f>R7-L7</f>
        <v>364789</v>
      </c>
      <c r="P7" s="137">
        <f>S7-M7</f>
        <v>355498</v>
      </c>
      <c r="Q7" s="153">
        <f t="shared" ref="Q7:Q29" si="1">ROUND(((P7/O7-1)*100),1)</f>
        <v>-2.5</v>
      </c>
      <c r="R7" s="137">
        <f>수출!T34</f>
        <v>750789</v>
      </c>
      <c r="S7" s="137">
        <f>수출!U34</f>
        <v>710349</v>
      </c>
      <c r="T7" s="153">
        <f t="shared" ref="T7:T29" si="2">ROUND(((S7/R7-1)*100),1)</f>
        <v>-5.4</v>
      </c>
      <c r="U7" s="137">
        <f>X7-R7</f>
        <v>378617</v>
      </c>
      <c r="V7" s="137">
        <f>Y7-S7</f>
        <v>360466</v>
      </c>
      <c r="W7" s="153">
        <f t="shared" ref="W7:W29" si="3">ROUND(((V7/U7-1)*100),1)</f>
        <v>-4.8</v>
      </c>
      <c r="X7" s="137">
        <f>수출!Z34</f>
        <v>1129406</v>
      </c>
      <c r="Y7" s="137">
        <f>수출!AA34</f>
        <v>1070815</v>
      </c>
      <c r="Z7" s="153">
        <f t="shared" ref="Z7:Z29" si="4">ROUND(((Y7/X7-1)*100),1)</f>
        <v>-5.2</v>
      </c>
      <c r="AA7" s="137">
        <f>AD7-X7</f>
        <v>395359</v>
      </c>
      <c r="AB7" s="137">
        <f>AE7-Y7</f>
        <v>331679</v>
      </c>
      <c r="AC7" s="153">
        <f t="shared" ref="AC7:AC29" si="5">ROUND(((AB7/AA7-1)*100),1)</f>
        <v>-16.100000000000001</v>
      </c>
      <c r="AD7" s="137">
        <f>수출!AF34</f>
        <v>1524765</v>
      </c>
      <c r="AE7" s="137">
        <f>수출!AG34</f>
        <v>1402494</v>
      </c>
      <c r="AF7" s="153">
        <f t="shared" ref="AF7:AF29" si="6">ROUND(((AE7/AD7-1)*100),1)</f>
        <v>-8</v>
      </c>
      <c r="AG7" s="137">
        <f>AJ7-AD7</f>
        <v>467118</v>
      </c>
      <c r="AH7" s="137">
        <f>AK7-AE7</f>
        <v>301592</v>
      </c>
      <c r="AI7" s="153">
        <f t="shared" ref="AI7:AI29" si="7">ROUND(((AH7/AG7-1)*100),1)</f>
        <v>-35.4</v>
      </c>
      <c r="AJ7" s="137">
        <f>수출!AL34</f>
        <v>1991883</v>
      </c>
      <c r="AK7" s="137">
        <f>수출!AM34</f>
        <v>1704086</v>
      </c>
      <c r="AL7" s="153">
        <f t="shared" ref="AL7:AL29" si="8">ROUND(((AK7/AJ7-1)*100),1)</f>
        <v>-14.4</v>
      </c>
      <c r="AM7" s="562">
        <f>AP7-AJ7</f>
        <v>366161</v>
      </c>
      <c r="AN7" s="562">
        <f>AQ7-AK7</f>
        <v>363477</v>
      </c>
      <c r="AO7" s="573">
        <f t="shared" ref="AO7:AO29" si="9">ROUND(((AN7/AM7-1)*100),1)</f>
        <v>-0.7</v>
      </c>
      <c r="AP7" s="562">
        <f>수출!AR34</f>
        <v>2358044</v>
      </c>
      <c r="AQ7" s="562">
        <f>수출!AS34</f>
        <v>2067563</v>
      </c>
      <c r="AR7" s="573">
        <f t="shared" ref="AR7:AR29" si="10">ROUND(((AQ7/AP7-1)*100),1)</f>
        <v>-12.3</v>
      </c>
      <c r="AS7" s="562">
        <f>AV7-AP7</f>
        <v>422194</v>
      </c>
      <c r="AT7" s="562">
        <f>AW7-AQ7</f>
        <v>427837</v>
      </c>
      <c r="AU7" s="573">
        <f t="shared" ref="AU7:AU29" si="11">ROUND(((AT7/AS7-1)*100),1)</f>
        <v>1.3</v>
      </c>
      <c r="AV7" s="562">
        <f>수출!AX34</f>
        <v>2780238</v>
      </c>
      <c r="AW7" s="562">
        <f>수출!AY34</f>
        <v>2495400</v>
      </c>
      <c r="AX7" s="573">
        <f t="shared" ref="AX7:AX29" si="12">ROUND(((AW7/AV7-1)*100),1)</f>
        <v>-10.199999999999999</v>
      </c>
      <c r="AY7" s="562">
        <f>BB7-AV7</f>
        <v>355497</v>
      </c>
      <c r="AZ7" s="562">
        <f>BC7-AW7</f>
        <v>360155</v>
      </c>
      <c r="BA7" s="573">
        <f t="shared" ref="BA7:BA29" si="13">ROUND(((AZ7/AY7-1)*100),1)</f>
        <v>1.3</v>
      </c>
      <c r="BB7" s="562">
        <f>수출!BD34</f>
        <v>3135735</v>
      </c>
      <c r="BC7" s="562">
        <f>수출!BE34</f>
        <v>2855555</v>
      </c>
      <c r="BD7" s="573">
        <f t="shared" ref="BD7:BD29" si="14">ROUND(((BC7/BB7-1)*100),1)</f>
        <v>-8.9</v>
      </c>
      <c r="BE7" s="562">
        <f>BH7-BB7</f>
        <v>357984</v>
      </c>
      <c r="BF7" s="562">
        <f>BI7-BC7</f>
        <v>457771</v>
      </c>
      <c r="BG7" s="573">
        <f t="shared" ref="BG7:BG29" si="15">ROUND(((BF7/BE7-1)*100),1)</f>
        <v>27.9</v>
      </c>
      <c r="BH7" s="562">
        <f>수출!BJ34</f>
        <v>3493719</v>
      </c>
      <c r="BI7" s="562">
        <f>수출!BK34</f>
        <v>3313326</v>
      </c>
      <c r="BJ7" s="573">
        <f t="shared" ref="BJ7:BJ29" si="16">ROUND(((BI7/BH7-1)*100),1)</f>
        <v>-5.2</v>
      </c>
      <c r="BK7" s="562">
        <f>BN7-BH7</f>
        <v>402572</v>
      </c>
      <c r="BL7" s="562">
        <f>BO7-BI7</f>
        <v>478640</v>
      </c>
      <c r="BM7" s="573">
        <f t="shared" ref="BM7:BM29" si="17">ROUND(((BL7/BK7-1)*100),1)</f>
        <v>18.899999999999999</v>
      </c>
      <c r="BN7" s="562">
        <f>수출!BP34</f>
        <v>3896291</v>
      </c>
      <c r="BO7" s="562">
        <f>수출!BQ34</f>
        <v>3791966</v>
      </c>
      <c r="BP7" s="573">
        <f t="shared" ref="BP7:BP29" si="18">ROUND(((BO7/BN7-1)*100),1)</f>
        <v>-2.7</v>
      </c>
      <c r="BQ7" s="562">
        <f>BT7-BN7</f>
        <v>373315</v>
      </c>
      <c r="BR7" s="562">
        <f>BU7-BO7</f>
        <v>520050</v>
      </c>
      <c r="BS7" s="573">
        <f t="shared" ref="BS7:BS29" si="19">ROUND(((BR7/BQ7-1)*100),1)</f>
        <v>39.299999999999997</v>
      </c>
      <c r="BT7" s="562">
        <f>수출!BV34</f>
        <v>4269606</v>
      </c>
      <c r="BU7" s="562">
        <f>수출!BW34</f>
        <v>4312016</v>
      </c>
      <c r="BV7" s="573">
        <f t="shared" ref="BV7:BV29" si="20">ROUND(((BU7/BT7-1)*100),1)</f>
        <v>1</v>
      </c>
    </row>
    <row r="8" spans="1:74" ht="22.5" customHeight="1">
      <c r="A8" s="1085"/>
      <c r="B8" s="9" t="s">
        <v>286</v>
      </c>
      <c r="C8" s="57">
        <f>C7/C6*1000</f>
        <v>8104.7664731780906</v>
      </c>
      <c r="D8" s="57">
        <f>D7/D6*1000</f>
        <v>7125.7976753794464</v>
      </c>
      <c r="E8" s="57">
        <f>E7/E6*1000</f>
        <v>6982.1399612960422</v>
      </c>
      <c r="F8" s="57">
        <f>F7/F6*1000</f>
        <v>6891.7060329650294</v>
      </c>
      <c r="G8" s="57">
        <f>G7/G6*1000</f>
        <v>5985.2869240127493</v>
      </c>
      <c r="H8" s="57">
        <f t="shared" ref="H8:M8" si="21">H7/H6*1000</f>
        <v>5370.3428045419851</v>
      </c>
      <c r="I8" s="57">
        <f t="shared" si="21"/>
        <v>6366.8161950770645</v>
      </c>
      <c r="J8" s="57">
        <f t="shared" si="21"/>
        <v>7082.633575107383</v>
      </c>
      <c r="K8" s="57">
        <f t="shared" si="21"/>
        <v>6729.8574352255</v>
      </c>
      <c r="L8" s="57">
        <f t="shared" si="21"/>
        <v>6896.7981703830765</v>
      </c>
      <c r="M8" s="57">
        <f t="shared" si="21"/>
        <v>6775.1980906921244</v>
      </c>
      <c r="N8" s="58">
        <f t="shared" si="0"/>
        <v>-1.8</v>
      </c>
      <c r="O8" s="57">
        <f>O7/O6*1000</f>
        <v>6816.447417594738</v>
      </c>
      <c r="P8" s="57">
        <f>P7/P6*1000</f>
        <v>6792.9986815202637</v>
      </c>
      <c r="Q8" s="58">
        <f t="shared" si="1"/>
        <v>-0.3</v>
      </c>
      <c r="R8" s="57">
        <f>R7/R6*1000</f>
        <v>6857.5225603741192</v>
      </c>
      <c r="S8" s="57">
        <f>S7/S6*1000</f>
        <v>6784.0948160599</v>
      </c>
      <c r="T8" s="58">
        <f t="shared" si="2"/>
        <v>-1.1000000000000001</v>
      </c>
      <c r="U8" s="57">
        <f>U7/U6*1000</f>
        <v>6835.5991261802883</v>
      </c>
      <c r="V8" s="57">
        <f>V7/V6*1000</f>
        <v>6688.1772302211666</v>
      </c>
      <c r="W8" s="58">
        <f t="shared" si="3"/>
        <v>-2.2000000000000002</v>
      </c>
      <c r="X8" s="57">
        <f>X7/X6*1000</f>
        <v>6850.1573938728598</v>
      </c>
      <c r="Y8" s="57">
        <f>Y7/Y6*1000</f>
        <v>6751.5005926710546</v>
      </c>
      <c r="Z8" s="58">
        <f t="shared" si="4"/>
        <v>-1.4</v>
      </c>
      <c r="AA8" s="57">
        <f>AA7/AA6*1000</f>
        <v>6669.9114297764663</v>
      </c>
      <c r="AB8" s="57">
        <f>AB7/AB6*1000</f>
        <v>6385.6876070926628</v>
      </c>
      <c r="AC8" s="58">
        <f t="shared" si="5"/>
        <v>-4.3</v>
      </c>
      <c r="AD8" s="57">
        <f>AD7/AD6*1000</f>
        <v>6802.4921034316612</v>
      </c>
      <c r="AE8" s="57">
        <f>AE7/AE6*1000</f>
        <v>6661.2553135909193</v>
      </c>
      <c r="AF8" s="58">
        <f t="shared" si="6"/>
        <v>-2.1</v>
      </c>
      <c r="AG8" s="57">
        <f>AG7/AG6*1000</f>
        <v>6478.3923222012654</v>
      </c>
      <c r="AH8" s="57">
        <f>AH7/AH6*1000</f>
        <v>6160.4706266851863</v>
      </c>
      <c r="AI8" s="58">
        <f t="shared" si="7"/>
        <v>-4.9000000000000004</v>
      </c>
      <c r="AJ8" s="57">
        <f>AJ7/AJ6*1000</f>
        <v>6723.6103047405586</v>
      </c>
      <c r="AK8" s="57">
        <f>AK7/AK6*1000</f>
        <v>6566.7800894794245</v>
      </c>
      <c r="AL8" s="58">
        <f t="shared" si="8"/>
        <v>-2.2999999999999998</v>
      </c>
      <c r="AM8" s="559">
        <f>AM7/AM6*1000</f>
        <v>6818.0057722744623</v>
      </c>
      <c r="AN8" s="559">
        <f>AN7/AN6*1000</f>
        <v>6089.8200583051303</v>
      </c>
      <c r="AO8" s="560">
        <f t="shared" si="9"/>
        <v>-10.7</v>
      </c>
      <c r="AP8" s="559">
        <f>AP7/AP6*1000</f>
        <v>6738.09639469992</v>
      </c>
      <c r="AQ8" s="559">
        <f>AQ7/AQ6*1000</f>
        <v>6477.5915059197268</v>
      </c>
      <c r="AR8" s="560">
        <f t="shared" si="10"/>
        <v>-3.9</v>
      </c>
      <c r="AS8" s="559">
        <f>AS7/AS6*1000</f>
        <v>6811.3384099122359</v>
      </c>
      <c r="AT8" s="559">
        <f>AT7/AT6*1000</f>
        <v>6669.945747069095</v>
      </c>
      <c r="AU8" s="560">
        <f t="shared" si="11"/>
        <v>-2.1</v>
      </c>
      <c r="AV8" s="559">
        <f>AV7/AV6*1000</f>
        <v>6749.1169851993373</v>
      </c>
      <c r="AW8" s="559">
        <f>AW7/AW6*1000</f>
        <v>6509.7787551750316</v>
      </c>
      <c r="AX8" s="560">
        <f t="shared" si="12"/>
        <v>-3.5</v>
      </c>
      <c r="AY8" s="559">
        <f>AY7/AY6*1000</f>
        <v>6665.8603813916861</v>
      </c>
      <c r="AZ8" s="559">
        <f>AZ7/AZ6*1000</f>
        <v>6903.22395154489</v>
      </c>
      <c r="BA8" s="560">
        <f t="shared" si="13"/>
        <v>3.6</v>
      </c>
      <c r="BB8" s="559">
        <f>BB7/BB6*1000</f>
        <v>6739.5738406781411</v>
      </c>
      <c r="BC8" s="559">
        <f>BC7/BC6*1000</f>
        <v>6556.9123519240966</v>
      </c>
      <c r="BD8" s="560">
        <f t="shared" si="14"/>
        <v>-2.7</v>
      </c>
      <c r="BE8" s="559">
        <f>BE7/BE6*1000</f>
        <v>6631.2981624184949</v>
      </c>
      <c r="BF8" s="559">
        <f>BF7/BF6*1000</f>
        <v>7149.5439495220844</v>
      </c>
      <c r="BG8" s="560">
        <f t="shared" si="15"/>
        <v>7.8</v>
      </c>
      <c r="BH8" s="559">
        <f>BH7/BH6*1000</f>
        <v>6728.3170536305788</v>
      </c>
      <c r="BI8" s="559">
        <f>BI7/BI6*1000</f>
        <v>6632.8736354700713</v>
      </c>
      <c r="BJ8" s="560">
        <f t="shared" si="16"/>
        <v>-1.4</v>
      </c>
      <c r="BK8" s="559">
        <f>BK7/BK6*1000</f>
        <v>6568.3145700766845</v>
      </c>
      <c r="BL8" s="559">
        <f>BL7/BL6*1000</f>
        <v>7146.227119352623</v>
      </c>
      <c r="BM8" s="560">
        <f t="shared" si="17"/>
        <v>8.8000000000000007</v>
      </c>
      <c r="BN8" s="559">
        <f>BN7/BN6*1000</f>
        <v>6711.4251067098903</v>
      </c>
      <c r="BO8" s="559">
        <f>BO7/BO6*1000</f>
        <v>6693.5670924910282</v>
      </c>
      <c r="BP8" s="560">
        <f t="shared" si="18"/>
        <v>-0.3</v>
      </c>
      <c r="BQ8" s="559">
        <f>BQ7/BQ6*1000</f>
        <v>6806.1075660893348</v>
      </c>
      <c r="BR8" s="559">
        <f>BR7/BR6*1000</f>
        <v>7266.6172956809705</v>
      </c>
      <c r="BS8" s="560">
        <f t="shared" si="19"/>
        <v>6.8</v>
      </c>
      <c r="BT8" s="559">
        <f>BT7/BT6*1000</f>
        <v>6719.598486613073</v>
      </c>
      <c r="BU8" s="559">
        <f>BU7/BU6*1000</f>
        <v>6757.8407587810862</v>
      </c>
      <c r="BV8" s="560">
        <f t="shared" si="20"/>
        <v>0.6</v>
      </c>
    </row>
    <row r="9" spans="1:74" ht="22.5" customHeight="1">
      <c r="A9" s="1085" t="s">
        <v>287</v>
      </c>
      <c r="B9" s="10" t="s">
        <v>37</v>
      </c>
      <c r="C9" s="78">
        <f>수출!E81</f>
        <v>167965</v>
      </c>
      <c r="D9" s="78">
        <f>수출!F81</f>
        <v>187633</v>
      </c>
      <c r="E9" s="78">
        <f>수출!G81</f>
        <v>199133</v>
      </c>
      <c r="F9" s="78">
        <f>수출!H81</f>
        <v>267330</v>
      </c>
      <c r="G9" s="78">
        <f>수출!I81</f>
        <v>260547</v>
      </c>
      <c r="H9" s="78">
        <f>수출!J81</f>
        <v>385180</v>
      </c>
      <c r="I9" s="78">
        <f>수출!K81</f>
        <v>343938</v>
      </c>
      <c r="J9" s="78">
        <f>수출!L81</f>
        <v>357670</v>
      </c>
      <c r="K9" s="78">
        <f>수출!M81</f>
        <v>354654</v>
      </c>
      <c r="L9" s="78">
        <f>수출!N81</f>
        <v>25073</v>
      </c>
      <c r="M9" s="78">
        <f>수출!O81</f>
        <v>35488</v>
      </c>
      <c r="N9" s="154">
        <f t="shared" si="0"/>
        <v>41.5</v>
      </c>
      <c r="O9" s="78">
        <f>R9-L9</f>
        <v>35304</v>
      </c>
      <c r="P9" s="78">
        <f>S9-M9</f>
        <v>24663</v>
      </c>
      <c r="Q9" s="154">
        <f t="shared" si="1"/>
        <v>-30.1</v>
      </c>
      <c r="R9" s="78">
        <f>수출!T81</f>
        <v>60377</v>
      </c>
      <c r="S9" s="78">
        <f>수출!U81</f>
        <v>60151</v>
      </c>
      <c r="T9" s="154">
        <f t="shared" si="2"/>
        <v>-0.4</v>
      </c>
      <c r="U9" s="78">
        <f>X9-R9</f>
        <v>29631</v>
      </c>
      <c r="V9" s="78">
        <f>Y9-S9</f>
        <v>30309</v>
      </c>
      <c r="W9" s="154">
        <f t="shared" si="3"/>
        <v>2.2999999999999998</v>
      </c>
      <c r="X9" s="78">
        <f>수출!Z81</f>
        <v>90008</v>
      </c>
      <c r="Y9" s="78">
        <f>수출!AA81</f>
        <v>90460</v>
      </c>
      <c r="Z9" s="154">
        <f t="shared" si="4"/>
        <v>0.5</v>
      </c>
      <c r="AA9" s="78">
        <f>AD9-X9</f>
        <v>27738</v>
      </c>
      <c r="AB9" s="78">
        <f>AE9-Y9</f>
        <v>29572</v>
      </c>
      <c r="AC9" s="154">
        <f t="shared" si="5"/>
        <v>6.6</v>
      </c>
      <c r="AD9" s="78">
        <f>수출!AF81</f>
        <v>117746</v>
      </c>
      <c r="AE9" s="78">
        <f>수출!AG81</f>
        <v>120032</v>
      </c>
      <c r="AF9" s="154">
        <f t="shared" si="6"/>
        <v>1.9</v>
      </c>
      <c r="AG9" s="78">
        <f>AJ9-AD9</f>
        <v>37692</v>
      </c>
      <c r="AH9" s="78">
        <f>AK9-AE9</f>
        <v>19626</v>
      </c>
      <c r="AI9" s="154">
        <f t="shared" si="7"/>
        <v>-47.9</v>
      </c>
      <c r="AJ9" s="78">
        <f>수출!AL81</f>
        <v>155438</v>
      </c>
      <c r="AK9" s="78">
        <f>수출!AM81</f>
        <v>139658</v>
      </c>
      <c r="AL9" s="154">
        <f t="shared" si="8"/>
        <v>-10.199999999999999</v>
      </c>
      <c r="AM9" s="561">
        <f>AP9-AJ9</f>
        <v>33184</v>
      </c>
      <c r="AN9" s="561">
        <f>AQ9-AK9</f>
        <v>23882</v>
      </c>
      <c r="AO9" s="574">
        <f t="shared" si="9"/>
        <v>-28</v>
      </c>
      <c r="AP9" s="561">
        <f>수출!AR81</f>
        <v>188622</v>
      </c>
      <c r="AQ9" s="561">
        <f>수출!AS81</f>
        <v>163540</v>
      </c>
      <c r="AR9" s="574">
        <f t="shared" si="10"/>
        <v>-13.3</v>
      </c>
      <c r="AS9" s="561">
        <f>AV9-AP9</f>
        <v>27198</v>
      </c>
      <c r="AT9" s="561">
        <f>AW9-AQ9</f>
        <v>37623</v>
      </c>
      <c r="AU9" s="574">
        <f t="shared" si="11"/>
        <v>38.299999999999997</v>
      </c>
      <c r="AV9" s="561">
        <f>수출!AX81</f>
        <v>215820</v>
      </c>
      <c r="AW9" s="561">
        <f>수출!AY81</f>
        <v>201163</v>
      </c>
      <c r="AX9" s="574">
        <f t="shared" si="12"/>
        <v>-6.8</v>
      </c>
      <c r="AY9" s="561">
        <f>BB9-AV9</f>
        <v>36852</v>
      </c>
      <c r="AZ9" s="561">
        <f>BC9-AW9</f>
        <v>21988</v>
      </c>
      <c r="BA9" s="574">
        <f t="shared" si="13"/>
        <v>-40.299999999999997</v>
      </c>
      <c r="BB9" s="561">
        <f>수출!BD81</f>
        <v>252672</v>
      </c>
      <c r="BC9" s="561">
        <f>수출!BE81</f>
        <v>223151</v>
      </c>
      <c r="BD9" s="574">
        <f t="shared" si="14"/>
        <v>-11.7</v>
      </c>
      <c r="BE9" s="561">
        <f>BH9-BB9</f>
        <v>19301</v>
      </c>
      <c r="BF9" s="561">
        <f>BI9-BC9</f>
        <v>24924</v>
      </c>
      <c r="BG9" s="574">
        <f t="shared" si="15"/>
        <v>29.1</v>
      </c>
      <c r="BH9" s="561">
        <f>수출!BJ81</f>
        <v>271973</v>
      </c>
      <c r="BI9" s="561">
        <f>수출!BK81</f>
        <v>248075</v>
      </c>
      <c r="BJ9" s="574">
        <f t="shared" si="16"/>
        <v>-8.8000000000000007</v>
      </c>
      <c r="BK9" s="561">
        <f>BN9-BH9</f>
        <v>27933</v>
      </c>
      <c r="BL9" s="561">
        <f>BO9-BI9</f>
        <v>19787</v>
      </c>
      <c r="BM9" s="574">
        <f t="shared" si="17"/>
        <v>-29.2</v>
      </c>
      <c r="BN9" s="561">
        <f>수출!BP81</f>
        <v>299906</v>
      </c>
      <c r="BO9" s="561">
        <f>수출!BQ81</f>
        <v>267862</v>
      </c>
      <c r="BP9" s="574">
        <f t="shared" si="18"/>
        <v>-10.7</v>
      </c>
      <c r="BQ9" s="561">
        <f>BT9-BN9</f>
        <v>28059</v>
      </c>
      <c r="BR9" s="561">
        <f>BU9-BO9</f>
        <v>39578</v>
      </c>
      <c r="BS9" s="574">
        <f t="shared" si="19"/>
        <v>41.1</v>
      </c>
      <c r="BT9" s="561">
        <f>수출!BV81</f>
        <v>327965</v>
      </c>
      <c r="BU9" s="561">
        <f>수출!BW81</f>
        <v>307440</v>
      </c>
      <c r="BV9" s="574">
        <f t="shared" si="20"/>
        <v>-6.3</v>
      </c>
    </row>
    <row r="10" spans="1:74" ht="22.5" customHeight="1">
      <c r="A10" s="1085"/>
      <c r="B10" s="5" t="s">
        <v>38</v>
      </c>
      <c r="C10" s="137">
        <f>수출!E82</f>
        <v>434570</v>
      </c>
      <c r="D10" s="137">
        <f>수출!F82</f>
        <v>419058</v>
      </c>
      <c r="E10" s="137">
        <f>수출!G82</f>
        <v>484875</v>
      </c>
      <c r="F10" s="137">
        <f>수출!H82</f>
        <v>628004</v>
      </c>
      <c r="G10" s="137">
        <f>수출!I82</f>
        <v>521596</v>
      </c>
      <c r="H10" s="137">
        <f>수출!J82</f>
        <v>777511</v>
      </c>
      <c r="I10" s="137">
        <f>수출!K82</f>
        <v>848363</v>
      </c>
      <c r="J10" s="137">
        <f>수출!L82</f>
        <v>877779</v>
      </c>
      <c r="K10" s="137">
        <f>수출!M82</f>
        <v>775139</v>
      </c>
      <c r="L10" s="137">
        <f>수출!N82</f>
        <v>53607</v>
      </c>
      <c r="M10" s="137">
        <f>수출!O82</f>
        <v>75534</v>
      </c>
      <c r="N10" s="153">
        <f t="shared" si="0"/>
        <v>40.9</v>
      </c>
      <c r="O10" s="137">
        <f>R10-L10</f>
        <v>77401</v>
      </c>
      <c r="P10" s="137">
        <f>S10-M10</f>
        <v>51437</v>
      </c>
      <c r="Q10" s="153">
        <f t="shared" si="1"/>
        <v>-33.5</v>
      </c>
      <c r="R10" s="137">
        <f>수출!T82</f>
        <v>131008</v>
      </c>
      <c r="S10" s="137">
        <f>수출!U82</f>
        <v>126971</v>
      </c>
      <c r="T10" s="153">
        <f t="shared" si="2"/>
        <v>-3.1</v>
      </c>
      <c r="U10" s="137">
        <f>X10-R10</f>
        <v>66173</v>
      </c>
      <c r="V10" s="137">
        <f>Y10-S10</f>
        <v>60893</v>
      </c>
      <c r="W10" s="153">
        <f t="shared" si="3"/>
        <v>-8</v>
      </c>
      <c r="X10" s="137">
        <f>수출!Z82</f>
        <v>197181</v>
      </c>
      <c r="Y10" s="137">
        <f>수출!AA82</f>
        <v>187864</v>
      </c>
      <c r="Z10" s="153">
        <f t="shared" si="4"/>
        <v>-4.7</v>
      </c>
      <c r="AA10" s="137">
        <f>AD10-X10</f>
        <v>61382</v>
      </c>
      <c r="AB10" s="137">
        <f>AE10-Y10</f>
        <v>55760</v>
      </c>
      <c r="AC10" s="153">
        <f t="shared" si="5"/>
        <v>-9.1999999999999993</v>
      </c>
      <c r="AD10" s="137">
        <f>수출!AF82</f>
        <v>258563</v>
      </c>
      <c r="AE10" s="137">
        <f>수출!AG82</f>
        <v>243624</v>
      </c>
      <c r="AF10" s="153">
        <f t="shared" si="6"/>
        <v>-5.8</v>
      </c>
      <c r="AG10" s="137">
        <f>AJ10-AD10</f>
        <v>78642</v>
      </c>
      <c r="AH10" s="137">
        <f>AK10-AE10</f>
        <v>35765</v>
      </c>
      <c r="AI10" s="153">
        <f t="shared" si="7"/>
        <v>-54.5</v>
      </c>
      <c r="AJ10" s="137">
        <f>수출!AL82</f>
        <v>337205</v>
      </c>
      <c r="AK10" s="137">
        <f>수출!AM82</f>
        <v>279389</v>
      </c>
      <c r="AL10" s="153">
        <f t="shared" si="8"/>
        <v>-17.100000000000001</v>
      </c>
      <c r="AM10" s="562">
        <f>AP10-AJ10</f>
        <v>68200</v>
      </c>
      <c r="AN10" s="562">
        <f>AQ10-AK10</f>
        <v>44638</v>
      </c>
      <c r="AO10" s="573">
        <f t="shared" si="9"/>
        <v>-34.5</v>
      </c>
      <c r="AP10" s="562">
        <f>수출!AR82</f>
        <v>405405</v>
      </c>
      <c r="AQ10" s="562">
        <f>수출!AS82</f>
        <v>324027</v>
      </c>
      <c r="AR10" s="573">
        <f t="shared" si="10"/>
        <v>-20.100000000000001</v>
      </c>
      <c r="AS10" s="562">
        <f>AV10-AP10</f>
        <v>58377</v>
      </c>
      <c r="AT10" s="562">
        <f>AW10-AQ10</f>
        <v>73773</v>
      </c>
      <c r="AU10" s="573">
        <f t="shared" si="11"/>
        <v>26.4</v>
      </c>
      <c r="AV10" s="562">
        <f>수출!AX82</f>
        <v>463782</v>
      </c>
      <c r="AW10" s="562">
        <f>수출!AY82</f>
        <v>397800</v>
      </c>
      <c r="AX10" s="573">
        <f t="shared" si="12"/>
        <v>-14.2</v>
      </c>
      <c r="AY10" s="562">
        <f>BB10-AV10</f>
        <v>80756</v>
      </c>
      <c r="AZ10" s="562">
        <f>BC10-AW10</f>
        <v>46614</v>
      </c>
      <c r="BA10" s="573">
        <f t="shared" si="13"/>
        <v>-42.3</v>
      </c>
      <c r="BB10" s="562">
        <f>수출!BD82</f>
        <v>544538</v>
      </c>
      <c r="BC10" s="562">
        <f>수출!BE82</f>
        <v>444414</v>
      </c>
      <c r="BD10" s="573">
        <f t="shared" si="14"/>
        <v>-18.399999999999999</v>
      </c>
      <c r="BE10" s="562">
        <f>BH10-BB10</f>
        <v>42657</v>
      </c>
      <c r="BF10" s="562">
        <f>BI10-BC10</f>
        <v>53306</v>
      </c>
      <c r="BG10" s="573">
        <f t="shared" si="15"/>
        <v>25</v>
      </c>
      <c r="BH10" s="562">
        <f>수출!BJ82</f>
        <v>587195</v>
      </c>
      <c r="BI10" s="562">
        <f>수출!BK82</f>
        <v>497720</v>
      </c>
      <c r="BJ10" s="573">
        <f t="shared" si="16"/>
        <v>-15.2</v>
      </c>
      <c r="BK10" s="562">
        <f>BN10-BH10</f>
        <v>64099</v>
      </c>
      <c r="BL10" s="562">
        <f>BO10-BI10</f>
        <v>41546</v>
      </c>
      <c r="BM10" s="573">
        <f t="shared" si="17"/>
        <v>-35.200000000000003</v>
      </c>
      <c r="BN10" s="562">
        <f>수출!BP82</f>
        <v>651294</v>
      </c>
      <c r="BO10" s="562">
        <f>수출!BQ82</f>
        <v>539266</v>
      </c>
      <c r="BP10" s="573">
        <f t="shared" si="18"/>
        <v>-17.2</v>
      </c>
      <c r="BQ10" s="562">
        <f>BT10-BN10</f>
        <v>65106</v>
      </c>
      <c r="BR10" s="562">
        <f>BU10-BO10</f>
        <v>79560</v>
      </c>
      <c r="BS10" s="573">
        <f t="shared" si="19"/>
        <v>22.2</v>
      </c>
      <c r="BT10" s="562">
        <f>수출!BV82</f>
        <v>716400</v>
      </c>
      <c r="BU10" s="562">
        <f>수출!BW82</f>
        <v>618826</v>
      </c>
      <c r="BV10" s="573">
        <f t="shared" si="20"/>
        <v>-13.6</v>
      </c>
    </row>
    <row r="11" spans="1:74" ht="22.5" customHeight="1">
      <c r="A11" s="1085"/>
      <c r="B11" s="9" t="s">
        <v>286</v>
      </c>
      <c r="C11" s="57">
        <f>C10/C9*1000</f>
        <v>2587.2652040603698</v>
      </c>
      <c r="D11" s="57">
        <f>D10/D9*1000</f>
        <v>2233.3917807635116</v>
      </c>
      <c r="E11" s="57">
        <f>E10/E9*1000</f>
        <v>2434.9304233853759</v>
      </c>
      <c r="F11" s="57">
        <f>F10/F9*1000</f>
        <v>2349.1714360528185</v>
      </c>
      <c r="G11" s="57">
        <f>G10/G9*1000</f>
        <v>2001.9267157173178</v>
      </c>
      <c r="H11" s="57">
        <f t="shared" ref="H11:M11" si="22">H10/H9*1000</f>
        <v>2018.5653460719664</v>
      </c>
      <c r="I11" s="57">
        <f t="shared" si="22"/>
        <v>2466.6160761532601</v>
      </c>
      <c r="J11" s="57">
        <f t="shared" si="22"/>
        <v>2454.1588615203959</v>
      </c>
      <c r="K11" s="57">
        <f t="shared" si="22"/>
        <v>2185.6203511027647</v>
      </c>
      <c r="L11" s="57">
        <f t="shared" si="22"/>
        <v>2138.0369321580984</v>
      </c>
      <c r="M11" s="57">
        <f t="shared" si="22"/>
        <v>2128.4377817853924</v>
      </c>
      <c r="N11" s="58">
        <f t="shared" si="0"/>
        <v>-0.4</v>
      </c>
      <c r="O11" s="57">
        <f>O10/O9*1000</f>
        <v>2192.4144572852933</v>
      </c>
      <c r="P11" s="57">
        <f>P10/P9*1000</f>
        <v>2085.5938044844506</v>
      </c>
      <c r="Q11" s="58">
        <f t="shared" si="1"/>
        <v>-4.9000000000000004</v>
      </c>
      <c r="R11" s="57">
        <f>R10/R9*1000</f>
        <v>2169.832883382745</v>
      </c>
      <c r="S11" s="57">
        <f>S10/S9*1000</f>
        <v>2110.8709747136372</v>
      </c>
      <c r="T11" s="58">
        <f t="shared" si="2"/>
        <v>-2.7</v>
      </c>
      <c r="U11" s="57">
        <f>U10/U9*1000</f>
        <v>2233.2354628598428</v>
      </c>
      <c r="V11" s="57">
        <f>V10/V9*1000</f>
        <v>2009.0732125771224</v>
      </c>
      <c r="W11" s="58">
        <f t="shared" si="3"/>
        <v>-10</v>
      </c>
      <c r="X11" s="57">
        <f>X10/X9*1000</f>
        <v>2190.7052706426098</v>
      </c>
      <c r="Y11" s="57">
        <f>Y10/Y9*1000</f>
        <v>2076.7632102586776</v>
      </c>
      <c r="Z11" s="58">
        <f t="shared" si="4"/>
        <v>-5.2</v>
      </c>
      <c r="AA11" s="57">
        <f>AA10/AA9*1000</f>
        <v>2212.9209027327129</v>
      </c>
      <c r="AB11" s="57">
        <f>AB10/AB9*1000</f>
        <v>1885.5674286487219</v>
      </c>
      <c r="AC11" s="58">
        <f t="shared" si="5"/>
        <v>-14.8</v>
      </c>
      <c r="AD11" s="57">
        <f>AD10/AD9*1000</f>
        <v>2195.9387155402305</v>
      </c>
      <c r="AE11" s="57">
        <f>AE10/AE9*1000</f>
        <v>2029.6587576646225</v>
      </c>
      <c r="AF11" s="58">
        <f t="shared" si="6"/>
        <v>-7.6</v>
      </c>
      <c r="AG11" s="57">
        <f>AG10/AG9*1000</f>
        <v>2086.4374403056349</v>
      </c>
      <c r="AH11" s="57">
        <f>AH10/AH9*1000</f>
        <v>1822.3275247121167</v>
      </c>
      <c r="AI11" s="58">
        <f t="shared" si="7"/>
        <v>-12.7</v>
      </c>
      <c r="AJ11" s="57">
        <f>AJ10/AJ9*1000</f>
        <v>2169.3858644604279</v>
      </c>
      <c r="AK11" s="57">
        <f>AK10/AK9*1000</f>
        <v>2000.5227054662105</v>
      </c>
      <c r="AL11" s="58">
        <f t="shared" si="8"/>
        <v>-7.8</v>
      </c>
      <c r="AM11" s="559">
        <f>AM10/AM9*1000</f>
        <v>2055.2073288331726</v>
      </c>
      <c r="AN11" s="559">
        <f>AN10/AN9*1000</f>
        <v>1869.1064399966501</v>
      </c>
      <c r="AO11" s="560">
        <f t="shared" si="9"/>
        <v>-9.1</v>
      </c>
      <c r="AP11" s="559">
        <f>AP10/AP9*1000</f>
        <v>2149.298597194389</v>
      </c>
      <c r="AQ11" s="559">
        <f>AQ10/AQ9*1000</f>
        <v>1981.3317842729607</v>
      </c>
      <c r="AR11" s="560">
        <f t="shared" si="10"/>
        <v>-7.8</v>
      </c>
      <c r="AS11" s="559">
        <f>AS10/AS9*1000</f>
        <v>2146.371056695345</v>
      </c>
      <c r="AT11" s="559">
        <f>AT10/AT9*1000</f>
        <v>1960.8484171916114</v>
      </c>
      <c r="AU11" s="560">
        <f t="shared" si="11"/>
        <v>-8.6</v>
      </c>
      <c r="AV11" s="559">
        <f>AV10/AV9*1000</f>
        <v>2148.9296636085628</v>
      </c>
      <c r="AW11" s="559">
        <f>AW10/AW9*1000</f>
        <v>1977.5008326580933</v>
      </c>
      <c r="AX11" s="560">
        <f t="shared" si="12"/>
        <v>-8</v>
      </c>
      <c r="AY11" s="559">
        <f>AY10/AY9*1000</f>
        <v>2191.3600347335291</v>
      </c>
      <c r="AZ11" s="559">
        <f>AZ10/AZ9*1000</f>
        <v>2119.9745315626706</v>
      </c>
      <c r="BA11" s="560">
        <f t="shared" si="13"/>
        <v>-3.3</v>
      </c>
      <c r="BB11" s="559">
        <f>BB10/BB9*1000</f>
        <v>2155.1180977710233</v>
      </c>
      <c r="BC11" s="559">
        <f>BC10/BC9*1000</f>
        <v>1991.5393612396988</v>
      </c>
      <c r="BD11" s="560">
        <f t="shared" si="14"/>
        <v>-7.6</v>
      </c>
      <c r="BE11" s="559">
        <f>BE10/BE9*1000</f>
        <v>2210.0927413087406</v>
      </c>
      <c r="BF11" s="559">
        <f>BF10/BF9*1000</f>
        <v>2138.7417749959877</v>
      </c>
      <c r="BG11" s="560">
        <f t="shared" si="15"/>
        <v>-3.2</v>
      </c>
      <c r="BH11" s="559">
        <f>BH10/BH9*1000</f>
        <v>2159.0194614906627</v>
      </c>
      <c r="BI11" s="559">
        <f>BI10/BI9*1000</f>
        <v>2006.3287312304747</v>
      </c>
      <c r="BJ11" s="560">
        <f t="shared" si="16"/>
        <v>-7.1</v>
      </c>
      <c r="BK11" s="559">
        <f>BK10/BK9*1000</f>
        <v>2294.7409873626179</v>
      </c>
      <c r="BL11" s="559">
        <f>BL10/BL9*1000</f>
        <v>2099.6613938444434</v>
      </c>
      <c r="BM11" s="560">
        <f t="shared" si="17"/>
        <v>-8.5</v>
      </c>
      <c r="BN11" s="559">
        <f>BN10/BN9*1000</f>
        <v>2171.6604536087975</v>
      </c>
      <c r="BO11" s="559">
        <f>BO10/BO9*1000</f>
        <v>2013.2232268854859</v>
      </c>
      <c r="BP11" s="560">
        <f t="shared" si="18"/>
        <v>-7.3</v>
      </c>
      <c r="BQ11" s="559">
        <f>BQ10/BQ9*1000</f>
        <v>2320.325029402331</v>
      </c>
      <c r="BR11" s="559">
        <f>BR10/BR9*1000</f>
        <v>2010.2076911415434</v>
      </c>
      <c r="BS11" s="560">
        <f t="shared" si="19"/>
        <v>-13.4</v>
      </c>
      <c r="BT11" s="559">
        <f>BT10/BT9*1000</f>
        <v>2184.3794307319381</v>
      </c>
      <c r="BU11" s="559">
        <f>BU10/BU9*1000</f>
        <v>2012.8350247202707</v>
      </c>
      <c r="BV11" s="560">
        <f t="shared" si="20"/>
        <v>-7.9</v>
      </c>
    </row>
    <row r="12" spans="1:74" ht="22.5" customHeight="1">
      <c r="A12" s="1085" t="s">
        <v>288</v>
      </c>
      <c r="B12" s="10" t="s">
        <v>37</v>
      </c>
      <c r="C12" s="78">
        <f>수출!E72</f>
        <v>490462</v>
      </c>
      <c r="D12" s="78">
        <f>수출!F72</f>
        <v>535273</v>
      </c>
      <c r="E12" s="78">
        <f>수출!G72</f>
        <v>512454</v>
      </c>
      <c r="F12" s="78">
        <f>수출!H72</f>
        <v>450282</v>
      </c>
      <c r="G12" s="78">
        <f>수출!I72</f>
        <v>550425</v>
      </c>
      <c r="H12" s="78">
        <f>수출!J72</f>
        <v>589945</v>
      </c>
      <c r="I12" s="78">
        <f>수출!K72</f>
        <v>551877</v>
      </c>
      <c r="J12" s="78">
        <f>수출!L72</f>
        <v>610819</v>
      </c>
      <c r="K12" s="78">
        <f>수출!M72</f>
        <v>570123</v>
      </c>
      <c r="L12" s="78">
        <f>수출!N72</f>
        <v>40094</v>
      </c>
      <c r="M12" s="78">
        <f>수출!O72</f>
        <v>47366</v>
      </c>
      <c r="N12" s="154">
        <f t="shared" si="0"/>
        <v>18.100000000000001</v>
      </c>
      <c r="O12" s="78">
        <f>R12-L12</f>
        <v>37294</v>
      </c>
      <c r="P12" s="78">
        <f>S12-M12</f>
        <v>45190</v>
      </c>
      <c r="Q12" s="154">
        <f t="shared" si="1"/>
        <v>21.2</v>
      </c>
      <c r="R12" s="78">
        <f>수출!T72</f>
        <v>77388</v>
      </c>
      <c r="S12" s="78">
        <f>수출!U72</f>
        <v>92556</v>
      </c>
      <c r="T12" s="154">
        <f t="shared" si="2"/>
        <v>19.600000000000001</v>
      </c>
      <c r="U12" s="78">
        <f>X12-R12</f>
        <v>37103</v>
      </c>
      <c r="V12" s="78">
        <f>Y12-S12</f>
        <v>63207</v>
      </c>
      <c r="W12" s="154">
        <f t="shared" si="3"/>
        <v>70.400000000000006</v>
      </c>
      <c r="X12" s="78">
        <f>수출!Z72</f>
        <v>114491</v>
      </c>
      <c r="Y12" s="78">
        <f>수출!AA72</f>
        <v>155763</v>
      </c>
      <c r="Z12" s="154">
        <f t="shared" si="4"/>
        <v>36</v>
      </c>
      <c r="AA12" s="78">
        <f>AD12-X12</f>
        <v>49226</v>
      </c>
      <c r="AB12" s="78">
        <f>AE12-Y12</f>
        <v>53959</v>
      </c>
      <c r="AC12" s="154">
        <f t="shared" si="5"/>
        <v>9.6</v>
      </c>
      <c r="AD12" s="78">
        <f>수출!AF72</f>
        <v>163717</v>
      </c>
      <c r="AE12" s="78">
        <f>수출!AG72</f>
        <v>209722</v>
      </c>
      <c r="AF12" s="154">
        <f t="shared" si="6"/>
        <v>28.1</v>
      </c>
      <c r="AG12" s="78">
        <f>AJ12-AD12</f>
        <v>53886</v>
      </c>
      <c r="AH12" s="78">
        <f>AK12-AE12</f>
        <v>46038</v>
      </c>
      <c r="AI12" s="154">
        <f t="shared" si="7"/>
        <v>-14.6</v>
      </c>
      <c r="AJ12" s="78">
        <f>수출!AL72</f>
        <v>217603</v>
      </c>
      <c r="AK12" s="78">
        <f>수출!AM72</f>
        <v>255760</v>
      </c>
      <c r="AL12" s="154">
        <f t="shared" si="8"/>
        <v>17.5</v>
      </c>
      <c r="AM12" s="561">
        <f>AP12-AJ12</f>
        <v>50515</v>
      </c>
      <c r="AN12" s="561">
        <f>AQ12-AK12</f>
        <v>44944</v>
      </c>
      <c r="AO12" s="574">
        <f t="shared" si="9"/>
        <v>-11</v>
      </c>
      <c r="AP12" s="561">
        <f>수출!AR72</f>
        <v>268118</v>
      </c>
      <c r="AQ12" s="561">
        <f>수출!AS72</f>
        <v>300704</v>
      </c>
      <c r="AR12" s="574">
        <f t="shared" si="10"/>
        <v>12.2</v>
      </c>
      <c r="AS12" s="561">
        <f>AV12-AP12</f>
        <v>50649</v>
      </c>
      <c r="AT12" s="561">
        <f>AW12-AQ12</f>
        <v>49011</v>
      </c>
      <c r="AU12" s="574">
        <f t="shared" si="11"/>
        <v>-3.2</v>
      </c>
      <c r="AV12" s="561">
        <f>수출!AX72</f>
        <v>318767</v>
      </c>
      <c r="AW12" s="561">
        <f>수출!AY72</f>
        <v>349715</v>
      </c>
      <c r="AX12" s="574">
        <f t="shared" si="12"/>
        <v>9.6999999999999993</v>
      </c>
      <c r="AY12" s="561">
        <f>BB12-AV12</f>
        <v>45238</v>
      </c>
      <c r="AZ12" s="561">
        <f>BC12-AW12</f>
        <v>41661</v>
      </c>
      <c r="BA12" s="574">
        <f t="shared" si="13"/>
        <v>-7.9</v>
      </c>
      <c r="BB12" s="561">
        <f>수출!BD72</f>
        <v>364005</v>
      </c>
      <c r="BC12" s="561">
        <f>수출!BE72</f>
        <v>391376</v>
      </c>
      <c r="BD12" s="574">
        <f t="shared" si="14"/>
        <v>7.5</v>
      </c>
      <c r="BE12" s="561">
        <f>BH12-BB12</f>
        <v>45604</v>
      </c>
      <c r="BF12" s="561">
        <f>BI12-BC12</f>
        <v>57415</v>
      </c>
      <c r="BG12" s="574">
        <f t="shared" si="15"/>
        <v>25.9</v>
      </c>
      <c r="BH12" s="561">
        <f>수출!BJ72</f>
        <v>409609</v>
      </c>
      <c r="BI12" s="561">
        <f>수출!BK72</f>
        <v>448791</v>
      </c>
      <c r="BJ12" s="574">
        <f t="shared" si="16"/>
        <v>9.6</v>
      </c>
      <c r="BK12" s="561">
        <f>BN12-BH12</f>
        <v>53044</v>
      </c>
      <c r="BL12" s="561">
        <f>BO12-BI12</f>
        <v>58652</v>
      </c>
      <c r="BM12" s="574">
        <f t="shared" si="17"/>
        <v>10.6</v>
      </c>
      <c r="BN12" s="561">
        <f>수출!BP72</f>
        <v>462653</v>
      </c>
      <c r="BO12" s="561">
        <f>수출!BQ72</f>
        <v>507443</v>
      </c>
      <c r="BP12" s="574">
        <f t="shared" si="18"/>
        <v>9.6999999999999993</v>
      </c>
      <c r="BQ12" s="561">
        <f>BT12-BN12</f>
        <v>49103</v>
      </c>
      <c r="BR12" s="561">
        <f>BU12-BO12</f>
        <v>55862</v>
      </c>
      <c r="BS12" s="574">
        <f t="shared" si="19"/>
        <v>13.8</v>
      </c>
      <c r="BT12" s="561">
        <f>수출!BV72</f>
        <v>511756</v>
      </c>
      <c r="BU12" s="561">
        <f>수출!BW72</f>
        <v>563305</v>
      </c>
      <c r="BV12" s="574">
        <f t="shared" si="20"/>
        <v>10.1</v>
      </c>
    </row>
    <row r="13" spans="1:74" ht="22.5" customHeight="1">
      <c r="A13" s="1085"/>
      <c r="B13" s="5" t="s">
        <v>38</v>
      </c>
      <c r="C13" s="137">
        <f>수출!E73</f>
        <v>1100496</v>
      </c>
      <c r="D13" s="137">
        <f>수출!F73</f>
        <v>1038688</v>
      </c>
      <c r="E13" s="137">
        <f>수출!G73</f>
        <v>1029125</v>
      </c>
      <c r="F13" s="137">
        <f>수출!H73</f>
        <v>1052599</v>
      </c>
      <c r="G13" s="137">
        <f>수출!I73</f>
        <v>1168851</v>
      </c>
      <c r="H13" s="137">
        <f>수출!J73</f>
        <v>1300839</v>
      </c>
      <c r="I13" s="137">
        <f>수출!K73</f>
        <v>1653856</v>
      </c>
      <c r="J13" s="137">
        <f>수출!L73</f>
        <v>1879192</v>
      </c>
      <c r="K13" s="137">
        <f>수출!M73</f>
        <v>1533905</v>
      </c>
      <c r="L13" s="137">
        <f>수출!N73</f>
        <v>111139</v>
      </c>
      <c r="M13" s="137">
        <f>수출!O73</f>
        <v>117345</v>
      </c>
      <c r="N13" s="153">
        <f t="shared" si="0"/>
        <v>5.6</v>
      </c>
      <c r="O13" s="137">
        <f>R13-L13</f>
        <v>105221</v>
      </c>
      <c r="P13" s="137">
        <f>S13-M13</f>
        <v>109894</v>
      </c>
      <c r="Q13" s="153">
        <f t="shared" si="1"/>
        <v>4.4000000000000004</v>
      </c>
      <c r="R13" s="137">
        <f>수출!T73</f>
        <v>216360</v>
      </c>
      <c r="S13" s="137">
        <f>수출!U73</f>
        <v>227239</v>
      </c>
      <c r="T13" s="153">
        <f t="shared" si="2"/>
        <v>5</v>
      </c>
      <c r="U13" s="137">
        <f>X13-R13</f>
        <v>109529</v>
      </c>
      <c r="V13" s="137">
        <f>Y13-S13</f>
        <v>133657</v>
      </c>
      <c r="W13" s="153">
        <f t="shared" si="3"/>
        <v>22</v>
      </c>
      <c r="X13" s="137">
        <f>수출!Z73</f>
        <v>325889</v>
      </c>
      <c r="Y13" s="137">
        <f>수출!AA73</f>
        <v>360896</v>
      </c>
      <c r="Z13" s="153">
        <f t="shared" si="4"/>
        <v>10.7</v>
      </c>
      <c r="AA13" s="137">
        <f>AD13-X13</f>
        <v>150123</v>
      </c>
      <c r="AB13" s="137">
        <f>AE13-Y13</f>
        <v>110675</v>
      </c>
      <c r="AC13" s="153">
        <f t="shared" si="5"/>
        <v>-26.3</v>
      </c>
      <c r="AD13" s="137">
        <f>수출!AF73</f>
        <v>476012</v>
      </c>
      <c r="AE13" s="137">
        <f>수출!AG73</f>
        <v>471571</v>
      </c>
      <c r="AF13" s="153">
        <f t="shared" si="6"/>
        <v>-0.9</v>
      </c>
      <c r="AG13" s="137">
        <f>AJ13-AD13</f>
        <v>157836</v>
      </c>
      <c r="AH13" s="137">
        <f>AK13-AE13</f>
        <v>89671</v>
      </c>
      <c r="AI13" s="153">
        <f t="shared" si="7"/>
        <v>-43.2</v>
      </c>
      <c r="AJ13" s="137">
        <f>수출!AL73</f>
        <v>633848</v>
      </c>
      <c r="AK13" s="137">
        <f>수출!AM73</f>
        <v>561242</v>
      </c>
      <c r="AL13" s="153">
        <f t="shared" si="8"/>
        <v>-11.5</v>
      </c>
      <c r="AM13" s="562">
        <f>AP13-AJ13</f>
        <v>141838</v>
      </c>
      <c r="AN13" s="562">
        <f>AQ13-AK13</f>
        <v>95058</v>
      </c>
      <c r="AO13" s="573">
        <f t="shared" si="9"/>
        <v>-33</v>
      </c>
      <c r="AP13" s="562">
        <f>수출!AR73</f>
        <v>775686</v>
      </c>
      <c r="AQ13" s="562">
        <f>수출!AS73</f>
        <v>656300</v>
      </c>
      <c r="AR13" s="573">
        <f t="shared" si="10"/>
        <v>-15.4</v>
      </c>
      <c r="AS13" s="562">
        <f>AV13-AP13</f>
        <v>135859</v>
      </c>
      <c r="AT13" s="562">
        <f>AW13-AQ13</f>
        <v>108159</v>
      </c>
      <c r="AU13" s="573">
        <f t="shared" si="11"/>
        <v>-20.399999999999999</v>
      </c>
      <c r="AV13" s="562">
        <f>수출!AX73</f>
        <v>911545</v>
      </c>
      <c r="AW13" s="562">
        <f>수출!AY73</f>
        <v>764459</v>
      </c>
      <c r="AX13" s="573">
        <f t="shared" si="12"/>
        <v>-16.100000000000001</v>
      </c>
      <c r="AY13" s="562">
        <f>BB13-AV13</f>
        <v>114400</v>
      </c>
      <c r="AZ13" s="562">
        <f>BC13-AW13</f>
        <v>98227</v>
      </c>
      <c r="BA13" s="573">
        <f t="shared" si="13"/>
        <v>-14.1</v>
      </c>
      <c r="BB13" s="562">
        <f>수출!BD73</f>
        <v>1025945</v>
      </c>
      <c r="BC13" s="562">
        <f>수출!BE73</f>
        <v>862686</v>
      </c>
      <c r="BD13" s="573">
        <f t="shared" si="14"/>
        <v>-15.9</v>
      </c>
      <c r="BE13" s="562">
        <f>BH13-BB13</f>
        <v>112391</v>
      </c>
      <c r="BF13" s="562">
        <f>BI13-BC13</f>
        <v>146166</v>
      </c>
      <c r="BG13" s="573">
        <f t="shared" si="15"/>
        <v>30.1</v>
      </c>
      <c r="BH13" s="562">
        <f>수출!BJ73</f>
        <v>1138336</v>
      </c>
      <c r="BI13" s="562">
        <f>수출!BK73</f>
        <v>1008852</v>
      </c>
      <c r="BJ13" s="573">
        <f t="shared" si="16"/>
        <v>-11.4</v>
      </c>
      <c r="BK13" s="562">
        <f>BN13-BH13</f>
        <v>130047</v>
      </c>
      <c r="BL13" s="562">
        <f>BO13-BI13</f>
        <v>149647</v>
      </c>
      <c r="BM13" s="573">
        <f t="shared" si="17"/>
        <v>15.1</v>
      </c>
      <c r="BN13" s="562">
        <f>수출!BP73</f>
        <v>1268383</v>
      </c>
      <c r="BO13" s="562">
        <f>수출!BQ73</f>
        <v>1158499</v>
      </c>
      <c r="BP13" s="573">
        <f t="shared" si="18"/>
        <v>-8.6999999999999993</v>
      </c>
      <c r="BQ13" s="562">
        <f>BT13-BN13</f>
        <v>122364</v>
      </c>
      <c r="BR13" s="562">
        <f>BU13-BO13</f>
        <v>145107</v>
      </c>
      <c r="BS13" s="573">
        <f t="shared" si="19"/>
        <v>18.600000000000001</v>
      </c>
      <c r="BT13" s="562">
        <f>수출!BV73</f>
        <v>1390747</v>
      </c>
      <c r="BU13" s="562">
        <f>수출!BW73</f>
        <v>1303606</v>
      </c>
      <c r="BV13" s="573">
        <f t="shared" si="20"/>
        <v>-6.3</v>
      </c>
    </row>
    <row r="14" spans="1:74" ht="22.5" customHeight="1">
      <c r="A14" s="1085"/>
      <c r="B14" s="9" t="s">
        <v>286</v>
      </c>
      <c r="C14" s="57">
        <f>C13/C12*1000</f>
        <v>2243.7946262911296</v>
      </c>
      <c r="D14" s="57">
        <f>D13/D12*1000</f>
        <v>1940.4827069551425</v>
      </c>
      <c r="E14" s="57">
        <f>E13/E12*1000</f>
        <v>2008.2290312886619</v>
      </c>
      <c r="F14" s="57">
        <f>F13/F12*1000</f>
        <v>2337.6439653372777</v>
      </c>
      <c r="G14" s="57">
        <f>G13/G12*1000</f>
        <v>2123.5427169914155</v>
      </c>
      <c r="H14" s="57">
        <f t="shared" ref="H14:M14" si="23">H13/H12*1000</f>
        <v>2205.0174168778444</v>
      </c>
      <c r="I14" s="57">
        <f t="shared" si="23"/>
        <v>2996.7837036151172</v>
      </c>
      <c r="J14" s="57">
        <f t="shared" si="23"/>
        <v>3076.5120272945014</v>
      </c>
      <c r="K14" s="57">
        <f t="shared" si="23"/>
        <v>2690.4808260673576</v>
      </c>
      <c r="L14" s="57">
        <f t="shared" si="23"/>
        <v>2771.9608919040256</v>
      </c>
      <c r="M14" s="57">
        <f t="shared" si="23"/>
        <v>2477.4099565088882</v>
      </c>
      <c r="N14" s="58">
        <f t="shared" si="0"/>
        <v>-10.6</v>
      </c>
      <c r="O14" s="57">
        <f>O13/O12*1000</f>
        <v>2821.3921810478901</v>
      </c>
      <c r="P14" s="57">
        <f>P13/P12*1000</f>
        <v>2431.8211993803939</v>
      </c>
      <c r="Q14" s="58">
        <f t="shared" si="1"/>
        <v>-13.8</v>
      </c>
      <c r="R14" s="57">
        <f>R13/R12*1000</f>
        <v>2795.7822918281904</v>
      </c>
      <c r="S14" s="57">
        <f>S13/S12*1000</f>
        <v>2455.1514758632611</v>
      </c>
      <c r="T14" s="58">
        <f t="shared" si="2"/>
        <v>-12.2</v>
      </c>
      <c r="U14" s="57">
        <f>U13/U12*1000</f>
        <v>2952.0254426865754</v>
      </c>
      <c r="V14" s="57">
        <f>V13/V12*1000</f>
        <v>2114.5917382568387</v>
      </c>
      <c r="W14" s="58">
        <f t="shared" si="3"/>
        <v>-28.4</v>
      </c>
      <c r="X14" s="57">
        <f>X13/X12*1000</f>
        <v>2846.4158754836621</v>
      </c>
      <c r="Y14" s="57">
        <f>Y13/Y12*1000</f>
        <v>2316.9558881120674</v>
      </c>
      <c r="Z14" s="58">
        <f t="shared" si="4"/>
        <v>-18.600000000000001</v>
      </c>
      <c r="AA14" s="57">
        <f>AA13/AA12*1000</f>
        <v>3049.6688741721855</v>
      </c>
      <c r="AB14" s="57">
        <f>AB13/AB12*1000</f>
        <v>2051.0943494134435</v>
      </c>
      <c r="AC14" s="58">
        <f t="shared" si="5"/>
        <v>-32.700000000000003</v>
      </c>
      <c r="AD14" s="57">
        <f>AD13/AD12*1000</f>
        <v>2907.5294563179145</v>
      </c>
      <c r="AE14" s="57">
        <f>AE13/AE12*1000</f>
        <v>2248.5528461487111</v>
      </c>
      <c r="AF14" s="58">
        <f t="shared" si="6"/>
        <v>-22.7</v>
      </c>
      <c r="AG14" s="57">
        <f>AG13/AG12*1000</f>
        <v>2929.0724863600935</v>
      </c>
      <c r="AH14" s="57">
        <f>AH13/AH12*1000</f>
        <v>1947.7605456362135</v>
      </c>
      <c r="AI14" s="58">
        <f t="shared" si="7"/>
        <v>-33.5</v>
      </c>
      <c r="AJ14" s="57">
        <f>AJ13/AJ12*1000</f>
        <v>2912.8642527906322</v>
      </c>
      <c r="AK14" s="57">
        <f>AK13/AK12*1000</f>
        <v>2194.4088207694713</v>
      </c>
      <c r="AL14" s="58">
        <f t="shared" si="8"/>
        <v>-24.7</v>
      </c>
      <c r="AM14" s="559">
        <f>AM13/AM12*1000</f>
        <v>2807.8392556666336</v>
      </c>
      <c r="AN14" s="559">
        <f>AN13/AN12*1000</f>
        <v>2115.0320398718404</v>
      </c>
      <c r="AO14" s="560">
        <f t="shared" si="9"/>
        <v>-24.7</v>
      </c>
      <c r="AP14" s="559">
        <f>AP13/AP12*1000</f>
        <v>2893.0769288149249</v>
      </c>
      <c r="AQ14" s="559">
        <f>AQ13/AQ12*1000</f>
        <v>2182.5449611578165</v>
      </c>
      <c r="AR14" s="560">
        <f t="shared" si="10"/>
        <v>-24.6</v>
      </c>
      <c r="AS14" s="559">
        <f>AS13/AS12*1000</f>
        <v>2682.3629291792536</v>
      </c>
      <c r="AT14" s="559">
        <f>AT13/AT12*1000</f>
        <v>2206.8311195445922</v>
      </c>
      <c r="AU14" s="560">
        <f t="shared" si="11"/>
        <v>-17.7</v>
      </c>
      <c r="AV14" s="559">
        <f>AV13/AV12*1000</f>
        <v>2859.5965077940941</v>
      </c>
      <c r="AW14" s="559">
        <f>AW13/AW12*1000</f>
        <v>2185.9485581116051</v>
      </c>
      <c r="AX14" s="560">
        <f t="shared" si="12"/>
        <v>-23.6</v>
      </c>
      <c r="AY14" s="559">
        <f>AY13/AY12*1000</f>
        <v>2528.8474291524822</v>
      </c>
      <c r="AZ14" s="559">
        <f>AZ13/AZ12*1000</f>
        <v>2357.7686565372892</v>
      </c>
      <c r="BA14" s="560">
        <f t="shared" si="13"/>
        <v>-6.8</v>
      </c>
      <c r="BB14" s="559">
        <f>BB13/BB12*1000</f>
        <v>2818.4915042375792</v>
      </c>
      <c r="BC14" s="559">
        <f>BC13/BC12*1000</f>
        <v>2204.2383794611833</v>
      </c>
      <c r="BD14" s="560">
        <f t="shared" si="14"/>
        <v>-21.8</v>
      </c>
      <c r="BE14" s="559">
        <f>BE13/BE12*1000</f>
        <v>2464.4987281817384</v>
      </c>
      <c r="BF14" s="559">
        <f>BF13/BF12*1000</f>
        <v>2545.7807193242184</v>
      </c>
      <c r="BG14" s="560">
        <f t="shared" si="15"/>
        <v>3.3</v>
      </c>
      <c r="BH14" s="559">
        <f>BH13/BH12*1000</f>
        <v>2779.0795612401093</v>
      </c>
      <c r="BI14" s="559">
        <f>BI13/BI12*1000</f>
        <v>2247.9327794006567</v>
      </c>
      <c r="BJ14" s="560">
        <f t="shared" si="16"/>
        <v>-19.100000000000001</v>
      </c>
      <c r="BK14" s="559">
        <f>BK13/BK12*1000</f>
        <v>2451.6816228037101</v>
      </c>
      <c r="BL14" s="559">
        <f>BL13/BL12*1000</f>
        <v>2551.4389961126644</v>
      </c>
      <c r="BM14" s="560">
        <f t="shared" si="17"/>
        <v>4.0999999999999996</v>
      </c>
      <c r="BN14" s="559">
        <f>BN13/BN12*1000</f>
        <v>2741.5427977339386</v>
      </c>
      <c r="BO14" s="559">
        <f>BO13/BO12*1000</f>
        <v>2283.0130674775291</v>
      </c>
      <c r="BP14" s="560">
        <f t="shared" si="18"/>
        <v>-16.7</v>
      </c>
      <c r="BQ14" s="559">
        <f>BQ13/BQ12*1000</f>
        <v>2491.986233020386</v>
      </c>
      <c r="BR14" s="559">
        <f>BR13/BR12*1000</f>
        <v>2597.5976513551254</v>
      </c>
      <c r="BS14" s="560">
        <f t="shared" si="19"/>
        <v>4.2</v>
      </c>
      <c r="BT14" s="559">
        <f>BT13/BT12*1000</f>
        <v>2717.5978395954321</v>
      </c>
      <c r="BU14" s="559">
        <f>BU13/BU12*1000</f>
        <v>2314.2098862960565</v>
      </c>
      <c r="BV14" s="560">
        <f t="shared" si="20"/>
        <v>-14.8</v>
      </c>
    </row>
    <row r="15" spans="1:74" ht="22.5" customHeight="1">
      <c r="A15" s="1085" t="s">
        <v>289</v>
      </c>
      <c r="B15" s="10" t="s">
        <v>37</v>
      </c>
      <c r="C15" s="78">
        <f>수출!E63</f>
        <v>622155</v>
      </c>
      <c r="D15" s="78">
        <f>수출!F63</f>
        <v>627586</v>
      </c>
      <c r="E15" s="78">
        <f>수출!G63</f>
        <v>691782</v>
      </c>
      <c r="F15" s="78">
        <f>수출!H63</f>
        <v>776325</v>
      </c>
      <c r="G15" s="78">
        <f>수출!I63</f>
        <v>816962</v>
      </c>
      <c r="H15" s="78">
        <f>수출!J63</f>
        <v>798525</v>
      </c>
      <c r="I15" s="78">
        <f>수출!K63</f>
        <v>883405</v>
      </c>
      <c r="J15" s="78">
        <f>수출!L63</f>
        <v>1022556</v>
      </c>
      <c r="K15" s="78">
        <f>수출!M63</f>
        <v>1084232</v>
      </c>
      <c r="L15" s="78">
        <f>수출!N63</f>
        <v>96594</v>
      </c>
      <c r="M15" s="78">
        <f>수출!O63</f>
        <v>94519</v>
      </c>
      <c r="N15" s="154">
        <f t="shared" si="0"/>
        <v>-2.1</v>
      </c>
      <c r="O15" s="78">
        <f>R15-L15</f>
        <v>81180</v>
      </c>
      <c r="P15" s="78">
        <f>S15-M15</f>
        <v>99050</v>
      </c>
      <c r="Q15" s="154">
        <f t="shared" si="1"/>
        <v>22</v>
      </c>
      <c r="R15" s="78">
        <f>수출!T63</f>
        <v>177774</v>
      </c>
      <c r="S15" s="78">
        <f>수출!U63</f>
        <v>193569</v>
      </c>
      <c r="T15" s="154">
        <f t="shared" si="2"/>
        <v>8.9</v>
      </c>
      <c r="U15" s="78">
        <f>X15-R15</f>
        <v>95699</v>
      </c>
      <c r="V15" s="78">
        <f>Y15-S15</f>
        <v>105393</v>
      </c>
      <c r="W15" s="154">
        <f t="shared" si="3"/>
        <v>10.1</v>
      </c>
      <c r="X15" s="78">
        <f>수출!Z63</f>
        <v>273473</v>
      </c>
      <c r="Y15" s="78">
        <f>수출!AA63</f>
        <v>298962</v>
      </c>
      <c r="Z15" s="154">
        <f t="shared" si="4"/>
        <v>9.3000000000000007</v>
      </c>
      <c r="AA15" s="78">
        <f>AD15-X15</f>
        <v>96117</v>
      </c>
      <c r="AB15" s="78">
        <f>AE15-Y15</f>
        <v>89927</v>
      </c>
      <c r="AC15" s="154">
        <f t="shared" si="5"/>
        <v>-6.4</v>
      </c>
      <c r="AD15" s="78">
        <f>수출!AF63</f>
        <v>369590</v>
      </c>
      <c r="AE15" s="78">
        <f>수출!AG63</f>
        <v>388889</v>
      </c>
      <c r="AF15" s="154">
        <f t="shared" si="6"/>
        <v>5.2</v>
      </c>
      <c r="AG15" s="78">
        <f>AJ15-AD15</f>
        <v>95994</v>
      </c>
      <c r="AH15" s="78">
        <f>AK15-AE15</f>
        <v>93507</v>
      </c>
      <c r="AI15" s="154">
        <f t="shared" si="7"/>
        <v>-2.6</v>
      </c>
      <c r="AJ15" s="78">
        <f>수출!AL63</f>
        <v>465584</v>
      </c>
      <c r="AK15" s="78">
        <f>수출!AM63</f>
        <v>482396</v>
      </c>
      <c r="AL15" s="154">
        <f t="shared" si="8"/>
        <v>3.6</v>
      </c>
      <c r="AM15" s="561">
        <f>AP15-AJ15</f>
        <v>86233</v>
      </c>
      <c r="AN15" s="561">
        <f>AQ15-AK15</f>
        <v>105591</v>
      </c>
      <c r="AO15" s="574">
        <f t="shared" si="9"/>
        <v>22.4</v>
      </c>
      <c r="AP15" s="561">
        <f>수출!AR63</f>
        <v>551817</v>
      </c>
      <c r="AQ15" s="561">
        <f>수출!AS63</f>
        <v>587987</v>
      </c>
      <c r="AR15" s="574">
        <f t="shared" si="10"/>
        <v>6.6</v>
      </c>
      <c r="AS15" s="561">
        <f>AV15-AP15</f>
        <v>86975</v>
      </c>
      <c r="AT15" s="561">
        <f>AW15-AQ15</f>
        <v>111657</v>
      </c>
      <c r="AU15" s="574">
        <f t="shared" si="11"/>
        <v>28.4</v>
      </c>
      <c r="AV15" s="561">
        <f>수출!AX63</f>
        <v>638792</v>
      </c>
      <c r="AW15" s="561">
        <f>수출!AY63</f>
        <v>699644</v>
      </c>
      <c r="AX15" s="574">
        <f t="shared" si="12"/>
        <v>9.5</v>
      </c>
      <c r="AY15" s="561">
        <f>BB15-AV15</f>
        <v>85346</v>
      </c>
      <c r="AZ15" s="561">
        <f>BC15-AW15</f>
        <v>103156</v>
      </c>
      <c r="BA15" s="574">
        <f t="shared" si="13"/>
        <v>20.9</v>
      </c>
      <c r="BB15" s="561">
        <f>수출!BD63</f>
        <v>724138</v>
      </c>
      <c r="BC15" s="561">
        <f>수출!BE63</f>
        <v>802800</v>
      </c>
      <c r="BD15" s="574">
        <f t="shared" si="14"/>
        <v>10.9</v>
      </c>
      <c r="BE15" s="561">
        <f>BH15-BB15</f>
        <v>84619</v>
      </c>
      <c r="BF15" s="561">
        <f>BI15-BC15</f>
        <v>107354</v>
      </c>
      <c r="BG15" s="574">
        <f t="shared" si="15"/>
        <v>26.9</v>
      </c>
      <c r="BH15" s="561">
        <f>수출!BJ63</f>
        <v>808757</v>
      </c>
      <c r="BI15" s="561">
        <f>수출!BK63</f>
        <v>910154</v>
      </c>
      <c r="BJ15" s="574">
        <f t="shared" si="16"/>
        <v>12.5</v>
      </c>
      <c r="BK15" s="561">
        <f>BN15-BH15</f>
        <v>94734</v>
      </c>
      <c r="BL15" s="561">
        <f>BO15-BI15</f>
        <v>98545</v>
      </c>
      <c r="BM15" s="574">
        <f t="shared" si="17"/>
        <v>4</v>
      </c>
      <c r="BN15" s="561">
        <f>수출!BP63</f>
        <v>903491</v>
      </c>
      <c r="BO15" s="561">
        <f>수출!BQ63</f>
        <v>1008699</v>
      </c>
      <c r="BP15" s="574">
        <f t="shared" si="18"/>
        <v>11.6</v>
      </c>
      <c r="BQ15" s="561">
        <f>BT15-BN15</f>
        <v>81118</v>
      </c>
      <c r="BR15" s="561">
        <f>BU15-BO15</f>
        <v>94914</v>
      </c>
      <c r="BS15" s="574">
        <f t="shared" si="19"/>
        <v>17</v>
      </c>
      <c r="BT15" s="561">
        <f>수출!BV63</f>
        <v>984609</v>
      </c>
      <c r="BU15" s="561">
        <f>수출!BW63</f>
        <v>1103613</v>
      </c>
      <c r="BV15" s="574">
        <f t="shared" si="20"/>
        <v>12.1</v>
      </c>
    </row>
    <row r="16" spans="1:74" ht="22.5" customHeight="1">
      <c r="A16" s="1085"/>
      <c r="B16" s="5" t="s">
        <v>38</v>
      </c>
      <c r="C16" s="137">
        <f>수출!E64</f>
        <v>2698236</v>
      </c>
      <c r="D16" s="137">
        <f>수출!F64</f>
        <v>2561824</v>
      </c>
      <c r="E16" s="137">
        <f>수출!G64</f>
        <v>2644572</v>
      </c>
      <c r="F16" s="137">
        <f>수출!H64</f>
        <v>2880272</v>
      </c>
      <c r="G16" s="137">
        <f>수출!I64</f>
        <v>2861581</v>
      </c>
      <c r="H16" s="137">
        <f>수출!J64</f>
        <v>2577684</v>
      </c>
      <c r="I16" s="137">
        <f>수출!K64</f>
        <v>3023657</v>
      </c>
      <c r="J16" s="137">
        <f>수출!L64</f>
        <v>3654026</v>
      </c>
      <c r="K16" s="137">
        <f>수출!M64</f>
        <v>3522410</v>
      </c>
      <c r="L16" s="137">
        <f>수출!N64</f>
        <v>323077</v>
      </c>
      <c r="M16" s="137">
        <f>수출!O64</f>
        <v>291917</v>
      </c>
      <c r="N16" s="153">
        <f t="shared" si="0"/>
        <v>-9.6</v>
      </c>
      <c r="O16" s="137">
        <f>R16-L16</f>
        <v>264307</v>
      </c>
      <c r="P16" s="137">
        <f>S16-M16</f>
        <v>295863</v>
      </c>
      <c r="Q16" s="153">
        <f t="shared" si="1"/>
        <v>11.9</v>
      </c>
      <c r="R16" s="137">
        <f>수출!T64</f>
        <v>587384</v>
      </c>
      <c r="S16" s="137">
        <f>수출!U64</f>
        <v>587780</v>
      </c>
      <c r="T16" s="153">
        <f t="shared" si="2"/>
        <v>0.1</v>
      </c>
      <c r="U16" s="137">
        <f>X16-R16</f>
        <v>313187</v>
      </c>
      <c r="V16" s="137">
        <f>Y16-S16</f>
        <v>322983</v>
      </c>
      <c r="W16" s="153">
        <f t="shared" si="3"/>
        <v>3.1</v>
      </c>
      <c r="X16" s="137">
        <f>수출!Z64</f>
        <v>900571</v>
      </c>
      <c r="Y16" s="137">
        <f>수출!AA64</f>
        <v>910763</v>
      </c>
      <c r="Z16" s="153">
        <f t="shared" si="4"/>
        <v>1.1000000000000001</v>
      </c>
      <c r="AA16" s="137">
        <f>AD16-X16</f>
        <v>313569</v>
      </c>
      <c r="AB16" s="137">
        <f>AE16-Y16</f>
        <v>270100</v>
      </c>
      <c r="AC16" s="153">
        <f t="shared" si="5"/>
        <v>-13.9</v>
      </c>
      <c r="AD16" s="137">
        <f>수출!AF64</f>
        <v>1214140</v>
      </c>
      <c r="AE16" s="137">
        <f>수출!AG64</f>
        <v>1180863</v>
      </c>
      <c r="AF16" s="153">
        <f t="shared" si="6"/>
        <v>-2.7</v>
      </c>
      <c r="AG16" s="137">
        <f>AJ16-AD16</f>
        <v>317917</v>
      </c>
      <c r="AH16" s="137">
        <f>AK16-AE16</f>
        <v>251899</v>
      </c>
      <c r="AI16" s="153">
        <f t="shared" si="7"/>
        <v>-20.8</v>
      </c>
      <c r="AJ16" s="137">
        <f>수출!AL64</f>
        <v>1532057</v>
      </c>
      <c r="AK16" s="137">
        <f>수출!AM64</f>
        <v>1432762</v>
      </c>
      <c r="AL16" s="153">
        <f t="shared" si="8"/>
        <v>-6.5</v>
      </c>
      <c r="AM16" s="562">
        <f>AP16-AJ16</f>
        <v>276199</v>
      </c>
      <c r="AN16" s="562">
        <f>AQ16-AK16</f>
        <v>278335</v>
      </c>
      <c r="AO16" s="573">
        <f t="shared" si="9"/>
        <v>0.8</v>
      </c>
      <c r="AP16" s="562">
        <f>수출!AR64</f>
        <v>1808256</v>
      </c>
      <c r="AQ16" s="562">
        <f>수출!AS64</f>
        <v>1711097</v>
      </c>
      <c r="AR16" s="573">
        <f t="shared" si="10"/>
        <v>-5.4</v>
      </c>
      <c r="AS16" s="562">
        <f>AV16-AP16</f>
        <v>285991</v>
      </c>
      <c r="AT16" s="562">
        <f>AW16-AQ16</f>
        <v>305405</v>
      </c>
      <c r="AU16" s="573">
        <f t="shared" si="11"/>
        <v>6.8</v>
      </c>
      <c r="AV16" s="562">
        <f>수출!AX64</f>
        <v>2094247</v>
      </c>
      <c r="AW16" s="562">
        <f>수출!AY64</f>
        <v>2016502</v>
      </c>
      <c r="AX16" s="573">
        <f t="shared" si="12"/>
        <v>-3.7</v>
      </c>
      <c r="AY16" s="562">
        <f>BB16-AV16</f>
        <v>278851</v>
      </c>
      <c r="AZ16" s="562">
        <f>BC16-AW16</f>
        <v>288082</v>
      </c>
      <c r="BA16" s="573">
        <f t="shared" si="13"/>
        <v>3.3</v>
      </c>
      <c r="BB16" s="562">
        <f>수출!BD64</f>
        <v>2373098</v>
      </c>
      <c r="BC16" s="562">
        <f>수출!BE64</f>
        <v>2304584</v>
      </c>
      <c r="BD16" s="573">
        <f t="shared" si="14"/>
        <v>-2.9</v>
      </c>
      <c r="BE16" s="562">
        <f>BH16-BB16</f>
        <v>271177</v>
      </c>
      <c r="BF16" s="562">
        <f>BI16-BC16</f>
        <v>317289</v>
      </c>
      <c r="BG16" s="573">
        <f t="shared" si="15"/>
        <v>17</v>
      </c>
      <c r="BH16" s="562">
        <f>수출!BJ64</f>
        <v>2644275</v>
      </c>
      <c r="BI16" s="562">
        <f>수출!BK64</f>
        <v>2621873</v>
      </c>
      <c r="BJ16" s="573">
        <f t="shared" si="16"/>
        <v>-0.8</v>
      </c>
      <c r="BK16" s="562">
        <f>BN16-BH16</f>
        <v>305067</v>
      </c>
      <c r="BL16" s="562">
        <f>BO16-BI16</f>
        <v>300576</v>
      </c>
      <c r="BM16" s="573">
        <f t="shared" si="17"/>
        <v>-1.5</v>
      </c>
      <c r="BN16" s="562">
        <f>수출!BP64</f>
        <v>2949342</v>
      </c>
      <c r="BO16" s="562">
        <f>수출!BQ64</f>
        <v>2922449</v>
      </c>
      <c r="BP16" s="573">
        <f t="shared" si="18"/>
        <v>-0.9</v>
      </c>
      <c r="BQ16" s="562">
        <f>BT16-BN16</f>
        <v>264052</v>
      </c>
      <c r="BR16" s="562">
        <f>BU16-BO16</f>
        <v>308114</v>
      </c>
      <c r="BS16" s="573">
        <f t="shared" si="19"/>
        <v>16.7</v>
      </c>
      <c r="BT16" s="562">
        <f>수출!BV64</f>
        <v>3213394</v>
      </c>
      <c r="BU16" s="562">
        <f>수출!BW64</f>
        <v>3230563</v>
      </c>
      <c r="BV16" s="573">
        <f t="shared" si="20"/>
        <v>0.5</v>
      </c>
    </row>
    <row r="17" spans="1:74" ht="22.5" customHeight="1">
      <c r="A17" s="1085"/>
      <c r="B17" s="9" t="s">
        <v>286</v>
      </c>
      <c r="C17" s="57">
        <f>C16/C15*1000</f>
        <v>4336.919256455385</v>
      </c>
      <c r="D17" s="57">
        <f>D16/D15*1000</f>
        <v>4082.0285984709662</v>
      </c>
      <c r="E17" s="57">
        <f>E16/E15*1000</f>
        <v>3822.840143282132</v>
      </c>
      <c r="F17" s="57">
        <f>F16/F15*1000</f>
        <v>3710.1368627829838</v>
      </c>
      <c r="G17" s="57">
        <f>G16/G15*1000</f>
        <v>3502.7100403690747</v>
      </c>
      <c r="H17" s="57">
        <f t="shared" ref="H17:M17" si="24">H16/H15*1000</f>
        <v>3228.056729595191</v>
      </c>
      <c r="I17" s="57">
        <f t="shared" si="24"/>
        <v>3422.7302313208552</v>
      </c>
      <c r="J17" s="57">
        <f t="shared" si="24"/>
        <v>3573.4238516032374</v>
      </c>
      <c r="K17" s="57">
        <f t="shared" si="24"/>
        <v>3248.7604129005599</v>
      </c>
      <c r="L17" s="57">
        <f t="shared" si="24"/>
        <v>3344.690146385904</v>
      </c>
      <c r="M17" s="57">
        <f t="shared" si="24"/>
        <v>3088.4478253049651</v>
      </c>
      <c r="N17" s="58">
        <f t="shared" si="0"/>
        <v>-7.7</v>
      </c>
      <c r="O17" s="57">
        <f>O16/O15*1000</f>
        <v>3255.8142399605817</v>
      </c>
      <c r="P17" s="57">
        <f>P16/P15*1000</f>
        <v>2987.0065623422515</v>
      </c>
      <c r="Q17" s="58">
        <f t="shared" si="1"/>
        <v>-8.3000000000000007</v>
      </c>
      <c r="R17" s="57">
        <f>R16/R15*1000</f>
        <v>3304.1052122357601</v>
      </c>
      <c r="S17" s="57">
        <f>S16/S15*1000</f>
        <v>3036.5399418295283</v>
      </c>
      <c r="T17" s="58">
        <f t="shared" si="2"/>
        <v>-8.1</v>
      </c>
      <c r="U17" s="57">
        <f>U16/U15*1000</f>
        <v>3272.6256282719778</v>
      </c>
      <c r="V17" s="57">
        <f>V16/V15*1000</f>
        <v>3064.5583672539919</v>
      </c>
      <c r="W17" s="58">
        <f t="shared" si="3"/>
        <v>-6.4</v>
      </c>
      <c r="X17" s="57">
        <f>X16/X15*1000</f>
        <v>3293.0892629254076</v>
      </c>
      <c r="Y17" s="57">
        <f>Y16/Y15*1000</f>
        <v>3046.4172704223279</v>
      </c>
      <c r="Z17" s="58">
        <f t="shared" si="4"/>
        <v>-7.5</v>
      </c>
      <c r="AA17" s="57">
        <f>AA16/AA15*1000</f>
        <v>3262.3677393177063</v>
      </c>
      <c r="AB17" s="57">
        <f>AB16/AB15*1000</f>
        <v>3003.5473217165036</v>
      </c>
      <c r="AC17" s="58">
        <f t="shared" si="5"/>
        <v>-7.9</v>
      </c>
      <c r="AD17" s="57">
        <f>AD16/AD15*1000</f>
        <v>3285.0997050786004</v>
      </c>
      <c r="AE17" s="57">
        <f>AE16/AE15*1000</f>
        <v>3036.5039895702885</v>
      </c>
      <c r="AF17" s="58">
        <f t="shared" si="6"/>
        <v>-7.6</v>
      </c>
      <c r="AG17" s="57">
        <f>AG16/AG15*1000</f>
        <v>3311.842406817093</v>
      </c>
      <c r="AH17" s="57">
        <f>AH16/AH15*1000</f>
        <v>2693.9052691242368</v>
      </c>
      <c r="AI17" s="58">
        <f t="shared" si="7"/>
        <v>-18.7</v>
      </c>
      <c r="AJ17" s="57">
        <f>AJ16/AJ15*1000</f>
        <v>3290.6135090552939</v>
      </c>
      <c r="AK17" s="57">
        <f>AK16/AK15*1000</f>
        <v>2970.0951085829897</v>
      </c>
      <c r="AL17" s="58">
        <f t="shared" si="8"/>
        <v>-9.6999999999999993</v>
      </c>
      <c r="AM17" s="559">
        <f>AM16/AM15*1000</f>
        <v>3202.9385502069972</v>
      </c>
      <c r="AN17" s="559">
        <f>AN16/AN15*1000</f>
        <v>2635.9727628301653</v>
      </c>
      <c r="AO17" s="560">
        <f t="shared" si="9"/>
        <v>-17.7</v>
      </c>
      <c r="AP17" s="559">
        <f>AP16/AP15*1000</f>
        <v>3276.9124546724729</v>
      </c>
      <c r="AQ17" s="559">
        <f>AQ16/AQ15*1000</f>
        <v>2910.0932503609774</v>
      </c>
      <c r="AR17" s="560">
        <f t="shared" si="10"/>
        <v>-11.2</v>
      </c>
      <c r="AS17" s="559">
        <f>AS16/AS15*1000</f>
        <v>3288.1977579764298</v>
      </c>
      <c r="AT17" s="559">
        <f>AT16/AT15*1000</f>
        <v>2735.2069283609626</v>
      </c>
      <c r="AU17" s="560">
        <f t="shared" si="11"/>
        <v>-16.8</v>
      </c>
      <c r="AV17" s="559">
        <f>AV16/AV15*1000</f>
        <v>3278.4490100063872</v>
      </c>
      <c r="AW17" s="559">
        <f>AW16/AW15*1000</f>
        <v>2882.1829387517082</v>
      </c>
      <c r="AX17" s="560">
        <f t="shared" si="12"/>
        <v>-12.1</v>
      </c>
      <c r="AY17" s="559">
        <f>AY16/AY15*1000</f>
        <v>3267.3001663815526</v>
      </c>
      <c r="AZ17" s="559">
        <f>AZ16/AZ15*1000</f>
        <v>2792.6829268292681</v>
      </c>
      <c r="BA17" s="560">
        <f t="shared" si="13"/>
        <v>-14.5</v>
      </c>
      <c r="BB17" s="559">
        <f>BB16/BB15*1000</f>
        <v>3277.135021225236</v>
      </c>
      <c r="BC17" s="559">
        <f>BC16/BC15*1000</f>
        <v>2870.682610861983</v>
      </c>
      <c r="BD17" s="560">
        <f t="shared" si="14"/>
        <v>-12.4</v>
      </c>
      <c r="BE17" s="559">
        <f>BE16/BE15*1000</f>
        <v>3204.6821635802835</v>
      </c>
      <c r="BF17" s="559">
        <f>BF16/BF15*1000</f>
        <v>2955.5396165955626</v>
      </c>
      <c r="BG17" s="560">
        <f t="shared" si="15"/>
        <v>-7.8</v>
      </c>
      <c r="BH17" s="559">
        <f>BH16/BH15*1000</f>
        <v>3269.5543902556642</v>
      </c>
      <c r="BI17" s="559">
        <f>BI16/BI15*1000</f>
        <v>2880.6916192204835</v>
      </c>
      <c r="BJ17" s="560">
        <f t="shared" si="16"/>
        <v>-11.9</v>
      </c>
      <c r="BK17" s="559">
        <f>BK16/BK15*1000</f>
        <v>3220.2482741148901</v>
      </c>
      <c r="BL17" s="559">
        <f>BL16/BL15*1000</f>
        <v>3050.1395301638845</v>
      </c>
      <c r="BM17" s="560">
        <f t="shared" si="17"/>
        <v>-5.3</v>
      </c>
      <c r="BN17" s="559">
        <f>BN16/BN15*1000</f>
        <v>3264.38448197049</v>
      </c>
      <c r="BO17" s="559">
        <f>BO16/BO15*1000</f>
        <v>2897.2458582788322</v>
      </c>
      <c r="BP17" s="560">
        <f t="shared" si="18"/>
        <v>-11.2</v>
      </c>
      <c r="BQ17" s="559">
        <f>BQ16/BQ15*1000</f>
        <v>3255.1591508666388</v>
      </c>
      <c r="BR17" s="559">
        <f>BR16/BR15*1000</f>
        <v>3246.2439682238655</v>
      </c>
      <c r="BS17" s="560">
        <f t="shared" si="19"/>
        <v>-0.3</v>
      </c>
      <c r="BT17" s="559">
        <f>BT16/BT15*1000</f>
        <v>3263.6244438147532</v>
      </c>
      <c r="BU17" s="559">
        <f>BU16/BU15*1000</f>
        <v>2927.2607336086112</v>
      </c>
      <c r="BV17" s="560">
        <f t="shared" si="20"/>
        <v>-10.3</v>
      </c>
    </row>
    <row r="18" spans="1:74" ht="22.5" customHeight="1">
      <c r="A18" s="1085" t="s">
        <v>290</v>
      </c>
      <c r="B18" s="10" t="s">
        <v>37</v>
      </c>
      <c r="C18" s="78">
        <f>수출!E90</f>
        <v>17637</v>
      </c>
      <c r="D18" s="78">
        <f>수출!F90</f>
        <v>12478</v>
      </c>
      <c r="E18" s="78">
        <f>수출!G90</f>
        <v>21010</v>
      </c>
      <c r="F18" s="78">
        <f>수출!H90</f>
        <v>13864</v>
      </c>
      <c r="G18" s="78">
        <f>수출!I90</f>
        <v>16173</v>
      </c>
      <c r="H18" s="78">
        <f>수출!J90</f>
        <v>23074</v>
      </c>
      <c r="I18" s="78">
        <f>수출!K90</f>
        <v>16569</v>
      </c>
      <c r="J18" s="78">
        <f>수출!L90</f>
        <v>12445</v>
      </c>
      <c r="K18" s="78">
        <f>수출!M90</f>
        <v>21792</v>
      </c>
      <c r="L18" s="78">
        <f>수출!N90</f>
        <v>1293</v>
      </c>
      <c r="M18" s="78">
        <f>수출!O90</f>
        <v>1075</v>
      </c>
      <c r="N18" s="154">
        <f t="shared" si="0"/>
        <v>-16.899999999999999</v>
      </c>
      <c r="O18" s="78">
        <f>R18-L18</f>
        <v>1412</v>
      </c>
      <c r="P18" s="78">
        <f>S18-M18</f>
        <v>973</v>
      </c>
      <c r="Q18" s="154">
        <f t="shared" si="1"/>
        <v>-31.1</v>
      </c>
      <c r="R18" s="78">
        <f>수출!T90</f>
        <v>2705</v>
      </c>
      <c r="S18" s="78">
        <f>수출!U90</f>
        <v>2048</v>
      </c>
      <c r="T18" s="154">
        <f t="shared" si="2"/>
        <v>-24.3</v>
      </c>
      <c r="U18" s="78">
        <f>X18-R18</f>
        <v>2137</v>
      </c>
      <c r="V18" s="78">
        <f>Y18-S18</f>
        <v>1461</v>
      </c>
      <c r="W18" s="154">
        <f t="shared" si="3"/>
        <v>-31.6</v>
      </c>
      <c r="X18" s="78">
        <f>수출!Z90</f>
        <v>4842</v>
      </c>
      <c r="Y18" s="78">
        <f>수출!AA90</f>
        <v>3509</v>
      </c>
      <c r="Z18" s="154">
        <f t="shared" si="4"/>
        <v>-27.5</v>
      </c>
      <c r="AA18" s="78">
        <f>AD18-X18</f>
        <v>1828</v>
      </c>
      <c r="AB18" s="78">
        <f>AE18-Y18</f>
        <v>1399</v>
      </c>
      <c r="AC18" s="154">
        <f t="shared" si="5"/>
        <v>-23.5</v>
      </c>
      <c r="AD18" s="78">
        <f>수출!AF90</f>
        <v>6670</v>
      </c>
      <c r="AE18" s="78">
        <f>수출!AG90</f>
        <v>4908</v>
      </c>
      <c r="AF18" s="154">
        <f t="shared" si="6"/>
        <v>-26.4</v>
      </c>
      <c r="AG18" s="78">
        <f>AJ18-AD18</f>
        <v>1702</v>
      </c>
      <c r="AH18" s="78">
        <f>AK18-AE18</f>
        <v>1293</v>
      </c>
      <c r="AI18" s="154">
        <f t="shared" si="7"/>
        <v>-24</v>
      </c>
      <c r="AJ18" s="78">
        <f>수출!AL90</f>
        <v>8372</v>
      </c>
      <c r="AK18" s="78">
        <f>수출!AM90</f>
        <v>6201</v>
      </c>
      <c r="AL18" s="154">
        <f t="shared" si="8"/>
        <v>-25.9</v>
      </c>
      <c r="AM18" s="561">
        <f>AP18-AJ18</f>
        <v>1429</v>
      </c>
      <c r="AN18" s="561">
        <f>AQ18-AK18</f>
        <v>1099</v>
      </c>
      <c r="AO18" s="574">
        <f t="shared" si="9"/>
        <v>-23.1</v>
      </c>
      <c r="AP18" s="561">
        <f>수출!AR90</f>
        <v>9801</v>
      </c>
      <c r="AQ18" s="561">
        <f>수출!AS90</f>
        <v>7300</v>
      </c>
      <c r="AR18" s="574">
        <f t="shared" si="10"/>
        <v>-25.5</v>
      </c>
      <c r="AS18" s="561">
        <f>AV18-AP18</f>
        <v>1741</v>
      </c>
      <c r="AT18" s="561">
        <f>AW18-AQ18</f>
        <v>1576</v>
      </c>
      <c r="AU18" s="574">
        <f t="shared" si="11"/>
        <v>-9.5</v>
      </c>
      <c r="AV18" s="561">
        <f>수출!AX90</f>
        <v>11542</v>
      </c>
      <c r="AW18" s="561">
        <f>수출!AY90</f>
        <v>8876</v>
      </c>
      <c r="AX18" s="574">
        <f t="shared" si="12"/>
        <v>-23.1</v>
      </c>
      <c r="AY18" s="561">
        <f>BB18-AV18</f>
        <v>1855</v>
      </c>
      <c r="AZ18" s="561">
        <f>BC18-AW18</f>
        <v>895</v>
      </c>
      <c r="BA18" s="574">
        <f t="shared" si="13"/>
        <v>-51.8</v>
      </c>
      <c r="BB18" s="561">
        <f>수출!BD90</f>
        <v>13397</v>
      </c>
      <c r="BC18" s="561">
        <f>수출!BE90</f>
        <v>9771</v>
      </c>
      <c r="BD18" s="574">
        <f t="shared" si="14"/>
        <v>-27.1</v>
      </c>
      <c r="BE18" s="561">
        <f>BH18-BB18</f>
        <v>1948</v>
      </c>
      <c r="BF18" s="561">
        <f>BI18-BC18</f>
        <v>1228</v>
      </c>
      <c r="BG18" s="574">
        <f t="shared" si="15"/>
        <v>-37</v>
      </c>
      <c r="BH18" s="561">
        <f>수출!BJ90</f>
        <v>15345</v>
      </c>
      <c r="BI18" s="561">
        <f>수출!BK90</f>
        <v>10999</v>
      </c>
      <c r="BJ18" s="574">
        <f t="shared" si="16"/>
        <v>-28.3</v>
      </c>
      <c r="BK18" s="561">
        <f>BN18-BH18</f>
        <v>1991</v>
      </c>
      <c r="BL18" s="561">
        <f>BO18-BI18</f>
        <v>1097</v>
      </c>
      <c r="BM18" s="574">
        <f t="shared" si="17"/>
        <v>-44.9</v>
      </c>
      <c r="BN18" s="561">
        <f>수출!BP90</f>
        <v>17336</v>
      </c>
      <c r="BO18" s="561">
        <f>수출!BQ90</f>
        <v>12096</v>
      </c>
      <c r="BP18" s="574">
        <f t="shared" si="18"/>
        <v>-30.2</v>
      </c>
      <c r="BQ18" s="561">
        <f>BT18-BN18</f>
        <v>1925</v>
      </c>
      <c r="BR18" s="561">
        <f>BU18-BO18</f>
        <v>1433</v>
      </c>
      <c r="BS18" s="574">
        <f t="shared" si="19"/>
        <v>-25.6</v>
      </c>
      <c r="BT18" s="561">
        <f>수출!BV90</f>
        <v>19261</v>
      </c>
      <c r="BU18" s="561">
        <f>수출!BW90</f>
        <v>13529</v>
      </c>
      <c r="BV18" s="574">
        <f t="shared" si="20"/>
        <v>-29.8</v>
      </c>
    </row>
    <row r="19" spans="1:74" ht="22.5" customHeight="1">
      <c r="A19" s="1085"/>
      <c r="B19" s="5" t="s">
        <v>38</v>
      </c>
      <c r="C19" s="137">
        <f>수출!E91</f>
        <v>198694</v>
      </c>
      <c r="D19" s="137">
        <f>수출!F91</f>
        <v>146252</v>
      </c>
      <c r="E19" s="137">
        <f>수출!G91</f>
        <v>266977</v>
      </c>
      <c r="F19" s="137">
        <f>수출!H91</f>
        <v>160449</v>
      </c>
      <c r="G19" s="137">
        <f>수출!I91</f>
        <v>130565</v>
      </c>
      <c r="H19" s="137">
        <f>수출!J91</f>
        <v>182177</v>
      </c>
      <c r="I19" s="137">
        <f>수출!K91</f>
        <v>150939</v>
      </c>
      <c r="J19" s="137">
        <f>수출!L91</f>
        <v>142283</v>
      </c>
      <c r="K19" s="137">
        <f>수출!M91</f>
        <v>186009</v>
      </c>
      <c r="L19" s="137">
        <f>수출!N91</f>
        <v>14303</v>
      </c>
      <c r="M19" s="137">
        <f>수출!O91</f>
        <v>10417</v>
      </c>
      <c r="N19" s="153">
        <f t="shared" si="0"/>
        <v>-27.2</v>
      </c>
      <c r="O19" s="137">
        <f>R19-L19</f>
        <v>15349</v>
      </c>
      <c r="P19" s="137">
        <f>S19-M19</f>
        <v>11114</v>
      </c>
      <c r="Q19" s="153">
        <f t="shared" si="1"/>
        <v>-27.6</v>
      </c>
      <c r="R19" s="137">
        <f>수출!T91</f>
        <v>29652</v>
      </c>
      <c r="S19" s="137">
        <f>수출!U91</f>
        <v>21531</v>
      </c>
      <c r="T19" s="153">
        <f t="shared" si="2"/>
        <v>-27.4</v>
      </c>
      <c r="U19" s="137">
        <f>X19-R19</f>
        <v>16401</v>
      </c>
      <c r="V19" s="137">
        <f>Y19-S19</f>
        <v>11868</v>
      </c>
      <c r="W19" s="153">
        <f t="shared" si="3"/>
        <v>-27.6</v>
      </c>
      <c r="X19" s="137">
        <f>수출!Z91</f>
        <v>46053</v>
      </c>
      <c r="Y19" s="137">
        <f>수출!AA91</f>
        <v>33399</v>
      </c>
      <c r="Z19" s="153">
        <f t="shared" si="4"/>
        <v>-27.5</v>
      </c>
      <c r="AA19" s="137">
        <f>AD19-X19</f>
        <v>14834</v>
      </c>
      <c r="AB19" s="137">
        <f>AE19-Y19</f>
        <v>8950</v>
      </c>
      <c r="AC19" s="153">
        <f t="shared" si="5"/>
        <v>-39.700000000000003</v>
      </c>
      <c r="AD19" s="137">
        <f>수출!AF91</f>
        <v>60887</v>
      </c>
      <c r="AE19" s="137">
        <f>수출!AG91</f>
        <v>42349</v>
      </c>
      <c r="AF19" s="153">
        <f t="shared" si="6"/>
        <v>-30.4</v>
      </c>
      <c r="AG19" s="137">
        <f>AJ19-AD19</f>
        <v>14773</v>
      </c>
      <c r="AH19" s="137">
        <f>AK19-AE19</f>
        <v>12072</v>
      </c>
      <c r="AI19" s="153">
        <f t="shared" si="7"/>
        <v>-18.3</v>
      </c>
      <c r="AJ19" s="137">
        <f>수출!AL91</f>
        <v>75660</v>
      </c>
      <c r="AK19" s="137">
        <f>수출!AM91</f>
        <v>54421</v>
      </c>
      <c r="AL19" s="153">
        <f t="shared" si="8"/>
        <v>-28.1</v>
      </c>
      <c r="AM19" s="562">
        <f>AP19-AJ19</f>
        <v>12854</v>
      </c>
      <c r="AN19" s="562">
        <f>AQ19-AK19</f>
        <v>12125</v>
      </c>
      <c r="AO19" s="573">
        <f t="shared" si="9"/>
        <v>-5.7</v>
      </c>
      <c r="AP19" s="562">
        <f>수출!AR91</f>
        <v>88514</v>
      </c>
      <c r="AQ19" s="562">
        <f>수출!AS91</f>
        <v>66546</v>
      </c>
      <c r="AR19" s="573">
        <f t="shared" si="10"/>
        <v>-24.8</v>
      </c>
      <c r="AS19" s="562">
        <f>AV19-AP19</f>
        <v>14674</v>
      </c>
      <c r="AT19" s="562">
        <f>AW19-AQ19</f>
        <v>16686</v>
      </c>
      <c r="AU19" s="573">
        <f t="shared" si="11"/>
        <v>13.7</v>
      </c>
      <c r="AV19" s="562">
        <f>수출!AX91</f>
        <v>103188</v>
      </c>
      <c r="AW19" s="562">
        <f>수출!AY91</f>
        <v>83232</v>
      </c>
      <c r="AX19" s="573">
        <f t="shared" si="12"/>
        <v>-19.3</v>
      </c>
      <c r="AY19" s="562">
        <f>BB19-AV19</f>
        <v>17284</v>
      </c>
      <c r="AZ19" s="562">
        <f>BC19-AW19</f>
        <v>12178</v>
      </c>
      <c r="BA19" s="573">
        <f t="shared" si="13"/>
        <v>-29.5</v>
      </c>
      <c r="BB19" s="562">
        <f>수출!BD91</f>
        <v>120472</v>
      </c>
      <c r="BC19" s="562">
        <f>수출!BE91</f>
        <v>95410</v>
      </c>
      <c r="BD19" s="573">
        <f t="shared" si="14"/>
        <v>-20.8</v>
      </c>
      <c r="BE19" s="562">
        <f>BH19-BB19</f>
        <v>18016</v>
      </c>
      <c r="BF19" s="562">
        <f>BI19-BC19</f>
        <v>12506</v>
      </c>
      <c r="BG19" s="573">
        <f t="shared" si="15"/>
        <v>-30.6</v>
      </c>
      <c r="BH19" s="562">
        <f>수출!BJ91</f>
        <v>138488</v>
      </c>
      <c r="BI19" s="562">
        <f>수출!BK91</f>
        <v>107916</v>
      </c>
      <c r="BJ19" s="573">
        <f t="shared" si="16"/>
        <v>-22.1</v>
      </c>
      <c r="BK19" s="562">
        <f>BN19-BH19</f>
        <v>17778</v>
      </c>
      <c r="BL19" s="562">
        <f>BO19-BI19</f>
        <v>10296</v>
      </c>
      <c r="BM19" s="573">
        <f t="shared" si="17"/>
        <v>-42.1</v>
      </c>
      <c r="BN19" s="562">
        <f>수출!BP91</f>
        <v>156266</v>
      </c>
      <c r="BO19" s="562">
        <f>수출!BQ91</f>
        <v>118212</v>
      </c>
      <c r="BP19" s="573">
        <f t="shared" si="18"/>
        <v>-24.4</v>
      </c>
      <c r="BQ19" s="562">
        <f>BT19-BN19</f>
        <v>16469</v>
      </c>
      <c r="BR19" s="562">
        <f>BU19-BO19</f>
        <v>12516</v>
      </c>
      <c r="BS19" s="573">
        <f t="shared" si="19"/>
        <v>-24</v>
      </c>
      <c r="BT19" s="562">
        <f>수출!BV91</f>
        <v>172735</v>
      </c>
      <c r="BU19" s="562">
        <f>수출!BW91</f>
        <v>130728</v>
      </c>
      <c r="BV19" s="573">
        <f t="shared" si="20"/>
        <v>-24.3</v>
      </c>
    </row>
    <row r="20" spans="1:74" ht="22.5" customHeight="1">
      <c r="A20" s="1085"/>
      <c r="B20" s="9" t="s">
        <v>286</v>
      </c>
      <c r="C20" s="57">
        <f>C19/C18*1000</f>
        <v>11265.748143108238</v>
      </c>
      <c r="D20" s="57">
        <f>D19/D18*1000</f>
        <v>11720.788587914729</v>
      </c>
      <c r="E20" s="57">
        <f>E19/E18*1000</f>
        <v>12707.139457401237</v>
      </c>
      <c r="F20" s="57">
        <f>F19/F18*1000</f>
        <v>11573.06693594922</v>
      </c>
      <c r="G20" s="57">
        <f>G19/G18*1000</f>
        <v>8073.0229394670123</v>
      </c>
      <c r="H20" s="57">
        <f t="shared" ref="H20:M20" si="25">H19/H18*1000</f>
        <v>7895.336742654069</v>
      </c>
      <c r="I20" s="57">
        <f t="shared" si="25"/>
        <v>9109.7229766431283</v>
      </c>
      <c r="J20" s="57">
        <f t="shared" si="25"/>
        <v>11432.944957814383</v>
      </c>
      <c r="K20" s="57">
        <f t="shared" si="25"/>
        <v>8535.6552863436118</v>
      </c>
      <c r="L20" s="57">
        <f t="shared" si="25"/>
        <v>11061.871616395978</v>
      </c>
      <c r="M20" s="57">
        <f t="shared" si="25"/>
        <v>9690.2325581395344</v>
      </c>
      <c r="N20" s="58">
        <f t="shared" si="0"/>
        <v>-12.4</v>
      </c>
      <c r="O20" s="57">
        <f>O19/O18*1000</f>
        <v>10870.396600566572</v>
      </c>
      <c r="P20" s="57">
        <f>P19/P18*1000</f>
        <v>11422.404933196301</v>
      </c>
      <c r="Q20" s="58">
        <f t="shared" si="1"/>
        <v>5.0999999999999996</v>
      </c>
      <c r="R20" s="57">
        <f>R19/R18*1000</f>
        <v>10961.92236598891</v>
      </c>
      <c r="S20" s="57">
        <f>S19/S18*1000</f>
        <v>10513.18359375</v>
      </c>
      <c r="T20" s="58">
        <f t="shared" si="2"/>
        <v>-4.0999999999999996</v>
      </c>
      <c r="U20" s="57">
        <f>U19/U18*1000</f>
        <v>7674.7777257838088</v>
      </c>
      <c r="V20" s="57">
        <f>V19/V18*1000</f>
        <v>8123.2032854209438</v>
      </c>
      <c r="W20" s="58">
        <f t="shared" si="3"/>
        <v>5.8</v>
      </c>
      <c r="X20" s="57">
        <f>X19/X18*1000</f>
        <v>9511.1524163568774</v>
      </c>
      <c r="Y20" s="57">
        <f>Y19/Y18*1000</f>
        <v>9518.0963237389569</v>
      </c>
      <c r="Z20" s="58">
        <f t="shared" si="4"/>
        <v>0.1</v>
      </c>
      <c r="AA20" s="57">
        <f>AA19/AA18*1000</f>
        <v>8114.8796498905913</v>
      </c>
      <c r="AB20" s="57">
        <f>AB19/AB18*1000</f>
        <v>6397.4267333809867</v>
      </c>
      <c r="AC20" s="58">
        <f t="shared" si="5"/>
        <v>-21.2</v>
      </c>
      <c r="AD20" s="57">
        <f>AD19/AD18*1000</f>
        <v>9128.4857571214379</v>
      </c>
      <c r="AE20" s="57">
        <f>AE19/AE18*1000</f>
        <v>8628.5656071719641</v>
      </c>
      <c r="AF20" s="58">
        <f t="shared" si="6"/>
        <v>-5.5</v>
      </c>
      <c r="AG20" s="57">
        <f>AG19/AG18*1000</f>
        <v>8679.7884841363102</v>
      </c>
      <c r="AH20" s="57">
        <f>AH19/AH18*1000</f>
        <v>9336.4269141531331</v>
      </c>
      <c r="AI20" s="58">
        <f t="shared" si="7"/>
        <v>7.6</v>
      </c>
      <c r="AJ20" s="57">
        <f>AJ19/AJ18*1000</f>
        <v>9037.2670807453414</v>
      </c>
      <c r="AK20" s="57">
        <f>AK19/AK18*1000</f>
        <v>8776.165134655701</v>
      </c>
      <c r="AL20" s="58">
        <f t="shared" si="8"/>
        <v>-2.9</v>
      </c>
      <c r="AM20" s="559">
        <f>AM19/AM18*1000</f>
        <v>8995.101469559133</v>
      </c>
      <c r="AN20" s="559">
        <f>AN19/AN18*1000</f>
        <v>11032.757051865332</v>
      </c>
      <c r="AO20" s="560">
        <f t="shared" si="9"/>
        <v>22.7</v>
      </c>
      <c r="AP20" s="559">
        <f>AP19/AP18*1000</f>
        <v>9031.1192735435161</v>
      </c>
      <c r="AQ20" s="559">
        <f>AQ19/AQ18*1000</f>
        <v>9115.8904109589039</v>
      </c>
      <c r="AR20" s="560">
        <f t="shared" si="10"/>
        <v>0.9</v>
      </c>
      <c r="AS20" s="559">
        <f>AS19/AS18*1000</f>
        <v>8428.489373923032</v>
      </c>
      <c r="AT20" s="559">
        <f>AT19/AT18*1000</f>
        <v>10587.563451776648</v>
      </c>
      <c r="AU20" s="560">
        <f t="shared" si="11"/>
        <v>25.6</v>
      </c>
      <c r="AV20" s="559">
        <f>AV19/AV18*1000</f>
        <v>8940.2183330445314</v>
      </c>
      <c r="AW20" s="559">
        <f>AW19/AW18*1000</f>
        <v>9377.1969355565561</v>
      </c>
      <c r="AX20" s="560">
        <f t="shared" si="12"/>
        <v>4.9000000000000004</v>
      </c>
      <c r="AY20" s="559">
        <f>AY19/AY18*1000</f>
        <v>9317.5202156334235</v>
      </c>
      <c r="AZ20" s="559">
        <f>AZ19/AZ18*1000</f>
        <v>13606.703910614526</v>
      </c>
      <c r="BA20" s="560">
        <f t="shared" si="13"/>
        <v>46</v>
      </c>
      <c r="BB20" s="559">
        <f>BB19/BB18*1000</f>
        <v>8992.4609987310596</v>
      </c>
      <c r="BC20" s="559">
        <f>BC19/BC18*1000</f>
        <v>9764.609558898781</v>
      </c>
      <c r="BD20" s="560">
        <f t="shared" si="14"/>
        <v>8.6</v>
      </c>
      <c r="BE20" s="559">
        <f>BE19/BE18*1000</f>
        <v>9248.4599589322388</v>
      </c>
      <c r="BF20" s="559">
        <f>BF19/BF18*1000</f>
        <v>10184.039087947882</v>
      </c>
      <c r="BG20" s="560">
        <f t="shared" si="15"/>
        <v>10.1</v>
      </c>
      <c r="BH20" s="559">
        <f>BH19/BH18*1000</f>
        <v>9024.9592701205602</v>
      </c>
      <c r="BI20" s="559">
        <f>BI19/BI18*1000</f>
        <v>9811.4374034003085</v>
      </c>
      <c r="BJ20" s="560">
        <f t="shared" si="16"/>
        <v>8.6999999999999993</v>
      </c>
      <c r="BK20" s="559">
        <f>BK19/BK18*1000</f>
        <v>8929.1813159216472</v>
      </c>
      <c r="BL20" s="559">
        <f>BL19/BL18*1000</f>
        <v>9385.597082953509</v>
      </c>
      <c r="BM20" s="560">
        <f t="shared" si="17"/>
        <v>5.0999999999999996</v>
      </c>
      <c r="BN20" s="559">
        <f>BN19/BN18*1000</f>
        <v>9013.9593908629431</v>
      </c>
      <c r="BO20" s="559">
        <f>BO19/BO18*1000</f>
        <v>9772.8174603174612</v>
      </c>
      <c r="BP20" s="560">
        <f t="shared" si="18"/>
        <v>8.4</v>
      </c>
      <c r="BQ20" s="559">
        <f>BQ19/BQ18*1000</f>
        <v>8555.3246753246749</v>
      </c>
      <c r="BR20" s="559">
        <f>BR19/BR18*1000</f>
        <v>8734.1242149337068</v>
      </c>
      <c r="BS20" s="560">
        <f t="shared" si="19"/>
        <v>2.1</v>
      </c>
      <c r="BT20" s="559">
        <f>BT19/BT18*1000</f>
        <v>8968.1221120398732</v>
      </c>
      <c r="BU20" s="559">
        <f>BU19/BU18*1000</f>
        <v>9662.7984329957872</v>
      </c>
      <c r="BV20" s="560">
        <f t="shared" si="20"/>
        <v>7.7</v>
      </c>
    </row>
    <row r="21" spans="1:74" ht="22.5" customHeight="1">
      <c r="A21" s="1085" t="s">
        <v>291</v>
      </c>
      <c r="B21" s="10" t="s">
        <v>37</v>
      </c>
      <c r="C21" s="78">
        <f>수출!E99</f>
        <v>3266</v>
      </c>
      <c r="D21" s="78">
        <f>수출!F99</f>
        <v>3392</v>
      </c>
      <c r="E21" s="78">
        <f>수출!G99</f>
        <v>2563</v>
      </c>
      <c r="F21" s="78">
        <f>수출!H99</f>
        <v>2201</v>
      </c>
      <c r="G21" s="78">
        <f>수출!I99</f>
        <v>2116</v>
      </c>
      <c r="H21" s="78">
        <f>수출!J99</f>
        <v>2196</v>
      </c>
      <c r="I21" s="78">
        <f>수출!K99</f>
        <v>1907</v>
      </c>
      <c r="J21" s="78">
        <f>수출!L99</f>
        <v>2039</v>
      </c>
      <c r="K21" s="78">
        <f>수출!M99</f>
        <v>2084</v>
      </c>
      <c r="L21" s="78">
        <f>수출!N99</f>
        <v>304</v>
      </c>
      <c r="M21" s="78">
        <f>수출!O99</f>
        <v>93</v>
      </c>
      <c r="N21" s="154">
        <f t="shared" si="0"/>
        <v>-69.400000000000006</v>
      </c>
      <c r="O21" s="78">
        <f>R21-L21</f>
        <v>195</v>
      </c>
      <c r="P21" s="78">
        <f>S21-M21</f>
        <v>149</v>
      </c>
      <c r="Q21" s="154">
        <f t="shared" si="1"/>
        <v>-23.6</v>
      </c>
      <c r="R21" s="78">
        <f>수출!T99</f>
        <v>499</v>
      </c>
      <c r="S21" s="78">
        <f>수출!U99</f>
        <v>242</v>
      </c>
      <c r="T21" s="154">
        <f t="shared" si="2"/>
        <v>-51.5</v>
      </c>
      <c r="U21" s="78">
        <f>X21-R21</f>
        <v>191</v>
      </c>
      <c r="V21" s="78">
        <f>Y21-S21</f>
        <v>151</v>
      </c>
      <c r="W21" s="154">
        <f t="shared" si="3"/>
        <v>-20.9</v>
      </c>
      <c r="X21" s="78">
        <f>수출!Z99</f>
        <v>690</v>
      </c>
      <c r="Y21" s="78">
        <f>수출!AA99</f>
        <v>393</v>
      </c>
      <c r="Z21" s="154">
        <f t="shared" si="4"/>
        <v>-43</v>
      </c>
      <c r="AA21" s="78">
        <f>AD21-X21</f>
        <v>117</v>
      </c>
      <c r="AB21" s="78">
        <f>AE21-Y21</f>
        <v>206</v>
      </c>
      <c r="AC21" s="154">
        <f t="shared" si="5"/>
        <v>76.099999999999994</v>
      </c>
      <c r="AD21" s="78">
        <f>수출!AF99</f>
        <v>807</v>
      </c>
      <c r="AE21" s="78">
        <f>수출!AG99</f>
        <v>599</v>
      </c>
      <c r="AF21" s="154">
        <f t="shared" si="6"/>
        <v>-25.8</v>
      </c>
      <c r="AG21" s="78">
        <f>AJ21-AD21</f>
        <v>159</v>
      </c>
      <c r="AH21" s="78">
        <f>AK21-AE21</f>
        <v>98</v>
      </c>
      <c r="AI21" s="154">
        <f t="shared" si="7"/>
        <v>-38.4</v>
      </c>
      <c r="AJ21" s="78">
        <f>수출!AL99</f>
        <v>966</v>
      </c>
      <c r="AK21" s="78">
        <f>수출!AM99</f>
        <v>697</v>
      </c>
      <c r="AL21" s="154">
        <f t="shared" si="8"/>
        <v>-27.8</v>
      </c>
      <c r="AM21" s="561">
        <f>AP21-AJ21</f>
        <v>123</v>
      </c>
      <c r="AN21" s="561">
        <f>AQ21-AK21</f>
        <v>169</v>
      </c>
      <c r="AO21" s="574">
        <f t="shared" si="9"/>
        <v>37.4</v>
      </c>
      <c r="AP21" s="561">
        <f>수출!AR99</f>
        <v>1089</v>
      </c>
      <c r="AQ21" s="561">
        <f>수출!AS99</f>
        <v>866</v>
      </c>
      <c r="AR21" s="574">
        <f t="shared" si="10"/>
        <v>-20.5</v>
      </c>
      <c r="AS21" s="561">
        <f>AV21-AP21</f>
        <v>133</v>
      </c>
      <c r="AT21" s="561">
        <f>AW21-AQ21</f>
        <v>256</v>
      </c>
      <c r="AU21" s="574">
        <f t="shared" si="11"/>
        <v>92.5</v>
      </c>
      <c r="AV21" s="561">
        <f>수출!AX99</f>
        <v>1222</v>
      </c>
      <c r="AW21" s="561">
        <f>수출!AY99</f>
        <v>1122</v>
      </c>
      <c r="AX21" s="574">
        <f t="shared" si="12"/>
        <v>-8.1999999999999993</v>
      </c>
      <c r="AY21" s="561">
        <f>BB21-AV21</f>
        <v>201</v>
      </c>
      <c r="AZ21" s="561">
        <f>BC21-AW21</f>
        <v>122</v>
      </c>
      <c r="BA21" s="574">
        <f t="shared" si="13"/>
        <v>-39.299999999999997</v>
      </c>
      <c r="BB21" s="561">
        <f>수출!BD99</f>
        <v>1423</v>
      </c>
      <c r="BC21" s="561">
        <f>수출!BE99</f>
        <v>1244</v>
      </c>
      <c r="BD21" s="574">
        <f t="shared" si="14"/>
        <v>-12.6</v>
      </c>
      <c r="BE21" s="561">
        <f>BH21-BB21</f>
        <v>212</v>
      </c>
      <c r="BF21" s="561">
        <f>BI21-BC21</f>
        <v>297</v>
      </c>
      <c r="BG21" s="574">
        <f t="shared" si="15"/>
        <v>40.1</v>
      </c>
      <c r="BH21" s="561">
        <f>수출!BJ99</f>
        <v>1635</v>
      </c>
      <c r="BI21" s="561">
        <f>수출!BK99</f>
        <v>1541</v>
      </c>
      <c r="BJ21" s="574">
        <f t="shared" si="16"/>
        <v>-5.7</v>
      </c>
      <c r="BK21" s="561">
        <f>BN21-BH21</f>
        <v>166</v>
      </c>
      <c r="BL21" s="561">
        <f>BO21-BI21</f>
        <v>153</v>
      </c>
      <c r="BM21" s="574">
        <f t="shared" si="17"/>
        <v>-7.8</v>
      </c>
      <c r="BN21" s="561">
        <f>수출!BP99</f>
        <v>1801</v>
      </c>
      <c r="BO21" s="561">
        <f>수출!BQ99</f>
        <v>1694</v>
      </c>
      <c r="BP21" s="574">
        <f t="shared" si="18"/>
        <v>-5.9</v>
      </c>
      <c r="BQ21" s="561">
        <f>BT21-BN21</f>
        <v>112</v>
      </c>
      <c r="BR21" s="561">
        <f>BU21-BO21</f>
        <v>155</v>
      </c>
      <c r="BS21" s="574">
        <f t="shared" si="19"/>
        <v>38.4</v>
      </c>
      <c r="BT21" s="561">
        <f>수출!BV99</f>
        <v>1913</v>
      </c>
      <c r="BU21" s="561">
        <f>수출!BW99</f>
        <v>1849</v>
      </c>
      <c r="BV21" s="574">
        <f t="shared" si="20"/>
        <v>-3.3</v>
      </c>
    </row>
    <row r="22" spans="1:74" ht="22.5" customHeight="1">
      <c r="A22" s="1085"/>
      <c r="B22" s="5" t="s">
        <v>38</v>
      </c>
      <c r="C22" s="137">
        <f>수출!E100</f>
        <v>58156</v>
      </c>
      <c r="D22" s="137">
        <f>수출!F100</f>
        <v>67295</v>
      </c>
      <c r="E22" s="137">
        <f>수출!G100</f>
        <v>63367</v>
      </c>
      <c r="F22" s="137">
        <f>수출!H100</f>
        <v>58729</v>
      </c>
      <c r="G22" s="137">
        <f>수출!I100</f>
        <v>47231</v>
      </c>
      <c r="H22" s="137">
        <f>수출!J100</f>
        <v>45772</v>
      </c>
      <c r="I22" s="137">
        <f>수출!K100</f>
        <v>44828</v>
      </c>
      <c r="J22" s="137">
        <f>수출!L100</f>
        <v>49238</v>
      </c>
      <c r="K22" s="137">
        <f>수출!M100</f>
        <v>42847</v>
      </c>
      <c r="L22" s="137">
        <f>수출!N100</f>
        <v>4069</v>
      </c>
      <c r="M22" s="137">
        <f>수출!O100</f>
        <v>2685</v>
      </c>
      <c r="N22" s="153">
        <f t="shared" si="0"/>
        <v>-34</v>
      </c>
      <c r="O22" s="137">
        <f>R22-L22</f>
        <v>4339</v>
      </c>
      <c r="P22" s="137">
        <f>S22-M22</f>
        <v>4451</v>
      </c>
      <c r="Q22" s="153">
        <f t="shared" si="1"/>
        <v>2.6</v>
      </c>
      <c r="R22" s="137">
        <f>수출!T100</f>
        <v>8408</v>
      </c>
      <c r="S22" s="137">
        <f>수출!U100</f>
        <v>7136</v>
      </c>
      <c r="T22" s="153">
        <f t="shared" si="2"/>
        <v>-15.1</v>
      </c>
      <c r="U22" s="137">
        <f>X22-R22</f>
        <v>4201</v>
      </c>
      <c r="V22" s="137">
        <f>Y22-S22</f>
        <v>2844</v>
      </c>
      <c r="W22" s="153">
        <f t="shared" si="3"/>
        <v>-32.299999999999997</v>
      </c>
      <c r="X22" s="137">
        <f>수출!Z100</f>
        <v>12609</v>
      </c>
      <c r="Y22" s="137">
        <f>수출!AA100</f>
        <v>9980</v>
      </c>
      <c r="Z22" s="153">
        <f t="shared" si="4"/>
        <v>-20.9</v>
      </c>
      <c r="AA22" s="137">
        <f>AD22-X22</f>
        <v>3244</v>
      </c>
      <c r="AB22" s="137">
        <f>AE22-Y22</f>
        <v>4245</v>
      </c>
      <c r="AC22" s="153">
        <f t="shared" si="5"/>
        <v>30.9</v>
      </c>
      <c r="AD22" s="137">
        <f>수출!AF100</f>
        <v>15853</v>
      </c>
      <c r="AE22" s="137">
        <f>수출!AG100</f>
        <v>14225</v>
      </c>
      <c r="AF22" s="153">
        <f t="shared" si="6"/>
        <v>-10.3</v>
      </c>
      <c r="AG22" s="137">
        <f>AJ22-AD22</f>
        <v>3762</v>
      </c>
      <c r="AH22" s="137">
        <f>AK22-AE22</f>
        <v>2605</v>
      </c>
      <c r="AI22" s="153">
        <f t="shared" si="7"/>
        <v>-30.8</v>
      </c>
      <c r="AJ22" s="137">
        <f>수출!AL100</f>
        <v>19615</v>
      </c>
      <c r="AK22" s="137">
        <f>수출!AM100</f>
        <v>16830</v>
      </c>
      <c r="AL22" s="153">
        <f t="shared" si="8"/>
        <v>-14.2</v>
      </c>
      <c r="AM22" s="562">
        <f>AP22-AJ22</f>
        <v>2940</v>
      </c>
      <c r="AN22" s="562">
        <f>AQ22-AK22</f>
        <v>3008</v>
      </c>
      <c r="AO22" s="573">
        <f t="shared" si="9"/>
        <v>2.2999999999999998</v>
      </c>
      <c r="AP22" s="562">
        <f>수출!AR100</f>
        <v>22555</v>
      </c>
      <c r="AQ22" s="562">
        <f>수출!AS100</f>
        <v>19838</v>
      </c>
      <c r="AR22" s="573">
        <f t="shared" si="10"/>
        <v>-12</v>
      </c>
      <c r="AS22" s="562">
        <f>AV22-AP22</f>
        <v>3506</v>
      </c>
      <c r="AT22" s="562">
        <f>AW22-AQ22</f>
        <v>5335</v>
      </c>
      <c r="AU22" s="573">
        <f t="shared" si="11"/>
        <v>52.2</v>
      </c>
      <c r="AV22" s="562">
        <f>수출!AX100</f>
        <v>26061</v>
      </c>
      <c r="AW22" s="562">
        <f>수출!AY100</f>
        <v>25173</v>
      </c>
      <c r="AX22" s="573">
        <f t="shared" si="12"/>
        <v>-3.4</v>
      </c>
      <c r="AY22" s="562">
        <f>BB22-AV22</f>
        <v>4186</v>
      </c>
      <c r="AZ22" s="562">
        <f>BC22-AW22</f>
        <v>3555</v>
      </c>
      <c r="BA22" s="573">
        <f t="shared" si="13"/>
        <v>-15.1</v>
      </c>
      <c r="BB22" s="562">
        <f>수출!BD100</f>
        <v>30247</v>
      </c>
      <c r="BC22" s="562">
        <f>수출!BE100</f>
        <v>28728</v>
      </c>
      <c r="BD22" s="573">
        <f t="shared" si="14"/>
        <v>-5</v>
      </c>
      <c r="BE22" s="562">
        <f>BH22-BB22</f>
        <v>2820</v>
      </c>
      <c r="BF22" s="562">
        <f>BI22-BC22</f>
        <v>6205</v>
      </c>
      <c r="BG22" s="573">
        <f t="shared" si="15"/>
        <v>120</v>
      </c>
      <c r="BH22" s="562">
        <f>수출!BJ100</f>
        <v>33067</v>
      </c>
      <c r="BI22" s="562">
        <f>수출!BK100</f>
        <v>34933</v>
      </c>
      <c r="BJ22" s="573">
        <f t="shared" si="16"/>
        <v>5.6</v>
      </c>
      <c r="BK22" s="562">
        <f>BN22-BH22</f>
        <v>3702</v>
      </c>
      <c r="BL22" s="562">
        <f>BO22-BI22</f>
        <v>4818</v>
      </c>
      <c r="BM22" s="573">
        <f t="shared" si="17"/>
        <v>30.1</v>
      </c>
      <c r="BN22" s="562">
        <f>수출!BP100</f>
        <v>36769</v>
      </c>
      <c r="BO22" s="562">
        <f>수출!BQ100</f>
        <v>39751</v>
      </c>
      <c r="BP22" s="573">
        <f t="shared" si="18"/>
        <v>8.1</v>
      </c>
      <c r="BQ22" s="562">
        <f>BT22-BN22</f>
        <v>2832</v>
      </c>
      <c r="BR22" s="562">
        <f>BU22-BO22</f>
        <v>5517</v>
      </c>
      <c r="BS22" s="573">
        <f t="shared" si="19"/>
        <v>94.8</v>
      </c>
      <c r="BT22" s="562">
        <f>수출!BV100</f>
        <v>39601</v>
      </c>
      <c r="BU22" s="562">
        <f>수출!BW100</f>
        <v>45268</v>
      </c>
      <c r="BV22" s="573">
        <f t="shared" si="20"/>
        <v>14.3</v>
      </c>
    </row>
    <row r="23" spans="1:74" ht="22.5" customHeight="1">
      <c r="A23" s="1085"/>
      <c r="B23" s="9" t="s">
        <v>286</v>
      </c>
      <c r="C23" s="57">
        <f>C22/C21*1000</f>
        <v>17806.491120636863</v>
      </c>
      <c r="D23" s="57">
        <f>D22/D21*1000</f>
        <v>19839.327830188678</v>
      </c>
      <c r="E23" s="57">
        <f>E22/E21*1000</f>
        <v>24723.761217323448</v>
      </c>
      <c r="F23" s="57">
        <f>F22/F21*1000</f>
        <v>26682.871422080872</v>
      </c>
      <c r="G23" s="57">
        <f>G22/G21*1000</f>
        <v>22320.888468809073</v>
      </c>
      <c r="H23" s="57">
        <f t="shared" ref="H23:M23" si="26">H22/H21*1000</f>
        <v>20843.35154826958</v>
      </c>
      <c r="I23" s="57">
        <f t="shared" si="26"/>
        <v>23507.079181961195</v>
      </c>
      <c r="J23" s="57">
        <f t="shared" si="26"/>
        <v>24148.11181951937</v>
      </c>
      <c r="K23" s="57">
        <f t="shared" si="26"/>
        <v>20559.980806142037</v>
      </c>
      <c r="L23" s="57">
        <f t="shared" si="26"/>
        <v>13384.868421052632</v>
      </c>
      <c r="M23" s="57">
        <f t="shared" si="26"/>
        <v>28870.967741935485</v>
      </c>
      <c r="N23" s="58">
        <f t="shared" si="0"/>
        <v>115.7</v>
      </c>
      <c r="O23" s="57">
        <f>O22/O21*1000</f>
        <v>22251.282051282051</v>
      </c>
      <c r="P23" s="57">
        <f>P22/P21*1000</f>
        <v>29872.483221476512</v>
      </c>
      <c r="Q23" s="58">
        <f t="shared" si="1"/>
        <v>34.299999999999997</v>
      </c>
      <c r="R23" s="57">
        <f>R22/R21*1000</f>
        <v>16849.699398797598</v>
      </c>
      <c r="S23" s="57">
        <f>S22/S21*1000</f>
        <v>29487.603305785124</v>
      </c>
      <c r="T23" s="58">
        <f t="shared" si="2"/>
        <v>75</v>
      </c>
      <c r="U23" s="57">
        <f>U22/U21*1000</f>
        <v>21994.764397905758</v>
      </c>
      <c r="V23" s="57">
        <f>V22/V21*1000</f>
        <v>18834.437086092716</v>
      </c>
      <c r="W23" s="58">
        <f t="shared" si="3"/>
        <v>-14.4</v>
      </c>
      <c r="X23" s="57">
        <f>X22/X21*1000</f>
        <v>18273.91304347826</v>
      </c>
      <c r="Y23" s="57">
        <f>Y22/Y21*1000</f>
        <v>25394.40203562341</v>
      </c>
      <c r="Z23" s="58">
        <f t="shared" si="4"/>
        <v>39</v>
      </c>
      <c r="AA23" s="57">
        <f>AA22/AA21*1000</f>
        <v>27726.495726495727</v>
      </c>
      <c r="AB23" s="57">
        <f>AB22/AB21*1000</f>
        <v>20606.796116504855</v>
      </c>
      <c r="AC23" s="58">
        <f t="shared" si="5"/>
        <v>-25.7</v>
      </c>
      <c r="AD23" s="57">
        <f>AD22/AD21*1000</f>
        <v>19644.361833952909</v>
      </c>
      <c r="AE23" s="57">
        <f>AE22/AE21*1000</f>
        <v>23747.913188647748</v>
      </c>
      <c r="AF23" s="58">
        <f t="shared" si="6"/>
        <v>20.9</v>
      </c>
      <c r="AG23" s="57">
        <f>AG22/AG21*1000</f>
        <v>23660.377358490568</v>
      </c>
      <c r="AH23" s="57">
        <f>AH22/AH21*1000</f>
        <v>26581.632653061224</v>
      </c>
      <c r="AI23" s="58">
        <f t="shared" si="7"/>
        <v>12.3</v>
      </c>
      <c r="AJ23" s="57">
        <f>AJ22/AJ21*1000</f>
        <v>20305.383022774324</v>
      </c>
      <c r="AK23" s="57">
        <f>AK22/AK21*1000</f>
        <v>24146.341463414632</v>
      </c>
      <c r="AL23" s="58">
        <f t="shared" si="8"/>
        <v>18.899999999999999</v>
      </c>
      <c r="AM23" s="559">
        <f>AM22/AM21*1000</f>
        <v>23902.439024390245</v>
      </c>
      <c r="AN23" s="559">
        <f>AN22/AN21*1000</f>
        <v>17798.816568047336</v>
      </c>
      <c r="AO23" s="560">
        <f t="shared" si="9"/>
        <v>-25.5</v>
      </c>
      <c r="AP23" s="559">
        <f>AP22/AP21*1000</f>
        <v>20711.662075298438</v>
      </c>
      <c r="AQ23" s="559">
        <f>AQ22/AQ21*1000</f>
        <v>22907.621247113162</v>
      </c>
      <c r="AR23" s="560">
        <f t="shared" si="10"/>
        <v>10.6</v>
      </c>
      <c r="AS23" s="559">
        <f>AS22/AS21*1000</f>
        <v>26360.902255639096</v>
      </c>
      <c r="AT23" s="559">
        <f>AT22/AT21*1000</f>
        <v>20839.84375</v>
      </c>
      <c r="AU23" s="560">
        <f t="shared" si="11"/>
        <v>-20.9</v>
      </c>
      <c r="AV23" s="559">
        <f>AV22/AV21*1000</f>
        <v>21326.513911620295</v>
      </c>
      <c r="AW23" s="559">
        <f>AW22/AW21*1000</f>
        <v>22435.828877005348</v>
      </c>
      <c r="AX23" s="560">
        <f t="shared" si="12"/>
        <v>5.2</v>
      </c>
      <c r="AY23" s="559">
        <f>AY22/AY21*1000</f>
        <v>20825.870646766169</v>
      </c>
      <c r="AZ23" s="559">
        <f>AZ22/AZ21*1000</f>
        <v>29139.344262295082</v>
      </c>
      <c r="BA23" s="560">
        <f t="shared" si="13"/>
        <v>39.9</v>
      </c>
      <c r="BB23" s="559">
        <f>BB22/BB21*1000</f>
        <v>21255.797610681657</v>
      </c>
      <c r="BC23" s="559">
        <f>BC22/BC21*1000</f>
        <v>23093.247588424438</v>
      </c>
      <c r="BD23" s="560">
        <f t="shared" si="14"/>
        <v>8.6</v>
      </c>
      <c r="BE23" s="559">
        <f>BE22/BE21*1000</f>
        <v>13301.886792452829</v>
      </c>
      <c r="BF23" s="559">
        <f>BF22/BF21*1000</f>
        <v>20892.255892255893</v>
      </c>
      <c r="BG23" s="560">
        <f t="shared" si="15"/>
        <v>57.1</v>
      </c>
      <c r="BH23" s="559">
        <f>BH22/BH21*1000</f>
        <v>20224.464831804278</v>
      </c>
      <c r="BI23" s="559">
        <f>BI22/BI21*1000</f>
        <v>22669.046073977934</v>
      </c>
      <c r="BJ23" s="560">
        <f t="shared" si="16"/>
        <v>12.1</v>
      </c>
      <c r="BK23" s="559">
        <f>BK22/BK21*1000</f>
        <v>22301.204819277107</v>
      </c>
      <c r="BL23" s="559">
        <f>BL22/BL21*1000</f>
        <v>31490.196078431371</v>
      </c>
      <c r="BM23" s="560">
        <f t="shared" si="17"/>
        <v>41.2</v>
      </c>
      <c r="BN23" s="559">
        <f>BN22/BN21*1000</f>
        <v>20415.880066629652</v>
      </c>
      <c r="BO23" s="559">
        <f>BO22/BO21*1000</f>
        <v>23465.761511216057</v>
      </c>
      <c r="BP23" s="560">
        <f t="shared" si="18"/>
        <v>14.9</v>
      </c>
      <c r="BQ23" s="559">
        <f>BQ22/BQ21*1000</f>
        <v>25285.714285714286</v>
      </c>
      <c r="BR23" s="559">
        <f>BR22/BR21*1000</f>
        <v>35593.548387096773</v>
      </c>
      <c r="BS23" s="560">
        <f t="shared" si="19"/>
        <v>40.799999999999997</v>
      </c>
      <c r="BT23" s="559">
        <f>BT22/BT21*1000</f>
        <v>20700.993204391008</v>
      </c>
      <c r="BU23" s="559">
        <f>BU22/BU21*1000</f>
        <v>24482.422931314224</v>
      </c>
      <c r="BV23" s="560">
        <f t="shared" si="20"/>
        <v>18.3</v>
      </c>
    </row>
    <row r="24" spans="1:74" ht="22.5" customHeight="1">
      <c r="A24" s="1085" t="s">
        <v>24</v>
      </c>
      <c r="B24" s="10" t="s">
        <v>37</v>
      </c>
      <c r="C24" s="78">
        <f>수출!E102</f>
        <v>15754</v>
      </c>
      <c r="D24" s="78">
        <f>수출!F102</f>
        <v>19220</v>
      </c>
      <c r="E24" s="78">
        <f>수출!G102</f>
        <v>29841</v>
      </c>
      <c r="F24" s="78">
        <f>수출!H102</f>
        <v>23207</v>
      </c>
      <c r="G24" s="78">
        <f>수출!I102</f>
        <v>31418</v>
      </c>
      <c r="H24" s="78">
        <f>수출!J102</f>
        <v>96278</v>
      </c>
      <c r="I24" s="78">
        <f>수출!K102</f>
        <v>40395</v>
      </c>
      <c r="J24" s="78">
        <f>수출!L102</f>
        <v>47078</v>
      </c>
      <c r="K24" s="78">
        <f>수출!M102</f>
        <v>82485</v>
      </c>
      <c r="L24" s="78">
        <f>수출!N102</f>
        <v>31520</v>
      </c>
      <c r="M24" s="78">
        <f>수출!O102</f>
        <v>1485</v>
      </c>
      <c r="N24" s="154">
        <f t="shared" si="0"/>
        <v>-95.3</v>
      </c>
      <c r="O24" s="78">
        <f>R24-L24</f>
        <v>1255</v>
      </c>
      <c r="P24" s="78">
        <f>S24-M24</f>
        <v>1660</v>
      </c>
      <c r="Q24" s="154">
        <f t="shared" si="1"/>
        <v>32.299999999999997</v>
      </c>
      <c r="R24" s="78">
        <f>수출!T102</f>
        <v>32775</v>
      </c>
      <c r="S24" s="78">
        <f>수출!U102</f>
        <v>3145</v>
      </c>
      <c r="T24" s="154">
        <f t="shared" si="2"/>
        <v>-90.4</v>
      </c>
      <c r="U24" s="78">
        <f>X24-R24</f>
        <v>1737</v>
      </c>
      <c r="V24" s="78">
        <f>Y24-S24</f>
        <v>2326</v>
      </c>
      <c r="W24" s="154">
        <f t="shared" si="3"/>
        <v>33.9</v>
      </c>
      <c r="X24" s="78">
        <f>수출!Z102</f>
        <v>34512</v>
      </c>
      <c r="Y24" s="78">
        <f>수출!AA102</f>
        <v>5471</v>
      </c>
      <c r="Z24" s="154">
        <f t="shared" si="4"/>
        <v>-84.1</v>
      </c>
      <c r="AA24" s="78">
        <f>AD24-X24</f>
        <v>1803</v>
      </c>
      <c r="AB24" s="78">
        <f>AE24-Y24</f>
        <v>3239</v>
      </c>
      <c r="AC24" s="154">
        <f t="shared" si="5"/>
        <v>79.599999999999994</v>
      </c>
      <c r="AD24" s="78">
        <f>수출!AF102</f>
        <v>36315</v>
      </c>
      <c r="AE24" s="78">
        <f>수출!AG102</f>
        <v>8710</v>
      </c>
      <c r="AF24" s="154">
        <f t="shared" si="6"/>
        <v>-76</v>
      </c>
      <c r="AG24" s="78">
        <f>AJ24-AD24</f>
        <v>1868</v>
      </c>
      <c r="AH24" s="78">
        <f>AK24-AE24</f>
        <v>1464</v>
      </c>
      <c r="AI24" s="154">
        <f t="shared" si="7"/>
        <v>-21.6</v>
      </c>
      <c r="AJ24" s="78">
        <f>수출!AL102</f>
        <v>38183</v>
      </c>
      <c r="AK24" s="78">
        <f>수출!AM102</f>
        <v>10174</v>
      </c>
      <c r="AL24" s="154">
        <f t="shared" si="8"/>
        <v>-73.400000000000006</v>
      </c>
      <c r="AM24" s="561">
        <f>AP24-AJ24</f>
        <v>33470</v>
      </c>
      <c r="AN24" s="561">
        <f>AQ24-AK24</f>
        <v>1890</v>
      </c>
      <c r="AO24" s="574">
        <f t="shared" si="9"/>
        <v>-94.4</v>
      </c>
      <c r="AP24" s="561">
        <f>수출!AR102</f>
        <v>71653</v>
      </c>
      <c r="AQ24" s="561">
        <f>수출!AS102</f>
        <v>12064</v>
      </c>
      <c r="AR24" s="574">
        <f t="shared" si="10"/>
        <v>-83.2</v>
      </c>
      <c r="AS24" s="561">
        <f>AV24-AP24</f>
        <v>1559</v>
      </c>
      <c r="AT24" s="561">
        <f>AW24-AQ24</f>
        <v>1678</v>
      </c>
      <c r="AU24" s="574">
        <f t="shared" si="11"/>
        <v>7.6</v>
      </c>
      <c r="AV24" s="561">
        <f>수출!AX102</f>
        <v>73212</v>
      </c>
      <c r="AW24" s="561">
        <f>수출!AY102</f>
        <v>13742</v>
      </c>
      <c r="AX24" s="574">
        <f t="shared" si="12"/>
        <v>-81.2</v>
      </c>
      <c r="AY24" s="561">
        <f>BB24-AV24</f>
        <v>1875</v>
      </c>
      <c r="AZ24" s="561">
        <f>BC24-AW24</f>
        <v>1850</v>
      </c>
      <c r="BA24" s="574">
        <f t="shared" si="13"/>
        <v>-1.3</v>
      </c>
      <c r="BB24" s="561">
        <f>수출!BD102</f>
        <v>75087</v>
      </c>
      <c r="BC24" s="561">
        <f>수출!BE102</f>
        <v>15592</v>
      </c>
      <c r="BD24" s="574">
        <f t="shared" si="14"/>
        <v>-79.2</v>
      </c>
      <c r="BE24" s="561">
        <f>BH24-BB24</f>
        <v>1825</v>
      </c>
      <c r="BF24" s="561">
        <f>BI24-BC24</f>
        <v>1670</v>
      </c>
      <c r="BG24" s="574">
        <f t="shared" si="15"/>
        <v>-8.5</v>
      </c>
      <c r="BH24" s="561">
        <f>수출!BJ102</f>
        <v>76912</v>
      </c>
      <c r="BI24" s="561">
        <f>수출!BK102</f>
        <v>17262</v>
      </c>
      <c r="BJ24" s="574">
        <f t="shared" si="16"/>
        <v>-77.599999999999994</v>
      </c>
      <c r="BK24" s="561">
        <f>BN24-BH24</f>
        <v>1695</v>
      </c>
      <c r="BL24" s="561">
        <f>BO24-BI24</f>
        <v>2032</v>
      </c>
      <c r="BM24" s="574">
        <f t="shared" si="17"/>
        <v>19.899999999999999</v>
      </c>
      <c r="BN24" s="561">
        <f>수출!BP102</f>
        <v>78607</v>
      </c>
      <c r="BO24" s="561">
        <f>수출!BQ102</f>
        <v>19294</v>
      </c>
      <c r="BP24" s="574">
        <f t="shared" si="18"/>
        <v>-75.5</v>
      </c>
      <c r="BQ24" s="561">
        <f>BT24-BN24</f>
        <v>1574</v>
      </c>
      <c r="BR24" s="561">
        <f>BU24-BO24</f>
        <v>1812</v>
      </c>
      <c r="BS24" s="574">
        <f t="shared" si="19"/>
        <v>15.1</v>
      </c>
      <c r="BT24" s="561">
        <f>수출!BV102</f>
        <v>80181</v>
      </c>
      <c r="BU24" s="561">
        <f>수출!BW102</f>
        <v>21106</v>
      </c>
      <c r="BV24" s="574">
        <f t="shared" si="20"/>
        <v>-73.7</v>
      </c>
    </row>
    <row r="25" spans="1:74" ht="22.5" customHeight="1">
      <c r="A25" s="1085"/>
      <c r="B25" s="5" t="s">
        <v>38</v>
      </c>
      <c r="C25" s="137">
        <f>수출!E103</f>
        <v>432212</v>
      </c>
      <c r="D25" s="137">
        <f>수출!F103</f>
        <v>350816</v>
      </c>
      <c r="E25" s="137">
        <f>수출!G103</f>
        <v>461325</v>
      </c>
      <c r="F25" s="137">
        <f>수출!H103</f>
        <v>446103</v>
      </c>
      <c r="G25" s="137">
        <f>수출!I103</f>
        <v>265000</v>
      </c>
      <c r="H25" s="137">
        <f>수출!J103</f>
        <v>275446</v>
      </c>
      <c r="I25" s="137">
        <f>수출!K103</f>
        <v>317314</v>
      </c>
      <c r="J25" s="137">
        <f>수출!L103</f>
        <v>366602</v>
      </c>
      <c r="K25" s="137">
        <f>수출!M103</f>
        <v>272204</v>
      </c>
      <c r="L25" s="137">
        <f>수출!N103</f>
        <v>29990</v>
      </c>
      <c r="M25" s="137">
        <f>수출!O103</f>
        <v>19525</v>
      </c>
      <c r="N25" s="153">
        <f t="shared" si="0"/>
        <v>-34.9</v>
      </c>
      <c r="O25" s="137">
        <f>R25-L25</f>
        <v>20576</v>
      </c>
      <c r="P25" s="137">
        <f>S25-M25</f>
        <v>19843</v>
      </c>
      <c r="Q25" s="153">
        <f t="shared" si="1"/>
        <v>-3.6</v>
      </c>
      <c r="R25" s="137">
        <f>수출!T103</f>
        <v>50566</v>
      </c>
      <c r="S25" s="137">
        <f>수출!U103</f>
        <v>39368</v>
      </c>
      <c r="T25" s="153">
        <f t="shared" si="2"/>
        <v>-22.1</v>
      </c>
      <c r="U25" s="137">
        <f>X25-R25</f>
        <v>26351</v>
      </c>
      <c r="V25" s="137">
        <f>Y25-S25</f>
        <v>21608</v>
      </c>
      <c r="W25" s="153">
        <f t="shared" si="3"/>
        <v>-18</v>
      </c>
      <c r="X25" s="137">
        <f>수출!Z103</f>
        <v>76917</v>
      </c>
      <c r="Y25" s="137">
        <f>수출!AA103</f>
        <v>60976</v>
      </c>
      <c r="Z25" s="153">
        <f t="shared" si="4"/>
        <v>-20.7</v>
      </c>
      <c r="AA25" s="137">
        <f>AD25-X25</f>
        <v>24324</v>
      </c>
      <c r="AB25" s="137">
        <f>AE25-Y25</f>
        <v>22501</v>
      </c>
      <c r="AC25" s="153">
        <f t="shared" si="5"/>
        <v>-7.5</v>
      </c>
      <c r="AD25" s="137">
        <f>수출!AF103</f>
        <v>101241</v>
      </c>
      <c r="AE25" s="137">
        <f>수출!AG103</f>
        <v>83477</v>
      </c>
      <c r="AF25" s="153">
        <f t="shared" si="6"/>
        <v>-17.5</v>
      </c>
      <c r="AG25" s="137">
        <f>AJ25-AD25</f>
        <v>23971</v>
      </c>
      <c r="AH25" s="137">
        <f>AK25-AE25</f>
        <v>15876</v>
      </c>
      <c r="AI25" s="153">
        <f t="shared" si="7"/>
        <v>-33.799999999999997</v>
      </c>
      <c r="AJ25" s="137">
        <f>수출!AL103</f>
        <v>125212</v>
      </c>
      <c r="AK25" s="137">
        <f>수출!AM103</f>
        <v>99353</v>
      </c>
      <c r="AL25" s="153">
        <f t="shared" si="8"/>
        <v>-20.7</v>
      </c>
      <c r="AM25" s="562">
        <f>AP25-AJ25</f>
        <v>26501</v>
      </c>
      <c r="AN25" s="562">
        <f>AQ25-AK25</f>
        <v>18194</v>
      </c>
      <c r="AO25" s="573">
        <f t="shared" si="9"/>
        <v>-31.3</v>
      </c>
      <c r="AP25" s="562">
        <f>수출!AR103</f>
        <v>151713</v>
      </c>
      <c r="AQ25" s="562">
        <f>수출!AS103</f>
        <v>117547</v>
      </c>
      <c r="AR25" s="573">
        <f t="shared" si="10"/>
        <v>-22.5</v>
      </c>
      <c r="AS25" s="562">
        <f>AV25-AP25</f>
        <v>20392</v>
      </c>
      <c r="AT25" s="562">
        <f>AW25-AQ25</f>
        <v>18628</v>
      </c>
      <c r="AU25" s="573">
        <f t="shared" si="11"/>
        <v>-8.6999999999999993</v>
      </c>
      <c r="AV25" s="562">
        <f>수출!AX103</f>
        <v>172105</v>
      </c>
      <c r="AW25" s="562">
        <f>수출!AY103</f>
        <v>136175</v>
      </c>
      <c r="AX25" s="573">
        <f t="shared" si="12"/>
        <v>-20.9</v>
      </c>
      <c r="AY25" s="562">
        <f>BB25-AV25</f>
        <v>19791</v>
      </c>
      <c r="AZ25" s="562">
        <f>BC25-AW25</f>
        <v>17564</v>
      </c>
      <c r="BA25" s="573">
        <f t="shared" si="13"/>
        <v>-11.3</v>
      </c>
      <c r="BB25" s="562">
        <f>수출!BD103</f>
        <v>191896</v>
      </c>
      <c r="BC25" s="562">
        <f>수출!BE103</f>
        <v>153739</v>
      </c>
      <c r="BD25" s="573">
        <f t="shared" si="14"/>
        <v>-19.899999999999999</v>
      </c>
      <c r="BE25" s="562">
        <f>BH25-BB25</f>
        <v>19205</v>
      </c>
      <c r="BF25" s="562">
        <f>BI25-BC25</f>
        <v>22617</v>
      </c>
      <c r="BG25" s="573">
        <f t="shared" si="15"/>
        <v>17.8</v>
      </c>
      <c r="BH25" s="562">
        <f>수출!BJ103</f>
        <v>211101</v>
      </c>
      <c r="BI25" s="562">
        <f>수출!BK103</f>
        <v>176356</v>
      </c>
      <c r="BJ25" s="573">
        <f t="shared" si="16"/>
        <v>-16.5</v>
      </c>
      <c r="BK25" s="562">
        <f>BN25-BH25</f>
        <v>20945</v>
      </c>
      <c r="BL25" s="562">
        <f>BO25-BI25</f>
        <v>20340</v>
      </c>
      <c r="BM25" s="573">
        <f t="shared" si="17"/>
        <v>-2.9</v>
      </c>
      <c r="BN25" s="562">
        <f>수출!BP103</f>
        <v>232046</v>
      </c>
      <c r="BO25" s="562">
        <f>수출!BQ103</f>
        <v>196696</v>
      </c>
      <c r="BP25" s="573">
        <f t="shared" si="18"/>
        <v>-15.2</v>
      </c>
      <c r="BQ25" s="562">
        <f>BT25-BN25</f>
        <v>16421</v>
      </c>
      <c r="BR25" s="562">
        <f>BU25-BO25</f>
        <v>16823</v>
      </c>
      <c r="BS25" s="573">
        <f t="shared" si="19"/>
        <v>2.4</v>
      </c>
      <c r="BT25" s="562">
        <f>수출!BV103</f>
        <v>248467</v>
      </c>
      <c r="BU25" s="562">
        <f>수출!BW103</f>
        <v>213519</v>
      </c>
      <c r="BV25" s="573">
        <f t="shared" si="20"/>
        <v>-14.1</v>
      </c>
    </row>
    <row r="26" spans="1:74" ht="22.5" customHeight="1" thickBot="1">
      <c r="A26" s="1086"/>
      <c r="B26" s="4" t="s">
        <v>286</v>
      </c>
      <c r="C26" s="57">
        <f>C25/C24*1000</f>
        <v>27435.064110702042</v>
      </c>
      <c r="D26" s="57">
        <f>D25/D24*1000</f>
        <v>18252.653485952134</v>
      </c>
      <c r="E26" s="57">
        <f>E25/E24*1000</f>
        <v>15459.435005529305</v>
      </c>
      <c r="F26" s="57">
        <f>F25/F24*1000</f>
        <v>19222.777610203819</v>
      </c>
      <c r="G26" s="57">
        <f>G25/G24*1000</f>
        <v>8434.6552931440583</v>
      </c>
      <c r="H26" s="57">
        <f t="shared" ref="H26:M26" si="27">H25/H24*1000</f>
        <v>2860.944348657014</v>
      </c>
      <c r="I26" s="57">
        <f t="shared" si="27"/>
        <v>7855.2791187028097</v>
      </c>
      <c r="J26" s="57">
        <f t="shared" si="27"/>
        <v>7787.1192489060704</v>
      </c>
      <c r="K26" s="57">
        <f t="shared" si="27"/>
        <v>3300.0424319573253</v>
      </c>
      <c r="L26" s="57">
        <f t="shared" si="27"/>
        <v>951.45939086294413</v>
      </c>
      <c r="M26" s="57">
        <f t="shared" si="27"/>
        <v>13148.14814814815</v>
      </c>
      <c r="N26" s="53">
        <f t="shared" si="0"/>
        <v>1281.9000000000001</v>
      </c>
      <c r="O26" s="57">
        <f>O25/O24*1000</f>
        <v>16395.219123505973</v>
      </c>
      <c r="P26" s="57">
        <f>P25/P24*1000</f>
        <v>11953.614457831325</v>
      </c>
      <c r="Q26" s="53">
        <f t="shared" si="1"/>
        <v>-27.1</v>
      </c>
      <c r="R26" s="57">
        <f>R25/R24*1000</f>
        <v>1542.8222730739894</v>
      </c>
      <c r="S26" s="57">
        <f>S25/S24*1000</f>
        <v>12517.64705882353</v>
      </c>
      <c r="T26" s="53">
        <f t="shared" si="2"/>
        <v>711.3</v>
      </c>
      <c r="U26" s="57">
        <f>U25/U24*1000</f>
        <v>15170.408750719633</v>
      </c>
      <c r="V26" s="57">
        <f>V25/V24*1000</f>
        <v>9289.7678417884781</v>
      </c>
      <c r="W26" s="53">
        <f t="shared" si="3"/>
        <v>-38.799999999999997</v>
      </c>
      <c r="X26" s="57">
        <f>X25/X24*1000</f>
        <v>2228.7030598052852</v>
      </c>
      <c r="Y26" s="57">
        <f>Y25/Y24*1000</f>
        <v>11145.31164320965</v>
      </c>
      <c r="Z26" s="53">
        <f t="shared" si="4"/>
        <v>400.1</v>
      </c>
      <c r="AA26" s="57">
        <f>AA25/AA24*1000</f>
        <v>13490.848585690515</v>
      </c>
      <c r="AB26" s="57">
        <f>AB25/AB24*1000</f>
        <v>6946.8971904908922</v>
      </c>
      <c r="AC26" s="53">
        <f t="shared" si="5"/>
        <v>-48.5</v>
      </c>
      <c r="AD26" s="57">
        <f>AD25/AD24*1000</f>
        <v>2787.8562577447337</v>
      </c>
      <c r="AE26" s="57">
        <f>AE25/AE24*1000</f>
        <v>9584.0413318025257</v>
      </c>
      <c r="AF26" s="53">
        <f t="shared" si="6"/>
        <v>243.8</v>
      </c>
      <c r="AG26" s="57">
        <f>AG25/AG24*1000</f>
        <v>12832.441113490366</v>
      </c>
      <c r="AH26" s="57">
        <f>AH25/AH24*1000</f>
        <v>10844.262295081966</v>
      </c>
      <c r="AI26" s="53">
        <f t="shared" si="7"/>
        <v>-15.5</v>
      </c>
      <c r="AJ26" s="57">
        <f>AJ25/AJ24*1000</f>
        <v>3279.260403844643</v>
      </c>
      <c r="AK26" s="57">
        <f>AK25/AK24*1000</f>
        <v>9765.382347159426</v>
      </c>
      <c r="AL26" s="53">
        <f t="shared" si="8"/>
        <v>197.8</v>
      </c>
      <c r="AM26" s="559">
        <f>AM25/AM24*1000</f>
        <v>791.78368688377657</v>
      </c>
      <c r="AN26" s="559">
        <f>AN25/AN24*1000</f>
        <v>9626.4550264550271</v>
      </c>
      <c r="AO26" s="558">
        <f t="shared" si="9"/>
        <v>1115.8</v>
      </c>
      <c r="AP26" s="559">
        <f>AP25/AP24*1000</f>
        <v>2117.3293511785969</v>
      </c>
      <c r="AQ26" s="559">
        <f>AQ25/AQ24*1000</f>
        <v>9743.6173740053055</v>
      </c>
      <c r="AR26" s="558">
        <f t="shared" si="10"/>
        <v>360.2</v>
      </c>
      <c r="AS26" s="559">
        <f>AS25/AS24*1000</f>
        <v>13080.179602309172</v>
      </c>
      <c r="AT26" s="559">
        <f>AT25/AT24*1000</f>
        <v>11101.311084624553</v>
      </c>
      <c r="AU26" s="558">
        <f t="shared" si="11"/>
        <v>-15.1</v>
      </c>
      <c r="AV26" s="559">
        <f>AV25/AV24*1000</f>
        <v>2350.7758290990546</v>
      </c>
      <c r="AW26" s="559">
        <f>AW25/AW24*1000</f>
        <v>9909.4018337942071</v>
      </c>
      <c r="AX26" s="558">
        <f t="shared" si="12"/>
        <v>321.5</v>
      </c>
      <c r="AY26" s="559">
        <f>AY25/AY24*1000</f>
        <v>10555.199999999999</v>
      </c>
      <c r="AZ26" s="559">
        <f>AZ25/AZ24*1000</f>
        <v>9494.0540540540533</v>
      </c>
      <c r="BA26" s="558">
        <f t="shared" si="13"/>
        <v>-10.1</v>
      </c>
      <c r="BB26" s="559">
        <f>BB25/BB24*1000</f>
        <v>2555.648780747666</v>
      </c>
      <c r="BC26" s="559">
        <f>BC25/BC24*1000</f>
        <v>9860.1205746536689</v>
      </c>
      <c r="BD26" s="558">
        <f t="shared" si="14"/>
        <v>285.8</v>
      </c>
      <c r="BE26" s="559">
        <f>BE25/BE24*1000</f>
        <v>10523.287671232878</v>
      </c>
      <c r="BF26" s="559">
        <f>BF25/BF24*1000</f>
        <v>13543.11377245509</v>
      </c>
      <c r="BG26" s="558">
        <f t="shared" si="15"/>
        <v>28.7</v>
      </c>
      <c r="BH26" s="559">
        <f>BH25/BH24*1000</f>
        <v>2744.70823798627</v>
      </c>
      <c r="BI26" s="559">
        <f>BI25/BI24*1000</f>
        <v>10216.429150735721</v>
      </c>
      <c r="BJ26" s="558">
        <f t="shared" si="16"/>
        <v>272.2</v>
      </c>
      <c r="BK26" s="559">
        <f>BK25/BK24*1000</f>
        <v>12356.93215339233</v>
      </c>
      <c r="BL26" s="559">
        <f>BL25/BL24*1000</f>
        <v>10009.842519685038</v>
      </c>
      <c r="BM26" s="558">
        <f t="shared" si="17"/>
        <v>-19</v>
      </c>
      <c r="BN26" s="559">
        <f>BN25/BN24*1000</f>
        <v>2951.9762870991135</v>
      </c>
      <c r="BO26" s="559">
        <f>BO25/BO24*1000</f>
        <v>10194.671918731212</v>
      </c>
      <c r="BP26" s="558">
        <f t="shared" si="18"/>
        <v>245.4</v>
      </c>
      <c r="BQ26" s="559">
        <f>BQ25/BQ24*1000</f>
        <v>10432.655654383736</v>
      </c>
      <c r="BR26" s="559">
        <f>BR25/BR24*1000</f>
        <v>9284.2163355408393</v>
      </c>
      <c r="BS26" s="558">
        <f t="shared" si="19"/>
        <v>-11</v>
      </c>
      <c r="BT26" s="559">
        <f>BT25/BT24*1000</f>
        <v>3098.8264052581035</v>
      </c>
      <c r="BU26" s="559">
        <f>BU25/BU24*1000</f>
        <v>10116.507154363688</v>
      </c>
      <c r="BV26" s="558">
        <f t="shared" si="20"/>
        <v>226.5</v>
      </c>
    </row>
    <row r="27" spans="1:74" ht="22.5" customHeight="1" thickTop="1">
      <c r="A27" s="1096" t="s">
        <v>108</v>
      </c>
      <c r="B27" s="139" t="s">
        <v>37</v>
      </c>
      <c r="C27" s="140">
        <f t="shared" ref="C27:G28" si="28">SUM(C6+C9+C12+C15+C18+C21+C24)</f>
        <v>1936397</v>
      </c>
      <c r="D27" s="140">
        <f t="shared" si="28"/>
        <v>2026977</v>
      </c>
      <c r="E27" s="140">
        <f t="shared" si="28"/>
        <v>2104262</v>
      </c>
      <c r="F27" s="140">
        <f t="shared" si="28"/>
        <v>2185840</v>
      </c>
      <c r="G27" s="140">
        <f t="shared" si="28"/>
        <v>2387010</v>
      </c>
      <c r="H27" s="140">
        <f t="shared" ref="H27:J28" si="29">SUM(H6+H9+H12+H15+H18+H21+H24)</f>
        <v>2581770</v>
      </c>
      <c r="I27" s="140">
        <f t="shared" si="29"/>
        <v>2533611</v>
      </c>
      <c r="J27" s="140">
        <f t="shared" si="29"/>
        <v>2744989</v>
      </c>
      <c r="K27" s="140">
        <f t="shared" ref="K27:M28" si="30">SUM(K6+K9+K12+K15+K18+K21+K24)</f>
        <v>2805302</v>
      </c>
      <c r="L27" s="141">
        <f t="shared" si="30"/>
        <v>250846</v>
      </c>
      <c r="M27" s="141">
        <f t="shared" si="30"/>
        <v>232401</v>
      </c>
      <c r="N27" s="155">
        <f t="shared" si="0"/>
        <v>-7.4</v>
      </c>
      <c r="O27" s="141">
        <f>R27-L27</f>
        <v>210156</v>
      </c>
      <c r="P27" s="141">
        <f>S27-M27</f>
        <v>224018</v>
      </c>
      <c r="Q27" s="155">
        <f t="shared" si="1"/>
        <v>6.6</v>
      </c>
      <c r="R27" s="141">
        <f>SUM(R6+R9+R12+R15+R18+R21+R24)</f>
        <v>461002</v>
      </c>
      <c r="S27" s="141">
        <f>SUM(S6+S9+S12+S15+S18+S21+S24)</f>
        <v>456419</v>
      </c>
      <c r="T27" s="155">
        <f t="shared" si="2"/>
        <v>-1</v>
      </c>
      <c r="U27" s="141">
        <f>X27-R27</f>
        <v>221887</v>
      </c>
      <c r="V27" s="141">
        <f>Y27-S27</f>
        <v>256743</v>
      </c>
      <c r="W27" s="155">
        <f t="shared" si="3"/>
        <v>15.7</v>
      </c>
      <c r="X27" s="141">
        <f>SUM(X6+X9+X12+X15+X18+X21+X24)</f>
        <v>682889</v>
      </c>
      <c r="Y27" s="141">
        <f>SUM(Y6+Y9+Y12+Y15+Y18+Y21+Y24)</f>
        <v>713162</v>
      </c>
      <c r="Z27" s="155">
        <f t="shared" si="4"/>
        <v>4.4000000000000004</v>
      </c>
      <c r="AA27" s="141">
        <f>AD27-X27</f>
        <v>236104</v>
      </c>
      <c r="AB27" s="141">
        <f>AE27-Y27</f>
        <v>230243</v>
      </c>
      <c r="AC27" s="155">
        <f t="shared" si="5"/>
        <v>-2.5</v>
      </c>
      <c r="AD27" s="141">
        <f>SUM(AD6+AD9+AD12+AD15+AD18+AD21+AD24)</f>
        <v>918993</v>
      </c>
      <c r="AE27" s="141">
        <f>SUM(AE6+AE9+AE12+AE15+AE18+AE21+AE24)</f>
        <v>943405</v>
      </c>
      <c r="AF27" s="155">
        <f t="shared" si="6"/>
        <v>2.7</v>
      </c>
      <c r="AG27" s="141">
        <f>AJ27-AD27</f>
        <v>263405</v>
      </c>
      <c r="AH27" s="141">
        <f>AK27-AE27</f>
        <v>210982</v>
      </c>
      <c r="AI27" s="155">
        <f t="shared" si="7"/>
        <v>-19.899999999999999</v>
      </c>
      <c r="AJ27" s="141">
        <f>SUM(AJ6+AJ9+AJ12+AJ15+AJ18+AJ21+AJ24)</f>
        <v>1182398</v>
      </c>
      <c r="AK27" s="141">
        <f>SUM(AK6+AK9+AK12+AK15+AK18+AK21+AK24)</f>
        <v>1154387</v>
      </c>
      <c r="AL27" s="155">
        <f t="shared" si="8"/>
        <v>-2.4</v>
      </c>
      <c r="AM27" s="564">
        <f>AP27-AJ27</f>
        <v>258659</v>
      </c>
      <c r="AN27" s="564">
        <f>AQ27-AK27</f>
        <v>237261</v>
      </c>
      <c r="AO27" s="575">
        <f t="shared" si="9"/>
        <v>-8.3000000000000007</v>
      </c>
      <c r="AP27" s="564">
        <f>SUM(AP6+AP9+AP12+AP15+AP18+AP21+AP24)</f>
        <v>1441057</v>
      </c>
      <c r="AQ27" s="564">
        <f>SUM(AQ6+AQ9+AQ12+AQ15+AQ18+AQ21+AQ24)</f>
        <v>1391648</v>
      </c>
      <c r="AR27" s="575">
        <f t="shared" si="10"/>
        <v>-3.4</v>
      </c>
      <c r="AS27" s="564">
        <f>AV27-AP27</f>
        <v>230239</v>
      </c>
      <c r="AT27" s="564">
        <f>AW27-AQ27</f>
        <v>265945</v>
      </c>
      <c r="AU27" s="575">
        <f t="shared" si="11"/>
        <v>15.5</v>
      </c>
      <c r="AV27" s="564">
        <f>SUM(AV6+AV9+AV12+AV15+AV18+AV21+AV24)</f>
        <v>1671296</v>
      </c>
      <c r="AW27" s="564">
        <f>SUM(AW6+AW9+AW12+AW15+AW18+AW21+AW24)</f>
        <v>1657593</v>
      </c>
      <c r="AX27" s="575">
        <f t="shared" si="12"/>
        <v>-0.8</v>
      </c>
      <c r="AY27" s="564">
        <f>BB27-AV27</f>
        <v>224698</v>
      </c>
      <c r="AZ27" s="564">
        <f>BC27-AW27</f>
        <v>221844</v>
      </c>
      <c r="BA27" s="575">
        <f t="shared" si="13"/>
        <v>-1.3</v>
      </c>
      <c r="BB27" s="564">
        <f>SUM(BB6+BB9+BB12+BB15+BB18+BB21+BB24)</f>
        <v>1895994</v>
      </c>
      <c r="BC27" s="564">
        <f>SUM(BC6+BC9+BC12+BC15+BC18+BC21+BC24)</f>
        <v>1879437</v>
      </c>
      <c r="BD27" s="575">
        <f t="shared" si="14"/>
        <v>-0.9</v>
      </c>
      <c r="BE27" s="564">
        <f>BH27-BB27</f>
        <v>207493</v>
      </c>
      <c r="BF27" s="564">
        <f>BI27-BC27</f>
        <v>256916</v>
      </c>
      <c r="BG27" s="575">
        <f t="shared" si="15"/>
        <v>23.8</v>
      </c>
      <c r="BH27" s="564">
        <f>SUM(BH6+BH9+BH12+BH15+BH18+BH21+BH24)</f>
        <v>2103487</v>
      </c>
      <c r="BI27" s="564">
        <f>SUM(BI6+BI9+BI12+BI15+BI18+BI21+BI24)</f>
        <v>2136353</v>
      </c>
      <c r="BJ27" s="575">
        <f t="shared" si="16"/>
        <v>1.6</v>
      </c>
      <c r="BK27" s="564">
        <f>BN27-BH27</f>
        <v>240853</v>
      </c>
      <c r="BL27" s="564">
        <f>BO27-BI27</f>
        <v>247244</v>
      </c>
      <c r="BM27" s="575">
        <f t="shared" si="17"/>
        <v>2.7</v>
      </c>
      <c r="BN27" s="564">
        <f>SUM(BN6+BN9+BN12+BN15+BN18+BN21+BN24)</f>
        <v>2344340</v>
      </c>
      <c r="BO27" s="564">
        <f>SUM(BO6+BO9+BO12+BO15+BO18+BO21+BO24)</f>
        <v>2383597</v>
      </c>
      <c r="BP27" s="575">
        <f t="shared" si="18"/>
        <v>1.7</v>
      </c>
      <c r="BQ27" s="564">
        <f>BT27-BN27</f>
        <v>216741</v>
      </c>
      <c r="BR27" s="564">
        <f>BU27-BO27</f>
        <v>265321</v>
      </c>
      <c r="BS27" s="575">
        <f t="shared" si="19"/>
        <v>22.4</v>
      </c>
      <c r="BT27" s="564">
        <f>SUM(BT6+BT9+BT12+BT15+BT18+BT21+BT24)</f>
        <v>2561081</v>
      </c>
      <c r="BU27" s="564">
        <f>SUM(BU6+BU9+BU12+BU15+BU18+BU21+BU24)</f>
        <v>2648918</v>
      </c>
      <c r="BV27" s="575">
        <f t="shared" si="20"/>
        <v>3.4</v>
      </c>
    </row>
    <row r="28" spans="1:74" ht="22.5" customHeight="1">
      <c r="A28" s="1097"/>
      <c r="B28" s="17" t="s">
        <v>38</v>
      </c>
      <c r="C28" s="142">
        <f t="shared" si="28"/>
        <v>9940495</v>
      </c>
      <c r="D28" s="142">
        <f t="shared" si="28"/>
        <v>9154384</v>
      </c>
      <c r="E28" s="142">
        <f t="shared" si="28"/>
        <v>9471030</v>
      </c>
      <c r="F28" s="142">
        <f t="shared" si="28"/>
        <v>9723897</v>
      </c>
      <c r="G28" s="142">
        <f t="shared" si="28"/>
        <v>9240601</v>
      </c>
      <c r="H28" s="142">
        <f t="shared" si="29"/>
        <v>8846556</v>
      </c>
      <c r="I28" s="142">
        <f t="shared" si="29"/>
        <v>10467205</v>
      </c>
      <c r="J28" s="142">
        <f t="shared" si="29"/>
        <v>11873008</v>
      </c>
      <c r="K28" s="142">
        <f t="shared" si="30"/>
        <v>10975658</v>
      </c>
      <c r="L28" s="143">
        <f t="shared" si="30"/>
        <v>922185</v>
      </c>
      <c r="M28" s="143">
        <f t="shared" si="30"/>
        <v>872274</v>
      </c>
      <c r="N28" s="156">
        <f t="shared" si="0"/>
        <v>-5.4</v>
      </c>
      <c r="O28" s="143">
        <f>R28-L28</f>
        <v>851982</v>
      </c>
      <c r="P28" s="143">
        <f>S28-M28</f>
        <v>848100</v>
      </c>
      <c r="Q28" s="156">
        <f t="shared" si="1"/>
        <v>-0.5</v>
      </c>
      <c r="R28" s="143">
        <f>SUM(R7+R10+R13+R16+R19+R22+R25)</f>
        <v>1774167</v>
      </c>
      <c r="S28" s="143">
        <f>SUM(S7+S10+S13+S16+S19+S22+S25)</f>
        <v>1720374</v>
      </c>
      <c r="T28" s="156">
        <f t="shared" si="2"/>
        <v>-3</v>
      </c>
      <c r="U28" s="143">
        <f>X28-R28</f>
        <v>914459</v>
      </c>
      <c r="V28" s="143">
        <f>Y28-S28</f>
        <v>914319</v>
      </c>
      <c r="W28" s="156">
        <f t="shared" si="3"/>
        <v>0</v>
      </c>
      <c r="X28" s="143">
        <f>SUM(X7+X10+X13+X16+X19+X22+X25)</f>
        <v>2688626</v>
      </c>
      <c r="Y28" s="143">
        <f>SUM(Y7+Y10+Y13+Y16+Y19+Y22+Y25)</f>
        <v>2634693</v>
      </c>
      <c r="Z28" s="156">
        <f t="shared" si="4"/>
        <v>-2</v>
      </c>
      <c r="AA28" s="143">
        <f>AD28-X28</f>
        <v>962835</v>
      </c>
      <c r="AB28" s="143">
        <f>AE28-Y28</f>
        <v>803910</v>
      </c>
      <c r="AC28" s="156">
        <f t="shared" si="5"/>
        <v>-16.5</v>
      </c>
      <c r="AD28" s="143">
        <f>SUM(AD7+AD10+AD13+AD16+AD19+AD22+AD25)</f>
        <v>3651461</v>
      </c>
      <c r="AE28" s="143">
        <f>SUM(AE7+AE10+AE13+AE16+AE19+AE22+AE25)</f>
        <v>3438603</v>
      </c>
      <c r="AF28" s="156">
        <f t="shared" si="6"/>
        <v>-5.8</v>
      </c>
      <c r="AG28" s="143">
        <f>AJ28-AD28</f>
        <v>1064019</v>
      </c>
      <c r="AH28" s="143">
        <f>AK28-AE28</f>
        <v>709480</v>
      </c>
      <c r="AI28" s="156">
        <f t="shared" si="7"/>
        <v>-33.299999999999997</v>
      </c>
      <c r="AJ28" s="143">
        <f>SUM(AJ7+AJ10+AJ13+AJ16+AJ19+AJ22+AJ25)</f>
        <v>4715480</v>
      </c>
      <c r="AK28" s="143">
        <f>SUM(AK7+AK10+AK13+AK16+AK19+AK22+AK25)</f>
        <v>4148083</v>
      </c>
      <c r="AL28" s="156">
        <f t="shared" si="8"/>
        <v>-12</v>
      </c>
      <c r="AM28" s="565">
        <f>AP28-AJ28</f>
        <v>894693</v>
      </c>
      <c r="AN28" s="565">
        <f>AQ28-AK28</f>
        <v>814835</v>
      </c>
      <c r="AO28" s="576">
        <f t="shared" si="9"/>
        <v>-8.9</v>
      </c>
      <c r="AP28" s="565">
        <f>SUM(AP7+AP10+AP13+AP16+AP19+AP22+AP25)</f>
        <v>5610173</v>
      </c>
      <c r="AQ28" s="565">
        <f>SUM(AQ7+AQ10+AQ13+AQ16+AQ19+AQ22+AQ25)</f>
        <v>4962918</v>
      </c>
      <c r="AR28" s="576">
        <f t="shared" si="10"/>
        <v>-11.5</v>
      </c>
      <c r="AS28" s="565">
        <f>AV28-AP28</f>
        <v>940993</v>
      </c>
      <c r="AT28" s="565">
        <f>AW28-AQ28</f>
        <v>955823</v>
      </c>
      <c r="AU28" s="576">
        <f t="shared" si="11"/>
        <v>1.6</v>
      </c>
      <c r="AV28" s="565">
        <f>SUM(AV7+AV10+AV13+AV16+AV19+AV22+AV25)</f>
        <v>6551166</v>
      </c>
      <c r="AW28" s="565">
        <f>SUM(AW7+AW10+AW13+AW16+AW19+AW22+AW25)</f>
        <v>5918741</v>
      </c>
      <c r="AX28" s="576">
        <f t="shared" si="12"/>
        <v>-9.6999999999999993</v>
      </c>
      <c r="AY28" s="565">
        <f>BB28-AV28</f>
        <v>870765</v>
      </c>
      <c r="AZ28" s="565">
        <f>BC28-AW28</f>
        <v>826375</v>
      </c>
      <c r="BA28" s="576">
        <f t="shared" si="13"/>
        <v>-5.0999999999999996</v>
      </c>
      <c r="BB28" s="565">
        <f>SUM(BB7+BB10+BB13+BB16+BB19+BB22+BB25)</f>
        <v>7421931</v>
      </c>
      <c r="BC28" s="565">
        <f>SUM(BC7+BC10+BC13+BC16+BC19+BC22+BC25)</f>
        <v>6745116</v>
      </c>
      <c r="BD28" s="576">
        <f t="shared" si="14"/>
        <v>-9.1</v>
      </c>
      <c r="BE28" s="565">
        <f>BH28-BB28</f>
        <v>824250</v>
      </c>
      <c r="BF28" s="565">
        <f>BI28-BC28</f>
        <v>1015860</v>
      </c>
      <c r="BG28" s="576">
        <f t="shared" si="15"/>
        <v>23.2</v>
      </c>
      <c r="BH28" s="565">
        <f>SUM(BH7+BH10+BH13+BH16+BH19+BH22+BH25)</f>
        <v>8246181</v>
      </c>
      <c r="BI28" s="565">
        <f>SUM(BI7+BI10+BI13+BI16+BI19+BI22+BI25)</f>
        <v>7760976</v>
      </c>
      <c r="BJ28" s="576">
        <f t="shared" si="16"/>
        <v>-5.9</v>
      </c>
      <c r="BK28" s="565">
        <f>BN28-BH28</f>
        <v>944210</v>
      </c>
      <c r="BL28" s="565">
        <f>BO28-BI28</f>
        <v>1005863</v>
      </c>
      <c r="BM28" s="576">
        <f t="shared" si="17"/>
        <v>6.5</v>
      </c>
      <c r="BN28" s="565">
        <f>SUM(BN7+BN10+BN13+BN16+BN19+BN22+BN25)</f>
        <v>9190391</v>
      </c>
      <c r="BO28" s="565">
        <f>SUM(BO7+BO10+BO13+BO16+BO19+BO22+BO25)</f>
        <v>8766839</v>
      </c>
      <c r="BP28" s="576">
        <f t="shared" si="18"/>
        <v>-4.5999999999999996</v>
      </c>
      <c r="BQ28" s="565">
        <f>BT28-BN28</f>
        <v>860559</v>
      </c>
      <c r="BR28" s="565">
        <f>BU28-BO28</f>
        <v>1087687</v>
      </c>
      <c r="BS28" s="576">
        <f t="shared" si="19"/>
        <v>26.4</v>
      </c>
      <c r="BT28" s="565">
        <f>SUM(BT7+BT10+BT13+BT16+BT19+BT22+BT25)</f>
        <v>10050950</v>
      </c>
      <c r="BU28" s="565">
        <f>SUM(BU7+BU10+BU13+BU16+BU19+BU22+BU25)</f>
        <v>9854526</v>
      </c>
      <c r="BV28" s="576">
        <f t="shared" si="20"/>
        <v>-2</v>
      </c>
    </row>
    <row r="29" spans="1:74" ht="22.5" customHeight="1">
      <c r="A29" s="1097"/>
      <c r="B29" s="19" t="s">
        <v>286</v>
      </c>
      <c r="C29" s="447">
        <f t="shared" ref="C29:I29" si="31">C28/C27*1000</f>
        <v>5133.500516681238</v>
      </c>
      <c r="D29" s="447">
        <f t="shared" si="31"/>
        <v>4516.2742349814534</v>
      </c>
      <c r="E29" s="447">
        <f t="shared" si="31"/>
        <v>4500.879643314378</v>
      </c>
      <c r="F29" s="447">
        <f t="shared" si="31"/>
        <v>4448.5858983274165</v>
      </c>
      <c r="G29" s="447">
        <f t="shared" si="31"/>
        <v>3871.2033045525573</v>
      </c>
      <c r="H29" s="447">
        <f t="shared" si="31"/>
        <v>3426.5469038682763</v>
      </c>
      <c r="I29" s="144">
        <f t="shared" si="31"/>
        <v>4131.3386309105854</v>
      </c>
      <c r="J29" s="144">
        <f>J28/J27*1000</f>
        <v>4325.3390086444797</v>
      </c>
      <c r="K29" s="144">
        <f>K28/K27*1000</f>
        <v>3912.4693170289688</v>
      </c>
      <c r="L29" s="144">
        <f>L28/L27*1000</f>
        <v>3676.2994028208541</v>
      </c>
      <c r="M29" s="144">
        <f>M28/M27*1000</f>
        <v>3753.3143144822957</v>
      </c>
      <c r="N29" s="157">
        <f t="shared" si="0"/>
        <v>2.1</v>
      </c>
      <c r="O29" s="144">
        <f>O28/O27*1000</f>
        <v>4054.045566150859</v>
      </c>
      <c r="P29" s="144">
        <f>P28/P27*1000</f>
        <v>3785.8564936746152</v>
      </c>
      <c r="Q29" s="157">
        <f t="shared" si="1"/>
        <v>-6.6</v>
      </c>
      <c r="R29" s="144">
        <f>R28/R27*1000</f>
        <v>3848.5017418579532</v>
      </c>
      <c r="S29" s="144">
        <f>S28/S27*1000</f>
        <v>3769.2865546789244</v>
      </c>
      <c r="T29" s="157">
        <f t="shared" si="2"/>
        <v>-2.1</v>
      </c>
      <c r="U29" s="144">
        <f>U28/U27*1000</f>
        <v>4121.2824545827389</v>
      </c>
      <c r="V29" s="144">
        <f>V28/V27*1000</f>
        <v>3561.2227013005222</v>
      </c>
      <c r="W29" s="157">
        <f t="shared" si="3"/>
        <v>-13.6</v>
      </c>
      <c r="X29" s="144">
        <f>X28/X27*1000</f>
        <v>3937.1347319989045</v>
      </c>
      <c r="Y29" s="144">
        <f>Y28/Y27*1000</f>
        <v>3694.3822020803127</v>
      </c>
      <c r="Z29" s="157">
        <f t="shared" si="4"/>
        <v>-6.2</v>
      </c>
      <c r="AA29" s="144">
        <f>AA28/AA27*1000</f>
        <v>4078.0122318978079</v>
      </c>
      <c r="AB29" s="144">
        <f>AB28/AB27*1000</f>
        <v>3491.5719478985247</v>
      </c>
      <c r="AC29" s="157">
        <f t="shared" si="5"/>
        <v>-14.4</v>
      </c>
      <c r="AD29" s="144">
        <f>AD28/AD27*1000</f>
        <v>3973.3284149063161</v>
      </c>
      <c r="AE29" s="144">
        <f>AE28/AE27*1000</f>
        <v>3644.8852825668719</v>
      </c>
      <c r="AF29" s="157">
        <f t="shared" si="6"/>
        <v>-8.3000000000000007</v>
      </c>
      <c r="AG29" s="144">
        <f>AG28/AG27*1000</f>
        <v>4039.4791290977769</v>
      </c>
      <c r="AH29" s="144">
        <f>AH28/AH27*1000</f>
        <v>3362.7513247575625</v>
      </c>
      <c r="AI29" s="157">
        <f t="shared" si="7"/>
        <v>-16.8</v>
      </c>
      <c r="AJ29" s="144">
        <f>AJ28/AJ27*1000</f>
        <v>3988.0649324508331</v>
      </c>
      <c r="AK29" s="144">
        <f>AK28/AK27*1000</f>
        <v>3593.3209573565887</v>
      </c>
      <c r="AL29" s="157">
        <f t="shared" si="8"/>
        <v>-9.9</v>
      </c>
      <c r="AM29" s="566">
        <f>AM28/AM27*1000</f>
        <v>3458.9672116570464</v>
      </c>
      <c r="AN29" s="566">
        <f>AN28/AN27*1000</f>
        <v>3434.3402413375984</v>
      </c>
      <c r="AO29" s="577">
        <f t="shared" si="9"/>
        <v>-0.7</v>
      </c>
      <c r="AP29" s="566">
        <f>AP28/AP27*1000</f>
        <v>3893.0958317401742</v>
      </c>
      <c r="AQ29" s="566">
        <f>AQ28/AQ27*1000</f>
        <v>3566.2164570351124</v>
      </c>
      <c r="AR29" s="577">
        <f t="shared" si="10"/>
        <v>-8.4</v>
      </c>
      <c r="AS29" s="566">
        <f>AS28/AS27*1000</f>
        <v>4087.0269589426639</v>
      </c>
      <c r="AT29" s="566">
        <f>AT28/AT27*1000</f>
        <v>3594.062682133524</v>
      </c>
      <c r="AU29" s="577">
        <f t="shared" si="11"/>
        <v>-12.1</v>
      </c>
      <c r="AV29" s="566">
        <f>AV28/AV27*1000</f>
        <v>3919.8119303821704</v>
      </c>
      <c r="AW29" s="566">
        <f>AW28/AW27*1000</f>
        <v>3570.6841184778168</v>
      </c>
      <c r="AX29" s="577">
        <f t="shared" si="12"/>
        <v>-8.9</v>
      </c>
      <c r="AY29" s="566">
        <f>AY28/AY27*1000</f>
        <v>3875.2681376781284</v>
      </c>
      <c r="AZ29" s="566">
        <f>AZ28/AZ27*1000</f>
        <v>3725.0274967995529</v>
      </c>
      <c r="BA29" s="577">
        <f t="shared" si="13"/>
        <v>-3.9</v>
      </c>
      <c r="BB29" s="566">
        <f>BB28/BB27*1000</f>
        <v>3914.5329573827767</v>
      </c>
      <c r="BC29" s="566">
        <f>BC28/BC27*1000</f>
        <v>3588.9024213102116</v>
      </c>
      <c r="BD29" s="577">
        <f t="shared" si="14"/>
        <v>-8.3000000000000007</v>
      </c>
      <c r="BE29" s="566">
        <f>BE28/BE27*1000</f>
        <v>3972.4231660827113</v>
      </c>
      <c r="BF29" s="566">
        <f>BF28/BF27*1000</f>
        <v>3954.0550218748544</v>
      </c>
      <c r="BG29" s="577">
        <f t="shared" si="15"/>
        <v>-0.5</v>
      </c>
      <c r="BH29" s="566">
        <f>BH28/BH27*1000</f>
        <v>3920.2433863389692</v>
      </c>
      <c r="BI29" s="566">
        <f>BI28/BI27*1000</f>
        <v>3632.8153633786178</v>
      </c>
      <c r="BJ29" s="577">
        <f t="shared" si="16"/>
        <v>-7.3</v>
      </c>
      <c r="BK29" s="566">
        <f>BK28/BK27*1000</f>
        <v>3920.275022524112</v>
      </c>
      <c r="BL29" s="566">
        <f>BL28/BL27*1000</f>
        <v>4068.3009496691529</v>
      </c>
      <c r="BM29" s="577">
        <f t="shared" si="17"/>
        <v>3.8</v>
      </c>
      <c r="BN29" s="566">
        <f>BN28/BN27*1000</f>
        <v>3920.2466365800183</v>
      </c>
      <c r="BO29" s="566">
        <f>BO28/BO27*1000</f>
        <v>3677.9870926167468</v>
      </c>
      <c r="BP29" s="577">
        <f t="shared" si="18"/>
        <v>-6.2</v>
      </c>
      <c r="BQ29" s="566">
        <f>BQ28/BQ27*1000</f>
        <v>3970.4485999418662</v>
      </c>
      <c r="BR29" s="566">
        <f>BR28/BR27*1000</f>
        <v>4099.5134195936243</v>
      </c>
      <c r="BS29" s="577">
        <f t="shared" si="19"/>
        <v>3.3</v>
      </c>
      <c r="BT29" s="566">
        <f>BT28/BT27*1000</f>
        <v>3924.4951643466175</v>
      </c>
      <c r="BU29" s="566">
        <f>BU28/BU27*1000</f>
        <v>3720.2080245594616</v>
      </c>
      <c r="BV29" s="577">
        <f t="shared" si="20"/>
        <v>-5.2</v>
      </c>
    </row>
    <row r="30" spans="1:74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58"/>
      <c r="O30" s="145"/>
      <c r="P30" s="145"/>
      <c r="Q30" s="158"/>
      <c r="R30" s="145"/>
      <c r="S30" s="145"/>
      <c r="T30" s="158"/>
      <c r="U30" s="145"/>
      <c r="V30" s="145"/>
      <c r="W30" s="158"/>
      <c r="X30" s="145"/>
      <c r="Y30" s="145"/>
      <c r="Z30" s="158"/>
      <c r="AA30" s="145"/>
      <c r="AB30" s="145"/>
      <c r="AC30" s="158"/>
      <c r="AD30" s="145"/>
      <c r="AE30" s="145"/>
      <c r="AF30" s="158"/>
      <c r="AG30" s="145"/>
      <c r="AH30" s="145"/>
      <c r="AI30" s="158"/>
      <c r="AJ30" s="145"/>
      <c r="AK30" s="145"/>
      <c r="AL30" s="158"/>
      <c r="AM30" s="567"/>
      <c r="AN30" s="567"/>
      <c r="AO30" s="578"/>
      <c r="AP30" s="567"/>
      <c r="AQ30" s="567"/>
      <c r="AR30" s="578"/>
      <c r="AS30" s="567"/>
      <c r="AT30" s="567"/>
      <c r="AU30" s="578"/>
      <c r="AV30" s="567"/>
      <c r="AW30" s="567"/>
      <c r="AX30" s="578"/>
      <c r="AY30" s="567"/>
      <c r="AZ30" s="567"/>
      <c r="BA30" s="578"/>
      <c r="BB30" s="567"/>
      <c r="BC30" s="567"/>
      <c r="BD30" s="578"/>
      <c r="BE30" s="567"/>
      <c r="BF30" s="567"/>
      <c r="BG30" s="578"/>
      <c r="BH30" s="567"/>
      <c r="BI30" s="567"/>
      <c r="BJ30" s="578"/>
      <c r="BK30" s="567"/>
      <c r="BL30" s="567"/>
      <c r="BM30" s="578"/>
      <c r="BN30" s="567"/>
      <c r="BO30" s="567"/>
      <c r="BP30" s="578"/>
      <c r="BQ30" s="567"/>
      <c r="BR30" s="567"/>
      <c r="BS30" s="578"/>
      <c r="BT30" s="567"/>
      <c r="BU30" s="567"/>
      <c r="BV30" s="578"/>
    </row>
    <row r="31" spans="1:74" ht="22.5">
      <c r="A31" s="1095" t="s">
        <v>709</v>
      </c>
      <c r="B31" s="1095"/>
      <c r="C31" s="1095"/>
      <c r="D31" s="1095"/>
      <c r="E31" s="1095"/>
      <c r="F31" s="1095"/>
      <c r="G31" s="1095"/>
      <c r="H31" s="1095"/>
      <c r="I31" s="1095"/>
      <c r="J31" s="1095"/>
      <c r="K31" s="1095"/>
      <c r="L31" s="1095"/>
      <c r="M31" s="1095"/>
      <c r="N31" s="1095"/>
      <c r="O31" s="1095"/>
      <c r="P31" s="1095"/>
      <c r="Q31" s="1095"/>
      <c r="R31" s="1095"/>
      <c r="S31" s="1095"/>
      <c r="T31" s="1095"/>
      <c r="U31" s="1095"/>
      <c r="V31" s="1095"/>
      <c r="W31" s="1095"/>
      <c r="X31" s="1095"/>
      <c r="Y31" s="1095"/>
      <c r="Z31" s="1095"/>
      <c r="AA31" s="1095"/>
      <c r="AB31" s="1095"/>
      <c r="AC31" s="1095"/>
      <c r="AD31" s="1095"/>
      <c r="AE31" s="1095"/>
      <c r="AF31" s="1095"/>
      <c r="AG31" s="1095"/>
      <c r="AH31" s="1095"/>
      <c r="AI31" s="1095"/>
      <c r="AJ31" s="1095"/>
      <c r="AK31" s="1095"/>
      <c r="AL31" s="1095"/>
      <c r="AM31" s="1095"/>
      <c r="AN31" s="1095"/>
      <c r="AO31" s="1095"/>
      <c r="AP31" s="1095"/>
      <c r="AQ31" s="1095"/>
      <c r="AR31" s="1095"/>
      <c r="AS31" s="1095"/>
      <c r="AT31" s="1095"/>
      <c r="AU31" s="1095"/>
      <c r="AV31" s="1095"/>
      <c r="AW31" s="1095"/>
      <c r="AX31" s="1095"/>
      <c r="AY31" s="1095"/>
      <c r="AZ31" s="1095"/>
      <c r="BA31" s="1095"/>
      <c r="BB31" s="1095"/>
      <c r="BC31" s="1095"/>
      <c r="BD31" s="1095"/>
      <c r="BE31" s="1095"/>
      <c r="BF31" s="1095"/>
      <c r="BG31" s="1095"/>
      <c r="BH31" s="1095"/>
      <c r="BI31" s="1095"/>
      <c r="BJ31" s="1095"/>
      <c r="BK31" s="1095"/>
      <c r="BL31" s="1095"/>
      <c r="BM31" s="1095"/>
      <c r="BN31" s="1095"/>
      <c r="BO31" s="1095"/>
      <c r="BP31" s="1095"/>
      <c r="BQ31" s="1095"/>
      <c r="BR31" s="1095"/>
      <c r="BS31" s="1095"/>
      <c r="BT31" s="1095"/>
      <c r="BU31" s="1095"/>
      <c r="BV31" s="1095"/>
    </row>
    <row r="33" spans="1:74">
      <c r="A33" s="2"/>
      <c r="B33" s="2"/>
      <c r="C33" s="2"/>
      <c r="D33" s="2"/>
      <c r="E33" s="2"/>
      <c r="F33" s="2"/>
      <c r="G33" s="2"/>
      <c r="H33" s="2"/>
      <c r="I33" s="2"/>
      <c r="J33" s="292"/>
      <c r="K33" s="292"/>
      <c r="L33" s="2"/>
      <c r="M33" s="491"/>
      <c r="N33" s="466" t="s">
        <v>0</v>
      </c>
      <c r="O33" s="292"/>
      <c r="P33" s="491"/>
      <c r="Q33" s="491"/>
      <c r="R33" s="292"/>
      <c r="S33" s="491"/>
      <c r="T33" s="466" t="s">
        <v>0</v>
      </c>
      <c r="U33" s="292"/>
      <c r="V33" s="491"/>
      <c r="W33" s="491"/>
      <c r="X33" s="292"/>
      <c r="Y33" s="491"/>
      <c r="Z33" s="500" t="s">
        <v>0</v>
      </c>
      <c r="AA33" s="292"/>
      <c r="AB33" s="491"/>
      <c r="AC33" s="491"/>
      <c r="AD33" s="292"/>
      <c r="AE33" s="491"/>
      <c r="AF33" s="510" t="s">
        <v>0</v>
      </c>
      <c r="AG33" s="292"/>
      <c r="AH33" s="491"/>
      <c r="AI33" s="491"/>
      <c r="AJ33" s="292"/>
      <c r="AK33" s="491"/>
      <c r="AL33" s="536" t="s">
        <v>0</v>
      </c>
      <c r="AM33" s="555"/>
      <c r="AN33" s="611"/>
      <c r="AO33" s="611"/>
      <c r="AP33" s="555"/>
      <c r="AQ33" s="611"/>
      <c r="AR33" s="608" t="s">
        <v>0</v>
      </c>
      <c r="AS33" s="555"/>
      <c r="AT33" s="611"/>
      <c r="AU33" s="611"/>
      <c r="AV33" s="555"/>
      <c r="AW33" s="611"/>
      <c r="AX33" s="914" t="s">
        <v>0</v>
      </c>
      <c r="AY33" s="555"/>
      <c r="AZ33" s="611"/>
      <c r="BA33" s="611"/>
      <c r="BB33" s="555"/>
      <c r="BC33" s="611"/>
      <c r="BD33" s="1026" t="s">
        <v>0</v>
      </c>
      <c r="BE33" s="555"/>
      <c r="BF33" s="611"/>
      <c r="BG33" s="611"/>
      <c r="BH33" s="555"/>
      <c r="BI33" s="611"/>
      <c r="BJ33" s="1039" t="s">
        <v>0</v>
      </c>
      <c r="BK33" s="555"/>
      <c r="BL33" s="611"/>
      <c r="BM33" s="611"/>
      <c r="BN33" s="555"/>
      <c r="BO33" s="611"/>
      <c r="BP33" s="1054" t="s">
        <v>0</v>
      </c>
      <c r="BQ33" s="555"/>
      <c r="BR33" s="611"/>
      <c r="BS33" s="611"/>
      <c r="BT33" s="555"/>
      <c r="BU33" s="611"/>
      <c r="BV33" s="1071" t="s">
        <v>0</v>
      </c>
    </row>
    <row r="34" spans="1:74" ht="24" customHeight="1">
      <c r="A34" s="1082" t="s">
        <v>284</v>
      </c>
      <c r="B34" s="1082"/>
      <c r="C34" s="1082" t="s">
        <v>2</v>
      </c>
      <c r="D34" s="1082" t="s">
        <v>3</v>
      </c>
      <c r="E34" s="1082" t="s">
        <v>4</v>
      </c>
      <c r="F34" s="1082" t="s">
        <v>5</v>
      </c>
      <c r="G34" s="1082" t="s">
        <v>6</v>
      </c>
      <c r="H34" s="1082" t="s">
        <v>7</v>
      </c>
      <c r="I34" s="1082" t="s">
        <v>8</v>
      </c>
      <c r="J34" s="1082" t="s">
        <v>83</v>
      </c>
      <c r="K34" s="1082" t="s">
        <v>315</v>
      </c>
      <c r="L34" s="1082" t="s">
        <v>491</v>
      </c>
      <c r="M34" s="1082"/>
      <c r="N34" s="1082"/>
      <c r="O34" s="1081" t="s">
        <v>492</v>
      </c>
      <c r="P34" s="1081"/>
      <c r="Q34" s="1081"/>
      <c r="R34" s="1081" t="s">
        <v>493</v>
      </c>
      <c r="S34" s="1081"/>
      <c r="T34" s="1081"/>
      <c r="U34" s="1081" t="s">
        <v>513</v>
      </c>
      <c r="V34" s="1081"/>
      <c r="W34" s="1081"/>
      <c r="X34" s="1081" t="s">
        <v>514</v>
      </c>
      <c r="Y34" s="1081"/>
      <c r="Z34" s="1081"/>
      <c r="AA34" s="1081" t="s">
        <v>532</v>
      </c>
      <c r="AB34" s="1081"/>
      <c r="AC34" s="1081"/>
      <c r="AD34" s="1081" t="s">
        <v>534</v>
      </c>
      <c r="AE34" s="1081"/>
      <c r="AF34" s="1081"/>
      <c r="AG34" s="1081" t="s">
        <v>555</v>
      </c>
      <c r="AH34" s="1081"/>
      <c r="AI34" s="1081"/>
      <c r="AJ34" s="1081" t="s">
        <v>556</v>
      </c>
      <c r="AK34" s="1081"/>
      <c r="AL34" s="1081"/>
      <c r="AM34" s="1081" t="s">
        <v>585</v>
      </c>
      <c r="AN34" s="1081"/>
      <c r="AO34" s="1081"/>
      <c r="AP34" s="1081" t="s">
        <v>584</v>
      </c>
      <c r="AQ34" s="1081"/>
      <c r="AR34" s="1081"/>
      <c r="AS34" s="1081" t="s">
        <v>605</v>
      </c>
      <c r="AT34" s="1081"/>
      <c r="AU34" s="1081"/>
      <c r="AV34" s="1081" t="s">
        <v>607</v>
      </c>
      <c r="AW34" s="1081"/>
      <c r="AX34" s="1081"/>
      <c r="AY34" s="1081" t="s">
        <v>630</v>
      </c>
      <c r="AZ34" s="1081"/>
      <c r="BA34" s="1081"/>
      <c r="BB34" s="1081" t="s">
        <v>631</v>
      </c>
      <c r="BC34" s="1081"/>
      <c r="BD34" s="1081"/>
      <c r="BE34" s="1081" t="s">
        <v>648</v>
      </c>
      <c r="BF34" s="1081"/>
      <c r="BG34" s="1081"/>
      <c r="BH34" s="1081" t="s">
        <v>649</v>
      </c>
      <c r="BI34" s="1081"/>
      <c r="BJ34" s="1081"/>
      <c r="BK34" s="1081" t="s">
        <v>674</v>
      </c>
      <c r="BL34" s="1081"/>
      <c r="BM34" s="1081"/>
      <c r="BN34" s="1081" t="s">
        <v>675</v>
      </c>
      <c r="BO34" s="1081"/>
      <c r="BP34" s="1081"/>
      <c r="BQ34" s="1081" t="s">
        <v>707</v>
      </c>
      <c r="BR34" s="1081"/>
      <c r="BS34" s="1081"/>
      <c r="BT34" s="1081" t="s">
        <v>708</v>
      </c>
      <c r="BU34" s="1081"/>
      <c r="BV34" s="1081"/>
    </row>
    <row r="35" spans="1:74" ht="24" customHeight="1" thickBot="1">
      <c r="A35" s="1083"/>
      <c r="B35" s="1083"/>
      <c r="C35" s="1083"/>
      <c r="D35" s="1083"/>
      <c r="E35" s="1083"/>
      <c r="F35" s="1083"/>
      <c r="G35" s="1083"/>
      <c r="H35" s="1083"/>
      <c r="I35" s="1083"/>
      <c r="J35" s="1083"/>
      <c r="K35" s="1083"/>
      <c r="L35" s="394" t="s">
        <v>314</v>
      </c>
      <c r="M35" s="394" t="s">
        <v>444</v>
      </c>
      <c r="N35" s="159" t="s">
        <v>10</v>
      </c>
      <c r="O35" s="465" t="s">
        <v>314</v>
      </c>
      <c r="P35" s="465" t="s">
        <v>444</v>
      </c>
      <c r="Q35" s="159" t="s">
        <v>10</v>
      </c>
      <c r="R35" s="465" t="s">
        <v>314</v>
      </c>
      <c r="S35" s="465" t="s">
        <v>444</v>
      </c>
      <c r="T35" s="159" t="s">
        <v>10</v>
      </c>
      <c r="U35" s="497" t="s">
        <v>314</v>
      </c>
      <c r="V35" s="497" t="s">
        <v>444</v>
      </c>
      <c r="W35" s="159" t="s">
        <v>10</v>
      </c>
      <c r="X35" s="497" t="s">
        <v>314</v>
      </c>
      <c r="Y35" s="497" t="s">
        <v>444</v>
      </c>
      <c r="Z35" s="159" t="s">
        <v>10</v>
      </c>
      <c r="AA35" s="511" t="s">
        <v>314</v>
      </c>
      <c r="AB35" s="511" t="s">
        <v>444</v>
      </c>
      <c r="AC35" s="159" t="s">
        <v>10</v>
      </c>
      <c r="AD35" s="511" t="s">
        <v>314</v>
      </c>
      <c r="AE35" s="511" t="s">
        <v>444</v>
      </c>
      <c r="AF35" s="159" t="s">
        <v>10</v>
      </c>
      <c r="AG35" s="533" t="s">
        <v>314</v>
      </c>
      <c r="AH35" s="533" t="s">
        <v>444</v>
      </c>
      <c r="AI35" s="159" t="s">
        <v>10</v>
      </c>
      <c r="AJ35" s="533" t="s">
        <v>314</v>
      </c>
      <c r="AK35" s="533" t="s">
        <v>444</v>
      </c>
      <c r="AL35" s="159" t="s">
        <v>10</v>
      </c>
      <c r="AM35" s="606" t="s">
        <v>314</v>
      </c>
      <c r="AN35" s="606" t="s">
        <v>444</v>
      </c>
      <c r="AO35" s="579" t="s">
        <v>10</v>
      </c>
      <c r="AP35" s="606" t="s">
        <v>314</v>
      </c>
      <c r="AQ35" s="606" t="s">
        <v>444</v>
      </c>
      <c r="AR35" s="579" t="s">
        <v>10</v>
      </c>
      <c r="AS35" s="916" t="s">
        <v>314</v>
      </c>
      <c r="AT35" s="916" t="s">
        <v>444</v>
      </c>
      <c r="AU35" s="579" t="s">
        <v>10</v>
      </c>
      <c r="AV35" s="916" t="s">
        <v>314</v>
      </c>
      <c r="AW35" s="916" t="s">
        <v>444</v>
      </c>
      <c r="AX35" s="579" t="s">
        <v>10</v>
      </c>
      <c r="AY35" s="1028" t="s">
        <v>314</v>
      </c>
      <c r="AZ35" s="1028" t="s">
        <v>444</v>
      </c>
      <c r="BA35" s="579" t="s">
        <v>10</v>
      </c>
      <c r="BB35" s="1028" t="s">
        <v>314</v>
      </c>
      <c r="BC35" s="1028" t="s">
        <v>444</v>
      </c>
      <c r="BD35" s="579" t="s">
        <v>10</v>
      </c>
      <c r="BE35" s="1041" t="s">
        <v>314</v>
      </c>
      <c r="BF35" s="1041" t="s">
        <v>444</v>
      </c>
      <c r="BG35" s="579" t="s">
        <v>10</v>
      </c>
      <c r="BH35" s="1041" t="s">
        <v>314</v>
      </c>
      <c r="BI35" s="1041" t="s">
        <v>444</v>
      </c>
      <c r="BJ35" s="579" t="s">
        <v>10</v>
      </c>
      <c r="BK35" s="1056" t="s">
        <v>314</v>
      </c>
      <c r="BL35" s="1056" t="s">
        <v>444</v>
      </c>
      <c r="BM35" s="579" t="s">
        <v>10</v>
      </c>
      <c r="BN35" s="1056" t="s">
        <v>314</v>
      </c>
      <c r="BO35" s="1056" t="s">
        <v>444</v>
      </c>
      <c r="BP35" s="579" t="s">
        <v>10</v>
      </c>
      <c r="BQ35" s="1073" t="s">
        <v>314</v>
      </c>
      <c r="BR35" s="1073" t="s">
        <v>444</v>
      </c>
      <c r="BS35" s="579" t="s">
        <v>10</v>
      </c>
      <c r="BT35" s="1073" t="s">
        <v>314</v>
      </c>
      <c r="BU35" s="1073" t="s">
        <v>444</v>
      </c>
      <c r="BV35" s="579" t="s">
        <v>10</v>
      </c>
    </row>
    <row r="36" spans="1:74" ht="22.5" customHeight="1">
      <c r="A36" s="1090" t="s">
        <v>285</v>
      </c>
      <c r="B36" s="22" t="s">
        <v>37</v>
      </c>
      <c r="C36" s="52">
        <f>수입!E33</f>
        <v>794054</v>
      </c>
      <c r="D36" s="52">
        <f>수입!F33</f>
        <v>790500</v>
      </c>
      <c r="E36" s="52">
        <f>수입!G33</f>
        <v>797944</v>
      </c>
      <c r="F36" s="52">
        <f>수입!H33</f>
        <v>883283</v>
      </c>
      <c r="G36" s="52">
        <f>수입!I33</f>
        <v>908875</v>
      </c>
      <c r="H36" s="52">
        <f>수입!J33</f>
        <v>986611</v>
      </c>
      <c r="I36" s="52">
        <f>수입!K33</f>
        <v>908736</v>
      </c>
      <c r="J36" s="52">
        <f>수입!L33</f>
        <v>855547</v>
      </c>
      <c r="K36" s="52">
        <f>수입!M33</f>
        <v>851617</v>
      </c>
      <c r="L36" s="52">
        <f>수입!N33</f>
        <v>86878</v>
      </c>
      <c r="M36" s="52">
        <f>수입!O33</f>
        <v>73411</v>
      </c>
      <c r="N36" s="160">
        <f>ROUND(((M36/L36-1)*100),1)</f>
        <v>-15.5</v>
      </c>
      <c r="O36" s="150">
        <f>R36-L36</f>
        <v>65889</v>
      </c>
      <c r="P36" s="150">
        <f>S36-M36</f>
        <v>67483</v>
      </c>
      <c r="Q36" s="160">
        <f>ROUND(((P36/O36-1)*100),1)</f>
        <v>2.4</v>
      </c>
      <c r="R36" s="52">
        <f>수입!T33</f>
        <v>152767</v>
      </c>
      <c r="S36" s="52">
        <f>수입!U33</f>
        <v>140894</v>
      </c>
      <c r="T36" s="160">
        <f>ROUND(((S36/R36-1)*100),1)</f>
        <v>-7.8</v>
      </c>
      <c r="U36" s="150">
        <f>X36-R36</f>
        <v>81882</v>
      </c>
      <c r="V36" s="150">
        <f>Y36-S36</f>
        <v>83349</v>
      </c>
      <c r="W36" s="160">
        <f>ROUND(((V36/U36-1)*100),1)</f>
        <v>1.8</v>
      </c>
      <c r="X36" s="52">
        <f>수입!Z33</f>
        <v>234649</v>
      </c>
      <c r="Y36" s="52">
        <f>수입!AA33</f>
        <v>224243</v>
      </c>
      <c r="Z36" s="160">
        <f>ROUND(((Y36/X36-1)*100),1)</f>
        <v>-4.4000000000000004</v>
      </c>
      <c r="AA36" s="150">
        <f>AD36-X36</f>
        <v>77012</v>
      </c>
      <c r="AB36" s="150">
        <f>AE36-Y36</f>
        <v>69845</v>
      </c>
      <c r="AC36" s="160">
        <f>ROUND(((AB36/AA36-1)*100),1)</f>
        <v>-9.3000000000000007</v>
      </c>
      <c r="AD36" s="52">
        <f>수입!AF33</f>
        <v>311661</v>
      </c>
      <c r="AE36" s="52">
        <f>수입!AG33</f>
        <v>294088</v>
      </c>
      <c r="AF36" s="160">
        <f>ROUND(((AE36/AD36-1)*100),1)</f>
        <v>-5.6</v>
      </c>
      <c r="AG36" s="150">
        <f>AJ36-AD36</f>
        <v>68765</v>
      </c>
      <c r="AH36" s="150">
        <f>AK36-AE36</f>
        <v>58209</v>
      </c>
      <c r="AI36" s="160">
        <f>ROUND(((AH36/AG36-1)*100),1)</f>
        <v>-15.4</v>
      </c>
      <c r="AJ36" s="52">
        <f>수입!AL33</f>
        <v>380426</v>
      </c>
      <c r="AK36" s="52">
        <f>수입!AM33</f>
        <v>352297</v>
      </c>
      <c r="AL36" s="160">
        <f>ROUND(((AK36/AJ36-1)*100),1)</f>
        <v>-7.4</v>
      </c>
      <c r="AM36" s="570">
        <f>AP36-AJ36</f>
        <v>64788</v>
      </c>
      <c r="AN36" s="570">
        <f>AQ36-AK36</f>
        <v>60611</v>
      </c>
      <c r="AO36" s="580">
        <f>ROUND(((AN36/AM36-1)*100),1)</f>
        <v>-6.4</v>
      </c>
      <c r="AP36" s="557">
        <f>수입!AR33</f>
        <v>445214</v>
      </c>
      <c r="AQ36" s="557">
        <f>수입!AS33</f>
        <v>412908</v>
      </c>
      <c r="AR36" s="580">
        <f>ROUND(((AQ36/AP36-1)*100),1)</f>
        <v>-7.3</v>
      </c>
      <c r="AS36" s="570">
        <f>AV36-AP36</f>
        <v>67287</v>
      </c>
      <c r="AT36" s="570">
        <f>AW36-AQ36</f>
        <v>64082</v>
      </c>
      <c r="AU36" s="580">
        <f>ROUND(((AT36/AS36-1)*100),1)</f>
        <v>-4.8</v>
      </c>
      <c r="AV36" s="557">
        <f>수입!AX33</f>
        <v>512501</v>
      </c>
      <c r="AW36" s="557">
        <f>수입!AY33</f>
        <v>476990</v>
      </c>
      <c r="AX36" s="580">
        <f>ROUND(((AW36/AV36-1)*100),1)</f>
        <v>-6.9</v>
      </c>
      <c r="AY36" s="570">
        <f>BB36-AV36</f>
        <v>62100</v>
      </c>
      <c r="AZ36" s="570">
        <f>BC36-AW36</f>
        <v>66572</v>
      </c>
      <c r="BA36" s="580">
        <f>ROUND(((AZ36/AY36-1)*100),1)</f>
        <v>7.2</v>
      </c>
      <c r="BB36" s="557">
        <f>수입!BD33</f>
        <v>574601</v>
      </c>
      <c r="BC36" s="557">
        <f>수입!BE33</f>
        <v>543562</v>
      </c>
      <c r="BD36" s="580">
        <f>ROUND(((BC36/BB36-1)*100),1)</f>
        <v>-5.4</v>
      </c>
      <c r="BE36" s="570">
        <f>BH36-BB36</f>
        <v>67103</v>
      </c>
      <c r="BF36" s="570">
        <f>BI36-BC36</f>
        <v>66080</v>
      </c>
      <c r="BG36" s="580">
        <f>ROUND(((BF36/BE36-1)*100),1)</f>
        <v>-1.5</v>
      </c>
      <c r="BH36" s="557">
        <f>수입!BJ33</f>
        <v>641704</v>
      </c>
      <c r="BI36" s="557">
        <f>수입!BK33</f>
        <v>609642</v>
      </c>
      <c r="BJ36" s="580">
        <f>ROUND(((BI36/BH36-1)*100),1)</f>
        <v>-5</v>
      </c>
      <c r="BK36" s="570">
        <f>BN36-BH36</f>
        <v>71705</v>
      </c>
      <c r="BL36" s="570">
        <f>BO36-BI36</f>
        <v>70683</v>
      </c>
      <c r="BM36" s="580">
        <f>ROUND(((BL36/BK36-1)*100),1)</f>
        <v>-1.4</v>
      </c>
      <c r="BN36" s="557">
        <f>수입!BP33</f>
        <v>713409</v>
      </c>
      <c r="BO36" s="557">
        <f>수입!BQ33</f>
        <v>680325</v>
      </c>
      <c r="BP36" s="580">
        <f>ROUND(((BO36/BN36-1)*100),1)</f>
        <v>-4.5999999999999996</v>
      </c>
      <c r="BQ36" s="570">
        <f>BT36-BN36</f>
        <v>68443</v>
      </c>
      <c r="BR36" s="570">
        <f>BU36-BO36</f>
        <v>70905</v>
      </c>
      <c r="BS36" s="580">
        <f>ROUND(((BR36/BQ36-1)*100),1)</f>
        <v>3.6</v>
      </c>
      <c r="BT36" s="557">
        <f>수입!BV33</f>
        <v>781852</v>
      </c>
      <c r="BU36" s="557">
        <f>수입!BW33</f>
        <v>751230</v>
      </c>
      <c r="BV36" s="580">
        <f>ROUND(((BU36/BT36-1)*100),1)</f>
        <v>-3.9</v>
      </c>
    </row>
    <row r="37" spans="1:74" ht="22.5" customHeight="1">
      <c r="A37" s="1091"/>
      <c r="B37" s="5" t="s">
        <v>38</v>
      </c>
      <c r="C37" s="138">
        <f>수입!E34</f>
        <v>7412689</v>
      </c>
      <c r="D37" s="138">
        <f>수입!F34</f>
        <v>6627485</v>
      </c>
      <c r="E37" s="138">
        <f>수입!G34</f>
        <v>6245237</v>
      </c>
      <c r="F37" s="138">
        <f>수입!H34</f>
        <v>6423507</v>
      </c>
      <c r="G37" s="138">
        <f>수입!I34</f>
        <v>5480118</v>
      </c>
      <c r="H37" s="138">
        <f>수입!J34</f>
        <v>5098171</v>
      </c>
      <c r="I37" s="138">
        <f>수입!K34</f>
        <v>5680329</v>
      </c>
      <c r="J37" s="138">
        <f>수입!L34</f>
        <v>5791947</v>
      </c>
      <c r="K37" s="138">
        <f>수입!M34</f>
        <v>5318770</v>
      </c>
      <c r="L37" s="138">
        <f>수입!N34</f>
        <v>553697</v>
      </c>
      <c r="M37" s="138">
        <f>수입!O34</f>
        <v>438251</v>
      </c>
      <c r="N37" s="153">
        <f t="shared" ref="N37:N59" si="32">ROUND(((M37/L37-1)*100),1)</f>
        <v>-20.9</v>
      </c>
      <c r="O37" s="137">
        <f>R37-L37</f>
        <v>420880</v>
      </c>
      <c r="P37" s="137">
        <f>S37-M37</f>
        <v>414017</v>
      </c>
      <c r="Q37" s="153">
        <f t="shared" ref="Q37:Q59" si="33">ROUND(((P37/O37-1)*100),1)</f>
        <v>-1.6</v>
      </c>
      <c r="R37" s="138">
        <f>수입!T34</f>
        <v>974577</v>
      </c>
      <c r="S37" s="138">
        <f>수입!U34</f>
        <v>852268</v>
      </c>
      <c r="T37" s="153">
        <f t="shared" ref="T37:T59" si="34">ROUND(((S37/R37-1)*100),1)</f>
        <v>-12.5</v>
      </c>
      <c r="U37" s="137">
        <f>X37-R37</f>
        <v>512859</v>
      </c>
      <c r="V37" s="137">
        <f>Y37-S37</f>
        <v>495823</v>
      </c>
      <c r="W37" s="153">
        <f t="shared" ref="W37:W59" si="35">ROUND(((V37/U37-1)*100),1)</f>
        <v>-3.3</v>
      </c>
      <c r="X37" s="138">
        <f>수입!Z34</f>
        <v>1487436</v>
      </c>
      <c r="Y37" s="138">
        <f>수입!AA34</f>
        <v>1348091</v>
      </c>
      <c r="Z37" s="153">
        <f t="shared" ref="Z37:Z59" si="36">ROUND(((Y37/X37-1)*100),1)</f>
        <v>-9.4</v>
      </c>
      <c r="AA37" s="137">
        <f>AD37-X37</f>
        <v>501819</v>
      </c>
      <c r="AB37" s="137">
        <f>AE37-Y37</f>
        <v>393272</v>
      </c>
      <c r="AC37" s="153">
        <f t="shared" ref="AC37:AC59" si="37">ROUND(((AB37/AA37-1)*100),1)</f>
        <v>-21.6</v>
      </c>
      <c r="AD37" s="138">
        <f>수입!AF34</f>
        <v>1989255</v>
      </c>
      <c r="AE37" s="138">
        <f>수입!AG34</f>
        <v>1741363</v>
      </c>
      <c r="AF37" s="153">
        <f t="shared" ref="AF37:AF59" si="38">ROUND(((AE37/AD37-1)*100),1)</f>
        <v>-12.5</v>
      </c>
      <c r="AG37" s="137">
        <f>AJ37-AD37</f>
        <v>448345</v>
      </c>
      <c r="AH37" s="137">
        <f>AK37-AE37</f>
        <v>329062</v>
      </c>
      <c r="AI37" s="153">
        <f t="shared" ref="AI37:AI59" si="39">ROUND(((AH37/AG37-1)*100),1)</f>
        <v>-26.6</v>
      </c>
      <c r="AJ37" s="138">
        <f>수입!AL34</f>
        <v>2437600</v>
      </c>
      <c r="AK37" s="138">
        <f>수입!AM34</f>
        <v>2070425</v>
      </c>
      <c r="AL37" s="153">
        <f t="shared" ref="AL37:AL59" si="40">ROUND(((AK37/AJ37-1)*100),1)</f>
        <v>-15.1</v>
      </c>
      <c r="AM37" s="562">
        <f>AP37-AJ37</f>
        <v>417572</v>
      </c>
      <c r="AN37" s="562">
        <f>AQ37-AK37</f>
        <v>343704</v>
      </c>
      <c r="AO37" s="573">
        <f t="shared" ref="AO37:AO59" si="41">ROUND(((AN37/AM37-1)*100),1)</f>
        <v>-17.7</v>
      </c>
      <c r="AP37" s="563">
        <f>수입!AR34</f>
        <v>2855172</v>
      </c>
      <c r="AQ37" s="563">
        <f>수입!AS34</f>
        <v>2414129</v>
      </c>
      <c r="AR37" s="573">
        <f t="shared" ref="AR37:AR59" si="42">ROUND(((AQ37/AP37-1)*100),1)</f>
        <v>-15.4</v>
      </c>
      <c r="AS37" s="562">
        <f>AV37-AP37</f>
        <v>427114</v>
      </c>
      <c r="AT37" s="562">
        <f>AW37-AQ37</f>
        <v>378480</v>
      </c>
      <c r="AU37" s="573">
        <f t="shared" ref="AU37:AU59" si="43">ROUND(((AT37/AS37-1)*100),1)</f>
        <v>-11.4</v>
      </c>
      <c r="AV37" s="563">
        <f>수입!AX34</f>
        <v>3282286</v>
      </c>
      <c r="AW37" s="563">
        <f>수입!AY34</f>
        <v>2792609</v>
      </c>
      <c r="AX37" s="573">
        <f t="shared" ref="AX37:AX59" si="44">ROUND(((AW37/AV37-1)*100),1)</f>
        <v>-14.9</v>
      </c>
      <c r="AY37" s="562">
        <f>BB37-AV37</f>
        <v>387728</v>
      </c>
      <c r="AZ37" s="562">
        <f>BC37-AW37</f>
        <v>409399</v>
      </c>
      <c r="BA37" s="573">
        <f t="shared" ref="BA37:BA59" si="45">ROUND(((AZ37/AY37-1)*100),1)</f>
        <v>5.6</v>
      </c>
      <c r="BB37" s="563">
        <f>수입!BD34</f>
        <v>3670014</v>
      </c>
      <c r="BC37" s="563">
        <f>수입!BE34</f>
        <v>3202008</v>
      </c>
      <c r="BD37" s="573">
        <f t="shared" ref="BD37:BD59" si="46">ROUND(((BC37/BB37-1)*100),1)</f>
        <v>-12.8</v>
      </c>
      <c r="BE37" s="562">
        <f>BH37-BB37</f>
        <v>414034</v>
      </c>
      <c r="BF37" s="562">
        <f>BI37-BC37</f>
        <v>442023</v>
      </c>
      <c r="BG37" s="573">
        <f t="shared" ref="BG37:BG59" si="47">ROUND(((BF37/BE37-1)*100),1)</f>
        <v>6.8</v>
      </c>
      <c r="BH37" s="563">
        <f>수입!BJ34</f>
        <v>4084048</v>
      </c>
      <c r="BI37" s="563">
        <f>수입!BK34</f>
        <v>3644031</v>
      </c>
      <c r="BJ37" s="573">
        <f t="shared" ref="BJ37:BJ59" si="48">ROUND(((BI37/BH37-1)*100),1)</f>
        <v>-10.8</v>
      </c>
      <c r="BK37" s="562">
        <f>BN37-BH37</f>
        <v>427419</v>
      </c>
      <c r="BL37" s="562">
        <f>BO37-BI37</f>
        <v>465290</v>
      </c>
      <c r="BM37" s="573">
        <f t="shared" ref="BM37:BM59" si="49">ROUND(((BL37/BK37-1)*100),1)</f>
        <v>8.9</v>
      </c>
      <c r="BN37" s="563">
        <f>수입!BP34</f>
        <v>4511467</v>
      </c>
      <c r="BO37" s="563">
        <f>수입!BQ34</f>
        <v>4109321</v>
      </c>
      <c r="BP37" s="573">
        <f t="shared" ref="BP37:BP59" si="50">ROUND(((BO37/BN37-1)*100),1)</f>
        <v>-8.9</v>
      </c>
      <c r="BQ37" s="562">
        <f>BT37-BN37</f>
        <v>399428</v>
      </c>
      <c r="BR37" s="562">
        <f>BU37-BO37</f>
        <v>486090</v>
      </c>
      <c r="BS37" s="573">
        <f t="shared" ref="BS37:BS59" si="51">ROUND(((BR37/BQ37-1)*100),1)</f>
        <v>21.7</v>
      </c>
      <c r="BT37" s="563">
        <f>수입!BV34</f>
        <v>4910895</v>
      </c>
      <c r="BU37" s="563">
        <f>수입!BW34</f>
        <v>4595411</v>
      </c>
      <c r="BV37" s="573">
        <f t="shared" ref="BV37:BV59" si="52">ROUND(((BU37/BT37-1)*100),1)</f>
        <v>-6.4</v>
      </c>
    </row>
    <row r="38" spans="1:74" ht="22.5" customHeight="1">
      <c r="A38" s="1092"/>
      <c r="B38" s="146" t="s">
        <v>286</v>
      </c>
      <c r="C38" s="147">
        <f t="shared" ref="C38:H38" si="53">C37/C36*1000</f>
        <v>9335.2454618955398</v>
      </c>
      <c r="D38" s="147">
        <f t="shared" si="53"/>
        <v>8383.9152435167616</v>
      </c>
      <c r="E38" s="147">
        <f t="shared" si="53"/>
        <v>7826.6607681742071</v>
      </c>
      <c r="F38" s="147">
        <f t="shared" si="53"/>
        <v>7272.3091013865323</v>
      </c>
      <c r="G38" s="147">
        <f t="shared" si="53"/>
        <v>6029.5618209324712</v>
      </c>
      <c r="H38" s="147">
        <f t="shared" si="53"/>
        <v>5167.3567393836074</v>
      </c>
      <c r="I38" s="147">
        <f>I37/I36*1000</f>
        <v>6250.8022131840271</v>
      </c>
      <c r="J38" s="147">
        <f>J37/J36*1000</f>
        <v>6769.8758805769876</v>
      </c>
      <c r="K38" s="147">
        <f>K37/K36*1000</f>
        <v>6245.4953341701721</v>
      </c>
      <c r="L38" s="147">
        <f>L37/L36*1000</f>
        <v>6373.270563318677</v>
      </c>
      <c r="M38" s="147">
        <f>M37/M36*1000</f>
        <v>5969.8274100611625</v>
      </c>
      <c r="N38" s="161">
        <f t="shared" si="32"/>
        <v>-6.3</v>
      </c>
      <c r="O38" s="57">
        <f>O37/O36*1000</f>
        <v>6387.7126682754324</v>
      </c>
      <c r="P38" s="57">
        <f>P37/P36*1000</f>
        <v>6135.1303291199265</v>
      </c>
      <c r="Q38" s="161">
        <f t="shared" si="33"/>
        <v>-4</v>
      </c>
      <c r="R38" s="147">
        <f>R37/R36*1000</f>
        <v>6379.4994992374004</v>
      </c>
      <c r="S38" s="147">
        <f>S37/S36*1000</f>
        <v>6049.0013769216566</v>
      </c>
      <c r="T38" s="161">
        <f t="shared" si="34"/>
        <v>-5.2</v>
      </c>
      <c r="U38" s="57">
        <f>U37/U36*1000</f>
        <v>6263.3912215138862</v>
      </c>
      <c r="V38" s="57">
        <f>V37/V36*1000</f>
        <v>5948.7576335648901</v>
      </c>
      <c r="W38" s="161">
        <f t="shared" si="35"/>
        <v>-5</v>
      </c>
      <c r="X38" s="147">
        <f>X37/X36*1000</f>
        <v>6338.9829063835768</v>
      </c>
      <c r="Y38" s="147">
        <f>Y37/Y36*1000</f>
        <v>6011.7417266090806</v>
      </c>
      <c r="Z38" s="161">
        <f t="shared" si="36"/>
        <v>-5.2</v>
      </c>
      <c r="AA38" s="57">
        <f>AA37/AA36*1000</f>
        <v>6516.1143717862151</v>
      </c>
      <c r="AB38" s="57">
        <f>AB37/AB36*1000</f>
        <v>5630.6392726752092</v>
      </c>
      <c r="AC38" s="161">
        <f t="shared" si="37"/>
        <v>-13.6</v>
      </c>
      <c r="AD38" s="147">
        <f>AD37/AD36*1000</f>
        <v>6382.7524136802494</v>
      </c>
      <c r="AE38" s="147">
        <f>AE37/AE36*1000</f>
        <v>5921.2310600908577</v>
      </c>
      <c r="AF38" s="161">
        <f t="shared" si="38"/>
        <v>-7.2</v>
      </c>
      <c r="AG38" s="57">
        <f>AG37/AG36*1000</f>
        <v>6519.9592816112845</v>
      </c>
      <c r="AH38" s="57">
        <f>AH37/AH36*1000</f>
        <v>5653.1120617086699</v>
      </c>
      <c r="AI38" s="161">
        <f t="shared" si="39"/>
        <v>-13.3</v>
      </c>
      <c r="AJ38" s="147">
        <f>AJ37/AJ36*1000</f>
        <v>6407.5536372382539</v>
      </c>
      <c r="AK38" s="147">
        <f>AK37/AK36*1000</f>
        <v>5876.9305443986186</v>
      </c>
      <c r="AL38" s="161">
        <f t="shared" si="40"/>
        <v>-8.3000000000000007</v>
      </c>
      <c r="AM38" s="559">
        <f>AM37/AM36*1000</f>
        <v>6445.2059023275915</v>
      </c>
      <c r="AN38" s="559">
        <f>AN37/AN36*1000</f>
        <v>5670.6538417119009</v>
      </c>
      <c r="AO38" s="581">
        <f t="shared" si="41"/>
        <v>-12</v>
      </c>
      <c r="AP38" s="568">
        <f>AP37/AP36*1000</f>
        <v>6413.0328336485372</v>
      </c>
      <c r="AQ38" s="568">
        <f>AQ37/AQ36*1000</f>
        <v>5846.6510699720038</v>
      </c>
      <c r="AR38" s="581">
        <f t="shared" si="42"/>
        <v>-8.8000000000000007</v>
      </c>
      <c r="AS38" s="559">
        <f>AS37/AS36*1000</f>
        <v>6347.645161769733</v>
      </c>
      <c r="AT38" s="559">
        <f>AT37/AT36*1000</f>
        <v>5906.1827034112539</v>
      </c>
      <c r="AU38" s="581">
        <f t="shared" si="43"/>
        <v>-7</v>
      </c>
      <c r="AV38" s="568">
        <f>AV37/AV36*1000</f>
        <v>6404.4479913209925</v>
      </c>
      <c r="AW38" s="568">
        <f>AW37/AW36*1000</f>
        <v>5854.6489444223143</v>
      </c>
      <c r="AX38" s="581">
        <f t="shared" si="44"/>
        <v>-8.6</v>
      </c>
      <c r="AY38" s="559">
        <f>AY37/AY36*1000</f>
        <v>6243.6070853462161</v>
      </c>
      <c r="AZ38" s="559">
        <f>AZ37/AZ36*1000</f>
        <v>6149.7175989905663</v>
      </c>
      <c r="BA38" s="581">
        <f t="shared" si="45"/>
        <v>-1.5</v>
      </c>
      <c r="BB38" s="568">
        <f>BB37/BB36*1000</f>
        <v>6387.0651112685155</v>
      </c>
      <c r="BC38" s="568">
        <f>BC37/BC36*1000</f>
        <v>5890.7870675286358</v>
      </c>
      <c r="BD38" s="581">
        <f t="shared" si="46"/>
        <v>-7.8</v>
      </c>
      <c r="BE38" s="559">
        <f>BE37/BE36*1000</f>
        <v>6170.1265219140723</v>
      </c>
      <c r="BF38" s="559">
        <f>BF37/BF36*1000</f>
        <v>6689.21004842615</v>
      </c>
      <c r="BG38" s="581">
        <f t="shared" si="47"/>
        <v>8.4</v>
      </c>
      <c r="BH38" s="568">
        <f>BH37/BH36*1000</f>
        <v>6364.3798386795161</v>
      </c>
      <c r="BI38" s="568">
        <f>BI37/BI36*1000</f>
        <v>5977.3293178619579</v>
      </c>
      <c r="BJ38" s="581">
        <f t="shared" si="48"/>
        <v>-6.1</v>
      </c>
      <c r="BK38" s="559">
        <f>BK37/BK36*1000</f>
        <v>5960.7977128512657</v>
      </c>
      <c r="BL38" s="559">
        <f>BL37/BL36*1000</f>
        <v>6582.7709633150826</v>
      </c>
      <c r="BM38" s="581">
        <f t="shared" si="49"/>
        <v>10.4</v>
      </c>
      <c r="BN38" s="568">
        <f>BN37/BN36*1000</f>
        <v>6323.815651330443</v>
      </c>
      <c r="BO38" s="568">
        <f>BO37/BO36*1000</f>
        <v>6040.2322419431885</v>
      </c>
      <c r="BP38" s="581">
        <f t="shared" si="50"/>
        <v>-4.5</v>
      </c>
      <c r="BQ38" s="559">
        <f>BQ37/BQ36*1000</f>
        <v>5835.9218619873473</v>
      </c>
      <c r="BR38" s="559">
        <f>BR37/BR36*1000</f>
        <v>6855.5108948593188</v>
      </c>
      <c r="BS38" s="581">
        <f t="shared" si="51"/>
        <v>17.5</v>
      </c>
      <c r="BT38" s="568">
        <f>BT37/BT36*1000</f>
        <v>6281.1056312447881</v>
      </c>
      <c r="BU38" s="568">
        <f>BU37/BU36*1000</f>
        <v>6117.1824873873511</v>
      </c>
      <c r="BV38" s="581">
        <f t="shared" si="52"/>
        <v>-2.6</v>
      </c>
    </row>
    <row r="39" spans="1:74" ht="22.5" customHeight="1">
      <c r="A39" s="1093" t="s">
        <v>287</v>
      </c>
      <c r="B39" s="10" t="s">
        <v>37</v>
      </c>
      <c r="C39" s="165">
        <f>수입!E81</f>
        <v>180892</v>
      </c>
      <c r="D39" s="165">
        <f>수입!F81</f>
        <v>153438</v>
      </c>
      <c r="E39" s="165">
        <f>수입!G81</f>
        <v>204606</v>
      </c>
      <c r="F39" s="165">
        <f>수입!H81</f>
        <v>202410</v>
      </c>
      <c r="G39" s="165">
        <f>수입!I81</f>
        <v>196672</v>
      </c>
      <c r="H39" s="165">
        <f>수입!J81</f>
        <v>153734</v>
      </c>
      <c r="I39" s="165">
        <f>수입!K81</f>
        <v>154354</v>
      </c>
      <c r="J39" s="165">
        <f>수입!L81</f>
        <v>167186</v>
      </c>
      <c r="K39" s="165">
        <f>수입!M81</f>
        <v>151473</v>
      </c>
      <c r="L39" s="165">
        <f>수입!N81</f>
        <v>11889</v>
      </c>
      <c r="M39" s="165">
        <f>수입!O81</f>
        <v>12509</v>
      </c>
      <c r="N39" s="154">
        <f t="shared" si="32"/>
        <v>5.2</v>
      </c>
      <c r="O39" s="78">
        <f>R39-L39</f>
        <v>10189</v>
      </c>
      <c r="P39" s="78">
        <f>S39-M39</f>
        <v>9241</v>
      </c>
      <c r="Q39" s="154">
        <f t="shared" si="33"/>
        <v>-9.3000000000000007</v>
      </c>
      <c r="R39" s="165">
        <f>수입!T81</f>
        <v>22078</v>
      </c>
      <c r="S39" s="165">
        <f>수입!U81</f>
        <v>21750</v>
      </c>
      <c r="T39" s="154">
        <f t="shared" si="34"/>
        <v>-1.5</v>
      </c>
      <c r="U39" s="78">
        <f>X39-R39</f>
        <v>10808</v>
      </c>
      <c r="V39" s="78">
        <f>Y39-S39</f>
        <v>12131</v>
      </c>
      <c r="W39" s="154">
        <f t="shared" si="35"/>
        <v>12.2</v>
      </c>
      <c r="X39" s="165">
        <f>수입!Z81</f>
        <v>32886</v>
      </c>
      <c r="Y39" s="165">
        <f>수입!AA81</f>
        <v>33881</v>
      </c>
      <c r="Z39" s="154">
        <f t="shared" si="36"/>
        <v>3</v>
      </c>
      <c r="AA39" s="78">
        <f>AD39-X39</f>
        <v>13780</v>
      </c>
      <c r="AB39" s="78">
        <f>AE39-Y39</f>
        <v>10297</v>
      </c>
      <c r="AC39" s="154">
        <f t="shared" si="37"/>
        <v>-25.3</v>
      </c>
      <c r="AD39" s="165">
        <f>수입!AF81</f>
        <v>46666</v>
      </c>
      <c r="AE39" s="165">
        <f>수입!AG81</f>
        <v>44178</v>
      </c>
      <c r="AF39" s="154">
        <f t="shared" si="38"/>
        <v>-5.3</v>
      </c>
      <c r="AG39" s="78">
        <f>AJ39-AD39</f>
        <v>14626</v>
      </c>
      <c r="AH39" s="78">
        <f>AK39-AE39</f>
        <v>8991</v>
      </c>
      <c r="AI39" s="154">
        <f t="shared" si="39"/>
        <v>-38.5</v>
      </c>
      <c r="AJ39" s="165">
        <f>수입!AL81</f>
        <v>61292</v>
      </c>
      <c r="AK39" s="165">
        <f>수입!AM81</f>
        <v>53169</v>
      </c>
      <c r="AL39" s="154">
        <f t="shared" si="40"/>
        <v>-13.3</v>
      </c>
      <c r="AM39" s="561">
        <f>AP39-AJ39</f>
        <v>12278</v>
      </c>
      <c r="AN39" s="561">
        <f>AQ39-AK39</f>
        <v>11354</v>
      </c>
      <c r="AO39" s="574">
        <f t="shared" si="41"/>
        <v>-7.5</v>
      </c>
      <c r="AP39" s="585">
        <f>수입!AR81</f>
        <v>73570</v>
      </c>
      <c r="AQ39" s="585">
        <f>수입!AS81</f>
        <v>64523</v>
      </c>
      <c r="AR39" s="574">
        <f t="shared" si="42"/>
        <v>-12.3</v>
      </c>
      <c r="AS39" s="561">
        <f>AV39-AP39</f>
        <v>9303</v>
      </c>
      <c r="AT39" s="561">
        <f>AW39-AQ39</f>
        <v>17412</v>
      </c>
      <c r="AU39" s="574">
        <f t="shared" si="43"/>
        <v>87.2</v>
      </c>
      <c r="AV39" s="585">
        <f>수입!AX81</f>
        <v>82873</v>
      </c>
      <c r="AW39" s="585">
        <f>수입!AY81</f>
        <v>81935</v>
      </c>
      <c r="AX39" s="574">
        <f t="shared" si="44"/>
        <v>-1.1000000000000001</v>
      </c>
      <c r="AY39" s="561">
        <f>BB39-AV39</f>
        <v>9570</v>
      </c>
      <c r="AZ39" s="561">
        <f>BC39-AW39</f>
        <v>12203</v>
      </c>
      <c r="BA39" s="574">
        <f t="shared" si="45"/>
        <v>27.5</v>
      </c>
      <c r="BB39" s="585">
        <f>수입!BD81</f>
        <v>92443</v>
      </c>
      <c r="BC39" s="585">
        <f>수입!BE81</f>
        <v>94138</v>
      </c>
      <c r="BD39" s="574">
        <f t="shared" si="46"/>
        <v>1.8</v>
      </c>
      <c r="BE39" s="561">
        <f>BH39-BB39</f>
        <v>11580</v>
      </c>
      <c r="BF39" s="561">
        <f>BI39-BC39</f>
        <v>12049</v>
      </c>
      <c r="BG39" s="574">
        <f t="shared" si="47"/>
        <v>4.0999999999999996</v>
      </c>
      <c r="BH39" s="585">
        <f>수입!BJ81</f>
        <v>104023</v>
      </c>
      <c r="BI39" s="585">
        <f>수입!BK81</f>
        <v>106187</v>
      </c>
      <c r="BJ39" s="574">
        <f t="shared" si="48"/>
        <v>2.1</v>
      </c>
      <c r="BK39" s="561">
        <f>BN39-BH39</f>
        <v>14603</v>
      </c>
      <c r="BL39" s="561">
        <f>BO39-BI39</f>
        <v>16234</v>
      </c>
      <c r="BM39" s="574">
        <f t="shared" si="49"/>
        <v>11.2</v>
      </c>
      <c r="BN39" s="585">
        <f>수입!BP81</f>
        <v>118626</v>
      </c>
      <c r="BO39" s="585">
        <f>수입!BQ81</f>
        <v>122421</v>
      </c>
      <c r="BP39" s="574">
        <f t="shared" si="50"/>
        <v>3.2</v>
      </c>
      <c r="BQ39" s="561">
        <f>BT39-BN39</f>
        <v>16119</v>
      </c>
      <c r="BR39" s="561">
        <f>BU39-BO39</f>
        <v>14071</v>
      </c>
      <c r="BS39" s="574">
        <f t="shared" si="51"/>
        <v>-12.7</v>
      </c>
      <c r="BT39" s="585">
        <f>수입!BV81</f>
        <v>134745</v>
      </c>
      <c r="BU39" s="585">
        <f>수입!BW81</f>
        <v>136492</v>
      </c>
      <c r="BV39" s="574">
        <f t="shared" si="52"/>
        <v>1.3</v>
      </c>
    </row>
    <row r="40" spans="1:74" ht="22.5" customHeight="1">
      <c r="A40" s="1091"/>
      <c r="B40" s="5" t="s">
        <v>38</v>
      </c>
      <c r="C40" s="138">
        <f>수입!E82</f>
        <v>464732</v>
      </c>
      <c r="D40" s="138">
        <f>수입!F82</f>
        <v>313099</v>
      </c>
      <c r="E40" s="138">
        <f>수입!G82</f>
        <v>462009</v>
      </c>
      <c r="F40" s="138">
        <f>수입!H82</f>
        <v>440059</v>
      </c>
      <c r="G40" s="138">
        <f>수입!I82</f>
        <v>373737</v>
      </c>
      <c r="H40" s="138">
        <f>수입!J82</f>
        <v>280289</v>
      </c>
      <c r="I40" s="138">
        <f>수입!K82</f>
        <v>350148</v>
      </c>
      <c r="J40" s="138">
        <f>수입!L82</f>
        <v>389373</v>
      </c>
      <c r="K40" s="138">
        <f>수입!M82</f>
        <v>306235</v>
      </c>
      <c r="L40" s="138">
        <f>수입!N82</f>
        <v>24032</v>
      </c>
      <c r="M40" s="138">
        <f>수입!O82</f>
        <v>25869</v>
      </c>
      <c r="N40" s="153">
        <f t="shared" si="32"/>
        <v>7.6</v>
      </c>
      <c r="O40" s="137">
        <f>R40-L40</f>
        <v>20825</v>
      </c>
      <c r="P40" s="137">
        <f>S40-M40</f>
        <v>18753</v>
      </c>
      <c r="Q40" s="153">
        <f t="shared" si="33"/>
        <v>-9.9</v>
      </c>
      <c r="R40" s="138">
        <f>수입!T82</f>
        <v>44857</v>
      </c>
      <c r="S40" s="138">
        <f>수입!U82</f>
        <v>44622</v>
      </c>
      <c r="T40" s="153">
        <f t="shared" si="34"/>
        <v>-0.5</v>
      </c>
      <c r="U40" s="137">
        <f>X40-R40</f>
        <v>22213</v>
      </c>
      <c r="V40" s="137">
        <f>Y40-S40</f>
        <v>24098</v>
      </c>
      <c r="W40" s="153">
        <f t="shared" si="35"/>
        <v>8.5</v>
      </c>
      <c r="X40" s="138">
        <f>수입!Z82</f>
        <v>67070</v>
      </c>
      <c r="Y40" s="138">
        <f>수입!AA82</f>
        <v>68720</v>
      </c>
      <c r="Z40" s="153">
        <f t="shared" si="36"/>
        <v>2.5</v>
      </c>
      <c r="AA40" s="137">
        <f>AD40-X40</f>
        <v>28218</v>
      </c>
      <c r="AB40" s="137">
        <f>AE40-Y40</f>
        <v>19268</v>
      </c>
      <c r="AC40" s="153">
        <f t="shared" si="37"/>
        <v>-31.7</v>
      </c>
      <c r="AD40" s="138">
        <f>수입!AF82</f>
        <v>95288</v>
      </c>
      <c r="AE40" s="138">
        <f>수입!AG82</f>
        <v>87988</v>
      </c>
      <c r="AF40" s="153">
        <f t="shared" si="38"/>
        <v>-7.7</v>
      </c>
      <c r="AG40" s="137">
        <f>AJ40-AD40</f>
        <v>27641</v>
      </c>
      <c r="AH40" s="137">
        <f>AK40-AE40</f>
        <v>16180</v>
      </c>
      <c r="AI40" s="153">
        <f t="shared" si="39"/>
        <v>-41.5</v>
      </c>
      <c r="AJ40" s="138">
        <f>수입!AL82</f>
        <v>122929</v>
      </c>
      <c r="AK40" s="138">
        <f>수입!AM82</f>
        <v>104168</v>
      </c>
      <c r="AL40" s="153">
        <f t="shared" si="40"/>
        <v>-15.3</v>
      </c>
      <c r="AM40" s="562">
        <f>AP40-AJ40</f>
        <v>23415</v>
      </c>
      <c r="AN40" s="562">
        <f>AQ40-AK40</f>
        <v>20352</v>
      </c>
      <c r="AO40" s="573">
        <f t="shared" si="41"/>
        <v>-13.1</v>
      </c>
      <c r="AP40" s="563">
        <f>수입!AR82</f>
        <v>146344</v>
      </c>
      <c r="AQ40" s="563">
        <f>수입!AS82</f>
        <v>124520</v>
      </c>
      <c r="AR40" s="573">
        <f t="shared" si="42"/>
        <v>-14.9</v>
      </c>
      <c r="AS40" s="562">
        <f>AV40-AP40</f>
        <v>16926</v>
      </c>
      <c r="AT40" s="562">
        <f>AW40-AQ40</f>
        <v>31011</v>
      </c>
      <c r="AU40" s="573">
        <f t="shared" si="43"/>
        <v>83.2</v>
      </c>
      <c r="AV40" s="563">
        <f>수입!AX82</f>
        <v>163270</v>
      </c>
      <c r="AW40" s="563">
        <f>수입!AY82</f>
        <v>155531</v>
      </c>
      <c r="AX40" s="573">
        <f t="shared" si="44"/>
        <v>-4.7</v>
      </c>
      <c r="AY40" s="562">
        <f>BB40-AV40</f>
        <v>18718</v>
      </c>
      <c r="AZ40" s="562">
        <f>BC40-AW40</f>
        <v>22649</v>
      </c>
      <c r="BA40" s="573">
        <f t="shared" si="45"/>
        <v>21</v>
      </c>
      <c r="BB40" s="563">
        <f>수입!BD82</f>
        <v>181988</v>
      </c>
      <c r="BC40" s="563">
        <f>수입!BE82</f>
        <v>178180</v>
      </c>
      <c r="BD40" s="573">
        <f t="shared" si="46"/>
        <v>-2.1</v>
      </c>
      <c r="BE40" s="562">
        <f>BH40-BB40</f>
        <v>23755</v>
      </c>
      <c r="BF40" s="562">
        <f>BI40-BC40</f>
        <v>23709</v>
      </c>
      <c r="BG40" s="573">
        <f t="shared" si="47"/>
        <v>-0.2</v>
      </c>
      <c r="BH40" s="563">
        <f>수입!BJ82</f>
        <v>205743</v>
      </c>
      <c r="BI40" s="563">
        <f>수입!BK82</f>
        <v>201889</v>
      </c>
      <c r="BJ40" s="573">
        <f t="shared" si="48"/>
        <v>-1.9</v>
      </c>
      <c r="BK40" s="562">
        <f>BN40-BH40</f>
        <v>30498</v>
      </c>
      <c r="BL40" s="562">
        <f>BO40-BI40</f>
        <v>31581</v>
      </c>
      <c r="BM40" s="573">
        <f t="shared" si="49"/>
        <v>3.6</v>
      </c>
      <c r="BN40" s="563">
        <f>수입!BP82</f>
        <v>236241</v>
      </c>
      <c r="BO40" s="563">
        <f>수입!BQ82</f>
        <v>233470</v>
      </c>
      <c r="BP40" s="573">
        <f t="shared" si="50"/>
        <v>-1.2</v>
      </c>
      <c r="BQ40" s="562">
        <f>BT40-BN40</f>
        <v>34324</v>
      </c>
      <c r="BR40" s="562">
        <f>BU40-BO40</f>
        <v>27336</v>
      </c>
      <c r="BS40" s="573">
        <f t="shared" si="51"/>
        <v>-20.399999999999999</v>
      </c>
      <c r="BT40" s="563">
        <f>수입!BV82</f>
        <v>270565</v>
      </c>
      <c r="BU40" s="563">
        <f>수입!BW82</f>
        <v>260806</v>
      </c>
      <c r="BV40" s="573">
        <f t="shared" si="52"/>
        <v>-3.6</v>
      </c>
    </row>
    <row r="41" spans="1:74" ht="22.5" customHeight="1">
      <c r="A41" s="1094"/>
      <c r="B41" s="7" t="s">
        <v>286</v>
      </c>
      <c r="C41" s="147">
        <f t="shared" ref="C41:H41" si="54">C40/C39*1000</f>
        <v>2569.1130619375094</v>
      </c>
      <c r="D41" s="147">
        <f t="shared" si="54"/>
        <v>2040.5570979809436</v>
      </c>
      <c r="E41" s="147">
        <f t="shared" si="54"/>
        <v>2258.0422861499665</v>
      </c>
      <c r="F41" s="147">
        <f t="shared" si="54"/>
        <v>2174.0971295884592</v>
      </c>
      <c r="G41" s="147">
        <f t="shared" si="54"/>
        <v>1900.3060933940774</v>
      </c>
      <c r="H41" s="147">
        <f t="shared" si="54"/>
        <v>1823.2076183537799</v>
      </c>
      <c r="I41" s="147">
        <f>I40/I39*1000</f>
        <v>2268.4737680915296</v>
      </c>
      <c r="J41" s="147">
        <f>J40/J39*1000</f>
        <v>2328.9808955295302</v>
      </c>
      <c r="K41" s="147">
        <f>K40/K39*1000</f>
        <v>2021.7134406791968</v>
      </c>
      <c r="L41" s="147">
        <f>L40/L39*1000</f>
        <v>2021.3642863150812</v>
      </c>
      <c r="M41" s="147">
        <f>M40/M39*1000</f>
        <v>2068.0310176672797</v>
      </c>
      <c r="N41" s="162">
        <f t="shared" si="32"/>
        <v>2.2999999999999998</v>
      </c>
      <c r="O41" s="57">
        <f>O40/O39*1000</f>
        <v>2043.8708411031503</v>
      </c>
      <c r="P41" s="57">
        <f>P40/P39*1000</f>
        <v>2029.3258305378208</v>
      </c>
      <c r="Q41" s="162">
        <f t="shared" si="33"/>
        <v>-0.7</v>
      </c>
      <c r="R41" s="147">
        <f>R40/R39*1000</f>
        <v>2031.7510644080082</v>
      </c>
      <c r="S41" s="147">
        <f>S40/S39*1000</f>
        <v>2051.5862068965516</v>
      </c>
      <c r="T41" s="162">
        <f t="shared" si="34"/>
        <v>1</v>
      </c>
      <c r="U41" s="57">
        <f>U40/U39*1000</f>
        <v>2055.2368615840119</v>
      </c>
      <c r="V41" s="57">
        <f>V40/V39*1000</f>
        <v>1986.4809166597972</v>
      </c>
      <c r="W41" s="162">
        <f t="shared" si="35"/>
        <v>-3.3</v>
      </c>
      <c r="X41" s="147">
        <f>X40/X39*1000</f>
        <v>2039.4696831478441</v>
      </c>
      <c r="Y41" s="147">
        <f>Y40/Y39*1000</f>
        <v>2028.2754346093679</v>
      </c>
      <c r="Z41" s="162">
        <f t="shared" si="36"/>
        <v>-0.5</v>
      </c>
      <c r="AA41" s="57">
        <f>AA40/AA39*1000</f>
        <v>2047.7503628447025</v>
      </c>
      <c r="AB41" s="57">
        <f>AB40/AB39*1000</f>
        <v>1871.2246285325823</v>
      </c>
      <c r="AC41" s="162">
        <f t="shared" si="37"/>
        <v>-8.6</v>
      </c>
      <c r="AD41" s="147">
        <f>AD40/AD39*1000</f>
        <v>2041.9148844983499</v>
      </c>
      <c r="AE41" s="147">
        <f>AE40/AE39*1000</f>
        <v>1991.6700620218207</v>
      </c>
      <c r="AF41" s="162">
        <f t="shared" si="38"/>
        <v>-2.5</v>
      </c>
      <c r="AG41" s="57">
        <f>AG40/AG39*1000</f>
        <v>1889.8536852181046</v>
      </c>
      <c r="AH41" s="57">
        <f>AH40/AH39*1000</f>
        <v>1799.5773551329107</v>
      </c>
      <c r="AI41" s="162">
        <f t="shared" si="39"/>
        <v>-4.8</v>
      </c>
      <c r="AJ41" s="147">
        <f>AJ40/AJ39*1000</f>
        <v>2005.6287933172357</v>
      </c>
      <c r="AK41" s="147">
        <f>AK40/AK39*1000</f>
        <v>1959.1867441554289</v>
      </c>
      <c r="AL41" s="162">
        <f t="shared" si="40"/>
        <v>-2.2999999999999998</v>
      </c>
      <c r="AM41" s="559">
        <f>AM40/AM39*1000</f>
        <v>1907.0695553021665</v>
      </c>
      <c r="AN41" s="559">
        <f>AN40/AN39*1000</f>
        <v>1792.4960366390699</v>
      </c>
      <c r="AO41" s="582">
        <f t="shared" si="41"/>
        <v>-6</v>
      </c>
      <c r="AP41" s="568">
        <f>AP40/AP39*1000</f>
        <v>1989.1803724344161</v>
      </c>
      <c r="AQ41" s="568">
        <f>AQ40/AQ39*1000</f>
        <v>1929.8544704988917</v>
      </c>
      <c r="AR41" s="582">
        <f t="shared" si="42"/>
        <v>-3</v>
      </c>
      <c r="AS41" s="559">
        <f>AS40/AS39*1000</f>
        <v>1819.41309255079</v>
      </c>
      <c r="AT41" s="559">
        <f>AT40/AT39*1000</f>
        <v>1781.0130944176431</v>
      </c>
      <c r="AU41" s="582">
        <f t="shared" si="43"/>
        <v>-2.1</v>
      </c>
      <c r="AV41" s="568">
        <f>AV40/AV39*1000</f>
        <v>1970.1229592267687</v>
      </c>
      <c r="AW41" s="568">
        <f>AW40/AW39*1000</f>
        <v>1898.2242021114298</v>
      </c>
      <c r="AX41" s="582">
        <f t="shared" si="44"/>
        <v>-3.6</v>
      </c>
      <c r="AY41" s="559">
        <f>AY40/AY39*1000</f>
        <v>1955.9038662486939</v>
      </c>
      <c r="AZ41" s="559">
        <f>AZ40/AZ39*1000</f>
        <v>1856.01901171843</v>
      </c>
      <c r="BA41" s="582">
        <f t="shared" si="45"/>
        <v>-5.0999999999999996</v>
      </c>
      <c r="BB41" s="568">
        <f>BB40/BB39*1000</f>
        <v>1968.6509524788248</v>
      </c>
      <c r="BC41" s="568">
        <f>BC40/BC39*1000</f>
        <v>1892.7531921222037</v>
      </c>
      <c r="BD41" s="582">
        <f t="shared" si="46"/>
        <v>-3.9</v>
      </c>
      <c r="BE41" s="559">
        <f>BE40/BE39*1000</f>
        <v>2051.3816925734022</v>
      </c>
      <c r="BF41" s="559">
        <f>BF40/BF39*1000</f>
        <v>1967.7151630840735</v>
      </c>
      <c r="BG41" s="582">
        <f t="shared" si="47"/>
        <v>-4.0999999999999996</v>
      </c>
      <c r="BH41" s="568">
        <f>BH40/BH39*1000</f>
        <v>1977.8606654297607</v>
      </c>
      <c r="BI41" s="568">
        <f>BI40/BI39*1000</f>
        <v>1901.2590995131231</v>
      </c>
      <c r="BJ41" s="582">
        <f t="shared" si="48"/>
        <v>-3.9</v>
      </c>
      <c r="BK41" s="559">
        <f>BK40/BK39*1000</f>
        <v>2088.4749708963909</v>
      </c>
      <c r="BL41" s="559">
        <f>BL40/BL39*1000</f>
        <v>1945.3615867931501</v>
      </c>
      <c r="BM41" s="582">
        <f t="shared" si="49"/>
        <v>-6.9</v>
      </c>
      <c r="BN41" s="568">
        <f>BN40/BN39*1000</f>
        <v>1991.477416417986</v>
      </c>
      <c r="BO41" s="568">
        <f>BO40/BO39*1000</f>
        <v>1907.1074407168705</v>
      </c>
      <c r="BP41" s="582">
        <f t="shared" si="50"/>
        <v>-4.2</v>
      </c>
      <c r="BQ41" s="559">
        <f>BQ40/BQ39*1000</f>
        <v>2129.4124945716235</v>
      </c>
      <c r="BR41" s="559">
        <f>BR40/BR39*1000</f>
        <v>1942.7190675858149</v>
      </c>
      <c r="BS41" s="582">
        <f t="shared" si="51"/>
        <v>-8.8000000000000007</v>
      </c>
      <c r="BT41" s="568">
        <f>BT40/BT39*1000</f>
        <v>2007.9780325800587</v>
      </c>
      <c r="BU41" s="568">
        <f>BU40/BU39*1000</f>
        <v>1910.7786536939896</v>
      </c>
      <c r="BV41" s="582">
        <f t="shared" si="52"/>
        <v>-4.8</v>
      </c>
    </row>
    <row r="42" spans="1:74" ht="22.5" customHeight="1">
      <c r="A42" s="1093" t="s">
        <v>288</v>
      </c>
      <c r="B42" s="10" t="s">
        <v>37</v>
      </c>
      <c r="C42" s="165">
        <f>수입!E72</f>
        <v>101276</v>
      </c>
      <c r="D42" s="165">
        <f>수입!F72</f>
        <v>94754</v>
      </c>
      <c r="E42" s="165">
        <f>수입!G72</f>
        <v>85500</v>
      </c>
      <c r="F42" s="165">
        <f>수입!H72</f>
        <v>72231</v>
      </c>
      <c r="G42" s="165">
        <f>수입!I72</f>
        <v>79554</v>
      </c>
      <c r="H42" s="165">
        <f>수입!J72</f>
        <v>71328</v>
      </c>
      <c r="I42" s="165">
        <f>수입!K72</f>
        <v>73916</v>
      </c>
      <c r="J42" s="165">
        <f>수입!L72</f>
        <v>69642</v>
      </c>
      <c r="K42" s="165">
        <f>수입!M72</f>
        <v>55922</v>
      </c>
      <c r="L42" s="165">
        <f>수입!N72</f>
        <v>6445</v>
      </c>
      <c r="M42" s="165">
        <f>수입!O72</f>
        <v>4555</v>
      </c>
      <c r="N42" s="154">
        <f t="shared" si="32"/>
        <v>-29.3</v>
      </c>
      <c r="O42" s="78">
        <f>R42-L42</f>
        <v>2914</v>
      </c>
      <c r="P42" s="78">
        <f>S42-M42</f>
        <v>4360</v>
      </c>
      <c r="Q42" s="154">
        <f t="shared" si="33"/>
        <v>49.6</v>
      </c>
      <c r="R42" s="165">
        <f>수입!T72</f>
        <v>9359</v>
      </c>
      <c r="S42" s="165">
        <f>수입!U72</f>
        <v>8915</v>
      </c>
      <c r="T42" s="154">
        <f t="shared" si="34"/>
        <v>-4.7</v>
      </c>
      <c r="U42" s="78">
        <f>X42-R42</f>
        <v>5437</v>
      </c>
      <c r="V42" s="78">
        <f>Y42-S42</f>
        <v>7234</v>
      </c>
      <c r="W42" s="154">
        <f t="shared" si="35"/>
        <v>33.1</v>
      </c>
      <c r="X42" s="165">
        <f>수입!Z72</f>
        <v>14796</v>
      </c>
      <c r="Y42" s="165">
        <f>수입!AA72</f>
        <v>16149</v>
      </c>
      <c r="Z42" s="154">
        <f t="shared" si="36"/>
        <v>9.1</v>
      </c>
      <c r="AA42" s="78">
        <f>AD42-X42</f>
        <v>5517</v>
      </c>
      <c r="AB42" s="78">
        <f>AE42-Y42</f>
        <v>3077</v>
      </c>
      <c r="AC42" s="154">
        <f t="shared" si="37"/>
        <v>-44.2</v>
      </c>
      <c r="AD42" s="165">
        <f>수입!AF72</f>
        <v>20313</v>
      </c>
      <c r="AE42" s="165">
        <f>수입!AG72</f>
        <v>19226</v>
      </c>
      <c r="AF42" s="154">
        <f t="shared" si="38"/>
        <v>-5.4</v>
      </c>
      <c r="AG42" s="78">
        <f>AJ42-AD42</f>
        <v>5286</v>
      </c>
      <c r="AH42" s="78">
        <f>AK42-AE42</f>
        <v>3402</v>
      </c>
      <c r="AI42" s="154">
        <f t="shared" si="39"/>
        <v>-35.6</v>
      </c>
      <c r="AJ42" s="165">
        <f>수입!AL72</f>
        <v>25599</v>
      </c>
      <c r="AK42" s="165">
        <f>수입!AM72</f>
        <v>22628</v>
      </c>
      <c r="AL42" s="154">
        <f t="shared" si="40"/>
        <v>-11.6</v>
      </c>
      <c r="AM42" s="561">
        <f>AP42-AJ42</f>
        <v>4587</v>
      </c>
      <c r="AN42" s="561">
        <f>AQ42-AK42</f>
        <v>2315</v>
      </c>
      <c r="AO42" s="574">
        <f t="shared" si="41"/>
        <v>-49.5</v>
      </c>
      <c r="AP42" s="585">
        <f>수입!AR72</f>
        <v>30186</v>
      </c>
      <c r="AQ42" s="585">
        <f>수입!AS72</f>
        <v>24943</v>
      </c>
      <c r="AR42" s="574">
        <f t="shared" si="42"/>
        <v>-17.399999999999999</v>
      </c>
      <c r="AS42" s="561">
        <f>AV42-AP42</f>
        <v>4960</v>
      </c>
      <c r="AT42" s="561">
        <f>AW42-AQ42</f>
        <v>3438</v>
      </c>
      <c r="AU42" s="574">
        <f t="shared" si="43"/>
        <v>-30.7</v>
      </c>
      <c r="AV42" s="585">
        <f>수입!AX72</f>
        <v>35146</v>
      </c>
      <c r="AW42" s="585">
        <f>수입!AY72</f>
        <v>28381</v>
      </c>
      <c r="AX42" s="574">
        <f t="shared" si="44"/>
        <v>-19.2</v>
      </c>
      <c r="AY42" s="561">
        <f>BB42-AV42</f>
        <v>4362</v>
      </c>
      <c r="AZ42" s="561">
        <f>BC42-AW42</f>
        <v>2922</v>
      </c>
      <c r="BA42" s="574">
        <f t="shared" si="45"/>
        <v>-33</v>
      </c>
      <c r="BB42" s="585">
        <f>수입!BD72</f>
        <v>39508</v>
      </c>
      <c r="BC42" s="585">
        <f>수입!BE72</f>
        <v>31303</v>
      </c>
      <c r="BD42" s="574">
        <f t="shared" si="46"/>
        <v>-20.8</v>
      </c>
      <c r="BE42" s="561">
        <f>BH42-BB42</f>
        <v>3585</v>
      </c>
      <c r="BF42" s="561">
        <f>BI42-BC42</f>
        <v>3884</v>
      </c>
      <c r="BG42" s="574">
        <f t="shared" si="47"/>
        <v>8.3000000000000007</v>
      </c>
      <c r="BH42" s="585">
        <f>수입!BJ72</f>
        <v>43093</v>
      </c>
      <c r="BI42" s="585">
        <f>수입!BK72</f>
        <v>35187</v>
      </c>
      <c r="BJ42" s="574">
        <f t="shared" si="48"/>
        <v>-18.3</v>
      </c>
      <c r="BK42" s="561">
        <f>BN42-BH42</f>
        <v>4147</v>
      </c>
      <c r="BL42" s="561">
        <f>BO42-BI42</f>
        <v>3481</v>
      </c>
      <c r="BM42" s="574">
        <f t="shared" si="49"/>
        <v>-16.100000000000001</v>
      </c>
      <c r="BN42" s="585">
        <f>수입!BP72</f>
        <v>47240</v>
      </c>
      <c r="BO42" s="585">
        <f>수입!BQ72</f>
        <v>38668</v>
      </c>
      <c r="BP42" s="574">
        <f t="shared" si="50"/>
        <v>-18.100000000000001</v>
      </c>
      <c r="BQ42" s="561">
        <f>BT42-BN42</f>
        <v>3674</v>
      </c>
      <c r="BR42" s="561">
        <f>BU42-BO42</f>
        <v>3766</v>
      </c>
      <c r="BS42" s="574">
        <f t="shared" si="51"/>
        <v>2.5</v>
      </c>
      <c r="BT42" s="585">
        <f>수입!BV72</f>
        <v>50914</v>
      </c>
      <c r="BU42" s="585">
        <f>수입!BW72</f>
        <v>42434</v>
      </c>
      <c r="BV42" s="574">
        <f t="shared" si="52"/>
        <v>-16.7</v>
      </c>
    </row>
    <row r="43" spans="1:74" ht="22.5" customHeight="1">
      <c r="A43" s="1091"/>
      <c r="B43" s="5" t="s">
        <v>38</v>
      </c>
      <c r="C43" s="138">
        <f>수입!E73</f>
        <v>240016</v>
      </c>
      <c r="D43" s="138">
        <f>수입!F73</f>
        <v>198544</v>
      </c>
      <c r="E43" s="138">
        <f>수입!G73</f>
        <v>183581</v>
      </c>
      <c r="F43" s="138">
        <f>수입!H73</f>
        <v>177161</v>
      </c>
      <c r="G43" s="138">
        <f>수입!I73</f>
        <v>180573</v>
      </c>
      <c r="H43" s="138">
        <f>수입!J73</f>
        <v>163853</v>
      </c>
      <c r="I43" s="138">
        <f>수입!K73</f>
        <v>223188</v>
      </c>
      <c r="J43" s="138">
        <f>수입!L73</f>
        <v>227307</v>
      </c>
      <c r="K43" s="138">
        <f>수입!M73</f>
        <v>161151</v>
      </c>
      <c r="L43" s="138">
        <f>수입!N73</f>
        <v>19011</v>
      </c>
      <c r="M43" s="138">
        <f>수입!O73</f>
        <v>12306</v>
      </c>
      <c r="N43" s="153">
        <f t="shared" si="32"/>
        <v>-35.299999999999997</v>
      </c>
      <c r="O43" s="137">
        <f>R43-L43</f>
        <v>8628</v>
      </c>
      <c r="P43" s="137">
        <f>S43-M43</f>
        <v>11690</v>
      </c>
      <c r="Q43" s="153">
        <f t="shared" si="33"/>
        <v>35.5</v>
      </c>
      <c r="R43" s="138">
        <f>수입!T73</f>
        <v>27639</v>
      </c>
      <c r="S43" s="138">
        <f>수입!U73</f>
        <v>23996</v>
      </c>
      <c r="T43" s="153">
        <f t="shared" si="34"/>
        <v>-13.2</v>
      </c>
      <c r="U43" s="137">
        <f>X43-R43</f>
        <v>15455</v>
      </c>
      <c r="V43" s="137">
        <f>Y43-S43</f>
        <v>17206</v>
      </c>
      <c r="W43" s="153">
        <f t="shared" si="35"/>
        <v>11.3</v>
      </c>
      <c r="X43" s="138">
        <f>수입!Z73</f>
        <v>43094</v>
      </c>
      <c r="Y43" s="138">
        <f>수입!AA73</f>
        <v>41202</v>
      </c>
      <c r="Z43" s="153">
        <f t="shared" si="36"/>
        <v>-4.4000000000000004</v>
      </c>
      <c r="AA43" s="137">
        <f>AD43-X43</f>
        <v>16846</v>
      </c>
      <c r="AB43" s="137">
        <f>AE43-Y43</f>
        <v>8008</v>
      </c>
      <c r="AC43" s="153">
        <f t="shared" si="37"/>
        <v>-52.5</v>
      </c>
      <c r="AD43" s="138">
        <f>수입!AF73</f>
        <v>59940</v>
      </c>
      <c r="AE43" s="138">
        <f>수입!AG73</f>
        <v>49210</v>
      </c>
      <c r="AF43" s="153">
        <f t="shared" si="38"/>
        <v>-17.899999999999999</v>
      </c>
      <c r="AG43" s="137">
        <f>AJ43-AD43</f>
        <v>16706</v>
      </c>
      <c r="AH43" s="137">
        <f>AK43-AE43</f>
        <v>8513</v>
      </c>
      <c r="AI43" s="153">
        <f t="shared" si="39"/>
        <v>-49</v>
      </c>
      <c r="AJ43" s="138">
        <f>수입!AL73</f>
        <v>76646</v>
      </c>
      <c r="AK43" s="138">
        <f>수입!AM73</f>
        <v>57723</v>
      </c>
      <c r="AL43" s="153">
        <f t="shared" si="40"/>
        <v>-24.7</v>
      </c>
      <c r="AM43" s="562">
        <f>AP43-AJ43</f>
        <v>14072</v>
      </c>
      <c r="AN43" s="562">
        <f>AQ43-AK43</f>
        <v>5505</v>
      </c>
      <c r="AO43" s="573">
        <f t="shared" si="41"/>
        <v>-60.9</v>
      </c>
      <c r="AP43" s="563">
        <f>수입!AR73</f>
        <v>90718</v>
      </c>
      <c r="AQ43" s="563">
        <f>수입!AS73</f>
        <v>63228</v>
      </c>
      <c r="AR43" s="573">
        <f t="shared" si="42"/>
        <v>-30.3</v>
      </c>
      <c r="AS43" s="562">
        <f>AV43-AP43</f>
        <v>14359</v>
      </c>
      <c r="AT43" s="562">
        <f>AW43-AQ43</f>
        <v>8079</v>
      </c>
      <c r="AU43" s="573">
        <f t="shared" si="43"/>
        <v>-43.7</v>
      </c>
      <c r="AV43" s="563">
        <f>수입!AX73</f>
        <v>105077</v>
      </c>
      <c r="AW43" s="563">
        <f>수입!AY73</f>
        <v>71307</v>
      </c>
      <c r="AX43" s="573">
        <f t="shared" si="44"/>
        <v>-32.1</v>
      </c>
      <c r="AY43" s="562">
        <f>BB43-AV43</f>
        <v>12006</v>
      </c>
      <c r="AZ43" s="562">
        <f>BC43-AW43</f>
        <v>7208</v>
      </c>
      <c r="BA43" s="573">
        <f t="shared" si="45"/>
        <v>-40</v>
      </c>
      <c r="BB43" s="563">
        <f>수입!BD73</f>
        <v>117083</v>
      </c>
      <c r="BC43" s="563">
        <f>수입!BE73</f>
        <v>78515</v>
      </c>
      <c r="BD43" s="573">
        <f t="shared" si="46"/>
        <v>-32.9</v>
      </c>
      <c r="BE43" s="562">
        <f>BH43-BB43</f>
        <v>9763</v>
      </c>
      <c r="BF43" s="562">
        <f>BI43-BC43</f>
        <v>10643</v>
      </c>
      <c r="BG43" s="573">
        <f t="shared" si="47"/>
        <v>9</v>
      </c>
      <c r="BH43" s="563">
        <f>수입!BJ73</f>
        <v>126846</v>
      </c>
      <c r="BI43" s="563">
        <f>수입!BK73</f>
        <v>89158</v>
      </c>
      <c r="BJ43" s="573">
        <f t="shared" si="48"/>
        <v>-29.7</v>
      </c>
      <c r="BK43" s="562">
        <f>BN43-BH43</f>
        <v>11111</v>
      </c>
      <c r="BL43" s="562">
        <f>BO43-BI43</f>
        <v>9077</v>
      </c>
      <c r="BM43" s="573">
        <f t="shared" si="49"/>
        <v>-18.3</v>
      </c>
      <c r="BN43" s="563">
        <f>수입!BP73</f>
        <v>137957</v>
      </c>
      <c r="BO43" s="563">
        <f>수입!BQ73</f>
        <v>98235</v>
      </c>
      <c r="BP43" s="573">
        <f t="shared" si="50"/>
        <v>-28.8</v>
      </c>
      <c r="BQ43" s="562">
        <f>BT43-BN43</f>
        <v>10122</v>
      </c>
      <c r="BR43" s="562">
        <f>BU43-BO43</f>
        <v>10513</v>
      </c>
      <c r="BS43" s="573">
        <f t="shared" si="51"/>
        <v>3.9</v>
      </c>
      <c r="BT43" s="563">
        <f>수입!BV73</f>
        <v>148079</v>
      </c>
      <c r="BU43" s="563">
        <f>수입!BW73</f>
        <v>108748</v>
      </c>
      <c r="BV43" s="573">
        <f t="shared" si="52"/>
        <v>-26.6</v>
      </c>
    </row>
    <row r="44" spans="1:74" ht="22.5" customHeight="1">
      <c r="A44" s="1094"/>
      <c r="B44" s="7" t="s">
        <v>286</v>
      </c>
      <c r="C44" s="147">
        <f t="shared" ref="C44:H44" si="55">C43/C42*1000</f>
        <v>2369.9198230577827</v>
      </c>
      <c r="D44" s="147">
        <f t="shared" si="55"/>
        <v>2095.3627287502377</v>
      </c>
      <c r="E44" s="147">
        <f t="shared" si="55"/>
        <v>2147.146198830409</v>
      </c>
      <c r="F44" s="147">
        <f t="shared" si="55"/>
        <v>2452.700364109593</v>
      </c>
      <c r="G44" s="147">
        <f t="shared" si="55"/>
        <v>2269.8167282600498</v>
      </c>
      <c r="H44" s="147">
        <f t="shared" si="55"/>
        <v>2297.176424405563</v>
      </c>
      <c r="I44" s="147">
        <f>I43/I42*1000</f>
        <v>3019.4815736782293</v>
      </c>
      <c r="J44" s="147">
        <f>J43/J42*1000</f>
        <v>3263.9355561299217</v>
      </c>
      <c r="K44" s="147">
        <f>K43/K42*1000</f>
        <v>2881.710239261829</v>
      </c>
      <c r="L44" s="147">
        <f>L43/L42*1000</f>
        <v>2949.7284716834756</v>
      </c>
      <c r="M44" s="147">
        <f>M43/M42*1000</f>
        <v>2701.6465422612514</v>
      </c>
      <c r="N44" s="162">
        <f t="shared" si="32"/>
        <v>-8.4</v>
      </c>
      <c r="O44" s="57">
        <f>O43/O42*1000</f>
        <v>2960.878517501716</v>
      </c>
      <c r="P44" s="57">
        <f>P43/P42*1000</f>
        <v>2681.1926605504586</v>
      </c>
      <c r="Q44" s="162">
        <f t="shared" si="33"/>
        <v>-9.4</v>
      </c>
      <c r="R44" s="147">
        <f>R43/R42*1000</f>
        <v>2953.2001282188271</v>
      </c>
      <c r="S44" s="147">
        <f>S43/S42*1000</f>
        <v>2691.6432978126754</v>
      </c>
      <c r="T44" s="162">
        <f t="shared" si="34"/>
        <v>-8.9</v>
      </c>
      <c r="U44" s="57">
        <f>U43/U42*1000</f>
        <v>2842.5602354239472</v>
      </c>
      <c r="V44" s="57">
        <f>V43/V42*1000</f>
        <v>2378.4904617085981</v>
      </c>
      <c r="W44" s="162">
        <f t="shared" si="35"/>
        <v>-16.3</v>
      </c>
      <c r="X44" s="147">
        <f>X43/X42*1000</f>
        <v>2912.543930792106</v>
      </c>
      <c r="Y44" s="147">
        <f>Y43/Y42*1000</f>
        <v>2551.365409622887</v>
      </c>
      <c r="Z44" s="162">
        <f t="shared" si="36"/>
        <v>-12.4</v>
      </c>
      <c r="AA44" s="57">
        <f>AA43/AA42*1000</f>
        <v>3053.4710893601591</v>
      </c>
      <c r="AB44" s="57">
        <f>AB43/AB42*1000</f>
        <v>2602.5349366265841</v>
      </c>
      <c r="AC44" s="162">
        <f t="shared" si="37"/>
        <v>-14.8</v>
      </c>
      <c r="AD44" s="147">
        <f>AD43/AD42*1000</f>
        <v>2950.8196721311479</v>
      </c>
      <c r="AE44" s="147">
        <f>AE43/AE42*1000</f>
        <v>2559.5547695828564</v>
      </c>
      <c r="AF44" s="162">
        <f t="shared" si="38"/>
        <v>-13.3</v>
      </c>
      <c r="AG44" s="57">
        <f>AG43/AG42*1000</f>
        <v>3160.4237608777903</v>
      </c>
      <c r="AH44" s="57">
        <f>AH43/AH42*1000</f>
        <v>2502.3515579071136</v>
      </c>
      <c r="AI44" s="162">
        <f t="shared" si="39"/>
        <v>-20.8</v>
      </c>
      <c r="AJ44" s="147">
        <f>AJ43/AJ42*1000</f>
        <v>2994.1013320832844</v>
      </c>
      <c r="AK44" s="147">
        <f>AK43/AK42*1000</f>
        <v>2550.9545695598376</v>
      </c>
      <c r="AL44" s="162">
        <f t="shared" si="40"/>
        <v>-14.8</v>
      </c>
      <c r="AM44" s="559">
        <f>AM43/AM42*1000</f>
        <v>3067.8003052103772</v>
      </c>
      <c r="AN44" s="559">
        <f>AN43/AN42*1000</f>
        <v>2377.9697624190062</v>
      </c>
      <c r="AO44" s="582">
        <f t="shared" si="41"/>
        <v>-22.5</v>
      </c>
      <c r="AP44" s="568">
        <f>AP43/AP42*1000</f>
        <v>3005.3004704167497</v>
      </c>
      <c r="AQ44" s="568">
        <f>AQ43/AQ42*1000</f>
        <v>2534.8995710219301</v>
      </c>
      <c r="AR44" s="582">
        <f t="shared" si="42"/>
        <v>-15.7</v>
      </c>
      <c r="AS44" s="559">
        <f>AS43/AS42*1000</f>
        <v>2894.9596774193551</v>
      </c>
      <c r="AT44" s="559">
        <f>AT43/AT42*1000</f>
        <v>2349.9127399650961</v>
      </c>
      <c r="AU44" s="582">
        <f t="shared" si="43"/>
        <v>-18.8</v>
      </c>
      <c r="AV44" s="568">
        <f>AV43/AV42*1000</f>
        <v>2989.7285608604111</v>
      </c>
      <c r="AW44" s="568">
        <f>AW43/AW42*1000</f>
        <v>2512.4907508544447</v>
      </c>
      <c r="AX44" s="582">
        <f t="shared" si="44"/>
        <v>-16</v>
      </c>
      <c r="AY44" s="559">
        <f>AY43/AY42*1000</f>
        <v>2752.4071526822559</v>
      </c>
      <c r="AZ44" s="559">
        <f>AZ43/AZ42*1000</f>
        <v>2466.8035592060232</v>
      </c>
      <c r="BA44" s="582">
        <f t="shared" si="45"/>
        <v>-10.4</v>
      </c>
      <c r="BB44" s="568">
        <f>BB43/BB42*1000</f>
        <v>2963.5263744051836</v>
      </c>
      <c r="BC44" s="568">
        <f>BC43/BC42*1000</f>
        <v>2508.2260486215378</v>
      </c>
      <c r="BD44" s="582">
        <f t="shared" si="46"/>
        <v>-15.4</v>
      </c>
      <c r="BE44" s="559">
        <f>BE43/BE42*1000</f>
        <v>2723.2914923291492</v>
      </c>
      <c r="BF44" s="559">
        <f>BF43/BF42*1000</f>
        <v>2740.2162718846548</v>
      </c>
      <c r="BG44" s="582">
        <f t="shared" si="47"/>
        <v>0.6</v>
      </c>
      <c r="BH44" s="568">
        <f>BH43/BH42*1000</f>
        <v>2943.5407142691388</v>
      </c>
      <c r="BI44" s="568">
        <f>BI43/BI42*1000</f>
        <v>2533.8335180606473</v>
      </c>
      <c r="BJ44" s="582">
        <f t="shared" si="48"/>
        <v>-13.9</v>
      </c>
      <c r="BK44" s="559">
        <f>BK43/BK42*1000</f>
        <v>2679.2862310103687</v>
      </c>
      <c r="BL44" s="559">
        <f>BL43/BL42*1000</f>
        <v>2607.5840275782821</v>
      </c>
      <c r="BM44" s="582">
        <f t="shared" si="49"/>
        <v>-2.7</v>
      </c>
      <c r="BN44" s="568">
        <f>BN43/BN42*1000</f>
        <v>2920.3429297205757</v>
      </c>
      <c r="BO44" s="568">
        <f>BO43/BO42*1000</f>
        <v>2540.4727423192303</v>
      </c>
      <c r="BP44" s="582">
        <f t="shared" si="50"/>
        <v>-13</v>
      </c>
      <c r="BQ44" s="559">
        <f>BQ43/BQ42*1000</f>
        <v>2755.0353837778989</v>
      </c>
      <c r="BR44" s="559">
        <f>BR43/BR42*1000</f>
        <v>2791.556027615507</v>
      </c>
      <c r="BS44" s="582">
        <f t="shared" si="51"/>
        <v>1.3</v>
      </c>
      <c r="BT44" s="568">
        <f>BT43/BT42*1000</f>
        <v>2908.4141886318107</v>
      </c>
      <c r="BU44" s="568">
        <f>BU43/BU42*1000</f>
        <v>2562.7562803412357</v>
      </c>
      <c r="BV44" s="582">
        <f t="shared" si="52"/>
        <v>-11.9</v>
      </c>
    </row>
    <row r="45" spans="1:74" ht="22.5" customHeight="1">
      <c r="A45" s="1093" t="s">
        <v>289</v>
      </c>
      <c r="B45" s="10" t="s">
        <v>37</v>
      </c>
      <c r="C45" s="165">
        <f>수입!E63</f>
        <v>2200884</v>
      </c>
      <c r="D45" s="165">
        <f>수입!F63</f>
        <v>2297434</v>
      </c>
      <c r="E45" s="165">
        <f>수입!G63</f>
        <v>2465495</v>
      </c>
      <c r="F45" s="165">
        <f>수입!H63</f>
        <v>2620796</v>
      </c>
      <c r="G45" s="165">
        <f>수입!I63</f>
        <v>2674889</v>
      </c>
      <c r="H45" s="165">
        <f>수입!J63</f>
        <v>2710289</v>
      </c>
      <c r="I45" s="165">
        <f>수입!K63</f>
        <v>2860037</v>
      </c>
      <c r="J45" s="165">
        <f>수입!L63</f>
        <v>2829768</v>
      </c>
      <c r="K45" s="165">
        <f>수입!M63</f>
        <v>2941636</v>
      </c>
      <c r="L45" s="165">
        <f>수입!N63</f>
        <v>256289</v>
      </c>
      <c r="M45" s="165">
        <f>수입!O63</f>
        <v>242676</v>
      </c>
      <c r="N45" s="154">
        <f t="shared" si="32"/>
        <v>-5.3</v>
      </c>
      <c r="O45" s="78">
        <f>R45-L45</f>
        <v>201205</v>
      </c>
      <c r="P45" s="78">
        <f>S45-M45</f>
        <v>215990</v>
      </c>
      <c r="Q45" s="154">
        <f t="shared" si="33"/>
        <v>7.3</v>
      </c>
      <c r="R45" s="165">
        <f>수입!T63</f>
        <v>457494</v>
      </c>
      <c r="S45" s="165">
        <f>수입!U63</f>
        <v>458666</v>
      </c>
      <c r="T45" s="154">
        <f t="shared" si="34"/>
        <v>0.3</v>
      </c>
      <c r="U45" s="78">
        <f>X45-R45</f>
        <v>243894</v>
      </c>
      <c r="V45" s="78">
        <f>Y45-S45</f>
        <v>239076</v>
      </c>
      <c r="W45" s="154">
        <f t="shared" si="35"/>
        <v>-2</v>
      </c>
      <c r="X45" s="165">
        <f>수입!Z63</f>
        <v>701388</v>
      </c>
      <c r="Y45" s="165">
        <f>수입!AA63</f>
        <v>697742</v>
      </c>
      <c r="Z45" s="154">
        <f t="shared" si="36"/>
        <v>-0.5</v>
      </c>
      <c r="AA45" s="78">
        <f>AD45-X45</f>
        <v>267411</v>
      </c>
      <c r="AB45" s="78">
        <f>AE45-Y45</f>
        <v>253681</v>
      </c>
      <c r="AC45" s="154">
        <f t="shared" si="37"/>
        <v>-5.0999999999999996</v>
      </c>
      <c r="AD45" s="165">
        <f>수입!AF63</f>
        <v>968799</v>
      </c>
      <c r="AE45" s="165">
        <f>수입!AG63</f>
        <v>951423</v>
      </c>
      <c r="AF45" s="154">
        <f t="shared" si="38"/>
        <v>-1.8</v>
      </c>
      <c r="AG45" s="78">
        <f>AJ45-AD45</f>
        <v>263450</v>
      </c>
      <c r="AH45" s="78">
        <f>AK45-AE45</f>
        <v>232750</v>
      </c>
      <c r="AI45" s="154">
        <f t="shared" si="39"/>
        <v>-11.7</v>
      </c>
      <c r="AJ45" s="165">
        <f>수입!AL63</f>
        <v>1232249</v>
      </c>
      <c r="AK45" s="165">
        <f>수입!AM63</f>
        <v>1184173</v>
      </c>
      <c r="AL45" s="154">
        <f t="shared" si="40"/>
        <v>-3.9</v>
      </c>
      <c r="AM45" s="561">
        <f>AP45-AJ45</f>
        <v>239817</v>
      </c>
      <c r="AN45" s="561">
        <f>AQ45-AK45</f>
        <v>244896</v>
      </c>
      <c r="AO45" s="574">
        <f t="shared" si="41"/>
        <v>2.1</v>
      </c>
      <c r="AP45" s="585">
        <f>수입!AR63</f>
        <v>1472066</v>
      </c>
      <c r="AQ45" s="585">
        <f>수입!AS63</f>
        <v>1429069</v>
      </c>
      <c r="AR45" s="574">
        <f t="shared" si="42"/>
        <v>-2.9</v>
      </c>
      <c r="AS45" s="561">
        <f>AV45-AP45</f>
        <v>241644</v>
      </c>
      <c r="AT45" s="561">
        <f>AW45-AQ45</f>
        <v>234946</v>
      </c>
      <c r="AU45" s="574">
        <f t="shared" si="43"/>
        <v>-2.8</v>
      </c>
      <c r="AV45" s="585">
        <f>수입!AX63</f>
        <v>1713710</v>
      </c>
      <c r="AW45" s="585">
        <f>수입!AY63</f>
        <v>1664015</v>
      </c>
      <c r="AX45" s="574">
        <f t="shared" si="44"/>
        <v>-2.9</v>
      </c>
      <c r="AY45" s="561">
        <f>BB45-AV45</f>
        <v>243731</v>
      </c>
      <c r="AZ45" s="561">
        <f>BC45-AW45</f>
        <v>209405</v>
      </c>
      <c r="BA45" s="574">
        <f t="shared" si="45"/>
        <v>-14.1</v>
      </c>
      <c r="BB45" s="585">
        <f>수입!BD63</f>
        <v>1957441</v>
      </c>
      <c r="BC45" s="585">
        <f>수입!BE63</f>
        <v>1873420</v>
      </c>
      <c r="BD45" s="574">
        <f t="shared" si="46"/>
        <v>-4.3</v>
      </c>
      <c r="BE45" s="561">
        <f>BH45-BB45</f>
        <v>222713</v>
      </c>
      <c r="BF45" s="561">
        <f>BI45-BC45</f>
        <v>236476</v>
      </c>
      <c r="BG45" s="574">
        <f t="shared" si="47"/>
        <v>6.2</v>
      </c>
      <c r="BH45" s="585">
        <f>수입!BJ63</f>
        <v>2180154</v>
      </c>
      <c r="BI45" s="585">
        <f>수입!BK63</f>
        <v>2109896</v>
      </c>
      <c r="BJ45" s="574">
        <f t="shared" si="48"/>
        <v>-3.2</v>
      </c>
      <c r="BK45" s="561">
        <f>BN45-BH45</f>
        <v>252962</v>
      </c>
      <c r="BL45" s="561">
        <f>BO45-BI45</f>
        <v>232023</v>
      </c>
      <c r="BM45" s="574">
        <f t="shared" si="49"/>
        <v>-8.3000000000000007</v>
      </c>
      <c r="BN45" s="585">
        <f>수입!BP63</f>
        <v>2433116</v>
      </c>
      <c r="BO45" s="585">
        <f>수입!BQ63</f>
        <v>2341919</v>
      </c>
      <c r="BP45" s="574">
        <f t="shared" si="50"/>
        <v>-3.7</v>
      </c>
      <c r="BQ45" s="561">
        <f>BT45-BN45</f>
        <v>253097</v>
      </c>
      <c r="BR45" s="561">
        <f>BU45-BO45</f>
        <v>241187</v>
      </c>
      <c r="BS45" s="574">
        <f t="shared" si="51"/>
        <v>-4.7</v>
      </c>
      <c r="BT45" s="585">
        <f>수입!BV63</f>
        <v>2686213</v>
      </c>
      <c r="BU45" s="585">
        <f>수입!BW63</f>
        <v>2583106</v>
      </c>
      <c r="BV45" s="574">
        <f t="shared" si="52"/>
        <v>-3.8</v>
      </c>
    </row>
    <row r="46" spans="1:74" ht="22.5" customHeight="1">
      <c r="A46" s="1091"/>
      <c r="B46" s="5" t="s">
        <v>38</v>
      </c>
      <c r="C46" s="138">
        <f>수입!E64</f>
        <v>6059292</v>
      </c>
      <c r="D46" s="138">
        <f>수입!F64</f>
        <v>5551710</v>
      </c>
      <c r="E46" s="138">
        <f>수입!G64</f>
        <v>5725422</v>
      </c>
      <c r="F46" s="138">
        <f>수입!H64</f>
        <v>6231317</v>
      </c>
      <c r="G46" s="138">
        <f>수입!I64</f>
        <v>5992145</v>
      </c>
      <c r="H46" s="138">
        <f>수입!J64</f>
        <v>5421698</v>
      </c>
      <c r="I46" s="138">
        <f>수입!K64</f>
        <v>6462277</v>
      </c>
      <c r="J46" s="138">
        <f>수입!L64</f>
        <v>6956881</v>
      </c>
      <c r="K46" s="138">
        <f>수입!M64</f>
        <v>6295986</v>
      </c>
      <c r="L46" s="138">
        <f>수입!N64</f>
        <v>582560</v>
      </c>
      <c r="M46" s="138">
        <f>수입!O64</f>
        <v>501219</v>
      </c>
      <c r="N46" s="153">
        <f t="shared" si="32"/>
        <v>-14</v>
      </c>
      <c r="O46" s="137">
        <f>R46-L46</f>
        <v>437035</v>
      </c>
      <c r="P46" s="137">
        <f>S46-M46</f>
        <v>436688</v>
      </c>
      <c r="Q46" s="153">
        <f t="shared" si="33"/>
        <v>-0.1</v>
      </c>
      <c r="R46" s="138">
        <f>수입!T64</f>
        <v>1019595</v>
      </c>
      <c r="S46" s="138">
        <f>수입!U64</f>
        <v>937907</v>
      </c>
      <c r="T46" s="153">
        <f t="shared" si="34"/>
        <v>-8</v>
      </c>
      <c r="U46" s="137">
        <f>X46-R46</f>
        <v>533655</v>
      </c>
      <c r="V46" s="137">
        <f>Y46-S46</f>
        <v>504770</v>
      </c>
      <c r="W46" s="153">
        <f t="shared" si="35"/>
        <v>-5.4</v>
      </c>
      <c r="X46" s="138">
        <f>수입!Z64</f>
        <v>1553250</v>
      </c>
      <c r="Y46" s="138">
        <f>수입!AA64</f>
        <v>1442677</v>
      </c>
      <c r="Z46" s="153">
        <f t="shared" si="36"/>
        <v>-7.1</v>
      </c>
      <c r="AA46" s="137">
        <f>AD46-X46</f>
        <v>587537</v>
      </c>
      <c r="AB46" s="137">
        <f>AE46-Y46</f>
        <v>500120</v>
      </c>
      <c r="AC46" s="153">
        <f t="shared" si="37"/>
        <v>-14.9</v>
      </c>
      <c r="AD46" s="138">
        <f>수입!AF64</f>
        <v>2140787</v>
      </c>
      <c r="AE46" s="138">
        <f>수입!AG64</f>
        <v>1942797</v>
      </c>
      <c r="AF46" s="153">
        <f t="shared" si="38"/>
        <v>-9.1999999999999993</v>
      </c>
      <c r="AG46" s="137">
        <f>AJ46-AD46</f>
        <v>565650</v>
      </c>
      <c r="AH46" s="137">
        <f>AK46-AE46</f>
        <v>451501</v>
      </c>
      <c r="AI46" s="153">
        <f t="shared" si="39"/>
        <v>-20.2</v>
      </c>
      <c r="AJ46" s="138">
        <f>수입!AL64</f>
        <v>2706437</v>
      </c>
      <c r="AK46" s="138">
        <f>수입!AM64</f>
        <v>2394298</v>
      </c>
      <c r="AL46" s="153">
        <f t="shared" si="40"/>
        <v>-11.5</v>
      </c>
      <c r="AM46" s="562">
        <f>AP46-AJ46</f>
        <v>517078</v>
      </c>
      <c r="AN46" s="562">
        <f>AQ46-AK46</f>
        <v>458001</v>
      </c>
      <c r="AO46" s="573">
        <f t="shared" si="41"/>
        <v>-11.4</v>
      </c>
      <c r="AP46" s="563">
        <f>수입!AR64</f>
        <v>3223515</v>
      </c>
      <c r="AQ46" s="563">
        <f>수입!AS64</f>
        <v>2852299</v>
      </c>
      <c r="AR46" s="573">
        <f t="shared" si="42"/>
        <v>-11.5</v>
      </c>
      <c r="AS46" s="562">
        <f>AV46-AP46</f>
        <v>524754</v>
      </c>
      <c r="AT46" s="562">
        <f>AW46-AQ46</f>
        <v>455472</v>
      </c>
      <c r="AU46" s="573">
        <f t="shared" si="43"/>
        <v>-13.2</v>
      </c>
      <c r="AV46" s="563">
        <f>수입!AX64</f>
        <v>3748269</v>
      </c>
      <c r="AW46" s="563">
        <f>수입!AY64</f>
        <v>3307771</v>
      </c>
      <c r="AX46" s="573">
        <f t="shared" si="44"/>
        <v>-11.8</v>
      </c>
      <c r="AY46" s="562">
        <f>BB46-AV46</f>
        <v>520183</v>
      </c>
      <c r="AZ46" s="562">
        <f>BC46-AW46</f>
        <v>411200</v>
      </c>
      <c r="BA46" s="573">
        <f t="shared" si="45"/>
        <v>-21</v>
      </c>
      <c r="BB46" s="563">
        <f>수입!BD64</f>
        <v>4268452</v>
      </c>
      <c r="BC46" s="563">
        <f>수입!BE64</f>
        <v>3718971</v>
      </c>
      <c r="BD46" s="573">
        <f t="shared" si="46"/>
        <v>-12.9</v>
      </c>
      <c r="BE46" s="562">
        <f>BH46-BB46</f>
        <v>473535</v>
      </c>
      <c r="BF46" s="562">
        <f>BI46-BC46</f>
        <v>480770</v>
      </c>
      <c r="BG46" s="573">
        <f t="shared" si="47"/>
        <v>1.5</v>
      </c>
      <c r="BH46" s="563">
        <f>수입!BJ64</f>
        <v>4741987</v>
      </c>
      <c r="BI46" s="563">
        <f>수입!BK64</f>
        <v>4199741</v>
      </c>
      <c r="BJ46" s="573">
        <f t="shared" si="48"/>
        <v>-11.4</v>
      </c>
      <c r="BK46" s="562">
        <f>BN46-BH46</f>
        <v>509903</v>
      </c>
      <c r="BL46" s="562">
        <f>BO46-BI46</f>
        <v>467221</v>
      </c>
      <c r="BM46" s="573">
        <f t="shared" si="49"/>
        <v>-8.4</v>
      </c>
      <c r="BN46" s="563">
        <f>수입!BP64</f>
        <v>5251890</v>
      </c>
      <c r="BO46" s="563">
        <f>수입!BQ64</f>
        <v>4666962</v>
      </c>
      <c r="BP46" s="573">
        <f t="shared" si="50"/>
        <v>-11.1</v>
      </c>
      <c r="BQ46" s="562">
        <f>BT46-BN46</f>
        <v>525101</v>
      </c>
      <c r="BR46" s="562">
        <f>BU46-BO46</f>
        <v>507141</v>
      </c>
      <c r="BS46" s="573">
        <f t="shared" si="51"/>
        <v>-3.4</v>
      </c>
      <c r="BT46" s="563">
        <f>수입!BV64</f>
        <v>5776991</v>
      </c>
      <c r="BU46" s="563">
        <f>수입!BW64</f>
        <v>5174103</v>
      </c>
      <c r="BV46" s="573">
        <f t="shared" si="52"/>
        <v>-10.4</v>
      </c>
    </row>
    <row r="47" spans="1:74" ht="22.5" customHeight="1">
      <c r="A47" s="1094"/>
      <c r="B47" s="7" t="s">
        <v>286</v>
      </c>
      <c r="C47" s="147">
        <f t="shared" ref="C47:H47" si="56">C46/C45*1000</f>
        <v>2753.1173837421693</v>
      </c>
      <c r="D47" s="147">
        <f t="shared" si="56"/>
        <v>2416.4829109345474</v>
      </c>
      <c r="E47" s="147">
        <f t="shared" si="56"/>
        <v>2322.2200815657707</v>
      </c>
      <c r="F47" s="147">
        <f t="shared" si="56"/>
        <v>2377.6428993328745</v>
      </c>
      <c r="G47" s="147">
        <f t="shared" si="56"/>
        <v>2240.1471612466912</v>
      </c>
      <c r="H47" s="147">
        <f t="shared" si="56"/>
        <v>2000.4132400640669</v>
      </c>
      <c r="I47" s="147">
        <f>I46/I45*1000</f>
        <v>2259.5081811878658</v>
      </c>
      <c r="J47" s="147">
        <f>J46/J45*1000</f>
        <v>2458.4633793300368</v>
      </c>
      <c r="K47" s="147">
        <f>K46/K45*1000</f>
        <v>2140.300839396853</v>
      </c>
      <c r="L47" s="147">
        <f>L46/L45*1000</f>
        <v>2273.0589295677928</v>
      </c>
      <c r="M47" s="147">
        <f>M46/M45*1000</f>
        <v>2065.3834742619788</v>
      </c>
      <c r="N47" s="162">
        <f t="shared" si="32"/>
        <v>-9.1</v>
      </c>
      <c r="O47" s="57">
        <f>O46/O45*1000</f>
        <v>2172.0881687830815</v>
      </c>
      <c r="P47" s="57">
        <f>P46/P45*1000</f>
        <v>2021.7973054308072</v>
      </c>
      <c r="Q47" s="162">
        <f t="shared" si="33"/>
        <v>-6.9</v>
      </c>
      <c r="R47" s="147">
        <f>R46/R45*1000</f>
        <v>2228.652179044971</v>
      </c>
      <c r="S47" s="147">
        <f>S46/S45*1000</f>
        <v>2044.858350084811</v>
      </c>
      <c r="T47" s="162">
        <f t="shared" si="34"/>
        <v>-8.1999999999999993</v>
      </c>
      <c r="U47" s="57">
        <f>U46/U45*1000</f>
        <v>2188.0612069177591</v>
      </c>
      <c r="V47" s="57">
        <f>V46/V45*1000</f>
        <v>2111.3369807090635</v>
      </c>
      <c r="W47" s="162">
        <f t="shared" si="35"/>
        <v>-3.5</v>
      </c>
      <c r="X47" s="147">
        <f>X46/X45*1000</f>
        <v>2214.5374600078699</v>
      </c>
      <c r="Y47" s="147">
        <f>Y46/Y45*1000</f>
        <v>2067.6367482536525</v>
      </c>
      <c r="Z47" s="162">
        <f t="shared" si="36"/>
        <v>-6.6</v>
      </c>
      <c r="AA47" s="57">
        <f>AA46/AA45*1000</f>
        <v>2197.1310080737144</v>
      </c>
      <c r="AB47" s="57">
        <f>AB46/AB45*1000</f>
        <v>1971.4523358075694</v>
      </c>
      <c r="AC47" s="162">
        <f t="shared" si="37"/>
        <v>-10.3</v>
      </c>
      <c r="AD47" s="147">
        <f>AD46/AD45*1000</f>
        <v>2209.7328754468163</v>
      </c>
      <c r="AE47" s="147">
        <f>AE46/AE45*1000</f>
        <v>2041.990786432533</v>
      </c>
      <c r="AF47" s="162">
        <f t="shared" si="38"/>
        <v>-7.6</v>
      </c>
      <c r="AG47" s="57">
        <f>AG46/AG45*1000</f>
        <v>2147.0867337255645</v>
      </c>
      <c r="AH47" s="57">
        <f>AH46/AH45*1000</f>
        <v>1939.8539205155746</v>
      </c>
      <c r="AI47" s="162">
        <f t="shared" si="39"/>
        <v>-9.6999999999999993</v>
      </c>
      <c r="AJ47" s="147">
        <f>AJ46/AJ45*1000</f>
        <v>2196.3393762137362</v>
      </c>
      <c r="AK47" s="147">
        <f>AK46/AK45*1000</f>
        <v>2021.9157167069336</v>
      </c>
      <c r="AL47" s="162">
        <f t="shared" si="40"/>
        <v>-7.9</v>
      </c>
      <c r="AM47" s="559">
        <f>AM46/AM45*1000</f>
        <v>2156.1357201532837</v>
      </c>
      <c r="AN47" s="559">
        <f>AN46/AN45*1000</f>
        <v>1870.1857114856919</v>
      </c>
      <c r="AO47" s="582">
        <f t="shared" si="41"/>
        <v>-13.3</v>
      </c>
      <c r="AP47" s="568">
        <f>AP46/AP45*1000</f>
        <v>2189.7897241020441</v>
      </c>
      <c r="AQ47" s="568">
        <f>AQ46/AQ45*1000</f>
        <v>1995.9141231109206</v>
      </c>
      <c r="AR47" s="582">
        <f t="shared" si="42"/>
        <v>-8.9</v>
      </c>
      <c r="AS47" s="559">
        <f>AS46/AS45*1000</f>
        <v>2171.5995431295628</v>
      </c>
      <c r="AT47" s="559">
        <f>AT46/AT45*1000</f>
        <v>1938.6241944957565</v>
      </c>
      <c r="AU47" s="582">
        <f t="shared" si="43"/>
        <v>-10.7</v>
      </c>
      <c r="AV47" s="568">
        <f>AV46/AV45*1000</f>
        <v>2187.2247929929804</v>
      </c>
      <c r="AW47" s="568">
        <f>AW46/AW45*1000</f>
        <v>1987.8252299408359</v>
      </c>
      <c r="AX47" s="582">
        <f t="shared" si="44"/>
        <v>-9.1</v>
      </c>
      <c r="AY47" s="559">
        <f>AY46/AY45*1000</f>
        <v>2134.2504646516036</v>
      </c>
      <c r="AZ47" s="559">
        <f>AZ46/AZ45*1000</f>
        <v>1963.6589384207637</v>
      </c>
      <c r="BA47" s="582">
        <f t="shared" si="45"/>
        <v>-8</v>
      </c>
      <c r="BB47" s="568">
        <f>BB46/BB45*1000</f>
        <v>2180.6286881699116</v>
      </c>
      <c r="BC47" s="568">
        <f>BC46/BC45*1000</f>
        <v>1985.1239978221649</v>
      </c>
      <c r="BD47" s="582">
        <f t="shared" si="46"/>
        <v>-9</v>
      </c>
      <c r="BE47" s="559">
        <f>BE46/BE45*1000</f>
        <v>2126.2117613251139</v>
      </c>
      <c r="BF47" s="559">
        <f>BF46/BF45*1000</f>
        <v>2033.0604374228249</v>
      </c>
      <c r="BG47" s="582">
        <f t="shared" si="47"/>
        <v>-4.4000000000000004</v>
      </c>
      <c r="BH47" s="568">
        <f>BH46/BH45*1000</f>
        <v>2175.0697427796385</v>
      </c>
      <c r="BI47" s="568">
        <f>BI46/BI45*1000</f>
        <v>1990.4966879884128</v>
      </c>
      <c r="BJ47" s="582">
        <f t="shared" si="48"/>
        <v>-8.5</v>
      </c>
      <c r="BK47" s="559">
        <f>BK46/BK45*1000</f>
        <v>2015.7296352811884</v>
      </c>
      <c r="BL47" s="559">
        <f>BL46/BL45*1000</f>
        <v>2013.683988225305</v>
      </c>
      <c r="BM47" s="582">
        <f t="shared" si="49"/>
        <v>-0.1</v>
      </c>
      <c r="BN47" s="568">
        <f>BN46/BN45*1000</f>
        <v>2158.5037458140096</v>
      </c>
      <c r="BO47" s="568">
        <f>BO46/BO45*1000</f>
        <v>1992.793943770045</v>
      </c>
      <c r="BP47" s="582">
        <f t="shared" si="50"/>
        <v>-7.7</v>
      </c>
      <c r="BQ47" s="559">
        <f>BQ46/BQ45*1000</f>
        <v>2074.7025843846432</v>
      </c>
      <c r="BR47" s="559">
        <f>BR46/BR45*1000</f>
        <v>2102.6879558185142</v>
      </c>
      <c r="BS47" s="582">
        <f t="shared" si="51"/>
        <v>1.3</v>
      </c>
      <c r="BT47" s="568">
        <f>BT46/BT45*1000</f>
        <v>2150.6079376430685</v>
      </c>
      <c r="BU47" s="568">
        <f>BU46/BU45*1000</f>
        <v>2003.0548494719146</v>
      </c>
      <c r="BV47" s="582">
        <f t="shared" si="52"/>
        <v>-6.9</v>
      </c>
    </row>
    <row r="48" spans="1:74" ht="22.5" customHeight="1">
      <c r="A48" s="1093" t="s">
        <v>290</v>
      </c>
      <c r="B48" s="10" t="s">
        <v>37</v>
      </c>
      <c r="C48" s="165">
        <f>수입!E90</f>
        <v>61193</v>
      </c>
      <c r="D48" s="165">
        <f>수입!F90</f>
        <v>50387</v>
      </c>
      <c r="E48" s="165">
        <f>수입!G90</f>
        <v>57505</v>
      </c>
      <c r="F48" s="165">
        <f>수입!H90</f>
        <v>45571</v>
      </c>
      <c r="G48" s="165">
        <f>수입!I90</f>
        <v>44986</v>
      </c>
      <c r="H48" s="165">
        <f>수입!J90</f>
        <v>61989</v>
      </c>
      <c r="I48" s="165">
        <f>수입!K90</f>
        <v>55445</v>
      </c>
      <c r="J48" s="165">
        <f>수입!L90</f>
        <v>56649</v>
      </c>
      <c r="K48" s="165">
        <f>수입!M90</f>
        <v>61123</v>
      </c>
      <c r="L48" s="165">
        <f>수입!N90</f>
        <v>5846</v>
      </c>
      <c r="M48" s="165">
        <f>수입!O90</f>
        <v>4901</v>
      </c>
      <c r="N48" s="154">
        <f t="shared" si="32"/>
        <v>-16.2</v>
      </c>
      <c r="O48" s="78">
        <f>R48-L48</f>
        <v>4585</v>
      </c>
      <c r="P48" s="78">
        <f>S48-M48</f>
        <v>5343</v>
      </c>
      <c r="Q48" s="154">
        <f t="shared" si="33"/>
        <v>16.5</v>
      </c>
      <c r="R48" s="165">
        <f>수입!T90</f>
        <v>10431</v>
      </c>
      <c r="S48" s="165">
        <f>수입!U90</f>
        <v>10244</v>
      </c>
      <c r="T48" s="154">
        <f t="shared" si="34"/>
        <v>-1.8</v>
      </c>
      <c r="U48" s="78">
        <f>X48-R48</f>
        <v>5039</v>
      </c>
      <c r="V48" s="78">
        <f>Y48-S48</f>
        <v>4453</v>
      </c>
      <c r="W48" s="154">
        <f t="shared" si="35"/>
        <v>-11.6</v>
      </c>
      <c r="X48" s="165">
        <f>수입!Z90</f>
        <v>15470</v>
      </c>
      <c r="Y48" s="165">
        <f>수입!AA90</f>
        <v>14697</v>
      </c>
      <c r="Z48" s="154">
        <f t="shared" si="36"/>
        <v>-5</v>
      </c>
      <c r="AA48" s="78">
        <f>AD48-X48</f>
        <v>5080</v>
      </c>
      <c r="AB48" s="78">
        <f>AE48-Y48</f>
        <v>5361</v>
      </c>
      <c r="AC48" s="154">
        <f t="shared" si="37"/>
        <v>5.5</v>
      </c>
      <c r="AD48" s="165">
        <f>수입!AF90</f>
        <v>20550</v>
      </c>
      <c r="AE48" s="165">
        <f>수입!AG90</f>
        <v>20058</v>
      </c>
      <c r="AF48" s="154">
        <f t="shared" si="38"/>
        <v>-2.4</v>
      </c>
      <c r="AG48" s="78">
        <f>AJ48-AD48</f>
        <v>5839</v>
      </c>
      <c r="AH48" s="78">
        <f>AK48-AE48</f>
        <v>4284</v>
      </c>
      <c r="AI48" s="154">
        <f t="shared" si="39"/>
        <v>-26.6</v>
      </c>
      <c r="AJ48" s="165">
        <f>수입!AL90</f>
        <v>26389</v>
      </c>
      <c r="AK48" s="165">
        <f>수입!AM90</f>
        <v>24342</v>
      </c>
      <c r="AL48" s="154">
        <f t="shared" si="40"/>
        <v>-7.8</v>
      </c>
      <c r="AM48" s="561">
        <f>AP48-AJ48</f>
        <v>3797</v>
      </c>
      <c r="AN48" s="561">
        <f>AQ48-AK48</f>
        <v>4819</v>
      </c>
      <c r="AO48" s="574">
        <f t="shared" si="41"/>
        <v>26.9</v>
      </c>
      <c r="AP48" s="585">
        <f>수입!AR90</f>
        <v>30186</v>
      </c>
      <c r="AQ48" s="585">
        <f>수입!AS90</f>
        <v>29161</v>
      </c>
      <c r="AR48" s="574">
        <f t="shared" si="42"/>
        <v>-3.4</v>
      </c>
      <c r="AS48" s="561">
        <f>AV48-AP48</f>
        <v>4774</v>
      </c>
      <c r="AT48" s="561">
        <f>AW48-AQ48</f>
        <v>3918</v>
      </c>
      <c r="AU48" s="574">
        <f t="shared" si="43"/>
        <v>-17.899999999999999</v>
      </c>
      <c r="AV48" s="585">
        <f>수입!AX90</f>
        <v>34960</v>
      </c>
      <c r="AW48" s="585">
        <f>수입!AY90</f>
        <v>33079</v>
      </c>
      <c r="AX48" s="574">
        <f t="shared" si="44"/>
        <v>-5.4</v>
      </c>
      <c r="AY48" s="561">
        <f>BB48-AV48</f>
        <v>5488</v>
      </c>
      <c r="AZ48" s="561">
        <f>BC48-AW48</f>
        <v>5383</v>
      </c>
      <c r="BA48" s="574">
        <f t="shared" si="45"/>
        <v>-1.9</v>
      </c>
      <c r="BB48" s="585">
        <f>수입!BD90</f>
        <v>40448</v>
      </c>
      <c r="BC48" s="585">
        <f>수입!BE90</f>
        <v>38462</v>
      </c>
      <c r="BD48" s="574">
        <f t="shared" si="46"/>
        <v>-4.9000000000000004</v>
      </c>
      <c r="BE48" s="561">
        <f>BH48-BB48</f>
        <v>3634</v>
      </c>
      <c r="BF48" s="561">
        <f>BI48-BC48</f>
        <v>5702</v>
      </c>
      <c r="BG48" s="574">
        <f t="shared" si="47"/>
        <v>56.9</v>
      </c>
      <c r="BH48" s="585">
        <f>수입!BJ90</f>
        <v>44082</v>
      </c>
      <c r="BI48" s="585">
        <f>수입!BK90</f>
        <v>44164</v>
      </c>
      <c r="BJ48" s="574">
        <f t="shared" si="48"/>
        <v>0.2</v>
      </c>
      <c r="BK48" s="561">
        <f>BN48-BH48</f>
        <v>5600</v>
      </c>
      <c r="BL48" s="561">
        <f>BO48-BI48</f>
        <v>3874</v>
      </c>
      <c r="BM48" s="574">
        <f t="shared" si="49"/>
        <v>-30.8</v>
      </c>
      <c r="BN48" s="585">
        <f>수입!BP90</f>
        <v>49682</v>
      </c>
      <c r="BO48" s="585">
        <f>수입!BQ90</f>
        <v>48038</v>
      </c>
      <c r="BP48" s="574">
        <f t="shared" si="50"/>
        <v>-3.3</v>
      </c>
      <c r="BQ48" s="561">
        <f>BT48-BN48</f>
        <v>5237</v>
      </c>
      <c r="BR48" s="561">
        <f>BU48-BO48</f>
        <v>4692</v>
      </c>
      <c r="BS48" s="574">
        <f t="shared" si="51"/>
        <v>-10.4</v>
      </c>
      <c r="BT48" s="585">
        <f>수입!BV90</f>
        <v>54919</v>
      </c>
      <c r="BU48" s="585">
        <f>수입!BW90</f>
        <v>52730</v>
      </c>
      <c r="BV48" s="574">
        <f t="shared" si="52"/>
        <v>-4</v>
      </c>
    </row>
    <row r="49" spans="1:74" ht="22.5" customHeight="1">
      <c r="A49" s="1091"/>
      <c r="B49" s="5" t="s">
        <v>38</v>
      </c>
      <c r="C49" s="138">
        <f>수입!E91</f>
        <v>1551450</v>
      </c>
      <c r="D49" s="138">
        <f>수입!F91</f>
        <v>1105675</v>
      </c>
      <c r="E49" s="138">
        <f>수입!G91</f>
        <v>1115327</v>
      </c>
      <c r="F49" s="138">
        <f>수입!H91</f>
        <v>980486</v>
      </c>
      <c r="G49" s="138">
        <f>수입!I91</f>
        <v>778160</v>
      </c>
      <c r="H49" s="138">
        <f>수입!J91</f>
        <v>747484</v>
      </c>
      <c r="I49" s="138">
        <f>수입!K91</f>
        <v>801624</v>
      </c>
      <c r="J49" s="138">
        <f>수입!L91</f>
        <v>1006293</v>
      </c>
      <c r="K49" s="138">
        <f>수입!M91</f>
        <v>1095792</v>
      </c>
      <c r="L49" s="138">
        <f>수입!N91</f>
        <v>94527</v>
      </c>
      <c r="M49" s="138">
        <f>수입!O91</f>
        <v>90090</v>
      </c>
      <c r="N49" s="153">
        <f t="shared" si="32"/>
        <v>-4.7</v>
      </c>
      <c r="O49" s="137">
        <f>R49-L49</f>
        <v>72589</v>
      </c>
      <c r="P49" s="137">
        <f>S49-M49</f>
        <v>90265</v>
      </c>
      <c r="Q49" s="153">
        <f t="shared" si="33"/>
        <v>24.4</v>
      </c>
      <c r="R49" s="138">
        <f>수입!T91</f>
        <v>167116</v>
      </c>
      <c r="S49" s="138">
        <f>수입!U91</f>
        <v>180355</v>
      </c>
      <c r="T49" s="153">
        <f t="shared" si="34"/>
        <v>7.9</v>
      </c>
      <c r="U49" s="137">
        <f>X49-R49</f>
        <v>84933</v>
      </c>
      <c r="V49" s="137">
        <f>Y49-S49</f>
        <v>82833</v>
      </c>
      <c r="W49" s="153">
        <f t="shared" si="35"/>
        <v>-2.5</v>
      </c>
      <c r="X49" s="138">
        <f>수입!Z91</f>
        <v>252049</v>
      </c>
      <c r="Y49" s="138">
        <f>수입!AA91</f>
        <v>263188</v>
      </c>
      <c r="Z49" s="153">
        <f t="shared" si="36"/>
        <v>4.4000000000000004</v>
      </c>
      <c r="AA49" s="137">
        <f>AD49-X49</f>
        <v>84737</v>
      </c>
      <c r="AB49" s="137">
        <f>AE49-Y49</f>
        <v>84805</v>
      </c>
      <c r="AC49" s="153">
        <f t="shared" si="37"/>
        <v>0.1</v>
      </c>
      <c r="AD49" s="138">
        <f>수입!AF91</f>
        <v>336786</v>
      </c>
      <c r="AE49" s="138">
        <f>수입!AG91</f>
        <v>347993</v>
      </c>
      <c r="AF49" s="153">
        <f t="shared" si="38"/>
        <v>3.3</v>
      </c>
      <c r="AG49" s="137">
        <f>AJ49-AD49</f>
        <v>99356</v>
      </c>
      <c r="AH49" s="137">
        <f>AK49-AE49</f>
        <v>66714</v>
      </c>
      <c r="AI49" s="153">
        <f t="shared" si="39"/>
        <v>-32.9</v>
      </c>
      <c r="AJ49" s="138">
        <f>수입!AL91</f>
        <v>436142</v>
      </c>
      <c r="AK49" s="138">
        <f>수입!AM91</f>
        <v>414707</v>
      </c>
      <c r="AL49" s="153">
        <f t="shared" si="40"/>
        <v>-4.9000000000000004</v>
      </c>
      <c r="AM49" s="562">
        <f>AP49-AJ49</f>
        <v>72712</v>
      </c>
      <c r="AN49" s="562">
        <f>AQ49-AK49</f>
        <v>88055</v>
      </c>
      <c r="AO49" s="573">
        <f t="shared" si="41"/>
        <v>21.1</v>
      </c>
      <c r="AP49" s="563">
        <f>수입!AR91</f>
        <v>508854</v>
      </c>
      <c r="AQ49" s="563">
        <f>수입!AS91</f>
        <v>502762</v>
      </c>
      <c r="AR49" s="573">
        <f t="shared" si="42"/>
        <v>-1.2</v>
      </c>
      <c r="AS49" s="562">
        <f>AV49-AP49</f>
        <v>86987</v>
      </c>
      <c r="AT49" s="562">
        <f>AW49-AQ49</f>
        <v>64603</v>
      </c>
      <c r="AU49" s="573">
        <f t="shared" si="43"/>
        <v>-25.7</v>
      </c>
      <c r="AV49" s="563">
        <f>수입!AX91</f>
        <v>595841</v>
      </c>
      <c r="AW49" s="563">
        <f>수입!AY91</f>
        <v>567365</v>
      </c>
      <c r="AX49" s="573">
        <f t="shared" si="44"/>
        <v>-4.8</v>
      </c>
      <c r="AY49" s="562">
        <f>BB49-AV49</f>
        <v>103431</v>
      </c>
      <c r="AZ49" s="562">
        <f>BC49-AW49</f>
        <v>83014</v>
      </c>
      <c r="BA49" s="573">
        <f t="shared" si="45"/>
        <v>-19.7</v>
      </c>
      <c r="BB49" s="563">
        <f>수입!BD91</f>
        <v>699272</v>
      </c>
      <c r="BC49" s="563">
        <f>수입!BE91</f>
        <v>650379</v>
      </c>
      <c r="BD49" s="573">
        <f t="shared" si="46"/>
        <v>-7</v>
      </c>
      <c r="BE49" s="562">
        <f>BH49-BB49</f>
        <v>70532</v>
      </c>
      <c r="BF49" s="562">
        <f>BI49-BC49</f>
        <v>93564</v>
      </c>
      <c r="BG49" s="573">
        <f t="shared" si="47"/>
        <v>32.700000000000003</v>
      </c>
      <c r="BH49" s="563">
        <f>수입!BJ91</f>
        <v>769804</v>
      </c>
      <c r="BI49" s="563">
        <f>수입!BK91</f>
        <v>743943</v>
      </c>
      <c r="BJ49" s="573">
        <f t="shared" si="48"/>
        <v>-3.4</v>
      </c>
      <c r="BK49" s="562">
        <f>BN49-BH49</f>
        <v>99462</v>
      </c>
      <c r="BL49" s="562">
        <f>BO49-BI49</f>
        <v>83517</v>
      </c>
      <c r="BM49" s="573">
        <f t="shared" si="49"/>
        <v>-16</v>
      </c>
      <c r="BN49" s="563">
        <f>수입!BP91</f>
        <v>869266</v>
      </c>
      <c r="BO49" s="563">
        <f>수입!BQ91</f>
        <v>827460</v>
      </c>
      <c r="BP49" s="573">
        <f t="shared" si="50"/>
        <v>-4.8</v>
      </c>
      <c r="BQ49" s="562">
        <f>BT49-BN49</f>
        <v>107089</v>
      </c>
      <c r="BR49" s="562">
        <f>BU49-BO49</f>
        <v>84226</v>
      </c>
      <c r="BS49" s="573">
        <f t="shared" si="51"/>
        <v>-21.3</v>
      </c>
      <c r="BT49" s="563">
        <f>수입!BV91</f>
        <v>976355</v>
      </c>
      <c r="BU49" s="563">
        <f>수입!BW91</f>
        <v>911686</v>
      </c>
      <c r="BV49" s="573">
        <f t="shared" si="52"/>
        <v>-6.6</v>
      </c>
    </row>
    <row r="50" spans="1:74" ht="22.5" customHeight="1">
      <c r="A50" s="1094"/>
      <c r="B50" s="7" t="s">
        <v>286</v>
      </c>
      <c r="C50" s="147">
        <f t="shared" ref="C50:H50" si="57">C49/C48*1000</f>
        <v>25353.390093638161</v>
      </c>
      <c r="D50" s="147">
        <f t="shared" si="57"/>
        <v>21943.656101772285</v>
      </c>
      <c r="E50" s="147">
        <f t="shared" si="57"/>
        <v>19395.304756108166</v>
      </c>
      <c r="F50" s="147">
        <f t="shared" si="57"/>
        <v>21515.56911193522</v>
      </c>
      <c r="G50" s="147">
        <f t="shared" si="57"/>
        <v>17297.825990308094</v>
      </c>
      <c r="H50" s="147">
        <f t="shared" si="57"/>
        <v>12058.332930035973</v>
      </c>
      <c r="I50" s="147">
        <f>I49/I48*1000</f>
        <v>14458.00342681937</v>
      </c>
      <c r="J50" s="147">
        <f>J49/J48*1000</f>
        <v>17763.649843774827</v>
      </c>
      <c r="K50" s="147">
        <f>K49/K48*1000</f>
        <v>17927.654074570946</v>
      </c>
      <c r="L50" s="147">
        <f>L49/L48*1000</f>
        <v>16169.517618884707</v>
      </c>
      <c r="M50" s="147">
        <f>M49/M48*1000</f>
        <v>18381.962864721489</v>
      </c>
      <c r="N50" s="162">
        <f t="shared" si="32"/>
        <v>13.7</v>
      </c>
      <c r="O50" s="57">
        <f>O49/O48*1000</f>
        <v>15831.842966194112</v>
      </c>
      <c r="P50" s="57">
        <f>P49/P48*1000</f>
        <v>16894.067003556054</v>
      </c>
      <c r="Q50" s="162">
        <f t="shared" si="33"/>
        <v>6.7</v>
      </c>
      <c r="R50" s="147">
        <f>R49/R48*1000</f>
        <v>16021.090978813152</v>
      </c>
      <c r="S50" s="147">
        <f>S49/S48*1000</f>
        <v>17605.915657946112</v>
      </c>
      <c r="T50" s="162">
        <f t="shared" si="34"/>
        <v>9.9</v>
      </c>
      <c r="U50" s="57">
        <f>U49/U48*1000</f>
        <v>16855.129986108357</v>
      </c>
      <c r="V50" s="57">
        <f>V49/V48*1000</f>
        <v>18601.616887491578</v>
      </c>
      <c r="W50" s="162">
        <f t="shared" si="35"/>
        <v>10.4</v>
      </c>
      <c r="X50" s="147">
        <f>X49/X48*1000</f>
        <v>16292.760180995476</v>
      </c>
      <c r="Y50" s="147">
        <f>Y49/Y48*1000</f>
        <v>17907.600190515073</v>
      </c>
      <c r="Z50" s="162">
        <f t="shared" si="36"/>
        <v>9.9</v>
      </c>
      <c r="AA50" s="57">
        <f>AA49/AA48*1000</f>
        <v>16680.511811023622</v>
      </c>
      <c r="AB50" s="57">
        <f>AB49/AB48*1000</f>
        <v>15818.877075172542</v>
      </c>
      <c r="AC50" s="162">
        <f t="shared" si="37"/>
        <v>-5.2</v>
      </c>
      <c r="AD50" s="147">
        <f>AD49/AD48*1000</f>
        <v>16388.613138686131</v>
      </c>
      <c r="AE50" s="147">
        <f>AE49/AE48*1000</f>
        <v>17349.336922923525</v>
      </c>
      <c r="AF50" s="162">
        <f t="shared" si="38"/>
        <v>5.9</v>
      </c>
      <c r="AG50" s="57">
        <f>AG49/AG48*1000</f>
        <v>17015.927384826169</v>
      </c>
      <c r="AH50" s="57">
        <f>AH49/AH48*1000</f>
        <v>15572.829131652661</v>
      </c>
      <c r="AI50" s="162">
        <f t="shared" si="39"/>
        <v>-8.5</v>
      </c>
      <c r="AJ50" s="147">
        <f>AJ49/AJ48*1000</f>
        <v>16527.416726666412</v>
      </c>
      <c r="AK50" s="147">
        <f>AK49/AK48*1000</f>
        <v>17036.685564045685</v>
      </c>
      <c r="AL50" s="162">
        <f t="shared" si="40"/>
        <v>3.1</v>
      </c>
      <c r="AM50" s="559">
        <f>AM49/AM48*1000</f>
        <v>19149.855148801686</v>
      </c>
      <c r="AN50" s="559">
        <f>AN49/AN48*1000</f>
        <v>18272.463166632082</v>
      </c>
      <c r="AO50" s="582">
        <f t="shared" si="41"/>
        <v>-4.5999999999999996</v>
      </c>
      <c r="AP50" s="568">
        <f>AP49/AP48*1000</f>
        <v>16857.284834029018</v>
      </c>
      <c r="AQ50" s="568">
        <f>AQ49/AQ48*1000</f>
        <v>17240.903947052568</v>
      </c>
      <c r="AR50" s="582">
        <f t="shared" si="42"/>
        <v>2.2999999999999998</v>
      </c>
      <c r="AS50" s="559">
        <f>AS49/AS48*1000</f>
        <v>18220.988688730624</v>
      </c>
      <c r="AT50" s="559">
        <f>AT49/AT48*1000</f>
        <v>16488.769780500257</v>
      </c>
      <c r="AU50" s="582">
        <f t="shared" si="43"/>
        <v>-9.5</v>
      </c>
      <c r="AV50" s="568">
        <f>AV49/AV48*1000</f>
        <v>17043.506864988558</v>
      </c>
      <c r="AW50" s="568">
        <f>AW49/AW48*1000</f>
        <v>17151.818374195111</v>
      </c>
      <c r="AX50" s="582">
        <f t="shared" si="44"/>
        <v>0.6</v>
      </c>
      <c r="AY50" s="559">
        <f>AY49/AY48*1000</f>
        <v>18846.756559766764</v>
      </c>
      <c r="AZ50" s="559">
        <f>AZ49/AZ48*1000</f>
        <v>15421.512167936095</v>
      </c>
      <c r="BA50" s="582">
        <f t="shared" si="45"/>
        <v>-18.2</v>
      </c>
      <c r="BB50" s="568">
        <f>BB49/BB48*1000</f>
        <v>17288.172468354431</v>
      </c>
      <c r="BC50" s="568">
        <f>BC49/BC48*1000</f>
        <v>16909.651084186989</v>
      </c>
      <c r="BD50" s="582">
        <f t="shared" si="46"/>
        <v>-2.2000000000000002</v>
      </c>
      <c r="BE50" s="559">
        <f>BE49/BE48*1000</f>
        <v>19408.915795266923</v>
      </c>
      <c r="BF50" s="559">
        <f>BF49/BF48*1000</f>
        <v>16408.97930550684</v>
      </c>
      <c r="BG50" s="582">
        <f t="shared" si="47"/>
        <v>-15.5</v>
      </c>
      <c r="BH50" s="568">
        <f>BH49/BH48*1000</f>
        <v>17463.00077128987</v>
      </c>
      <c r="BI50" s="568">
        <f>BI49/BI48*1000</f>
        <v>16845.009510008149</v>
      </c>
      <c r="BJ50" s="582">
        <f t="shared" si="48"/>
        <v>-3.5</v>
      </c>
      <c r="BK50" s="559">
        <f>BK49/BK48*1000</f>
        <v>17761.071428571431</v>
      </c>
      <c r="BL50" s="559">
        <f>BL49/BL48*1000</f>
        <v>21558.337635518841</v>
      </c>
      <c r="BM50" s="582">
        <f t="shared" si="49"/>
        <v>21.4</v>
      </c>
      <c r="BN50" s="568">
        <f>BN49/BN48*1000</f>
        <v>17496.598365605249</v>
      </c>
      <c r="BO50" s="568">
        <f>BO49/BO48*1000</f>
        <v>17225.113451850619</v>
      </c>
      <c r="BP50" s="582">
        <f t="shared" si="50"/>
        <v>-1.6</v>
      </c>
      <c r="BQ50" s="559">
        <f>BQ49/BQ48*1000</f>
        <v>20448.539240022914</v>
      </c>
      <c r="BR50" s="559">
        <f>BR49/BR48*1000</f>
        <v>17950.98039215686</v>
      </c>
      <c r="BS50" s="582">
        <f t="shared" si="51"/>
        <v>-12.2</v>
      </c>
      <c r="BT50" s="568">
        <f>BT49/BT48*1000</f>
        <v>17778.091370928094</v>
      </c>
      <c r="BU50" s="568">
        <f>BU49/BU48*1000</f>
        <v>17289.702256779823</v>
      </c>
      <c r="BV50" s="582">
        <f t="shared" si="52"/>
        <v>-2.7</v>
      </c>
    </row>
    <row r="51" spans="1:74" ht="22.5" customHeight="1">
      <c r="A51" s="1093" t="s">
        <v>291</v>
      </c>
      <c r="B51" s="10" t="s">
        <v>37</v>
      </c>
      <c r="C51" s="165">
        <f>수입!E99</f>
        <v>16647</v>
      </c>
      <c r="D51" s="165">
        <f>수입!F99</f>
        <v>18094</v>
      </c>
      <c r="E51" s="165">
        <f>수입!G99</f>
        <v>16712</v>
      </c>
      <c r="F51" s="165">
        <f>수입!H99</f>
        <v>16178</v>
      </c>
      <c r="G51" s="165">
        <f>수입!I99</f>
        <v>15711</v>
      </c>
      <c r="H51" s="165">
        <f>수입!J99</f>
        <v>16766</v>
      </c>
      <c r="I51" s="165">
        <f>수입!K99</f>
        <v>15314</v>
      </c>
      <c r="J51" s="165">
        <f>수입!L99</f>
        <v>15854</v>
      </c>
      <c r="K51" s="165">
        <f>수입!M99</f>
        <v>14083</v>
      </c>
      <c r="L51" s="165">
        <f>수입!N99</f>
        <v>1210</v>
      </c>
      <c r="M51" s="165">
        <f>수입!O99</f>
        <v>1347</v>
      </c>
      <c r="N51" s="154">
        <f t="shared" si="32"/>
        <v>11.3</v>
      </c>
      <c r="O51" s="78">
        <f>R51-L51</f>
        <v>1072</v>
      </c>
      <c r="P51" s="78">
        <f>S51-M51</f>
        <v>854</v>
      </c>
      <c r="Q51" s="154">
        <f t="shared" si="33"/>
        <v>-20.3</v>
      </c>
      <c r="R51" s="165">
        <f>수입!T99</f>
        <v>2282</v>
      </c>
      <c r="S51" s="165">
        <f>수입!U99</f>
        <v>2201</v>
      </c>
      <c r="T51" s="154">
        <f t="shared" si="34"/>
        <v>-3.5</v>
      </c>
      <c r="U51" s="78">
        <f>X51-R51</f>
        <v>1129</v>
      </c>
      <c r="V51" s="78">
        <f>Y51-S51</f>
        <v>1975</v>
      </c>
      <c r="W51" s="154">
        <f t="shared" si="35"/>
        <v>74.900000000000006</v>
      </c>
      <c r="X51" s="165">
        <f>수입!Z99</f>
        <v>3411</v>
      </c>
      <c r="Y51" s="165">
        <f>수입!AA99</f>
        <v>4176</v>
      </c>
      <c r="Z51" s="154">
        <f t="shared" si="36"/>
        <v>22.4</v>
      </c>
      <c r="AA51" s="78">
        <f>AD51-X51</f>
        <v>1315</v>
      </c>
      <c r="AB51" s="78">
        <f>AE51-Y51</f>
        <v>1046</v>
      </c>
      <c r="AC51" s="154">
        <f t="shared" si="37"/>
        <v>-20.5</v>
      </c>
      <c r="AD51" s="165">
        <f>수입!AF99</f>
        <v>4726</v>
      </c>
      <c r="AE51" s="165">
        <f>수입!AG99</f>
        <v>5222</v>
      </c>
      <c r="AF51" s="154">
        <f t="shared" si="38"/>
        <v>10.5</v>
      </c>
      <c r="AG51" s="78">
        <f>AJ51-AD51</f>
        <v>840</v>
      </c>
      <c r="AH51" s="78">
        <f>AK51-AE51</f>
        <v>1380</v>
      </c>
      <c r="AI51" s="154">
        <f t="shared" si="39"/>
        <v>64.3</v>
      </c>
      <c r="AJ51" s="165">
        <f>수입!AL99</f>
        <v>5566</v>
      </c>
      <c r="AK51" s="165">
        <f>수입!AM99</f>
        <v>6602</v>
      </c>
      <c r="AL51" s="154">
        <f t="shared" si="40"/>
        <v>18.600000000000001</v>
      </c>
      <c r="AM51" s="561">
        <f>AP51-AJ51</f>
        <v>1314</v>
      </c>
      <c r="AN51" s="561">
        <f>AQ51-AK51</f>
        <v>783</v>
      </c>
      <c r="AO51" s="574">
        <f t="shared" si="41"/>
        <v>-40.4</v>
      </c>
      <c r="AP51" s="585">
        <f>수입!AR99</f>
        <v>6880</v>
      </c>
      <c r="AQ51" s="585">
        <f>수입!AS99</f>
        <v>7385</v>
      </c>
      <c r="AR51" s="574">
        <f t="shared" si="42"/>
        <v>7.3</v>
      </c>
      <c r="AS51" s="561">
        <f>AV51-AP51</f>
        <v>1556</v>
      </c>
      <c r="AT51" s="561">
        <f>AW51-AQ51</f>
        <v>1387</v>
      </c>
      <c r="AU51" s="574">
        <f t="shared" si="43"/>
        <v>-10.9</v>
      </c>
      <c r="AV51" s="585">
        <f>수입!AX99</f>
        <v>8436</v>
      </c>
      <c r="AW51" s="585">
        <f>수입!AY99</f>
        <v>8772</v>
      </c>
      <c r="AX51" s="574">
        <f t="shared" si="44"/>
        <v>4</v>
      </c>
      <c r="AY51" s="561">
        <f>BB51-AV51</f>
        <v>1174</v>
      </c>
      <c r="AZ51" s="561">
        <f>BC51-AW51</f>
        <v>928</v>
      </c>
      <c r="BA51" s="574">
        <f t="shared" si="45"/>
        <v>-21</v>
      </c>
      <c r="BB51" s="585">
        <f>수입!BD99</f>
        <v>9610</v>
      </c>
      <c r="BC51" s="585">
        <f>수입!BE99</f>
        <v>9700</v>
      </c>
      <c r="BD51" s="574">
        <f t="shared" si="46"/>
        <v>0.9</v>
      </c>
      <c r="BE51" s="561">
        <f>BH51-BB51</f>
        <v>1281</v>
      </c>
      <c r="BF51" s="561">
        <f>BI51-BC51</f>
        <v>1538</v>
      </c>
      <c r="BG51" s="574">
        <f t="shared" si="47"/>
        <v>20.100000000000001</v>
      </c>
      <c r="BH51" s="585">
        <f>수입!BJ99</f>
        <v>10891</v>
      </c>
      <c r="BI51" s="585">
        <f>수입!BK99</f>
        <v>11238</v>
      </c>
      <c r="BJ51" s="574">
        <f t="shared" si="48"/>
        <v>3.2</v>
      </c>
      <c r="BK51" s="561">
        <f>BN51-BH51</f>
        <v>944</v>
      </c>
      <c r="BL51" s="561">
        <f>BO51-BI51</f>
        <v>936</v>
      </c>
      <c r="BM51" s="574">
        <f t="shared" si="49"/>
        <v>-0.8</v>
      </c>
      <c r="BN51" s="585">
        <f>수입!BP99</f>
        <v>11835</v>
      </c>
      <c r="BO51" s="585">
        <f>수입!BQ99</f>
        <v>12174</v>
      </c>
      <c r="BP51" s="574">
        <f t="shared" si="50"/>
        <v>2.9</v>
      </c>
      <c r="BQ51" s="561">
        <f>BT51-BN51</f>
        <v>1040</v>
      </c>
      <c r="BR51" s="561">
        <f>BU51-BO51</f>
        <v>1407</v>
      </c>
      <c r="BS51" s="574">
        <f t="shared" si="51"/>
        <v>35.299999999999997</v>
      </c>
      <c r="BT51" s="585">
        <f>수입!BV99</f>
        <v>12875</v>
      </c>
      <c r="BU51" s="585">
        <f>수입!BW99</f>
        <v>13581</v>
      </c>
      <c r="BV51" s="574">
        <f t="shared" si="52"/>
        <v>5.5</v>
      </c>
    </row>
    <row r="52" spans="1:74" ht="22.5" customHeight="1">
      <c r="A52" s="1091"/>
      <c r="B52" s="5" t="s">
        <v>38</v>
      </c>
      <c r="C52" s="138">
        <f>수입!E100</f>
        <v>450061</v>
      </c>
      <c r="D52" s="138">
        <f>수입!F100</f>
        <v>386153</v>
      </c>
      <c r="E52" s="138">
        <f>수입!G100</f>
        <v>369639</v>
      </c>
      <c r="F52" s="138">
        <f>수입!H100</f>
        <v>359458</v>
      </c>
      <c r="G52" s="138">
        <f>수입!I100</f>
        <v>267927</v>
      </c>
      <c r="H52" s="138">
        <f>수입!J100</f>
        <v>276651</v>
      </c>
      <c r="I52" s="138">
        <f>수입!K100</f>
        <v>307166</v>
      </c>
      <c r="J52" s="138">
        <f>수입!L100</f>
        <v>328296</v>
      </c>
      <c r="K52" s="138">
        <f>수입!M100</f>
        <v>278477</v>
      </c>
      <c r="L52" s="138">
        <f>수입!N100</f>
        <v>24103</v>
      </c>
      <c r="M52" s="138">
        <f>수입!O100</f>
        <v>24138</v>
      </c>
      <c r="N52" s="153">
        <f t="shared" si="32"/>
        <v>0.1</v>
      </c>
      <c r="O52" s="137">
        <f>R52-L52</f>
        <v>21808</v>
      </c>
      <c r="P52" s="137">
        <f>S52-M52</f>
        <v>16035</v>
      </c>
      <c r="Q52" s="153">
        <f t="shared" si="33"/>
        <v>-26.5</v>
      </c>
      <c r="R52" s="138">
        <f>수입!T100</f>
        <v>45911</v>
      </c>
      <c r="S52" s="138">
        <f>수입!U100</f>
        <v>40173</v>
      </c>
      <c r="T52" s="153">
        <f t="shared" si="34"/>
        <v>-12.5</v>
      </c>
      <c r="U52" s="137">
        <f>X52-R52</f>
        <v>24078</v>
      </c>
      <c r="V52" s="137">
        <f>Y52-S52</f>
        <v>34677</v>
      </c>
      <c r="W52" s="153">
        <f t="shared" si="35"/>
        <v>44</v>
      </c>
      <c r="X52" s="138">
        <f>수입!Z100</f>
        <v>69989</v>
      </c>
      <c r="Y52" s="138">
        <f>수입!AA100</f>
        <v>74850</v>
      </c>
      <c r="Z52" s="153">
        <f t="shared" si="36"/>
        <v>6.9</v>
      </c>
      <c r="AA52" s="137">
        <f>AD52-X52</f>
        <v>28028</v>
      </c>
      <c r="AB52" s="137">
        <f>AE52-Y52</f>
        <v>17679</v>
      </c>
      <c r="AC52" s="153">
        <f t="shared" si="37"/>
        <v>-36.9</v>
      </c>
      <c r="AD52" s="138">
        <f>수입!AF100</f>
        <v>98017</v>
      </c>
      <c r="AE52" s="138">
        <f>수입!AG100</f>
        <v>92529</v>
      </c>
      <c r="AF52" s="153">
        <f t="shared" si="38"/>
        <v>-5.6</v>
      </c>
      <c r="AG52" s="137">
        <f>AJ52-AD52</f>
        <v>17820</v>
      </c>
      <c r="AH52" s="137">
        <f>AK52-AE52</f>
        <v>22444</v>
      </c>
      <c r="AI52" s="153">
        <f t="shared" si="39"/>
        <v>25.9</v>
      </c>
      <c r="AJ52" s="138">
        <f>수입!AL100</f>
        <v>115837</v>
      </c>
      <c r="AK52" s="138">
        <f>수입!AM100</f>
        <v>114973</v>
      </c>
      <c r="AL52" s="153">
        <f t="shared" si="40"/>
        <v>-0.7</v>
      </c>
      <c r="AM52" s="562">
        <f>AP52-AJ52</f>
        <v>27963</v>
      </c>
      <c r="AN52" s="562">
        <f>AQ52-AK52</f>
        <v>13200</v>
      </c>
      <c r="AO52" s="573">
        <f t="shared" si="41"/>
        <v>-52.8</v>
      </c>
      <c r="AP52" s="563">
        <f>수입!AR100</f>
        <v>143800</v>
      </c>
      <c r="AQ52" s="563">
        <f>수입!AS100</f>
        <v>128173</v>
      </c>
      <c r="AR52" s="573">
        <f t="shared" si="42"/>
        <v>-10.9</v>
      </c>
      <c r="AS52" s="562">
        <f>AV52-AP52</f>
        <v>31345</v>
      </c>
      <c r="AT52" s="562">
        <f>AW52-AQ52</f>
        <v>23414</v>
      </c>
      <c r="AU52" s="573">
        <f t="shared" si="43"/>
        <v>-25.3</v>
      </c>
      <c r="AV52" s="563">
        <f>수입!AX100</f>
        <v>175145</v>
      </c>
      <c r="AW52" s="563">
        <f>수입!AY100</f>
        <v>151587</v>
      </c>
      <c r="AX52" s="573">
        <f t="shared" si="44"/>
        <v>-13.5</v>
      </c>
      <c r="AY52" s="562">
        <f>BB52-AV52</f>
        <v>23186</v>
      </c>
      <c r="AZ52" s="562">
        <f>BC52-AW52</f>
        <v>17447</v>
      </c>
      <c r="BA52" s="573">
        <f t="shared" si="45"/>
        <v>-24.8</v>
      </c>
      <c r="BB52" s="563">
        <f>수입!BD100</f>
        <v>198331</v>
      </c>
      <c r="BC52" s="563">
        <f>수입!BE100</f>
        <v>169034</v>
      </c>
      <c r="BD52" s="573">
        <f t="shared" si="46"/>
        <v>-14.8</v>
      </c>
      <c r="BE52" s="562">
        <f>BH52-BB52</f>
        <v>23286</v>
      </c>
      <c r="BF52" s="562">
        <f>BI52-BC52</f>
        <v>28435</v>
      </c>
      <c r="BG52" s="573">
        <f t="shared" si="47"/>
        <v>22.1</v>
      </c>
      <c r="BH52" s="563">
        <f>수입!BJ100</f>
        <v>221617</v>
      </c>
      <c r="BI52" s="563">
        <f>수입!BK100</f>
        <v>197469</v>
      </c>
      <c r="BJ52" s="573">
        <f t="shared" si="48"/>
        <v>-10.9</v>
      </c>
      <c r="BK52" s="562">
        <f>BN52-BH52</f>
        <v>17024</v>
      </c>
      <c r="BL52" s="562">
        <f>BO52-BI52</f>
        <v>18328</v>
      </c>
      <c r="BM52" s="573">
        <f t="shared" si="49"/>
        <v>7.7</v>
      </c>
      <c r="BN52" s="563">
        <f>수입!BP100</f>
        <v>238641</v>
      </c>
      <c r="BO52" s="563">
        <f>수입!BQ100</f>
        <v>215797</v>
      </c>
      <c r="BP52" s="573">
        <f t="shared" si="50"/>
        <v>-9.6</v>
      </c>
      <c r="BQ52" s="562">
        <f>BT52-BN52</f>
        <v>18317</v>
      </c>
      <c r="BR52" s="562">
        <f>BU52-BO52</f>
        <v>27154</v>
      </c>
      <c r="BS52" s="573">
        <f t="shared" si="51"/>
        <v>48.2</v>
      </c>
      <c r="BT52" s="563">
        <f>수입!BV100</f>
        <v>256958</v>
      </c>
      <c r="BU52" s="563">
        <f>수입!BW100</f>
        <v>242951</v>
      </c>
      <c r="BV52" s="573">
        <f t="shared" si="52"/>
        <v>-5.5</v>
      </c>
    </row>
    <row r="53" spans="1:74" ht="22.5" customHeight="1">
      <c r="A53" s="1094"/>
      <c r="B53" s="7" t="s">
        <v>286</v>
      </c>
      <c r="C53" s="147">
        <f t="shared" ref="C53:H53" si="58">C52/C51*1000</f>
        <v>27035.561963116477</v>
      </c>
      <c r="D53" s="147">
        <f t="shared" si="58"/>
        <v>21341.494418039129</v>
      </c>
      <c r="E53" s="147">
        <f t="shared" si="58"/>
        <v>22118.178554332218</v>
      </c>
      <c r="F53" s="147">
        <f t="shared" si="58"/>
        <v>22218.939300284335</v>
      </c>
      <c r="G53" s="147">
        <f t="shared" si="58"/>
        <v>17053.465724651516</v>
      </c>
      <c r="H53" s="147">
        <f t="shared" si="58"/>
        <v>16500.715734224024</v>
      </c>
      <c r="I53" s="147">
        <f>I52/I51*1000</f>
        <v>20057.85555700666</v>
      </c>
      <c r="J53" s="147">
        <f>J52/J51*1000</f>
        <v>20707.45553172701</v>
      </c>
      <c r="K53" s="147">
        <f>K52/K51*1000</f>
        <v>19773.98281616133</v>
      </c>
      <c r="L53" s="147">
        <f>L52/L51*1000</f>
        <v>19919.834710743802</v>
      </c>
      <c r="M53" s="147">
        <f>M52/M51*1000</f>
        <v>17919.821826280626</v>
      </c>
      <c r="N53" s="162">
        <f t="shared" si="32"/>
        <v>-10</v>
      </c>
      <c r="O53" s="57">
        <f>O52/O51*1000</f>
        <v>20343.283582089553</v>
      </c>
      <c r="P53" s="57">
        <f>P52/P51*1000</f>
        <v>18776.346604215458</v>
      </c>
      <c r="Q53" s="162">
        <f t="shared" si="33"/>
        <v>-7.7</v>
      </c>
      <c r="R53" s="147">
        <f>R52/R51*1000</f>
        <v>20118.755477651186</v>
      </c>
      <c r="S53" s="147">
        <f>S52/S51*1000</f>
        <v>18252.158109950025</v>
      </c>
      <c r="T53" s="162">
        <f t="shared" si="34"/>
        <v>-9.3000000000000007</v>
      </c>
      <c r="U53" s="57">
        <f>U52/U51*1000</f>
        <v>21326.837909654561</v>
      </c>
      <c r="V53" s="57">
        <f>V52/V51*1000</f>
        <v>17557.974683544304</v>
      </c>
      <c r="W53" s="162">
        <f t="shared" si="35"/>
        <v>-17.7</v>
      </c>
      <c r="X53" s="147">
        <f>X52/X51*1000</f>
        <v>20518.616241571388</v>
      </c>
      <c r="Y53" s="147">
        <f>Y52/Y51*1000</f>
        <v>17923.850574712644</v>
      </c>
      <c r="Z53" s="162">
        <f t="shared" si="36"/>
        <v>-12.6</v>
      </c>
      <c r="AA53" s="57">
        <f>AA52/AA51*1000</f>
        <v>21314.068441064639</v>
      </c>
      <c r="AB53" s="57">
        <f>AB52/AB51*1000</f>
        <v>16901.529636711282</v>
      </c>
      <c r="AC53" s="162">
        <f t="shared" si="37"/>
        <v>-20.7</v>
      </c>
      <c r="AD53" s="147">
        <f>AD52/AD51*1000</f>
        <v>20739.94921709691</v>
      </c>
      <c r="AE53" s="147">
        <f>AE52/AE51*1000</f>
        <v>17719.073152049023</v>
      </c>
      <c r="AF53" s="162">
        <f t="shared" si="38"/>
        <v>-14.6</v>
      </c>
      <c r="AG53" s="57">
        <f>AG52/AG51*1000</f>
        <v>21214.285714285714</v>
      </c>
      <c r="AH53" s="57">
        <f>AH52/AH51*1000</f>
        <v>16263.768115942028</v>
      </c>
      <c r="AI53" s="162">
        <f t="shared" si="39"/>
        <v>-23.3</v>
      </c>
      <c r="AJ53" s="147">
        <f>AJ52/AJ51*1000</f>
        <v>20811.534315486886</v>
      </c>
      <c r="AK53" s="147">
        <f>AK52/AK51*1000</f>
        <v>17414.874280521053</v>
      </c>
      <c r="AL53" s="162">
        <f t="shared" si="40"/>
        <v>-16.3</v>
      </c>
      <c r="AM53" s="559">
        <f>AM52/AM51*1000</f>
        <v>21280.821917808218</v>
      </c>
      <c r="AN53" s="559">
        <f>AN52/AN51*1000</f>
        <v>16858.237547892721</v>
      </c>
      <c r="AO53" s="582">
        <f t="shared" si="41"/>
        <v>-20.8</v>
      </c>
      <c r="AP53" s="568">
        <f>AP52/AP51*1000</f>
        <v>20901.162790697676</v>
      </c>
      <c r="AQ53" s="568">
        <f>AQ52/AQ51*1000</f>
        <v>17355.856465809073</v>
      </c>
      <c r="AR53" s="582">
        <f t="shared" si="42"/>
        <v>-17</v>
      </c>
      <c r="AS53" s="559">
        <f>AS52/AS51*1000</f>
        <v>20144.601542416454</v>
      </c>
      <c r="AT53" s="559">
        <f>AT52/AT51*1000</f>
        <v>16881.038211968276</v>
      </c>
      <c r="AU53" s="582">
        <f t="shared" si="43"/>
        <v>-16.2</v>
      </c>
      <c r="AV53" s="568">
        <f>AV52/AV51*1000</f>
        <v>20761.616880037935</v>
      </c>
      <c r="AW53" s="568">
        <f>AW52/AW51*1000</f>
        <v>17280.77975376197</v>
      </c>
      <c r="AX53" s="582">
        <f t="shared" si="44"/>
        <v>-16.8</v>
      </c>
      <c r="AY53" s="559">
        <f>AY52/AY51*1000</f>
        <v>19749.574105621807</v>
      </c>
      <c r="AZ53" s="559">
        <f>AZ52/AZ51*1000</f>
        <v>18800.646551724138</v>
      </c>
      <c r="BA53" s="582">
        <f t="shared" si="45"/>
        <v>-4.8</v>
      </c>
      <c r="BB53" s="568">
        <f>BB52/BB51*1000</f>
        <v>20637.981269510929</v>
      </c>
      <c r="BC53" s="568">
        <f>BC52/BC51*1000</f>
        <v>17426.18556701031</v>
      </c>
      <c r="BD53" s="582">
        <f t="shared" si="46"/>
        <v>-15.6</v>
      </c>
      <c r="BE53" s="559">
        <f>BE52/BE51*1000</f>
        <v>18177.985948477752</v>
      </c>
      <c r="BF53" s="559">
        <f>BF52/BF51*1000</f>
        <v>18488.296488946686</v>
      </c>
      <c r="BG53" s="582">
        <f t="shared" si="47"/>
        <v>1.7</v>
      </c>
      <c r="BH53" s="568">
        <f>BH52/BH51*1000</f>
        <v>20348.636488844</v>
      </c>
      <c r="BI53" s="568">
        <f>BI52/BI51*1000</f>
        <v>17571.54297917779</v>
      </c>
      <c r="BJ53" s="582">
        <f t="shared" si="48"/>
        <v>-13.6</v>
      </c>
      <c r="BK53" s="559">
        <f>BK52/BK51*1000</f>
        <v>18033.898305084749</v>
      </c>
      <c r="BL53" s="559">
        <f>BL52/BL51*1000</f>
        <v>19581.196581196582</v>
      </c>
      <c r="BM53" s="582">
        <f t="shared" si="49"/>
        <v>8.6</v>
      </c>
      <c r="BN53" s="568">
        <f>BN52/BN51*1000</f>
        <v>20164.005069708492</v>
      </c>
      <c r="BO53" s="568">
        <f>BO52/BO51*1000</f>
        <v>17726.055528174802</v>
      </c>
      <c r="BP53" s="582">
        <f t="shared" si="50"/>
        <v>-12.1</v>
      </c>
      <c r="BQ53" s="559">
        <f>BQ52/BQ51*1000</f>
        <v>17612.5</v>
      </c>
      <c r="BR53" s="559">
        <f>BR52/BR51*1000</f>
        <v>19299.218194740584</v>
      </c>
      <c r="BS53" s="582">
        <f t="shared" si="51"/>
        <v>9.6</v>
      </c>
      <c r="BT53" s="568">
        <f>BT52/BT51*1000</f>
        <v>19957.902912621361</v>
      </c>
      <c r="BU53" s="568">
        <f>BU52/BU51*1000</f>
        <v>17889.036153449673</v>
      </c>
      <c r="BV53" s="582">
        <f t="shared" si="52"/>
        <v>-10.4</v>
      </c>
    </row>
    <row r="54" spans="1:74" ht="22.5" customHeight="1">
      <c r="A54" s="1093" t="s">
        <v>24</v>
      </c>
      <c r="B54" s="10" t="s">
        <v>37</v>
      </c>
      <c r="C54" s="165">
        <f>수입!E102</f>
        <v>174062</v>
      </c>
      <c r="D54" s="165">
        <f>수입!F102</f>
        <v>127405</v>
      </c>
      <c r="E54" s="165">
        <f>수입!G102</f>
        <v>106816</v>
      </c>
      <c r="F54" s="165">
        <f>수입!H102</f>
        <v>125202</v>
      </c>
      <c r="G54" s="165">
        <f>수입!I102</f>
        <v>137551</v>
      </c>
      <c r="H54" s="165">
        <f>수입!J102</f>
        <v>140737</v>
      </c>
      <c r="I54" s="165">
        <f>수입!K102</f>
        <v>157963</v>
      </c>
      <c r="J54" s="165">
        <f>수입!L102</f>
        <v>156574</v>
      </c>
      <c r="K54" s="165">
        <f>수입!M102</f>
        <v>153450</v>
      </c>
      <c r="L54" s="165">
        <f>수입!N102</f>
        <v>14415</v>
      </c>
      <c r="M54" s="165">
        <f>수입!O102</f>
        <v>14260</v>
      </c>
      <c r="N54" s="154">
        <f t="shared" si="32"/>
        <v>-1.1000000000000001</v>
      </c>
      <c r="O54" s="78">
        <f>R54-L54</f>
        <v>9667</v>
      </c>
      <c r="P54" s="78">
        <f>S54-M54</f>
        <v>7717</v>
      </c>
      <c r="Q54" s="154">
        <f t="shared" si="33"/>
        <v>-20.2</v>
      </c>
      <c r="R54" s="165">
        <f>수입!T102</f>
        <v>24082</v>
      </c>
      <c r="S54" s="165">
        <f>수입!U102</f>
        <v>21977</v>
      </c>
      <c r="T54" s="154">
        <f t="shared" si="34"/>
        <v>-8.6999999999999993</v>
      </c>
      <c r="U54" s="78">
        <f>X54-R54</f>
        <v>11428</v>
      </c>
      <c r="V54" s="78">
        <f>Y54-S54</f>
        <v>14465</v>
      </c>
      <c r="W54" s="154">
        <f t="shared" si="35"/>
        <v>26.6</v>
      </c>
      <c r="X54" s="165">
        <f>수입!Z102</f>
        <v>35510</v>
      </c>
      <c r="Y54" s="165">
        <f>수입!AA102</f>
        <v>36442</v>
      </c>
      <c r="Z54" s="154">
        <f t="shared" si="36"/>
        <v>2.6</v>
      </c>
      <c r="AA54" s="78">
        <f>AD54-X54</f>
        <v>15043</v>
      </c>
      <c r="AB54" s="78">
        <f>AE54-Y54</f>
        <v>13251</v>
      </c>
      <c r="AC54" s="154">
        <f t="shared" si="37"/>
        <v>-11.9</v>
      </c>
      <c r="AD54" s="165">
        <f>수입!AF102</f>
        <v>50553</v>
      </c>
      <c r="AE54" s="165">
        <f>수입!AG102</f>
        <v>49693</v>
      </c>
      <c r="AF54" s="154">
        <f t="shared" si="38"/>
        <v>-1.7</v>
      </c>
      <c r="AG54" s="78">
        <f>AJ54-AD54</f>
        <v>13151</v>
      </c>
      <c r="AH54" s="78">
        <f>AK54-AE54</f>
        <v>13671</v>
      </c>
      <c r="AI54" s="154">
        <f t="shared" si="39"/>
        <v>4</v>
      </c>
      <c r="AJ54" s="165">
        <f>수입!AL102</f>
        <v>63704</v>
      </c>
      <c r="AK54" s="165">
        <f>수입!AM102</f>
        <v>63364</v>
      </c>
      <c r="AL54" s="154">
        <f t="shared" si="40"/>
        <v>-0.5</v>
      </c>
      <c r="AM54" s="561">
        <f>AP54-AJ54</f>
        <v>13539</v>
      </c>
      <c r="AN54" s="561">
        <f>AQ54-AK54</f>
        <v>11440</v>
      </c>
      <c r="AO54" s="574">
        <f t="shared" si="41"/>
        <v>-15.5</v>
      </c>
      <c r="AP54" s="585">
        <f>수입!AR102</f>
        <v>77243</v>
      </c>
      <c r="AQ54" s="585">
        <f>수입!AS102</f>
        <v>74804</v>
      </c>
      <c r="AR54" s="574">
        <f t="shared" si="42"/>
        <v>-3.2</v>
      </c>
      <c r="AS54" s="561">
        <f>AV54-AP54</f>
        <v>15678</v>
      </c>
      <c r="AT54" s="561">
        <f>AW54-AQ54</f>
        <v>11210</v>
      </c>
      <c r="AU54" s="574">
        <f t="shared" si="43"/>
        <v>-28.5</v>
      </c>
      <c r="AV54" s="585">
        <f>수입!AX102</f>
        <v>92921</v>
      </c>
      <c r="AW54" s="585">
        <f>수입!AY102</f>
        <v>86014</v>
      </c>
      <c r="AX54" s="574">
        <f t="shared" si="44"/>
        <v>-7.4</v>
      </c>
      <c r="AY54" s="561">
        <f>BB54-AV54</f>
        <v>11925</v>
      </c>
      <c r="AZ54" s="561">
        <f>BC54-AW54</f>
        <v>7940</v>
      </c>
      <c r="BA54" s="574">
        <f t="shared" si="45"/>
        <v>-33.4</v>
      </c>
      <c r="BB54" s="585">
        <f>수입!BD102</f>
        <v>104846</v>
      </c>
      <c r="BC54" s="585">
        <f>수입!BE102</f>
        <v>93954</v>
      </c>
      <c r="BD54" s="574">
        <f t="shared" si="46"/>
        <v>-10.4</v>
      </c>
      <c r="BE54" s="561">
        <f>BH54-BB54</f>
        <v>11177</v>
      </c>
      <c r="BF54" s="561">
        <f>BI54-BC54</f>
        <v>12869</v>
      </c>
      <c r="BG54" s="574">
        <f t="shared" si="47"/>
        <v>15.1</v>
      </c>
      <c r="BH54" s="585">
        <f>수입!BJ102</f>
        <v>116023</v>
      </c>
      <c r="BI54" s="585">
        <f>수입!BK102</f>
        <v>106823</v>
      </c>
      <c r="BJ54" s="574">
        <f t="shared" si="48"/>
        <v>-7.9</v>
      </c>
      <c r="BK54" s="561">
        <f>BN54-BH54</f>
        <v>14149</v>
      </c>
      <c r="BL54" s="561">
        <f>BO54-BI54</f>
        <v>11404</v>
      </c>
      <c r="BM54" s="574">
        <f t="shared" si="49"/>
        <v>-19.399999999999999</v>
      </c>
      <c r="BN54" s="585">
        <f>수입!BP102</f>
        <v>130172</v>
      </c>
      <c r="BO54" s="585">
        <f>수입!BQ102</f>
        <v>118227</v>
      </c>
      <c r="BP54" s="574">
        <f t="shared" si="50"/>
        <v>-9.1999999999999993</v>
      </c>
      <c r="BQ54" s="561">
        <f>BT54-BN54</f>
        <v>10266</v>
      </c>
      <c r="BR54" s="561">
        <f>BU54-BO54</f>
        <v>13552</v>
      </c>
      <c r="BS54" s="574">
        <f t="shared" si="51"/>
        <v>32</v>
      </c>
      <c r="BT54" s="585">
        <f>수입!BV102</f>
        <v>140438</v>
      </c>
      <c r="BU54" s="585">
        <f>수입!BW102</f>
        <v>131779</v>
      </c>
      <c r="BV54" s="574">
        <f t="shared" si="52"/>
        <v>-6.2</v>
      </c>
    </row>
    <row r="55" spans="1:74" ht="22.5" customHeight="1">
      <c r="A55" s="1091"/>
      <c r="B55" s="5" t="s">
        <v>38</v>
      </c>
      <c r="C55" s="138">
        <f>수입!E103</f>
        <v>1679839</v>
      </c>
      <c r="D55" s="138">
        <f>수입!F103</f>
        <v>1365912</v>
      </c>
      <c r="E55" s="138">
        <f>수입!G103</f>
        <v>1201022</v>
      </c>
      <c r="F55" s="138">
        <f>수입!H103</f>
        <v>1136600</v>
      </c>
      <c r="G55" s="138">
        <f>수입!I103</f>
        <v>1038841</v>
      </c>
      <c r="H55" s="138">
        <f>수입!J103</f>
        <v>942708</v>
      </c>
      <c r="I55" s="138">
        <f>수입!K103</f>
        <v>1090604</v>
      </c>
      <c r="J55" s="138">
        <f>수입!L103</f>
        <v>1259894</v>
      </c>
      <c r="K55" s="138">
        <f>수입!M103</f>
        <v>1083201</v>
      </c>
      <c r="L55" s="138">
        <f>수입!N103</f>
        <v>112814</v>
      </c>
      <c r="M55" s="138">
        <f>수입!O103</f>
        <v>85124</v>
      </c>
      <c r="N55" s="153">
        <f t="shared" si="32"/>
        <v>-24.5</v>
      </c>
      <c r="O55" s="137">
        <f>R55-L55</f>
        <v>74303</v>
      </c>
      <c r="P55" s="137">
        <f>S55-M55</f>
        <v>63962</v>
      </c>
      <c r="Q55" s="153">
        <f t="shared" si="33"/>
        <v>-13.9</v>
      </c>
      <c r="R55" s="138">
        <f>수입!T103</f>
        <v>187117</v>
      </c>
      <c r="S55" s="138">
        <f>수입!U103</f>
        <v>149086</v>
      </c>
      <c r="T55" s="153">
        <f t="shared" si="34"/>
        <v>-20.3</v>
      </c>
      <c r="U55" s="137">
        <f>X55-R55</f>
        <v>96972</v>
      </c>
      <c r="V55" s="137">
        <f>Y55-S55</f>
        <v>95151</v>
      </c>
      <c r="W55" s="153">
        <f t="shared" si="35"/>
        <v>-1.9</v>
      </c>
      <c r="X55" s="138">
        <f>수입!Z103</f>
        <v>284089</v>
      </c>
      <c r="Y55" s="138">
        <f>수입!AA103</f>
        <v>244237</v>
      </c>
      <c r="Z55" s="153">
        <f t="shared" si="36"/>
        <v>-14</v>
      </c>
      <c r="AA55" s="137">
        <f>AD55-X55</f>
        <v>105580</v>
      </c>
      <c r="AB55" s="137">
        <f>AE55-Y55</f>
        <v>94433</v>
      </c>
      <c r="AC55" s="153">
        <f t="shared" si="37"/>
        <v>-10.6</v>
      </c>
      <c r="AD55" s="138">
        <f>수입!AF103</f>
        <v>389669</v>
      </c>
      <c r="AE55" s="138">
        <f>수입!AG103</f>
        <v>338670</v>
      </c>
      <c r="AF55" s="153">
        <f t="shared" si="38"/>
        <v>-13.1</v>
      </c>
      <c r="AG55" s="137">
        <f>AJ55-AD55</f>
        <v>97708</v>
      </c>
      <c r="AH55" s="137">
        <f>AK55-AE55</f>
        <v>76435</v>
      </c>
      <c r="AI55" s="153">
        <f t="shared" si="39"/>
        <v>-21.8</v>
      </c>
      <c r="AJ55" s="138">
        <f>수입!AL103</f>
        <v>487377</v>
      </c>
      <c r="AK55" s="138">
        <f>수입!AM103</f>
        <v>415105</v>
      </c>
      <c r="AL55" s="153">
        <f t="shared" si="40"/>
        <v>-14.8</v>
      </c>
      <c r="AM55" s="562">
        <f>AP55-AJ55</f>
        <v>88819</v>
      </c>
      <c r="AN55" s="562">
        <f>AQ55-AK55</f>
        <v>86794</v>
      </c>
      <c r="AO55" s="573">
        <f t="shared" si="41"/>
        <v>-2.2999999999999998</v>
      </c>
      <c r="AP55" s="563">
        <f>수입!AR103</f>
        <v>576196</v>
      </c>
      <c r="AQ55" s="563">
        <f>수입!AS103</f>
        <v>501899</v>
      </c>
      <c r="AR55" s="573">
        <f t="shared" si="42"/>
        <v>-12.9</v>
      </c>
      <c r="AS55" s="562">
        <f>AV55-AP55</f>
        <v>103158</v>
      </c>
      <c r="AT55" s="562">
        <f>AW55-AQ55</f>
        <v>73686</v>
      </c>
      <c r="AU55" s="573">
        <f t="shared" si="43"/>
        <v>-28.6</v>
      </c>
      <c r="AV55" s="563">
        <f>수입!AX103</f>
        <v>679354</v>
      </c>
      <c r="AW55" s="563">
        <f>수입!AY103</f>
        <v>575585</v>
      </c>
      <c r="AX55" s="573">
        <f t="shared" si="44"/>
        <v>-15.3</v>
      </c>
      <c r="AY55" s="562">
        <f>BB55-AV55</f>
        <v>84717</v>
      </c>
      <c r="AZ55" s="562">
        <f>BC55-AW55</f>
        <v>63309</v>
      </c>
      <c r="BA55" s="573">
        <f t="shared" si="45"/>
        <v>-25.3</v>
      </c>
      <c r="BB55" s="563">
        <f>수입!BD103</f>
        <v>764071</v>
      </c>
      <c r="BC55" s="563">
        <f>수입!BE103</f>
        <v>638894</v>
      </c>
      <c r="BD55" s="573">
        <f t="shared" si="46"/>
        <v>-16.399999999999999</v>
      </c>
      <c r="BE55" s="562">
        <f>BH55-BB55</f>
        <v>74306</v>
      </c>
      <c r="BF55" s="562">
        <f>BI55-BC55</f>
        <v>68975</v>
      </c>
      <c r="BG55" s="573">
        <f t="shared" si="47"/>
        <v>-7.2</v>
      </c>
      <c r="BH55" s="563">
        <f>수입!BJ103</f>
        <v>838377</v>
      </c>
      <c r="BI55" s="563">
        <f>수입!BK103</f>
        <v>707869</v>
      </c>
      <c r="BJ55" s="573">
        <f t="shared" si="48"/>
        <v>-15.6</v>
      </c>
      <c r="BK55" s="562">
        <f>BN55-BH55</f>
        <v>84128</v>
      </c>
      <c r="BL55" s="562">
        <f>BO55-BI55</f>
        <v>71250</v>
      </c>
      <c r="BM55" s="573">
        <f t="shared" si="49"/>
        <v>-15.3</v>
      </c>
      <c r="BN55" s="563">
        <f>수입!BP103</f>
        <v>922505</v>
      </c>
      <c r="BO55" s="563">
        <f>수입!BQ103</f>
        <v>779119</v>
      </c>
      <c r="BP55" s="573">
        <f t="shared" si="50"/>
        <v>-15.5</v>
      </c>
      <c r="BQ55" s="562">
        <f>BT55-BN55</f>
        <v>78168</v>
      </c>
      <c r="BR55" s="562">
        <f>BU55-BO55</f>
        <v>75051</v>
      </c>
      <c r="BS55" s="573">
        <f t="shared" si="51"/>
        <v>-4</v>
      </c>
      <c r="BT55" s="563">
        <f>수입!BV103</f>
        <v>1000673</v>
      </c>
      <c r="BU55" s="563">
        <f>수입!BW103</f>
        <v>854170</v>
      </c>
      <c r="BV55" s="573">
        <f t="shared" si="52"/>
        <v>-14.6</v>
      </c>
    </row>
    <row r="56" spans="1:74" ht="22.5" customHeight="1" thickBot="1">
      <c r="A56" s="1092"/>
      <c r="B56" s="146" t="s">
        <v>286</v>
      </c>
      <c r="C56" s="147">
        <f t="shared" ref="C56:H56" si="59">C55/C54*1000</f>
        <v>9650.8083326630731</v>
      </c>
      <c r="D56" s="147">
        <f t="shared" si="59"/>
        <v>10721.023507711629</v>
      </c>
      <c r="E56" s="147">
        <f t="shared" si="59"/>
        <v>11243.839874176154</v>
      </c>
      <c r="F56" s="147">
        <f t="shared" si="59"/>
        <v>9078.1297423363849</v>
      </c>
      <c r="G56" s="147">
        <f t="shared" si="59"/>
        <v>7552.4060166774507</v>
      </c>
      <c r="H56" s="147">
        <f t="shared" si="59"/>
        <v>6698.3664565821355</v>
      </c>
      <c r="I56" s="147">
        <f>I55/I54*1000</f>
        <v>6904.1737622101382</v>
      </c>
      <c r="J56" s="147">
        <f>J55/J54*1000</f>
        <v>8046.6360953925951</v>
      </c>
      <c r="K56" s="147">
        <f>K55/K54*1000</f>
        <v>7058.9833822091887</v>
      </c>
      <c r="L56" s="147">
        <f>L55/L54*1000</f>
        <v>7826.1533125216783</v>
      </c>
      <c r="M56" s="147">
        <f>M55/M54*1000</f>
        <v>5969.4249649368858</v>
      </c>
      <c r="N56" s="161">
        <f t="shared" si="32"/>
        <v>-23.7</v>
      </c>
      <c r="O56" s="57">
        <f>O55/O54*1000</f>
        <v>7686.2521982000626</v>
      </c>
      <c r="P56" s="57">
        <f>P55/P54*1000</f>
        <v>8288.4540624595065</v>
      </c>
      <c r="Q56" s="161">
        <f t="shared" si="33"/>
        <v>7.8</v>
      </c>
      <c r="R56" s="147">
        <f>R55/R54*1000</f>
        <v>7769.9941865293576</v>
      </c>
      <c r="S56" s="147">
        <f>S55/S54*1000</f>
        <v>6783.7284433726172</v>
      </c>
      <c r="T56" s="161">
        <f t="shared" si="34"/>
        <v>-12.7</v>
      </c>
      <c r="U56" s="57">
        <f>U55/U54*1000</f>
        <v>8485.4742737136858</v>
      </c>
      <c r="V56" s="57">
        <f>V55/V54*1000</f>
        <v>6578.0159004493598</v>
      </c>
      <c r="W56" s="161">
        <f t="shared" si="35"/>
        <v>-22.5</v>
      </c>
      <c r="X56" s="147">
        <f>X55/X54*1000</f>
        <v>8000.2534497324687</v>
      </c>
      <c r="Y56" s="147">
        <f>Y55/Y54*1000</f>
        <v>6702.0745293891659</v>
      </c>
      <c r="Z56" s="161">
        <f t="shared" si="36"/>
        <v>-16.2</v>
      </c>
      <c r="AA56" s="57">
        <f>AA55/AA54*1000</f>
        <v>7018.5468324137473</v>
      </c>
      <c r="AB56" s="57">
        <f>AB55/AB54*1000</f>
        <v>7126.4810203003544</v>
      </c>
      <c r="AC56" s="161">
        <f t="shared" si="37"/>
        <v>1.5</v>
      </c>
      <c r="AD56" s="147">
        <f>AD55/AD54*1000</f>
        <v>7708.1281031788421</v>
      </c>
      <c r="AE56" s="147">
        <f>AE55/AE54*1000</f>
        <v>6815.245608033325</v>
      </c>
      <c r="AF56" s="161">
        <f t="shared" si="38"/>
        <v>-11.6</v>
      </c>
      <c r="AG56" s="57">
        <f>AG55/AG54*1000</f>
        <v>7429.701163409627</v>
      </c>
      <c r="AH56" s="57">
        <f>AH55/AH54*1000</f>
        <v>5591.0321117694393</v>
      </c>
      <c r="AI56" s="161">
        <f t="shared" si="39"/>
        <v>-24.7</v>
      </c>
      <c r="AJ56" s="147">
        <f>AJ55/AJ54*1000</f>
        <v>7650.6498806982299</v>
      </c>
      <c r="AK56" s="147">
        <f>AK55/AK54*1000</f>
        <v>6551.1173537024179</v>
      </c>
      <c r="AL56" s="161">
        <f t="shared" si="40"/>
        <v>-14.4</v>
      </c>
      <c r="AM56" s="559">
        <f>AM55/AM54*1000</f>
        <v>6560.2333998079621</v>
      </c>
      <c r="AN56" s="559">
        <f>AN55/AN54*1000</f>
        <v>7586.8881118881118</v>
      </c>
      <c r="AO56" s="581">
        <f t="shared" si="41"/>
        <v>15.6</v>
      </c>
      <c r="AP56" s="568">
        <f>AP55/AP54*1000</f>
        <v>7459.5238403479925</v>
      </c>
      <c r="AQ56" s="568">
        <f>AQ55/AQ54*1000</f>
        <v>6709.520881236298</v>
      </c>
      <c r="AR56" s="581">
        <f t="shared" si="42"/>
        <v>-10.1</v>
      </c>
      <c r="AS56" s="559">
        <f>AS55/AS54*1000</f>
        <v>6579.7933409873713</v>
      </c>
      <c r="AT56" s="559">
        <f>AT55/AT54*1000</f>
        <v>6573.2381801962538</v>
      </c>
      <c r="AU56" s="581">
        <f t="shared" si="43"/>
        <v>-0.1</v>
      </c>
      <c r="AV56" s="568">
        <f>AV55/AV54*1000</f>
        <v>7311.0922181207688</v>
      </c>
      <c r="AW56" s="568">
        <f>AW55/AW54*1000</f>
        <v>6691.7594810147193</v>
      </c>
      <c r="AX56" s="581">
        <f t="shared" si="44"/>
        <v>-8.5</v>
      </c>
      <c r="AY56" s="559">
        <f>AY55/AY54*1000</f>
        <v>7104.1509433962265</v>
      </c>
      <c r="AZ56" s="559">
        <f>AZ55/AZ54*1000</f>
        <v>7973.4256926952139</v>
      </c>
      <c r="BA56" s="581">
        <f t="shared" si="45"/>
        <v>12.2</v>
      </c>
      <c r="BB56" s="568">
        <f>BB55/BB54*1000</f>
        <v>7287.5550807851514</v>
      </c>
      <c r="BC56" s="568">
        <f>BC55/BC54*1000</f>
        <v>6800.0723758434979</v>
      </c>
      <c r="BD56" s="581">
        <f t="shared" si="46"/>
        <v>-6.7</v>
      </c>
      <c r="BE56" s="559">
        <f>BE55/BE54*1000</f>
        <v>6648.1166681578243</v>
      </c>
      <c r="BF56" s="559">
        <f>BF55/BF54*1000</f>
        <v>5359.779314632061</v>
      </c>
      <c r="BG56" s="581">
        <f t="shared" si="47"/>
        <v>-19.399999999999999</v>
      </c>
      <c r="BH56" s="568">
        <f>BH55/BH54*1000</f>
        <v>7225.9551985382204</v>
      </c>
      <c r="BI56" s="568">
        <f>BI55/BI54*1000</f>
        <v>6626.5598232590364</v>
      </c>
      <c r="BJ56" s="581">
        <f t="shared" si="48"/>
        <v>-8.3000000000000007</v>
      </c>
      <c r="BK56" s="559">
        <f>BK55/BK54*1000</f>
        <v>5945.8618983673759</v>
      </c>
      <c r="BL56" s="559">
        <f>BL55/BL54*1000</f>
        <v>6247.8077867414941</v>
      </c>
      <c r="BM56" s="581">
        <f t="shared" si="49"/>
        <v>5.0999999999999996</v>
      </c>
      <c r="BN56" s="568">
        <f>BN55/BN54*1000</f>
        <v>7086.815905110162</v>
      </c>
      <c r="BO56" s="568">
        <f>BO55/BO54*1000</f>
        <v>6590.0259669956949</v>
      </c>
      <c r="BP56" s="581">
        <f t="shared" si="50"/>
        <v>-7</v>
      </c>
      <c r="BQ56" s="559">
        <f>BQ55/BQ54*1000</f>
        <v>7614.2606662770304</v>
      </c>
      <c r="BR56" s="559">
        <f>BR55/BR54*1000</f>
        <v>5538.0017709563162</v>
      </c>
      <c r="BS56" s="581">
        <f t="shared" si="51"/>
        <v>-27.3</v>
      </c>
      <c r="BT56" s="568">
        <f>BT55/BT54*1000</f>
        <v>7125.3720502997767</v>
      </c>
      <c r="BU56" s="568">
        <f>BU55/BU54*1000</f>
        <v>6481.8370150023902</v>
      </c>
      <c r="BV56" s="581">
        <f t="shared" si="52"/>
        <v>-9</v>
      </c>
    </row>
    <row r="57" spans="1:74" ht="22.5" customHeight="1" thickTop="1">
      <c r="A57" s="1087" t="s">
        <v>108</v>
      </c>
      <c r="B57" s="139" t="s">
        <v>37</v>
      </c>
      <c r="C57" s="141">
        <f t="shared" ref="C57:I58" si="60">SUM(C36+C39+C42+C45+C48+C51+C54)</f>
        <v>3529008</v>
      </c>
      <c r="D57" s="141">
        <f t="shared" si="60"/>
        <v>3532012</v>
      </c>
      <c r="E57" s="141">
        <f t="shared" si="60"/>
        <v>3734578</v>
      </c>
      <c r="F57" s="141">
        <f t="shared" si="60"/>
        <v>3965671</v>
      </c>
      <c r="G57" s="141">
        <f t="shared" si="60"/>
        <v>4058238</v>
      </c>
      <c r="H57" s="141">
        <f t="shared" si="60"/>
        <v>4141454</v>
      </c>
      <c r="I57" s="141">
        <f t="shared" si="60"/>
        <v>4225765</v>
      </c>
      <c r="J57" s="141">
        <f t="shared" ref="J57:M58" si="61">SUM(J36+J39+J42+J45+J48+J51+J54)</f>
        <v>4151220</v>
      </c>
      <c r="K57" s="141">
        <f>SUM(K36+K39+K42+K45+K48+K51+K54)</f>
        <v>4229304</v>
      </c>
      <c r="L57" s="141">
        <f t="shared" si="61"/>
        <v>382972</v>
      </c>
      <c r="M57" s="141">
        <f t="shared" si="61"/>
        <v>353659</v>
      </c>
      <c r="N57" s="155">
        <f t="shared" si="32"/>
        <v>-7.7</v>
      </c>
      <c r="O57" s="141">
        <f>R57-L57</f>
        <v>295521</v>
      </c>
      <c r="P57" s="141">
        <f>S57-M57</f>
        <v>310988</v>
      </c>
      <c r="Q57" s="155">
        <f t="shared" si="33"/>
        <v>5.2</v>
      </c>
      <c r="R57" s="141">
        <f>SUM(R36+R39+R42+R45+R48+R51+R54)</f>
        <v>678493</v>
      </c>
      <c r="S57" s="141">
        <f>SUM(S36+S39+S42+S45+S48+S51+S54)</f>
        <v>664647</v>
      </c>
      <c r="T57" s="155">
        <f t="shared" si="34"/>
        <v>-2</v>
      </c>
      <c r="U57" s="141">
        <f>X57-R57</f>
        <v>359617</v>
      </c>
      <c r="V57" s="141">
        <f>Y57-S57</f>
        <v>362683</v>
      </c>
      <c r="W57" s="155">
        <f t="shared" si="35"/>
        <v>0.9</v>
      </c>
      <c r="X57" s="141">
        <f>SUM(X36+X39+X42+X45+X48+X51+X54)</f>
        <v>1038110</v>
      </c>
      <c r="Y57" s="141">
        <f>SUM(Y36+Y39+Y42+Y45+Y48+Y51+Y54)</f>
        <v>1027330</v>
      </c>
      <c r="Z57" s="155">
        <f t="shared" si="36"/>
        <v>-1</v>
      </c>
      <c r="AA57" s="141">
        <f>AD57-X57</f>
        <v>385158</v>
      </c>
      <c r="AB57" s="141">
        <f>AE57-Y57</f>
        <v>356558</v>
      </c>
      <c r="AC57" s="155">
        <f t="shared" si="37"/>
        <v>-7.4</v>
      </c>
      <c r="AD57" s="141">
        <f>SUM(AD36+AD39+AD42+AD45+AD48+AD51+AD54)</f>
        <v>1423268</v>
      </c>
      <c r="AE57" s="141">
        <f>SUM(AE36+AE39+AE42+AE45+AE48+AE51+AE54)</f>
        <v>1383888</v>
      </c>
      <c r="AF57" s="155">
        <f t="shared" si="38"/>
        <v>-2.8</v>
      </c>
      <c r="AG57" s="141">
        <f>AJ57-AD57</f>
        <v>371957</v>
      </c>
      <c r="AH57" s="141">
        <f>AK57-AE57</f>
        <v>322687</v>
      </c>
      <c r="AI57" s="155">
        <f t="shared" si="39"/>
        <v>-13.2</v>
      </c>
      <c r="AJ57" s="141">
        <f>SUM(AJ36+AJ39+AJ42+AJ45+AJ48+AJ51+AJ54)</f>
        <v>1795225</v>
      </c>
      <c r="AK57" s="141">
        <f>SUM(AK36+AK39+AK42+AK45+AK48+AK51+AK54)</f>
        <v>1706575</v>
      </c>
      <c r="AL57" s="155">
        <f t="shared" si="40"/>
        <v>-4.9000000000000004</v>
      </c>
      <c r="AM57" s="564">
        <f>AP57-AJ57</f>
        <v>340120</v>
      </c>
      <c r="AN57" s="564">
        <f>AQ57-AK57</f>
        <v>336218</v>
      </c>
      <c r="AO57" s="575">
        <f t="shared" si="41"/>
        <v>-1.1000000000000001</v>
      </c>
      <c r="AP57" s="564">
        <f>SUM(AP36+AP39+AP42+AP45+AP48+AP51+AP54)</f>
        <v>2135345</v>
      </c>
      <c r="AQ57" s="564">
        <f>SUM(AQ36+AQ39+AQ42+AQ45+AQ48+AQ51+AQ54)</f>
        <v>2042793</v>
      </c>
      <c r="AR57" s="575">
        <f t="shared" si="42"/>
        <v>-4.3</v>
      </c>
      <c r="AS57" s="564">
        <f>AV57-AP57</f>
        <v>345202</v>
      </c>
      <c r="AT57" s="564">
        <f>AW57-AQ57</f>
        <v>336393</v>
      </c>
      <c r="AU57" s="575">
        <f t="shared" si="43"/>
        <v>-2.6</v>
      </c>
      <c r="AV57" s="564">
        <f>SUM(AV36+AV39+AV42+AV45+AV48+AV51+AV54)</f>
        <v>2480547</v>
      </c>
      <c r="AW57" s="564">
        <f>SUM(AW36+AW39+AW42+AW45+AW48+AW51+AW54)</f>
        <v>2379186</v>
      </c>
      <c r="AX57" s="575">
        <f t="shared" si="44"/>
        <v>-4.0999999999999996</v>
      </c>
      <c r="AY57" s="564">
        <f>BB57-AV57</f>
        <v>338350</v>
      </c>
      <c r="AZ57" s="564">
        <f>BC57-AW57</f>
        <v>305353</v>
      </c>
      <c r="BA57" s="575">
        <f t="shared" si="45"/>
        <v>-9.8000000000000007</v>
      </c>
      <c r="BB57" s="564">
        <f>SUM(BB36+BB39+BB42+BB45+BB48+BB51+BB54)</f>
        <v>2818897</v>
      </c>
      <c r="BC57" s="564">
        <f>SUM(BC36+BC39+BC42+BC45+BC48+BC51+BC54)</f>
        <v>2684539</v>
      </c>
      <c r="BD57" s="575">
        <f t="shared" si="46"/>
        <v>-4.8</v>
      </c>
      <c r="BE57" s="564">
        <f>BH57-BB57</f>
        <v>321073</v>
      </c>
      <c r="BF57" s="564">
        <f>BI57-BC57</f>
        <v>338598</v>
      </c>
      <c r="BG57" s="575">
        <f t="shared" si="47"/>
        <v>5.5</v>
      </c>
      <c r="BH57" s="564">
        <f>SUM(BH36+BH39+BH42+BH45+BH48+BH51+BH54)</f>
        <v>3139970</v>
      </c>
      <c r="BI57" s="564">
        <f>SUM(BI36+BI39+BI42+BI45+BI48+BI51+BI54)</f>
        <v>3023137</v>
      </c>
      <c r="BJ57" s="575">
        <f t="shared" si="48"/>
        <v>-3.7</v>
      </c>
      <c r="BK57" s="564">
        <f>BN57-BH57</f>
        <v>364110</v>
      </c>
      <c r="BL57" s="564">
        <f>BO57-BI57</f>
        <v>338635</v>
      </c>
      <c r="BM57" s="575">
        <f t="shared" si="49"/>
        <v>-7</v>
      </c>
      <c r="BN57" s="564">
        <f>SUM(BN36+BN39+BN42+BN45+BN48+BN51+BN54)</f>
        <v>3504080</v>
      </c>
      <c r="BO57" s="564">
        <f>SUM(BO36+BO39+BO42+BO45+BO48+BO51+BO54)</f>
        <v>3361772</v>
      </c>
      <c r="BP57" s="575">
        <f t="shared" si="50"/>
        <v>-4.0999999999999996</v>
      </c>
      <c r="BQ57" s="564">
        <f>BT57-BN57</f>
        <v>357876</v>
      </c>
      <c r="BR57" s="564">
        <f>BU57-BO57</f>
        <v>349580</v>
      </c>
      <c r="BS57" s="575">
        <f t="shared" si="51"/>
        <v>-2.2999999999999998</v>
      </c>
      <c r="BT57" s="564">
        <f>SUM(BT36+BT39+BT42+BT45+BT48+BT51+BT54)</f>
        <v>3861956</v>
      </c>
      <c r="BU57" s="564">
        <f>SUM(BU36+BU39+BU42+BU45+BU48+BU51+BU54)</f>
        <v>3711352</v>
      </c>
      <c r="BV57" s="575">
        <f t="shared" si="52"/>
        <v>-3.9</v>
      </c>
    </row>
    <row r="58" spans="1:74" ht="22.5" customHeight="1">
      <c r="A58" s="1088"/>
      <c r="B58" s="17" t="s">
        <v>38</v>
      </c>
      <c r="C58" s="143">
        <f t="shared" si="60"/>
        <v>17858079</v>
      </c>
      <c r="D58" s="143">
        <f t="shared" si="60"/>
        <v>15548578</v>
      </c>
      <c r="E58" s="143">
        <f t="shared" si="60"/>
        <v>15302237</v>
      </c>
      <c r="F58" s="143">
        <f t="shared" si="60"/>
        <v>15748588</v>
      </c>
      <c r="G58" s="143">
        <f t="shared" si="60"/>
        <v>14111501</v>
      </c>
      <c r="H58" s="143">
        <f t="shared" si="60"/>
        <v>12930854</v>
      </c>
      <c r="I58" s="143">
        <f t="shared" si="60"/>
        <v>14915336</v>
      </c>
      <c r="J58" s="143">
        <f t="shared" si="61"/>
        <v>15959991</v>
      </c>
      <c r="K58" s="143">
        <f>SUM(K37+K40+K43+K46+K49+K52+K55)</f>
        <v>14539612</v>
      </c>
      <c r="L58" s="143">
        <f t="shared" si="61"/>
        <v>1410744</v>
      </c>
      <c r="M58" s="143">
        <f t="shared" si="61"/>
        <v>1176997</v>
      </c>
      <c r="N58" s="156">
        <f t="shared" si="32"/>
        <v>-16.600000000000001</v>
      </c>
      <c r="O58" s="143">
        <f>R58-L58</f>
        <v>1056068</v>
      </c>
      <c r="P58" s="143">
        <f>S58-M58</f>
        <v>1051410</v>
      </c>
      <c r="Q58" s="156">
        <f t="shared" si="33"/>
        <v>-0.4</v>
      </c>
      <c r="R58" s="143">
        <f>SUM(R37+R40+R43+R46+R49+R52+R55)</f>
        <v>2466812</v>
      </c>
      <c r="S58" s="143">
        <f>SUM(S37+S40+S43+S46+S49+S52+S55)</f>
        <v>2228407</v>
      </c>
      <c r="T58" s="156">
        <f t="shared" si="34"/>
        <v>-9.6999999999999993</v>
      </c>
      <c r="U58" s="143">
        <f>X58-R58</f>
        <v>1290165</v>
      </c>
      <c r="V58" s="143">
        <f>Y58-S58</f>
        <v>1254558</v>
      </c>
      <c r="W58" s="156">
        <f t="shared" si="35"/>
        <v>-2.8</v>
      </c>
      <c r="X58" s="143">
        <f>SUM(X37+X40+X43+X46+X49+X52+X55)</f>
        <v>3756977</v>
      </c>
      <c r="Y58" s="143">
        <f>SUM(Y37+Y40+Y43+Y46+Y49+Y52+Y55)</f>
        <v>3482965</v>
      </c>
      <c r="Z58" s="156">
        <f t="shared" si="36"/>
        <v>-7.3</v>
      </c>
      <c r="AA58" s="143">
        <f>AD58-X58</f>
        <v>1352765</v>
      </c>
      <c r="AB58" s="143">
        <f>AE58-Y58</f>
        <v>1117585</v>
      </c>
      <c r="AC58" s="156">
        <f t="shared" si="37"/>
        <v>-17.399999999999999</v>
      </c>
      <c r="AD58" s="143">
        <f>SUM(AD37+AD40+AD43+AD46+AD49+AD52+AD55)</f>
        <v>5109742</v>
      </c>
      <c r="AE58" s="143">
        <f>SUM(AE37+AE40+AE43+AE46+AE49+AE52+AE55)</f>
        <v>4600550</v>
      </c>
      <c r="AF58" s="156">
        <f t="shared" si="38"/>
        <v>-10</v>
      </c>
      <c r="AG58" s="143">
        <f>AJ58-AD58</f>
        <v>1273226</v>
      </c>
      <c r="AH58" s="143">
        <f>AK58-AE58</f>
        <v>970849</v>
      </c>
      <c r="AI58" s="156">
        <f t="shared" si="39"/>
        <v>-23.7</v>
      </c>
      <c r="AJ58" s="143">
        <f>SUM(AJ37+AJ40+AJ43+AJ46+AJ49+AJ52+AJ55)</f>
        <v>6382968</v>
      </c>
      <c r="AK58" s="143">
        <f>SUM(AK37+AK40+AK43+AK46+AK49+AK52+AK55)</f>
        <v>5571399</v>
      </c>
      <c r="AL58" s="156">
        <f t="shared" si="40"/>
        <v>-12.7</v>
      </c>
      <c r="AM58" s="565">
        <f>AP58-AJ58</f>
        <v>1161631</v>
      </c>
      <c r="AN58" s="565">
        <f>AQ58-AK58</f>
        <v>1015611</v>
      </c>
      <c r="AO58" s="576">
        <f t="shared" si="41"/>
        <v>-12.6</v>
      </c>
      <c r="AP58" s="565">
        <f>SUM(AP37+AP40+AP43+AP46+AP49+AP52+AP55)</f>
        <v>7544599</v>
      </c>
      <c r="AQ58" s="565">
        <f>SUM(AQ37+AQ40+AQ43+AQ46+AQ49+AQ52+AQ55)</f>
        <v>6587010</v>
      </c>
      <c r="AR58" s="576">
        <f t="shared" si="42"/>
        <v>-12.7</v>
      </c>
      <c r="AS58" s="565">
        <f>AV58-AP58</f>
        <v>1204643</v>
      </c>
      <c r="AT58" s="565">
        <f>AW58-AQ58</f>
        <v>1034745</v>
      </c>
      <c r="AU58" s="576">
        <f t="shared" si="43"/>
        <v>-14.1</v>
      </c>
      <c r="AV58" s="565">
        <f>SUM(AV37+AV40+AV43+AV46+AV49+AV52+AV55)</f>
        <v>8749242</v>
      </c>
      <c r="AW58" s="565">
        <f>SUM(AW37+AW40+AW43+AW46+AW49+AW52+AW55)</f>
        <v>7621755</v>
      </c>
      <c r="AX58" s="576">
        <f t="shared" si="44"/>
        <v>-12.9</v>
      </c>
      <c r="AY58" s="565">
        <f>BB58-AV58</f>
        <v>1149969</v>
      </c>
      <c r="AZ58" s="565">
        <f>BC58-AW58</f>
        <v>1014226</v>
      </c>
      <c r="BA58" s="576">
        <f t="shared" si="45"/>
        <v>-11.8</v>
      </c>
      <c r="BB58" s="565">
        <f>SUM(BB37+BB40+BB43+BB46+BB49+BB52+BB55)</f>
        <v>9899211</v>
      </c>
      <c r="BC58" s="565">
        <f>SUM(BC37+BC40+BC43+BC46+BC49+BC52+BC55)</f>
        <v>8635981</v>
      </c>
      <c r="BD58" s="576">
        <f t="shared" si="46"/>
        <v>-12.8</v>
      </c>
      <c r="BE58" s="565">
        <f>BH58-BB58</f>
        <v>1089211</v>
      </c>
      <c r="BF58" s="565">
        <f>BI58-BC58</f>
        <v>1148119</v>
      </c>
      <c r="BG58" s="576">
        <f t="shared" si="47"/>
        <v>5.4</v>
      </c>
      <c r="BH58" s="565">
        <f>SUM(BH37+BH40+BH43+BH46+BH49+BH52+BH55)</f>
        <v>10988422</v>
      </c>
      <c r="BI58" s="565">
        <f>SUM(BI37+BI40+BI43+BI46+BI49+BI52+BI55)</f>
        <v>9784100</v>
      </c>
      <c r="BJ58" s="576">
        <f t="shared" si="48"/>
        <v>-11</v>
      </c>
      <c r="BK58" s="565">
        <f>BN58-BH58</f>
        <v>1179545</v>
      </c>
      <c r="BL58" s="565">
        <f>BO58-BI58</f>
        <v>1146264</v>
      </c>
      <c r="BM58" s="576">
        <f t="shared" si="49"/>
        <v>-2.8</v>
      </c>
      <c r="BN58" s="565">
        <f>SUM(BN37+BN40+BN43+BN46+BN49+BN52+BN55)</f>
        <v>12167967</v>
      </c>
      <c r="BO58" s="565">
        <f>SUM(BO37+BO40+BO43+BO46+BO49+BO52+BO55)</f>
        <v>10930364</v>
      </c>
      <c r="BP58" s="576">
        <f t="shared" si="50"/>
        <v>-10.199999999999999</v>
      </c>
      <c r="BQ58" s="565">
        <f>BT58-BN58</f>
        <v>1172549</v>
      </c>
      <c r="BR58" s="565">
        <f>BU58-BO58</f>
        <v>1217511</v>
      </c>
      <c r="BS58" s="576">
        <f t="shared" si="51"/>
        <v>3.8</v>
      </c>
      <c r="BT58" s="565">
        <f>SUM(BT37+BT40+BT43+BT46+BT49+BT52+BT55)</f>
        <v>13340516</v>
      </c>
      <c r="BU58" s="565">
        <f>SUM(BU37+BU40+BU43+BU46+BU49+BU52+BU55)</f>
        <v>12147875</v>
      </c>
      <c r="BV58" s="576">
        <f t="shared" si="52"/>
        <v>-8.9</v>
      </c>
    </row>
    <row r="59" spans="1:74" ht="22.5" customHeight="1">
      <c r="A59" s="1089"/>
      <c r="B59" s="148" t="s">
        <v>286</v>
      </c>
      <c r="C59" s="149">
        <f>C58/C57*1000</f>
        <v>5060.3679560941773</v>
      </c>
      <c r="D59" s="149">
        <f>D58/D57*1000</f>
        <v>4402.1871952869924</v>
      </c>
      <c r="E59" s="149">
        <f>E58/E57*1000</f>
        <v>4097.4474224396972</v>
      </c>
      <c r="F59" s="149">
        <f>F58/F57*1000</f>
        <v>3971.2290807785116</v>
      </c>
      <c r="G59" s="149">
        <f>G58/G57*1000</f>
        <v>3477.2482540452284</v>
      </c>
      <c r="H59" s="149">
        <f t="shared" ref="H59:M59" si="62">H58/H57*1000</f>
        <v>3122.298110760134</v>
      </c>
      <c r="I59" s="149">
        <f t="shared" si="62"/>
        <v>3529.6179508325713</v>
      </c>
      <c r="J59" s="149">
        <f t="shared" si="62"/>
        <v>3844.6507291832281</v>
      </c>
      <c r="K59" s="149">
        <f t="shared" si="62"/>
        <v>3437.8261766002161</v>
      </c>
      <c r="L59" s="149">
        <f t="shared" si="62"/>
        <v>3683.6740022769286</v>
      </c>
      <c r="M59" s="149">
        <f t="shared" si="62"/>
        <v>3328.0561218574953</v>
      </c>
      <c r="N59" s="163">
        <f t="shared" si="32"/>
        <v>-9.6999999999999993</v>
      </c>
      <c r="O59" s="144">
        <f>O58/O57*1000</f>
        <v>3573.5802193414343</v>
      </c>
      <c r="P59" s="144">
        <f>P58/P57*1000</f>
        <v>3380.8700014148453</v>
      </c>
      <c r="Q59" s="163">
        <f t="shared" si="33"/>
        <v>-5.4</v>
      </c>
      <c r="R59" s="149">
        <f>R58/R57*1000</f>
        <v>3635.7221076709707</v>
      </c>
      <c r="S59" s="149">
        <f>S58/S57*1000</f>
        <v>3352.7677097767687</v>
      </c>
      <c r="T59" s="163">
        <f t="shared" si="34"/>
        <v>-7.8</v>
      </c>
      <c r="U59" s="144">
        <f>U58/U57*1000</f>
        <v>3587.6084834699136</v>
      </c>
      <c r="V59" s="144">
        <f>V58/V57*1000</f>
        <v>3459.1034043503555</v>
      </c>
      <c r="W59" s="163">
        <f t="shared" si="35"/>
        <v>-3.6</v>
      </c>
      <c r="X59" s="149">
        <f>X58/X57*1000</f>
        <v>3619.0548207800716</v>
      </c>
      <c r="Y59" s="149">
        <f>Y58/Y57*1000</f>
        <v>3390.3078854895703</v>
      </c>
      <c r="Z59" s="163">
        <f t="shared" si="36"/>
        <v>-6.3</v>
      </c>
      <c r="AA59" s="144">
        <f>AA58/AA57*1000</f>
        <v>3512.2339403569445</v>
      </c>
      <c r="AB59" s="144">
        <f>AB58/AB57*1000</f>
        <v>3134.370845696913</v>
      </c>
      <c r="AC59" s="163">
        <f t="shared" si="37"/>
        <v>-10.8</v>
      </c>
      <c r="AD59" s="149">
        <f>AD58/AD57*1000</f>
        <v>3590.1474634432871</v>
      </c>
      <c r="AE59" s="149">
        <f>AE58/AE57*1000</f>
        <v>3324.3658446348259</v>
      </c>
      <c r="AF59" s="163">
        <f t="shared" si="38"/>
        <v>-7.4</v>
      </c>
      <c r="AG59" s="144">
        <f>AG58/AG57*1000</f>
        <v>3423.0462123309953</v>
      </c>
      <c r="AH59" s="144">
        <f>AH58/AH57*1000</f>
        <v>3008.6399514080208</v>
      </c>
      <c r="AI59" s="163">
        <f t="shared" si="39"/>
        <v>-12.1</v>
      </c>
      <c r="AJ59" s="149">
        <f>AJ58/AJ57*1000</f>
        <v>3555.5253519753792</v>
      </c>
      <c r="AK59" s="149">
        <f>AK58/AK57*1000</f>
        <v>3264.6669498850038</v>
      </c>
      <c r="AL59" s="163">
        <f t="shared" si="40"/>
        <v>-8.1999999999999993</v>
      </c>
      <c r="AM59" s="566">
        <f>AM58/AM57*1000</f>
        <v>3415.3563448194759</v>
      </c>
      <c r="AN59" s="566">
        <f>AN58/AN57*1000</f>
        <v>3020.6919320202965</v>
      </c>
      <c r="AO59" s="583">
        <f t="shared" si="41"/>
        <v>-11.6</v>
      </c>
      <c r="AP59" s="569">
        <f>AP58/AP57*1000</f>
        <v>3533.1990849253871</v>
      </c>
      <c r="AQ59" s="569">
        <f>AQ58/AQ57*1000</f>
        <v>3224.5117346691513</v>
      </c>
      <c r="AR59" s="583">
        <f t="shared" si="42"/>
        <v>-8.6999999999999993</v>
      </c>
      <c r="AS59" s="566">
        <f>AS58/AS57*1000</f>
        <v>3489.6756102224208</v>
      </c>
      <c r="AT59" s="566">
        <f>AT58/AT57*1000</f>
        <v>3076.0003923981772</v>
      </c>
      <c r="AU59" s="583">
        <f t="shared" si="43"/>
        <v>-11.9</v>
      </c>
      <c r="AV59" s="569">
        <f>AV58/AV57*1000</f>
        <v>3527.1421988779089</v>
      </c>
      <c r="AW59" s="569">
        <f>AW58/AW57*1000</f>
        <v>3203.5137227606415</v>
      </c>
      <c r="AX59" s="583">
        <f t="shared" si="44"/>
        <v>-9.1999999999999993</v>
      </c>
      <c r="AY59" s="566">
        <f>AY58/AY57*1000</f>
        <v>3398.7557263189005</v>
      </c>
      <c r="AZ59" s="566">
        <f>AZ58/AZ57*1000</f>
        <v>3321.4869347935014</v>
      </c>
      <c r="BA59" s="583">
        <f t="shared" si="45"/>
        <v>-2.2999999999999998</v>
      </c>
      <c r="BB59" s="569">
        <f>BB58/BB57*1000</f>
        <v>3511.7320710902172</v>
      </c>
      <c r="BC59" s="569">
        <f>BC58/BC57*1000</f>
        <v>3216.9325906608174</v>
      </c>
      <c r="BD59" s="583">
        <f t="shared" si="46"/>
        <v>-8.4</v>
      </c>
      <c r="BE59" s="566">
        <f>BE58/BE57*1000</f>
        <v>3392.4092028915543</v>
      </c>
      <c r="BF59" s="566">
        <f>BF58/BF57*1000</f>
        <v>3390.8026627446116</v>
      </c>
      <c r="BG59" s="583">
        <f t="shared" si="47"/>
        <v>0</v>
      </c>
      <c r="BH59" s="569">
        <f>BH58/BH57*1000</f>
        <v>3499.5308872377764</v>
      </c>
      <c r="BI59" s="569">
        <f>BI58/BI57*1000</f>
        <v>3236.4064215415974</v>
      </c>
      <c r="BJ59" s="583">
        <f t="shared" si="48"/>
        <v>-7.5</v>
      </c>
      <c r="BK59" s="566">
        <f>BK58/BK57*1000</f>
        <v>3239.529263134767</v>
      </c>
      <c r="BL59" s="566">
        <f>BL58/BL57*1000</f>
        <v>3384.9543018294034</v>
      </c>
      <c r="BM59" s="583">
        <f t="shared" si="49"/>
        <v>4.5</v>
      </c>
      <c r="BN59" s="569">
        <f>BN58/BN57*1000</f>
        <v>3472.5140407753247</v>
      </c>
      <c r="BO59" s="569">
        <f>BO58/BO57*1000</f>
        <v>3251.3698133008425</v>
      </c>
      <c r="BP59" s="583">
        <f t="shared" si="50"/>
        <v>-6.4</v>
      </c>
      <c r="BQ59" s="566">
        <f>BQ58/BQ57*1000</f>
        <v>3276.4113827135657</v>
      </c>
      <c r="BR59" s="566">
        <f>BR58/BR57*1000</f>
        <v>3482.7821957777905</v>
      </c>
      <c r="BS59" s="583">
        <f t="shared" si="51"/>
        <v>6.3</v>
      </c>
      <c r="BT59" s="569">
        <f>BT58/BT57*1000</f>
        <v>3454.3417894973431</v>
      </c>
      <c r="BU59" s="569">
        <f>BU58/BU57*1000</f>
        <v>3273.1670291581072</v>
      </c>
      <c r="BV59" s="583">
        <f t="shared" si="52"/>
        <v>-5.2</v>
      </c>
    </row>
  </sheetData>
  <mergeCells count="90">
    <mergeCell ref="A1:BV1"/>
    <mergeCell ref="A31:BV31"/>
    <mergeCell ref="BR3:BS3"/>
    <mergeCell ref="BQ4:BS4"/>
    <mergeCell ref="BT4:BV4"/>
    <mergeCell ref="BQ34:BS34"/>
    <mergeCell ref="BT34:BV34"/>
    <mergeCell ref="BL3:BM3"/>
    <mergeCell ref="BK4:BM4"/>
    <mergeCell ref="BN4:BP4"/>
    <mergeCell ref="A27:A29"/>
    <mergeCell ref="A18:A20"/>
    <mergeCell ref="C4:C5"/>
    <mergeCell ref="A12:A14"/>
    <mergeCell ref="A15:A17"/>
    <mergeCell ref="I4:I5"/>
    <mergeCell ref="L4:N4"/>
    <mergeCell ref="A9:A11"/>
    <mergeCell ref="A6:A8"/>
    <mergeCell ref="AH3:AI3"/>
    <mergeCell ref="AG4:AI4"/>
    <mergeCell ref="BK34:BM34"/>
    <mergeCell ref="BN34:BP34"/>
    <mergeCell ref="BF3:BG3"/>
    <mergeCell ref="BE4:BG4"/>
    <mergeCell ref="BH4:BJ4"/>
    <mergeCell ref="BE34:BG34"/>
    <mergeCell ref="BH34:BJ34"/>
    <mergeCell ref="AZ3:BA3"/>
    <mergeCell ref="AY4:BA4"/>
    <mergeCell ref="BB4:BD4"/>
    <mergeCell ref="AY34:BA34"/>
    <mergeCell ref="BB34:BD34"/>
    <mergeCell ref="P3:Q3"/>
    <mergeCell ref="O4:Q4"/>
    <mergeCell ref="AM34:AO34"/>
    <mergeCell ref="AP34:AR34"/>
    <mergeCell ref="AB3:AC3"/>
    <mergeCell ref="AA4:AC4"/>
    <mergeCell ref="U4:W4"/>
    <mergeCell ref="X4:Z4"/>
    <mergeCell ref="V3:W3"/>
    <mergeCell ref="U34:W34"/>
    <mergeCell ref="X34:Z34"/>
    <mergeCell ref="AG34:AI34"/>
    <mergeCell ref="AJ34:AL34"/>
    <mergeCell ref="R4:T4"/>
    <mergeCell ref="R34:T34"/>
    <mergeCell ref="AD4:AF4"/>
    <mergeCell ref="AP4:AR4"/>
    <mergeCell ref="A57:A59"/>
    <mergeCell ref="A36:A38"/>
    <mergeCell ref="A39:A41"/>
    <mergeCell ref="A48:A50"/>
    <mergeCell ref="A51:A53"/>
    <mergeCell ref="A42:A44"/>
    <mergeCell ref="A45:A47"/>
    <mergeCell ref="A54:A56"/>
    <mergeCell ref="AV4:AX4"/>
    <mergeCell ref="AS34:AU34"/>
    <mergeCell ref="AV34:AX34"/>
    <mergeCell ref="A4:B5"/>
    <mergeCell ref="A21:A23"/>
    <mergeCell ref="A24:A26"/>
    <mergeCell ref="C34:C35"/>
    <mergeCell ref="D34:D35"/>
    <mergeCell ref="E34:E35"/>
    <mergeCell ref="E4:E5"/>
    <mergeCell ref="AA34:AC34"/>
    <mergeCell ref="AD34:AF34"/>
    <mergeCell ref="K4:K5"/>
    <mergeCell ref="K34:K35"/>
    <mergeCell ref="F4:F5"/>
    <mergeCell ref="J4:J5"/>
    <mergeCell ref="AT3:AU3"/>
    <mergeCell ref="AS4:AU4"/>
    <mergeCell ref="A34:B35"/>
    <mergeCell ref="L34:N34"/>
    <mergeCell ref="G34:G35"/>
    <mergeCell ref="H34:H35"/>
    <mergeCell ref="I34:I35"/>
    <mergeCell ref="J34:J35"/>
    <mergeCell ref="D4:D5"/>
    <mergeCell ref="H4:H5"/>
    <mergeCell ref="G4:G5"/>
    <mergeCell ref="F34:F35"/>
    <mergeCell ref="AJ4:AL4"/>
    <mergeCell ref="AN3:AO3"/>
    <mergeCell ref="AM4:AO4"/>
    <mergeCell ref="O34:Q34"/>
  </mergeCells>
  <phoneticPr fontId="2" type="noConversion"/>
  <printOptions horizontalCentered="1"/>
  <pageMargins left="0.11811023622047245" right="0.11811023622047245" top="0.94488188976377963" bottom="0.74803149606299213" header="0.31496062992125984" footer="0.31496062992125984"/>
  <pageSetup paperSize="9" scale="90" orientation="portrait" r:id="rId1"/>
  <rowBreaks count="1" manualBreakCount="1">
    <brk id="3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9"/>
  <sheetViews>
    <sheetView workbookViewId="0">
      <pane xSplit="11" ySplit="5" topLeftCell="BK6" activePane="bottomRight" state="frozen"/>
      <selection pane="topRight" activeCell="L1" sqref="L1"/>
      <selection pane="bottomLeft" activeCell="A6" sqref="A6"/>
      <selection pane="bottomRight"/>
    </sheetView>
  </sheetViews>
  <sheetFormatPr defaultRowHeight="16.5"/>
  <cols>
    <col min="1" max="1" width="4.875" style="92" customWidth="1"/>
    <col min="2" max="2" width="4.25" style="92" customWidth="1"/>
    <col min="3" max="3" width="18.875" style="69" customWidth="1"/>
    <col min="4" max="9" width="11" style="69" hidden="1" customWidth="1"/>
    <col min="10" max="10" width="11" style="230" hidden="1" customWidth="1"/>
    <col min="11" max="11" width="11" style="230" customWidth="1"/>
    <col min="12" max="13" width="11" style="320" hidden="1" customWidth="1"/>
    <col min="14" max="14" width="9" hidden="1" customWidth="1"/>
    <col min="15" max="16" width="11" style="320" hidden="1" customWidth="1"/>
    <col min="17" max="17" width="9" style="291" hidden="1" customWidth="1"/>
    <col min="18" max="19" width="11" style="320" hidden="1" customWidth="1"/>
    <col min="20" max="20" width="9" style="291" hidden="1" customWidth="1"/>
    <col min="21" max="22" width="11" style="320" hidden="1" customWidth="1"/>
    <col min="23" max="23" width="9" style="291" hidden="1" customWidth="1"/>
    <col min="24" max="25" width="11" style="320" hidden="1" customWidth="1"/>
    <col min="26" max="26" width="9" style="291" hidden="1" customWidth="1"/>
    <col min="27" max="28" width="11" style="320" hidden="1" customWidth="1"/>
    <col min="29" max="29" width="9" style="291" hidden="1" customWidth="1"/>
    <col min="30" max="31" width="11" style="320" hidden="1" customWidth="1"/>
    <col min="32" max="32" width="9" style="291" hidden="1" customWidth="1"/>
    <col min="33" max="34" width="11" style="320" hidden="1" customWidth="1"/>
    <col min="35" max="35" width="9" style="291" hidden="1" customWidth="1"/>
    <col min="36" max="37" width="11" style="320" hidden="1" customWidth="1"/>
    <col min="38" max="38" width="9" style="291" hidden="1" customWidth="1"/>
    <col min="39" max="40" width="11" style="649" hidden="1" customWidth="1"/>
    <col min="41" max="41" width="9" style="642" hidden="1" customWidth="1"/>
    <col min="42" max="43" width="11" style="833" hidden="1" customWidth="1"/>
    <col min="44" max="44" width="9" style="642" hidden="1" customWidth="1"/>
    <col min="45" max="46" width="11" style="833" hidden="1" customWidth="1"/>
    <col min="47" max="47" width="9" style="846" hidden="1" customWidth="1"/>
    <col min="48" max="49" width="11" style="960" hidden="1" customWidth="1"/>
    <col min="50" max="50" width="9" style="846" hidden="1" customWidth="1"/>
    <col min="51" max="52" width="11" style="833" hidden="1" customWidth="1"/>
    <col min="53" max="53" width="9" style="846" hidden="1" customWidth="1"/>
    <col min="54" max="55" width="11" style="833" hidden="1" customWidth="1"/>
    <col min="56" max="56" width="9" style="846" hidden="1" customWidth="1"/>
    <col min="57" max="58" width="11" style="833" hidden="1" customWidth="1"/>
    <col min="59" max="59" width="9" style="846" hidden="1" customWidth="1"/>
    <col min="60" max="61" width="11" style="833" hidden="1" customWidth="1"/>
    <col min="62" max="62" width="9" style="846" hidden="1" customWidth="1"/>
    <col min="63" max="64" width="11" style="833" hidden="1" customWidth="1"/>
    <col min="65" max="65" width="9" style="846" hidden="1" customWidth="1"/>
    <col min="66" max="67" width="11" style="833" hidden="1" customWidth="1"/>
    <col min="68" max="68" width="9" style="846" hidden="1" customWidth="1"/>
    <col min="69" max="70" width="11" style="833" customWidth="1"/>
    <col min="71" max="71" width="9" style="846" customWidth="1"/>
    <col min="72" max="73" width="11" style="833" customWidth="1"/>
    <col min="74" max="74" width="9" style="846" customWidth="1"/>
  </cols>
  <sheetData>
    <row r="1" spans="1:74" ht="17.25">
      <c r="A1" s="90" t="s">
        <v>152</v>
      </c>
      <c r="B1" s="91"/>
      <c r="C1" s="84"/>
      <c r="D1" s="84"/>
      <c r="E1" s="84"/>
      <c r="F1" s="84"/>
      <c r="G1" s="84"/>
      <c r="H1" s="84"/>
      <c r="K1" s="249" t="s">
        <v>508</v>
      </c>
      <c r="L1" s="280"/>
      <c r="M1" s="241"/>
      <c r="N1" s="241"/>
      <c r="O1" s="280"/>
      <c r="P1" s="241"/>
      <c r="Q1" s="241"/>
      <c r="R1" s="280"/>
      <c r="S1" s="241"/>
      <c r="T1" s="241"/>
      <c r="U1" s="280"/>
      <c r="V1" s="241"/>
      <c r="W1" s="241"/>
      <c r="X1" s="280"/>
      <c r="Y1" s="241"/>
      <c r="Z1" s="241"/>
      <c r="AA1" s="280"/>
      <c r="AB1" s="241"/>
      <c r="AC1" s="241"/>
      <c r="AD1" s="280"/>
      <c r="AE1" s="241"/>
      <c r="AF1" s="241"/>
      <c r="AG1" s="280"/>
      <c r="AH1" s="241"/>
      <c r="AI1" s="241"/>
      <c r="AJ1" s="280"/>
      <c r="AK1" s="241"/>
      <c r="AL1" s="241"/>
      <c r="AM1" s="645"/>
      <c r="AN1" s="644"/>
      <c r="AO1" s="644"/>
      <c r="AP1" s="747"/>
      <c r="AQ1" s="644"/>
      <c r="AR1" s="644"/>
      <c r="AS1" s="747"/>
      <c r="AT1" s="644"/>
      <c r="AU1" s="644"/>
      <c r="AV1" s="962"/>
      <c r="AW1" s="220"/>
      <c r="AX1" s="644"/>
      <c r="AY1" s="747"/>
      <c r="AZ1" s="644"/>
      <c r="BA1" s="644"/>
      <c r="BB1" s="747"/>
      <c r="BC1" s="644"/>
      <c r="BD1" s="644"/>
      <c r="BE1" s="747"/>
      <c r="BF1" s="644"/>
      <c r="BG1" s="644"/>
      <c r="BH1" s="747"/>
      <c r="BI1" s="644"/>
      <c r="BJ1" s="644"/>
      <c r="BK1" s="747"/>
      <c r="BL1" s="644"/>
      <c r="BM1" s="644"/>
      <c r="BN1" s="747"/>
      <c r="BO1" s="644"/>
      <c r="BP1" s="644"/>
      <c r="BQ1" s="747"/>
      <c r="BR1" s="644"/>
      <c r="BS1" s="644"/>
      <c r="BT1" s="747"/>
      <c r="BU1" s="644"/>
      <c r="BV1" s="644"/>
    </row>
    <row r="2" spans="1:74">
      <c r="K2" s="489" t="s">
        <v>509</v>
      </c>
      <c r="L2" s="230"/>
      <c r="M2" s="246"/>
      <c r="N2" s="246"/>
      <c r="O2" s="230"/>
      <c r="P2" s="246"/>
      <c r="Q2" s="246"/>
      <c r="R2" s="230"/>
      <c r="S2" s="246"/>
      <c r="T2" s="246"/>
      <c r="U2" s="230"/>
      <c r="V2" s="246"/>
      <c r="W2" s="246"/>
      <c r="X2" s="230"/>
      <c r="Y2" s="246"/>
      <c r="Z2" s="246"/>
      <c r="AA2" s="230"/>
      <c r="AB2" s="246"/>
      <c r="AC2" s="246"/>
      <c r="AD2" s="230"/>
      <c r="AE2" s="246"/>
      <c r="AF2" s="246"/>
      <c r="AG2" s="230"/>
      <c r="AH2" s="246"/>
      <c r="AI2" s="246"/>
      <c r="AJ2" s="230"/>
      <c r="AK2" s="246"/>
      <c r="AL2" s="246"/>
      <c r="AM2" s="650"/>
      <c r="AN2" s="656"/>
      <c r="AO2" s="656"/>
      <c r="AP2" s="650"/>
      <c r="AQ2" s="656"/>
      <c r="AR2" s="656"/>
      <c r="AS2" s="650"/>
      <c r="AT2" s="656"/>
      <c r="AU2" s="656"/>
      <c r="AV2" s="958"/>
      <c r="AW2" s="984"/>
      <c r="AX2" s="656"/>
      <c r="AY2" s="650"/>
      <c r="AZ2" s="656"/>
      <c r="BA2" s="656"/>
      <c r="BB2" s="650"/>
      <c r="BC2" s="656"/>
      <c r="BD2" s="656"/>
      <c r="BE2" s="650"/>
      <c r="BF2" s="656"/>
      <c r="BG2" s="656"/>
      <c r="BH2" s="650"/>
      <c r="BI2" s="656"/>
      <c r="BJ2" s="656"/>
      <c r="BK2" s="650"/>
      <c r="BL2" s="656"/>
      <c r="BM2" s="656"/>
      <c r="BN2" s="650"/>
      <c r="BO2" s="656"/>
      <c r="BP2" s="656"/>
      <c r="BQ2" s="650"/>
      <c r="BR2" s="656"/>
      <c r="BS2" s="656"/>
      <c r="BT2" s="650"/>
      <c r="BU2" s="656"/>
      <c r="BV2" s="656"/>
    </row>
    <row r="3" spans="1:74">
      <c r="A3" s="64"/>
      <c r="B3" s="64"/>
      <c r="C3" s="64"/>
      <c r="D3" s="64"/>
      <c r="E3" s="64"/>
      <c r="F3" s="64"/>
      <c r="G3" s="64"/>
      <c r="H3" s="64"/>
      <c r="I3" s="64"/>
      <c r="J3" s="229"/>
      <c r="K3" s="229"/>
      <c r="L3" s="64"/>
      <c r="M3" s="64"/>
      <c r="N3" s="244" t="s">
        <v>94</v>
      </c>
      <c r="O3" s="64"/>
      <c r="P3" s="64"/>
      <c r="Q3" s="244"/>
      <c r="R3" s="64"/>
      <c r="S3" s="64"/>
      <c r="T3" s="244" t="s">
        <v>94</v>
      </c>
      <c r="U3" s="64"/>
      <c r="V3" s="64"/>
      <c r="W3" s="244"/>
      <c r="X3" s="64"/>
      <c r="Y3" s="64"/>
      <c r="Z3" s="244" t="s">
        <v>94</v>
      </c>
      <c r="AA3" s="64"/>
      <c r="AB3" s="64"/>
      <c r="AC3" s="244"/>
      <c r="AD3" s="64"/>
      <c r="AE3" s="64"/>
      <c r="AF3" s="244" t="s">
        <v>94</v>
      </c>
      <c r="AG3" s="64"/>
      <c r="AH3" s="64"/>
      <c r="AI3" s="244"/>
      <c r="AJ3" s="64"/>
      <c r="AK3" s="64"/>
      <c r="AL3" s="244" t="s">
        <v>94</v>
      </c>
      <c r="AM3" s="643"/>
      <c r="AN3" s="643"/>
      <c r="AO3" s="654"/>
      <c r="AP3" s="643"/>
      <c r="AQ3" s="643"/>
      <c r="AR3" s="654" t="s">
        <v>94</v>
      </c>
      <c r="AS3" s="643"/>
      <c r="AT3" s="643"/>
      <c r="AU3" s="654"/>
      <c r="AV3" s="985"/>
      <c r="AW3" s="985"/>
      <c r="AX3" s="654" t="s">
        <v>94</v>
      </c>
      <c r="AY3" s="643"/>
      <c r="AZ3" s="643"/>
      <c r="BA3" s="654"/>
      <c r="BB3" s="643"/>
      <c r="BC3" s="643"/>
      <c r="BD3" s="654" t="s">
        <v>94</v>
      </c>
      <c r="BE3" s="643"/>
      <c r="BF3" s="643"/>
      <c r="BG3" s="654"/>
      <c r="BH3" s="643"/>
      <c r="BI3" s="643"/>
      <c r="BJ3" s="654" t="s">
        <v>94</v>
      </c>
      <c r="BK3" s="643"/>
      <c r="BL3" s="643"/>
      <c r="BM3" s="654"/>
      <c r="BN3" s="643"/>
      <c r="BO3" s="643"/>
      <c r="BP3" s="654" t="s">
        <v>94</v>
      </c>
      <c r="BQ3" s="643"/>
      <c r="BR3" s="643"/>
      <c r="BS3" s="654"/>
      <c r="BT3" s="643"/>
      <c r="BU3" s="643"/>
      <c r="BV3" s="654" t="s">
        <v>94</v>
      </c>
    </row>
    <row r="4" spans="1:74" ht="18" customHeight="1">
      <c r="A4" s="1157" t="s">
        <v>95</v>
      </c>
      <c r="B4" s="1157"/>
      <c r="C4" s="1157"/>
      <c r="D4" s="1157" t="s">
        <v>3</v>
      </c>
      <c r="E4" s="1157" t="s">
        <v>4</v>
      </c>
      <c r="F4" s="1157" t="s">
        <v>5</v>
      </c>
      <c r="G4" s="1157" t="s">
        <v>6</v>
      </c>
      <c r="H4" s="1157" t="s">
        <v>7</v>
      </c>
      <c r="I4" s="1157" t="s">
        <v>8</v>
      </c>
      <c r="J4" s="1157" t="s">
        <v>83</v>
      </c>
      <c r="K4" s="1161" t="s">
        <v>315</v>
      </c>
      <c r="L4" s="1166" t="s">
        <v>40</v>
      </c>
      <c r="M4" s="1157"/>
      <c r="N4" s="1157"/>
      <c r="O4" s="1155" t="s">
        <v>505</v>
      </c>
      <c r="P4" s="1156"/>
      <c r="Q4" s="1157"/>
      <c r="R4" s="1155" t="s">
        <v>506</v>
      </c>
      <c r="S4" s="1156"/>
      <c r="T4" s="1157"/>
      <c r="U4" s="1155" t="s">
        <v>513</v>
      </c>
      <c r="V4" s="1156"/>
      <c r="W4" s="1157"/>
      <c r="X4" s="1155" t="s">
        <v>514</v>
      </c>
      <c r="Y4" s="1156"/>
      <c r="Z4" s="1157"/>
      <c r="AA4" s="1155" t="s">
        <v>531</v>
      </c>
      <c r="AB4" s="1156"/>
      <c r="AC4" s="1157"/>
      <c r="AD4" s="1155" t="s">
        <v>533</v>
      </c>
      <c r="AE4" s="1156"/>
      <c r="AF4" s="1157"/>
      <c r="AG4" s="1155" t="s">
        <v>575</v>
      </c>
      <c r="AH4" s="1156"/>
      <c r="AI4" s="1157"/>
      <c r="AJ4" s="1155" t="s">
        <v>576</v>
      </c>
      <c r="AK4" s="1156"/>
      <c r="AL4" s="1157"/>
      <c r="AM4" s="1155" t="s">
        <v>583</v>
      </c>
      <c r="AN4" s="1156"/>
      <c r="AO4" s="1157"/>
      <c r="AP4" s="1155" t="s">
        <v>584</v>
      </c>
      <c r="AQ4" s="1156"/>
      <c r="AR4" s="1157"/>
      <c r="AS4" s="1155" t="s">
        <v>621</v>
      </c>
      <c r="AT4" s="1156"/>
      <c r="AU4" s="1157"/>
      <c r="AV4" s="1155" t="s">
        <v>622</v>
      </c>
      <c r="AW4" s="1156"/>
      <c r="AX4" s="1157"/>
      <c r="AY4" s="1155" t="s">
        <v>626</v>
      </c>
      <c r="AZ4" s="1156"/>
      <c r="BA4" s="1157"/>
      <c r="BB4" s="1155" t="s">
        <v>628</v>
      </c>
      <c r="BC4" s="1156"/>
      <c r="BD4" s="1157"/>
      <c r="BE4" s="1155" t="s">
        <v>650</v>
      </c>
      <c r="BF4" s="1156"/>
      <c r="BG4" s="1157"/>
      <c r="BH4" s="1155" t="s">
        <v>651</v>
      </c>
      <c r="BI4" s="1156"/>
      <c r="BJ4" s="1157"/>
      <c r="BK4" s="1155" t="s">
        <v>674</v>
      </c>
      <c r="BL4" s="1156"/>
      <c r="BM4" s="1157"/>
      <c r="BN4" s="1155" t="s">
        <v>701</v>
      </c>
      <c r="BO4" s="1156"/>
      <c r="BP4" s="1157"/>
      <c r="BQ4" s="1155" t="s">
        <v>707</v>
      </c>
      <c r="BR4" s="1156"/>
      <c r="BS4" s="1157"/>
      <c r="BT4" s="1155" t="s">
        <v>711</v>
      </c>
      <c r="BU4" s="1156"/>
      <c r="BV4" s="1157"/>
    </row>
    <row r="5" spans="1:74" ht="18" customHeight="1">
      <c r="A5" s="1157"/>
      <c r="B5" s="1157"/>
      <c r="C5" s="1157"/>
      <c r="D5" s="1157"/>
      <c r="E5" s="1157"/>
      <c r="F5" s="1157"/>
      <c r="G5" s="1157"/>
      <c r="H5" s="1157"/>
      <c r="I5" s="1157"/>
      <c r="J5" s="1157"/>
      <c r="K5" s="1167"/>
      <c r="L5" s="413" t="s">
        <v>445</v>
      </c>
      <c r="M5" s="294" t="s">
        <v>446</v>
      </c>
      <c r="N5" s="245" t="s">
        <v>10</v>
      </c>
      <c r="O5" s="413" t="s">
        <v>445</v>
      </c>
      <c r="P5" s="294" t="s">
        <v>446</v>
      </c>
      <c r="Q5" s="245" t="s">
        <v>10</v>
      </c>
      <c r="R5" s="413" t="s">
        <v>445</v>
      </c>
      <c r="S5" s="294" t="s">
        <v>446</v>
      </c>
      <c r="T5" s="245" t="s">
        <v>10</v>
      </c>
      <c r="U5" s="413" t="s">
        <v>445</v>
      </c>
      <c r="V5" s="294" t="s">
        <v>446</v>
      </c>
      <c r="W5" s="245" t="s">
        <v>10</v>
      </c>
      <c r="X5" s="413" t="s">
        <v>445</v>
      </c>
      <c r="Y5" s="294" t="s">
        <v>446</v>
      </c>
      <c r="Z5" s="245" t="s">
        <v>10</v>
      </c>
      <c r="AA5" s="413" t="s">
        <v>445</v>
      </c>
      <c r="AB5" s="294" t="s">
        <v>446</v>
      </c>
      <c r="AC5" s="245" t="s">
        <v>10</v>
      </c>
      <c r="AD5" s="413" t="s">
        <v>445</v>
      </c>
      <c r="AE5" s="294" t="s">
        <v>446</v>
      </c>
      <c r="AF5" s="245" t="s">
        <v>10</v>
      </c>
      <c r="AG5" s="413" t="s">
        <v>577</v>
      </c>
      <c r="AH5" s="294" t="s">
        <v>578</v>
      </c>
      <c r="AI5" s="245" t="s">
        <v>10</v>
      </c>
      <c r="AJ5" s="413" t="s">
        <v>577</v>
      </c>
      <c r="AK5" s="294" t="s">
        <v>578</v>
      </c>
      <c r="AL5" s="245" t="s">
        <v>10</v>
      </c>
      <c r="AM5" s="666" t="s">
        <v>445</v>
      </c>
      <c r="AN5" s="657" t="s">
        <v>446</v>
      </c>
      <c r="AO5" s="655" t="s">
        <v>10</v>
      </c>
      <c r="AP5" s="685" t="s">
        <v>445</v>
      </c>
      <c r="AQ5" s="680" t="s">
        <v>446</v>
      </c>
      <c r="AR5" s="655" t="s">
        <v>10</v>
      </c>
      <c r="AS5" s="685" t="s">
        <v>445</v>
      </c>
      <c r="AT5" s="680" t="s">
        <v>446</v>
      </c>
      <c r="AU5" s="655" t="s">
        <v>10</v>
      </c>
      <c r="AV5" s="949" t="s">
        <v>445</v>
      </c>
      <c r="AW5" s="950" t="s">
        <v>446</v>
      </c>
      <c r="AX5" s="655" t="s">
        <v>10</v>
      </c>
      <c r="AY5" s="685" t="s">
        <v>445</v>
      </c>
      <c r="AZ5" s="680" t="s">
        <v>446</v>
      </c>
      <c r="BA5" s="655" t="s">
        <v>10</v>
      </c>
      <c r="BB5" s="685" t="s">
        <v>445</v>
      </c>
      <c r="BC5" s="680" t="s">
        <v>446</v>
      </c>
      <c r="BD5" s="655" t="s">
        <v>10</v>
      </c>
      <c r="BE5" s="685" t="s">
        <v>670</v>
      </c>
      <c r="BF5" s="680" t="s">
        <v>673</v>
      </c>
      <c r="BG5" s="655" t="s">
        <v>10</v>
      </c>
      <c r="BH5" s="685" t="s">
        <v>670</v>
      </c>
      <c r="BI5" s="680" t="s">
        <v>673</v>
      </c>
      <c r="BJ5" s="655" t="s">
        <v>10</v>
      </c>
      <c r="BK5" s="685" t="s">
        <v>702</v>
      </c>
      <c r="BL5" s="680" t="s">
        <v>703</v>
      </c>
      <c r="BM5" s="655" t="s">
        <v>10</v>
      </c>
      <c r="BN5" s="685" t="s">
        <v>704</v>
      </c>
      <c r="BO5" s="680" t="s">
        <v>705</v>
      </c>
      <c r="BP5" s="655" t="s">
        <v>10</v>
      </c>
      <c r="BQ5" s="685" t="s">
        <v>445</v>
      </c>
      <c r="BR5" s="680" t="s">
        <v>446</v>
      </c>
      <c r="BS5" s="655" t="s">
        <v>10</v>
      </c>
      <c r="BT5" s="685" t="s">
        <v>445</v>
      </c>
      <c r="BU5" s="680" t="s">
        <v>446</v>
      </c>
      <c r="BV5" s="655" t="s">
        <v>10</v>
      </c>
    </row>
    <row r="6" spans="1:74" ht="15" customHeight="1">
      <c r="A6" s="93"/>
      <c r="B6" s="1165" t="s">
        <v>340</v>
      </c>
      <c r="C6" s="94" t="s">
        <v>156</v>
      </c>
      <c r="D6" s="66">
        <v>11431</v>
      </c>
      <c r="E6" s="66">
        <v>7589</v>
      </c>
      <c r="F6" s="66">
        <v>21358</v>
      </c>
      <c r="G6" s="66">
        <v>19490</v>
      </c>
      <c r="H6" s="95">
        <v>29166</v>
      </c>
      <c r="I6" s="95">
        <v>32589</v>
      </c>
      <c r="J6" s="66">
        <v>41070</v>
      </c>
      <c r="K6" s="66">
        <v>59350</v>
      </c>
      <c r="L6" s="528">
        <v>3053</v>
      </c>
      <c r="M6" s="384">
        <v>4142</v>
      </c>
      <c r="N6" s="242">
        <f t="shared" ref="N6:N13" si="0">ROUND(((M6/L6-1)*100), 1)</f>
        <v>35.700000000000003</v>
      </c>
      <c r="O6" s="384">
        <f t="shared" ref="O6:P27" si="1">R6-L6</f>
        <v>3366</v>
      </c>
      <c r="P6" s="384">
        <f t="shared" si="1"/>
        <v>4641</v>
      </c>
      <c r="Q6" s="242">
        <f t="shared" ref="Q6:Q13" si="2">ROUND(((P6/O6-1)*100), 1)</f>
        <v>37.9</v>
      </c>
      <c r="R6" s="520">
        <v>6419</v>
      </c>
      <c r="S6" s="384">
        <v>8783</v>
      </c>
      <c r="T6" s="242">
        <f t="shared" ref="T6:T13" si="3">ROUND(((S6/R6-1)*100), 1)</f>
        <v>36.799999999999997</v>
      </c>
      <c r="U6" s="384">
        <f t="shared" ref="U6:U27" si="4">X6-R6</f>
        <v>3196</v>
      </c>
      <c r="V6" s="384">
        <f t="shared" ref="V6:V27" si="5">Y6-S6</f>
        <v>6831</v>
      </c>
      <c r="W6" s="242">
        <f t="shared" ref="W6:W13" si="6">ROUND(((V6/U6-1)*100), 1)</f>
        <v>113.7</v>
      </c>
      <c r="X6" s="384">
        <v>9615</v>
      </c>
      <c r="Y6" s="384">
        <v>15614</v>
      </c>
      <c r="Z6" s="242">
        <f t="shared" ref="Z6:Z13" si="7">ROUND(((Y6/X6-1)*100), 1)</f>
        <v>62.4</v>
      </c>
      <c r="AA6" s="528">
        <f t="shared" ref="AA6:AA27" si="8">AD6-X6</f>
        <v>4525</v>
      </c>
      <c r="AB6" s="528">
        <f t="shared" ref="AB6:AB27" si="9">AE6-Y6</f>
        <v>8411</v>
      </c>
      <c r="AC6" s="242">
        <f t="shared" ref="AC6:AC14" si="10">ROUND(((AB6/AA6-1)*100), 1)</f>
        <v>85.9</v>
      </c>
      <c r="AD6" s="528">
        <v>14140</v>
      </c>
      <c r="AE6" s="528">
        <v>24025</v>
      </c>
      <c r="AF6" s="242">
        <f t="shared" ref="AF6:AF14" si="11">ROUND(((AE6/AD6-1)*100), 1)</f>
        <v>69.900000000000006</v>
      </c>
      <c r="AG6" s="528">
        <f t="shared" ref="AG6:AH27" si="12">AJ6-AD6</f>
        <v>4191</v>
      </c>
      <c r="AH6" s="528">
        <f t="shared" si="12"/>
        <v>5729</v>
      </c>
      <c r="AI6" s="242">
        <f t="shared" ref="AI6:AI14" si="13">ROUND(((AH6/AG6-1)*100), 1)</f>
        <v>36.700000000000003</v>
      </c>
      <c r="AJ6" s="528">
        <v>18331</v>
      </c>
      <c r="AK6" s="528">
        <v>29754</v>
      </c>
      <c r="AL6" s="242">
        <f t="shared" ref="AL6:AL14" si="14">ROUND(((AK6/AJ6-1)*100), 1)</f>
        <v>62.3</v>
      </c>
      <c r="AM6" s="662">
        <f t="shared" ref="AM6:AM27" si="15">AP6-AJ6</f>
        <v>4372</v>
      </c>
      <c r="AN6" s="662">
        <f t="shared" ref="AN6:AN27" si="16">AQ6-AK6</f>
        <v>4503</v>
      </c>
      <c r="AO6" s="652">
        <f t="shared" ref="AO6:AO14" si="17">ROUND(((AN6/AM6-1)*100), 1)</f>
        <v>3</v>
      </c>
      <c r="AP6" s="818">
        <v>22703</v>
      </c>
      <c r="AQ6" s="818">
        <v>34257</v>
      </c>
      <c r="AR6" s="652">
        <f t="shared" ref="AR6:AR14" si="18">ROUND(((AQ6/AP6-1)*100), 1)</f>
        <v>50.9</v>
      </c>
      <c r="AS6" s="818">
        <f t="shared" ref="AS6:AT27" si="19">AV6-AP6</f>
        <v>5622</v>
      </c>
      <c r="AT6" s="818">
        <f t="shared" si="19"/>
        <v>7168</v>
      </c>
      <c r="AU6" s="753">
        <f t="shared" ref="AU6:AU14" si="20">ROUND(((AT6/AS6-1)*100), 1)</f>
        <v>27.5</v>
      </c>
      <c r="AV6" s="973">
        <v>28325</v>
      </c>
      <c r="AW6" s="981">
        <v>41425</v>
      </c>
      <c r="AX6" s="753">
        <f t="shared" ref="AX6:AX14" si="21">ROUND(((AW6/AV6-1)*100), 1)</f>
        <v>46.2</v>
      </c>
      <c r="AY6" s="818">
        <f t="shared" ref="AY6:AY27" si="22">BB6-AV6</f>
        <v>5576</v>
      </c>
      <c r="AZ6" s="818">
        <f t="shared" ref="AZ6:AZ27" si="23">BC6-AW6</f>
        <v>7528</v>
      </c>
      <c r="BA6" s="753">
        <f t="shared" ref="BA6:BA13" si="24">ROUND(((AZ6/AY6-1)*100), 1)</f>
        <v>35</v>
      </c>
      <c r="BB6" s="818">
        <v>33901</v>
      </c>
      <c r="BC6" s="818">
        <v>48953</v>
      </c>
      <c r="BD6" s="753">
        <f t="shared" ref="BD6:BD14" si="25">ROUND(((BC6/BB6-1)*100), 1)</f>
        <v>44.4</v>
      </c>
      <c r="BE6" s="818">
        <f t="shared" ref="BE6:BF27" si="26">BH6-BB6</f>
        <v>5317</v>
      </c>
      <c r="BF6" s="818">
        <f t="shared" si="26"/>
        <v>8390</v>
      </c>
      <c r="BG6" s="753">
        <f t="shared" ref="BG6:BG15" si="27">ROUND(((BF6/BE6-1)*100), 1)</f>
        <v>57.8</v>
      </c>
      <c r="BH6" s="818">
        <v>39218</v>
      </c>
      <c r="BI6" s="818">
        <v>57343</v>
      </c>
      <c r="BJ6" s="753">
        <f t="shared" ref="BJ6:BJ14" si="28">ROUND(((BI6/BH6-1)*100), 1)</f>
        <v>46.2</v>
      </c>
      <c r="BK6" s="818">
        <f t="shared" ref="BK6:BL27" si="29">BN6-BH6</f>
        <v>7849</v>
      </c>
      <c r="BL6" s="818">
        <f t="shared" si="29"/>
        <v>7720</v>
      </c>
      <c r="BM6" s="753">
        <f t="shared" ref="BM6:BM14" si="30">ROUND(((BL6/BK6-1)*100), 1)</f>
        <v>-1.6</v>
      </c>
      <c r="BN6" s="818">
        <v>47067</v>
      </c>
      <c r="BO6" s="818">
        <v>65063</v>
      </c>
      <c r="BP6" s="753">
        <f t="shared" ref="BP6:BP14" si="31">ROUND(((BO6/BN6-1)*100), 1)</f>
        <v>38.200000000000003</v>
      </c>
      <c r="BQ6" s="818">
        <f t="shared" ref="BQ6:BR27" si="32">BT6-BN6</f>
        <v>7047</v>
      </c>
      <c r="BR6" s="818">
        <f t="shared" si="32"/>
        <v>6920</v>
      </c>
      <c r="BS6" s="753">
        <f t="shared" ref="BS6:BS14" si="33">ROUND(((BR6/BQ6-1)*100), 1)</f>
        <v>-1.8</v>
      </c>
      <c r="BT6" s="818">
        <v>54114</v>
      </c>
      <c r="BU6" s="818">
        <v>71983</v>
      </c>
      <c r="BV6" s="753">
        <f t="shared" ref="BV6:BV20" si="34">ROUND(((BU6/BT6-1)*100), 1)</f>
        <v>33</v>
      </c>
    </row>
    <row r="7" spans="1:74" ht="15" customHeight="1">
      <c r="A7" s="96" t="s">
        <v>154</v>
      </c>
      <c r="B7" s="1164"/>
      <c r="C7" s="79" t="s">
        <v>153</v>
      </c>
      <c r="D7" s="44">
        <v>497</v>
      </c>
      <c r="E7" s="44">
        <v>5999</v>
      </c>
      <c r="F7" s="44">
        <v>37921</v>
      </c>
      <c r="G7" s="44">
        <v>84086</v>
      </c>
      <c r="H7" s="44">
        <v>112181</v>
      </c>
      <c r="I7" s="44">
        <v>126921</v>
      </c>
      <c r="J7" s="44">
        <v>105378</v>
      </c>
      <c r="K7" s="44">
        <v>57308</v>
      </c>
      <c r="L7" s="527">
        <v>30</v>
      </c>
      <c r="M7" s="383">
        <v>13049</v>
      </c>
      <c r="N7" s="242">
        <f t="shared" si="0"/>
        <v>43396.7</v>
      </c>
      <c r="O7" s="383">
        <f t="shared" si="1"/>
        <v>11034</v>
      </c>
      <c r="P7" s="383">
        <f t="shared" si="1"/>
        <v>1529</v>
      </c>
      <c r="Q7" s="242">
        <f t="shared" si="2"/>
        <v>-86.1</v>
      </c>
      <c r="R7" s="519">
        <v>11064</v>
      </c>
      <c r="S7" s="383">
        <v>14578</v>
      </c>
      <c r="T7" s="242">
        <f t="shared" si="3"/>
        <v>31.8</v>
      </c>
      <c r="U7" s="383">
        <f t="shared" si="4"/>
        <v>6477</v>
      </c>
      <c r="V7" s="383">
        <f t="shared" si="5"/>
        <v>6097</v>
      </c>
      <c r="W7" s="242">
        <f t="shared" si="6"/>
        <v>-5.9</v>
      </c>
      <c r="X7" s="383">
        <v>17541</v>
      </c>
      <c r="Y7" s="383">
        <v>20675</v>
      </c>
      <c r="Z7" s="242">
        <f t="shared" si="7"/>
        <v>17.899999999999999</v>
      </c>
      <c r="AA7" s="527">
        <f t="shared" si="8"/>
        <v>1501</v>
      </c>
      <c r="AB7" s="527">
        <f t="shared" si="9"/>
        <v>10800</v>
      </c>
      <c r="AC7" s="242">
        <f t="shared" si="10"/>
        <v>619.5</v>
      </c>
      <c r="AD7" s="527">
        <v>19042</v>
      </c>
      <c r="AE7" s="527">
        <v>31475</v>
      </c>
      <c r="AF7" s="242">
        <f t="shared" si="11"/>
        <v>65.3</v>
      </c>
      <c r="AG7" s="527">
        <f t="shared" si="12"/>
        <v>9809</v>
      </c>
      <c r="AH7" s="527">
        <f t="shared" si="12"/>
        <v>0</v>
      </c>
      <c r="AI7" s="242">
        <f t="shared" si="13"/>
        <v>-100</v>
      </c>
      <c r="AJ7" s="527">
        <v>28851</v>
      </c>
      <c r="AK7" s="527">
        <v>31475</v>
      </c>
      <c r="AL7" s="242">
        <f t="shared" si="14"/>
        <v>9.1</v>
      </c>
      <c r="AM7" s="661">
        <f t="shared" si="15"/>
        <v>8868</v>
      </c>
      <c r="AN7" s="661">
        <f t="shared" si="16"/>
        <v>0</v>
      </c>
      <c r="AO7" s="652">
        <f t="shared" si="17"/>
        <v>-100</v>
      </c>
      <c r="AP7" s="817">
        <v>37719</v>
      </c>
      <c r="AQ7" s="817">
        <v>31475</v>
      </c>
      <c r="AR7" s="652">
        <f t="shared" si="18"/>
        <v>-16.600000000000001</v>
      </c>
      <c r="AS7" s="817">
        <f t="shared" si="19"/>
        <v>2</v>
      </c>
      <c r="AT7" s="817">
        <f t="shared" si="19"/>
        <v>13899</v>
      </c>
      <c r="AU7" s="753">
        <f t="shared" si="20"/>
        <v>694850</v>
      </c>
      <c r="AV7" s="969">
        <v>37721</v>
      </c>
      <c r="AW7" s="977">
        <v>45374</v>
      </c>
      <c r="AX7" s="753">
        <f t="shared" si="21"/>
        <v>20.3</v>
      </c>
      <c r="AY7" s="817">
        <f t="shared" si="22"/>
        <v>14050</v>
      </c>
      <c r="AZ7" s="817">
        <f t="shared" si="23"/>
        <v>0</v>
      </c>
      <c r="BA7" s="753">
        <f t="shared" si="24"/>
        <v>-100</v>
      </c>
      <c r="BB7" s="817">
        <v>51771</v>
      </c>
      <c r="BC7" s="817">
        <v>45374</v>
      </c>
      <c r="BD7" s="753">
        <f t="shared" si="25"/>
        <v>-12.4</v>
      </c>
      <c r="BE7" s="817">
        <f t="shared" si="26"/>
        <v>1</v>
      </c>
      <c r="BF7" s="817">
        <f t="shared" si="26"/>
        <v>1523</v>
      </c>
      <c r="BG7" s="753">
        <f t="shared" si="27"/>
        <v>152200</v>
      </c>
      <c r="BH7" s="817">
        <v>51772</v>
      </c>
      <c r="BI7" s="817">
        <v>46897</v>
      </c>
      <c r="BJ7" s="753">
        <f t="shared" si="28"/>
        <v>-9.4</v>
      </c>
      <c r="BK7" s="817">
        <f t="shared" si="29"/>
        <v>1516</v>
      </c>
      <c r="BL7" s="817">
        <f t="shared" si="29"/>
        <v>0</v>
      </c>
      <c r="BM7" s="753">
        <f t="shared" si="30"/>
        <v>-100</v>
      </c>
      <c r="BN7" s="817">
        <v>53288</v>
      </c>
      <c r="BO7" s="817">
        <v>46897</v>
      </c>
      <c r="BP7" s="753">
        <f t="shared" si="31"/>
        <v>-12</v>
      </c>
      <c r="BQ7" s="817">
        <f t="shared" si="32"/>
        <v>2520</v>
      </c>
      <c r="BR7" s="817">
        <f t="shared" si="32"/>
        <v>18793</v>
      </c>
      <c r="BS7" s="753">
        <f t="shared" si="33"/>
        <v>645.79999999999995</v>
      </c>
      <c r="BT7" s="817">
        <v>55808</v>
      </c>
      <c r="BU7" s="817">
        <v>65690</v>
      </c>
      <c r="BV7" s="753">
        <f t="shared" si="34"/>
        <v>17.7</v>
      </c>
    </row>
    <row r="8" spans="1:74" ht="15" customHeight="1">
      <c r="A8" s="96"/>
      <c r="B8" s="1164"/>
      <c r="C8" s="79" t="s">
        <v>155</v>
      </c>
      <c r="D8" s="44">
        <v>13320</v>
      </c>
      <c r="E8" s="44">
        <v>13173</v>
      </c>
      <c r="F8" s="44">
        <v>29704</v>
      </c>
      <c r="G8" s="44">
        <v>34108</v>
      </c>
      <c r="H8" s="44">
        <v>48058</v>
      </c>
      <c r="I8" s="44">
        <v>47203</v>
      </c>
      <c r="J8" s="44">
        <v>49007</v>
      </c>
      <c r="K8" s="44">
        <v>47216</v>
      </c>
      <c r="L8" s="527">
        <v>5250</v>
      </c>
      <c r="M8" s="383">
        <v>5153</v>
      </c>
      <c r="N8" s="242">
        <f t="shared" si="0"/>
        <v>-1.8</v>
      </c>
      <c r="O8" s="383">
        <f t="shared" si="1"/>
        <v>5519</v>
      </c>
      <c r="P8" s="383">
        <f t="shared" si="1"/>
        <v>7868</v>
      </c>
      <c r="Q8" s="242">
        <f t="shared" si="2"/>
        <v>42.6</v>
      </c>
      <c r="R8" s="519">
        <v>10769</v>
      </c>
      <c r="S8" s="383">
        <v>13021</v>
      </c>
      <c r="T8" s="242">
        <f t="shared" si="3"/>
        <v>20.9</v>
      </c>
      <c r="U8" s="383">
        <f t="shared" si="4"/>
        <v>4288</v>
      </c>
      <c r="V8" s="383">
        <f t="shared" si="5"/>
        <v>6438</v>
      </c>
      <c r="W8" s="242">
        <f t="shared" si="6"/>
        <v>50.1</v>
      </c>
      <c r="X8" s="383">
        <v>15057</v>
      </c>
      <c r="Y8" s="383">
        <v>19459</v>
      </c>
      <c r="Z8" s="242">
        <f t="shared" si="7"/>
        <v>29.2</v>
      </c>
      <c r="AA8" s="527">
        <f t="shared" si="8"/>
        <v>4796</v>
      </c>
      <c r="AB8" s="527">
        <f t="shared" si="9"/>
        <v>73</v>
      </c>
      <c r="AC8" s="242">
        <f t="shared" si="10"/>
        <v>-98.5</v>
      </c>
      <c r="AD8" s="527">
        <v>19853</v>
      </c>
      <c r="AE8" s="527">
        <v>19532</v>
      </c>
      <c r="AF8" s="242">
        <f t="shared" si="11"/>
        <v>-1.6</v>
      </c>
      <c r="AG8" s="527">
        <f t="shared" si="12"/>
        <v>6029</v>
      </c>
      <c r="AH8" s="527">
        <f t="shared" si="12"/>
        <v>1842</v>
      </c>
      <c r="AI8" s="242">
        <f t="shared" si="13"/>
        <v>-69.400000000000006</v>
      </c>
      <c r="AJ8" s="527">
        <v>25882</v>
      </c>
      <c r="AK8" s="527">
        <v>21374</v>
      </c>
      <c r="AL8" s="242">
        <f t="shared" si="14"/>
        <v>-17.399999999999999</v>
      </c>
      <c r="AM8" s="661">
        <f t="shared" si="15"/>
        <v>3468</v>
      </c>
      <c r="AN8" s="661">
        <f t="shared" si="16"/>
        <v>5538</v>
      </c>
      <c r="AO8" s="652">
        <f t="shared" si="17"/>
        <v>59.7</v>
      </c>
      <c r="AP8" s="817">
        <v>29350</v>
      </c>
      <c r="AQ8" s="817">
        <v>26912</v>
      </c>
      <c r="AR8" s="652">
        <f t="shared" si="18"/>
        <v>-8.3000000000000007</v>
      </c>
      <c r="AS8" s="817">
        <f t="shared" si="19"/>
        <v>4617</v>
      </c>
      <c r="AT8" s="817">
        <f t="shared" si="19"/>
        <v>5803</v>
      </c>
      <c r="AU8" s="753">
        <f t="shared" si="20"/>
        <v>25.7</v>
      </c>
      <c r="AV8" s="969">
        <v>33967</v>
      </c>
      <c r="AW8" s="977">
        <v>32715</v>
      </c>
      <c r="AX8" s="753">
        <f t="shared" si="21"/>
        <v>-3.7</v>
      </c>
      <c r="AY8" s="817">
        <f t="shared" si="22"/>
        <v>1538</v>
      </c>
      <c r="AZ8" s="817">
        <f t="shared" si="23"/>
        <v>3274</v>
      </c>
      <c r="BA8" s="753">
        <f t="shared" si="24"/>
        <v>112.9</v>
      </c>
      <c r="BB8" s="817">
        <v>35505</v>
      </c>
      <c r="BC8" s="817">
        <v>35989</v>
      </c>
      <c r="BD8" s="753">
        <f t="shared" si="25"/>
        <v>1.4</v>
      </c>
      <c r="BE8" s="817">
        <f t="shared" si="26"/>
        <v>1588</v>
      </c>
      <c r="BF8" s="817">
        <f t="shared" si="26"/>
        <v>3479</v>
      </c>
      <c r="BG8" s="753">
        <f t="shared" si="27"/>
        <v>119.1</v>
      </c>
      <c r="BH8" s="817">
        <v>37093</v>
      </c>
      <c r="BI8" s="817">
        <v>39468</v>
      </c>
      <c r="BJ8" s="753">
        <f t="shared" si="28"/>
        <v>6.4</v>
      </c>
      <c r="BK8" s="817">
        <f t="shared" si="29"/>
        <v>2246</v>
      </c>
      <c r="BL8" s="817">
        <f t="shared" si="29"/>
        <v>2175</v>
      </c>
      <c r="BM8" s="753">
        <f t="shared" si="30"/>
        <v>-3.2</v>
      </c>
      <c r="BN8" s="817">
        <v>39339</v>
      </c>
      <c r="BO8" s="817">
        <v>41643</v>
      </c>
      <c r="BP8" s="753">
        <f t="shared" si="31"/>
        <v>5.9</v>
      </c>
      <c r="BQ8" s="817">
        <f t="shared" si="32"/>
        <v>3788</v>
      </c>
      <c r="BR8" s="817">
        <f t="shared" si="32"/>
        <v>4316</v>
      </c>
      <c r="BS8" s="753">
        <f t="shared" si="33"/>
        <v>13.9</v>
      </c>
      <c r="BT8" s="817">
        <v>43127</v>
      </c>
      <c r="BU8" s="817">
        <v>45959</v>
      </c>
      <c r="BV8" s="753">
        <f t="shared" si="34"/>
        <v>6.6</v>
      </c>
    </row>
    <row r="9" spans="1:74" ht="15" customHeight="1">
      <c r="A9" s="96"/>
      <c r="B9" s="1164"/>
      <c r="C9" s="79" t="s">
        <v>161</v>
      </c>
      <c r="D9" s="44">
        <v>4446</v>
      </c>
      <c r="E9" s="44">
        <v>0</v>
      </c>
      <c r="F9" s="44">
        <v>0</v>
      </c>
      <c r="G9" s="44">
        <v>0</v>
      </c>
      <c r="H9" s="44">
        <v>1301</v>
      </c>
      <c r="I9" s="44">
        <v>2524</v>
      </c>
      <c r="J9" s="44">
        <v>32095</v>
      </c>
      <c r="K9" s="44">
        <v>44368</v>
      </c>
      <c r="L9" s="527">
        <v>6756</v>
      </c>
      <c r="M9" s="383">
        <v>598</v>
      </c>
      <c r="N9" s="242">
        <f t="shared" si="0"/>
        <v>-91.1</v>
      </c>
      <c r="O9" s="383">
        <f t="shared" si="1"/>
        <v>4104</v>
      </c>
      <c r="P9" s="383">
        <f t="shared" si="1"/>
        <v>0</v>
      </c>
      <c r="Q9" s="242">
        <f t="shared" si="2"/>
        <v>-100</v>
      </c>
      <c r="R9" s="519">
        <v>10860</v>
      </c>
      <c r="S9" s="383">
        <v>598</v>
      </c>
      <c r="T9" s="242">
        <f t="shared" si="3"/>
        <v>-94.5</v>
      </c>
      <c r="U9" s="383">
        <f t="shared" si="4"/>
        <v>3213</v>
      </c>
      <c r="V9" s="383">
        <f t="shared" si="5"/>
        <v>0</v>
      </c>
      <c r="W9" s="242">
        <f t="shared" si="6"/>
        <v>-100</v>
      </c>
      <c r="X9" s="383">
        <v>14073</v>
      </c>
      <c r="Y9" s="383">
        <v>598</v>
      </c>
      <c r="Z9" s="242">
        <f t="shared" si="7"/>
        <v>-95.8</v>
      </c>
      <c r="AA9" s="527">
        <f t="shared" si="8"/>
        <v>5089</v>
      </c>
      <c r="AB9" s="527">
        <f t="shared" si="9"/>
        <v>0</v>
      </c>
      <c r="AC9" s="242">
        <f t="shared" si="10"/>
        <v>-100</v>
      </c>
      <c r="AD9" s="527">
        <v>19162</v>
      </c>
      <c r="AE9" s="527">
        <v>598</v>
      </c>
      <c r="AF9" s="242">
        <f t="shared" si="11"/>
        <v>-96.9</v>
      </c>
      <c r="AG9" s="527">
        <f t="shared" si="12"/>
        <v>4840</v>
      </c>
      <c r="AH9" s="527">
        <f t="shared" si="12"/>
        <v>5900</v>
      </c>
      <c r="AI9" s="242">
        <f t="shared" si="13"/>
        <v>21.9</v>
      </c>
      <c r="AJ9" s="527">
        <v>24002</v>
      </c>
      <c r="AK9" s="527">
        <v>6498</v>
      </c>
      <c r="AL9" s="242">
        <f t="shared" si="14"/>
        <v>-72.900000000000006</v>
      </c>
      <c r="AM9" s="661">
        <f t="shared" si="15"/>
        <v>4238</v>
      </c>
      <c r="AN9" s="661">
        <f t="shared" si="16"/>
        <v>5997</v>
      </c>
      <c r="AO9" s="652">
        <f t="shared" si="17"/>
        <v>41.5</v>
      </c>
      <c r="AP9" s="817">
        <v>28240</v>
      </c>
      <c r="AQ9" s="817">
        <v>12495</v>
      </c>
      <c r="AR9" s="652">
        <f t="shared" si="18"/>
        <v>-55.8</v>
      </c>
      <c r="AS9" s="817">
        <f t="shared" si="19"/>
        <v>4158</v>
      </c>
      <c r="AT9" s="817">
        <f t="shared" si="19"/>
        <v>620</v>
      </c>
      <c r="AU9" s="753">
        <f t="shared" si="20"/>
        <v>-85.1</v>
      </c>
      <c r="AV9" s="969">
        <v>32398</v>
      </c>
      <c r="AW9" s="977">
        <v>13115</v>
      </c>
      <c r="AX9" s="753">
        <f t="shared" si="21"/>
        <v>-59.5</v>
      </c>
      <c r="AY9" s="817">
        <f t="shared" si="22"/>
        <v>3437</v>
      </c>
      <c r="AZ9" s="817">
        <f t="shared" si="23"/>
        <v>1501</v>
      </c>
      <c r="BA9" s="753">
        <f t="shared" si="24"/>
        <v>-56.3</v>
      </c>
      <c r="BB9" s="817">
        <v>35835</v>
      </c>
      <c r="BC9" s="817">
        <v>14616</v>
      </c>
      <c r="BD9" s="753">
        <f t="shared" si="25"/>
        <v>-59.2</v>
      </c>
      <c r="BE9" s="817">
        <f t="shared" si="26"/>
        <v>2555</v>
      </c>
      <c r="BF9" s="817">
        <f t="shared" si="26"/>
        <v>1001</v>
      </c>
      <c r="BG9" s="753">
        <f t="shared" si="27"/>
        <v>-60.8</v>
      </c>
      <c r="BH9" s="817">
        <v>38390</v>
      </c>
      <c r="BI9" s="817">
        <v>15617</v>
      </c>
      <c r="BJ9" s="753">
        <f t="shared" si="28"/>
        <v>-59.3</v>
      </c>
      <c r="BK9" s="817">
        <f t="shared" si="29"/>
        <v>1743</v>
      </c>
      <c r="BL9" s="817">
        <f t="shared" si="29"/>
        <v>0</v>
      </c>
      <c r="BM9" s="753">
        <f t="shared" si="30"/>
        <v>-100</v>
      </c>
      <c r="BN9" s="817">
        <v>40133</v>
      </c>
      <c r="BO9" s="817">
        <v>15617</v>
      </c>
      <c r="BP9" s="753">
        <f t="shared" si="31"/>
        <v>-61.1</v>
      </c>
      <c r="BQ9" s="817">
        <f t="shared" si="32"/>
        <v>2624</v>
      </c>
      <c r="BR9" s="817">
        <f t="shared" si="32"/>
        <v>0</v>
      </c>
      <c r="BS9" s="753">
        <f t="shared" si="33"/>
        <v>-100</v>
      </c>
      <c r="BT9" s="817">
        <v>42757</v>
      </c>
      <c r="BU9" s="817">
        <v>15617</v>
      </c>
      <c r="BV9" s="753">
        <f t="shared" si="34"/>
        <v>-63.5</v>
      </c>
    </row>
    <row r="10" spans="1:74" ht="15" customHeight="1">
      <c r="A10" s="96"/>
      <c r="B10" s="1164"/>
      <c r="C10" s="79" t="s">
        <v>157</v>
      </c>
      <c r="D10" s="44">
        <v>30255</v>
      </c>
      <c r="E10" s="44">
        <v>33673</v>
      </c>
      <c r="F10" s="44">
        <v>42823</v>
      </c>
      <c r="G10" s="44">
        <v>32970</v>
      </c>
      <c r="H10" s="44">
        <v>33960</v>
      </c>
      <c r="I10" s="44">
        <v>19980</v>
      </c>
      <c r="J10" s="44">
        <v>17180</v>
      </c>
      <c r="K10" s="44">
        <v>26329</v>
      </c>
      <c r="L10" s="527">
        <v>1607</v>
      </c>
      <c r="M10" s="383">
        <v>2066</v>
      </c>
      <c r="N10" s="242">
        <f t="shared" si="0"/>
        <v>28.6</v>
      </c>
      <c r="O10" s="383">
        <f t="shared" si="1"/>
        <v>1279</v>
      </c>
      <c r="P10" s="383">
        <f t="shared" si="1"/>
        <v>867</v>
      </c>
      <c r="Q10" s="242">
        <f t="shared" si="2"/>
        <v>-32.200000000000003</v>
      </c>
      <c r="R10" s="519">
        <v>2886</v>
      </c>
      <c r="S10" s="383">
        <v>2933</v>
      </c>
      <c r="T10" s="242">
        <f t="shared" si="3"/>
        <v>1.6</v>
      </c>
      <c r="U10" s="383">
        <f t="shared" si="4"/>
        <v>2175</v>
      </c>
      <c r="V10" s="383">
        <f t="shared" si="5"/>
        <v>1017</v>
      </c>
      <c r="W10" s="242">
        <f t="shared" si="6"/>
        <v>-53.2</v>
      </c>
      <c r="X10" s="383">
        <v>5061</v>
      </c>
      <c r="Y10" s="383">
        <v>3950</v>
      </c>
      <c r="Z10" s="242">
        <f t="shared" si="7"/>
        <v>-22</v>
      </c>
      <c r="AA10" s="527">
        <f t="shared" si="8"/>
        <v>3221</v>
      </c>
      <c r="AB10" s="527">
        <f t="shared" si="9"/>
        <v>2115</v>
      </c>
      <c r="AC10" s="242">
        <f t="shared" si="10"/>
        <v>-34.299999999999997</v>
      </c>
      <c r="AD10" s="527">
        <v>8282</v>
      </c>
      <c r="AE10" s="527">
        <v>6065</v>
      </c>
      <c r="AF10" s="242">
        <f t="shared" si="11"/>
        <v>-26.8</v>
      </c>
      <c r="AG10" s="527">
        <f t="shared" si="12"/>
        <v>2603</v>
      </c>
      <c r="AH10" s="527">
        <f t="shared" si="12"/>
        <v>1863</v>
      </c>
      <c r="AI10" s="242">
        <f t="shared" si="13"/>
        <v>-28.4</v>
      </c>
      <c r="AJ10" s="527">
        <v>10885</v>
      </c>
      <c r="AK10" s="527">
        <v>7928</v>
      </c>
      <c r="AL10" s="242">
        <f t="shared" si="14"/>
        <v>-27.2</v>
      </c>
      <c r="AM10" s="661">
        <f t="shared" si="15"/>
        <v>1780</v>
      </c>
      <c r="AN10" s="661">
        <f t="shared" si="16"/>
        <v>644</v>
      </c>
      <c r="AO10" s="652">
        <f t="shared" si="17"/>
        <v>-63.8</v>
      </c>
      <c r="AP10" s="817">
        <v>12665</v>
      </c>
      <c r="AQ10" s="817">
        <v>8572</v>
      </c>
      <c r="AR10" s="652">
        <f t="shared" si="18"/>
        <v>-32.299999999999997</v>
      </c>
      <c r="AS10" s="817">
        <f t="shared" si="19"/>
        <v>2130</v>
      </c>
      <c r="AT10" s="817">
        <f t="shared" si="19"/>
        <v>1071</v>
      </c>
      <c r="AU10" s="753">
        <f t="shared" si="20"/>
        <v>-49.7</v>
      </c>
      <c r="AV10" s="969">
        <v>14795</v>
      </c>
      <c r="AW10" s="977">
        <v>9643</v>
      </c>
      <c r="AX10" s="753">
        <f t="shared" si="21"/>
        <v>-34.799999999999997</v>
      </c>
      <c r="AY10" s="817">
        <f t="shared" si="22"/>
        <v>2500</v>
      </c>
      <c r="AZ10" s="817">
        <f t="shared" si="23"/>
        <v>1565</v>
      </c>
      <c r="BA10" s="753">
        <f t="shared" si="24"/>
        <v>-37.4</v>
      </c>
      <c r="BB10" s="817">
        <v>17295</v>
      </c>
      <c r="BC10" s="817">
        <v>11208</v>
      </c>
      <c r="BD10" s="753">
        <f t="shared" si="25"/>
        <v>-35.200000000000003</v>
      </c>
      <c r="BE10" s="817">
        <f t="shared" si="26"/>
        <v>1837</v>
      </c>
      <c r="BF10" s="817">
        <f t="shared" si="26"/>
        <v>1204</v>
      </c>
      <c r="BG10" s="753">
        <f t="shared" si="27"/>
        <v>-34.5</v>
      </c>
      <c r="BH10" s="817">
        <v>19132</v>
      </c>
      <c r="BI10" s="817">
        <v>12412</v>
      </c>
      <c r="BJ10" s="753">
        <f t="shared" si="28"/>
        <v>-35.1</v>
      </c>
      <c r="BK10" s="817">
        <f t="shared" si="29"/>
        <v>2940</v>
      </c>
      <c r="BL10" s="817">
        <f t="shared" si="29"/>
        <v>2380</v>
      </c>
      <c r="BM10" s="753">
        <f t="shared" si="30"/>
        <v>-19</v>
      </c>
      <c r="BN10" s="817">
        <v>22072</v>
      </c>
      <c r="BO10" s="817">
        <v>14792</v>
      </c>
      <c r="BP10" s="753">
        <f t="shared" si="31"/>
        <v>-33</v>
      </c>
      <c r="BQ10" s="817">
        <f t="shared" si="32"/>
        <v>1530</v>
      </c>
      <c r="BR10" s="817">
        <f t="shared" si="32"/>
        <v>2038</v>
      </c>
      <c r="BS10" s="753">
        <f t="shared" si="33"/>
        <v>33.200000000000003</v>
      </c>
      <c r="BT10" s="817">
        <v>23602</v>
      </c>
      <c r="BU10" s="817">
        <v>16830</v>
      </c>
      <c r="BV10" s="753">
        <f t="shared" si="34"/>
        <v>-28.7</v>
      </c>
    </row>
    <row r="11" spans="1:74" ht="15" customHeight="1">
      <c r="A11" s="96"/>
      <c r="B11" s="1164"/>
      <c r="C11" s="79" t="s">
        <v>58</v>
      </c>
      <c r="D11" s="44">
        <v>26100</v>
      </c>
      <c r="E11" s="44">
        <v>17535</v>
      </c>
      <c r="F11" s="44">
        <v>24023</v>
      </c>
      <c r="G11" s="44">
        <v>16246</v>
      </c>
      <c r="H11" s="44">
        <v>22293</v>
      </c>
      <c r="I11" s="44">
        <v>17667</v>
      </c>
      <c r="J11" s="44">
        <v>14798</v>
      </c>
      <c r="K11" s="44">
        <v>15669</v>
      </c>
      <c r="L11" s="527">
        <v>1017</v>
      </c>
      <c r="M11" s="383">
        <v>2184</v>
      </c>
      <c r="N11" s="242">
        <f t="shared" si="0"/>
        <v>114.7</v>
      </c>
      <c r="O11" s="383">
        <f t="shared" si="1"/>
        <v>1649</v>
      </c>
      <c r="P11" s="383">
        <f t="shared" si="1"/>
        <v>1165</v>
      </c>
      <c r="Q11" s="242">
        <f t="shared" si="2"/>
        <v>-29.4</v>
      </c>
      <c r="R11" s="519">
        <v>2666</v>
      </c>
      <c r="S11" s="383">
        <v>3349</v>
      </c>
      <c r="T11" s="242">
        <f t="shared" si="3"/>
        <v>25.6</v>
      </c>
      <c r="U11" s="383">
        <f t="shared" si="4"/>
        <v>1500</v>
      </c>
      <c r="V11" s="383">
        <f t="shared" si="5"/>
        <v>1930</v>
      </c>
      <c r="W11" s="242">
        <f t="shared" si="6"/>
        <v>28.7</v>
      </c>
      <c r="X11" s="383">
        <v>4166</v>
      </c>
      <c r="Y11" s="383">
        <v>5279</v>
      </c>
      <c r="Z11" s="242">
        <f t="shared" si="7"/>
        <v>26.7</v>
      </c>
      <c r="AA11" s="527">
        <f t="shared" si="8"/>
        <v>1367</v>
      </c>
      <c r="AB11" s="527">
        <f t="shared" si="9"/>
        <v>2630</v>
      </c>
      <c r="AC11" s="242">
        <f t="shared" si="10"/>
        <v>92.4</v>
      </c>
      <c r="AD11" s="527">
        <v>5533</v>
      </c>
      <c r="AE11" s="527">
        <v>7909</v>
      </c>
      <c r="AF11" s="242">
        <f t="shared" si="11"/>
        <v>42.9</v>
      </c>
      <c r="AG11" s="527">
        <f t="shared" si="12"/>
        <v>1235</v>
      </c>
      <c r="AH11" s="527">
        <f t="shared" si="12"/>
        <v>1066</v>
      </c>
      <c r="AI11" s="242">
        <f t="shared" si="13"/>
        <v>-13.7</v>
      </c>
      <c r="AJ11" s="527">
        <v>6768</v>
      </c>
      <c r="AK11" s="527">
        <v>8975</v>
      </c>
      <c r="AL11" s="242">
        <f t="shared" si="14"/>
        <v>32.6</v>
      </c>
      <c r="AM11" s="661">
        <f t="shared" si="15"/>
        <v>1398</v>
      </c>
      <c r="AN11" s="661">
        <f t="shared" si="16"/>
        <v>665</v>
      </c>
      <c r="AO11" s="652">
        <f t="shared" si="17"/>
        <v>-52.4</v>
      </c>
      <c r="AP11" s="817">
        <v>8166</v>
      </c>
      <c r="AQ11" s="817">
        <v>9640</v>
      </c>
      <c r="AR11" s="652">
        <f t="shared" si="18"/>
        <v>18.100000000000001</v>
      </c>
      <c r="AS11" s="817">
        <f t="shared" si="19"/>
        <v>993</v>
      </c>
      <c r="AT11" s="817">
        <f t="shared" si="19"/>
        <v>243</v>
      </c>
      <c r="AU11" s="753">
        <f t="shared" si="20"/>
        <v>-75.5</v>
      </c>
      <c r="AV11" s="969">
        <v>9159</v>
      </c>
      <c r="AW11" s="977">
        <v>9883</v>
      </c>
      <c r="AX11" s="753">
        <f t="shared" si="21"/>
        <v>7.9</v>
      </c>
      <c r="AY11" s="817">
        <f t="shared" si="22"/>
        <v>1014</v>
      </c>
      <c r="AZ11" s="817">
        <f t="shared" si="23"/>
        <v>773</v>
      </c>
      <c r="BA11" s="753">
        <f t="shared" si="24"/>
        <v>-23.8</v>
      </c>
      <c r="BB11" s="817">
        <v>10173</v>
      </c>
      <c r="BC11" s="817">
        <v>10656</v>
      </c>
      <c r="BD11" s="753">
        <f t="shared" si="25"/>
        <v>4.7</v>
      </c>
      <c r="BE11" s="817">
        <f t="shared" si="26"/>
        <v>1418</v>
      </c>
      <c r="BF11" s="817">
        <f t="shared" si="26"/>
        <v>939</v>
      </c>
      <c r="BG11" s="753">
        <f t="shared" si="27"/>
        <v>-33.799999999999997</v>
      </c>
      <c r="BH11" s="817">
        <v>11591</v>
      </c>
      <c r="BI11" s="817">
        <v>11595</v>
      </c>
      <c r="BJ11" s="753">
        <f t="shared" si="28"/>
        <v>0</v>
      </c>
      <c r="BK11" s="817">
        <f t="shared" si="29"/>
        <v>1680</v>
      </c>
      <c r="BL11" s="817">
        <f t="shared" si="29"/>
        <v>517</v>
      </c>
      <c r="BM11" s="753">
        <f t="shared" si="30"/>
        <v>-69.2</v>
      </c>
      <c r="BN11" s="817">
        <v>13271</v>
      </c>
      <c r="BO11" s="817">
        <v>12112</v>
      </c>
      <c r="BP11" s="753">
        <f t="shared" si="31"/>
        <v>-8.6999999999999993</v>
      </c>
      <c r="BQ11" s="817">
        <f t="shared" si="32"/>
        <v>1053</v>
      </c>
      <c r="BR11" s="817">
        <f t="shared" si="32"/>
        <v>886</v>
      </c>
      <c r="BS11" s="753">
        <f t="shared" si="33"/>
        <v>-15.9</v>
      </c>
      <c r="BT11" s="817">
        <v>14324</v>
      </c>
      <c r="BU11" s="817">
        <v>12998</v>
      </c>
      <c r="BV11" s="753">
        <f t="shared" si="34"/>
        <v>-9.3000000000000007</v>
      </c>
    </row>
    <row r="12" spans="1:74" ht="15" customHeight="1">
      <c r="A12" s="96"/>
      <c r="B12" s="1164"/>
      <c r="C12" s="79" t="s">
        <v>158</v>
      </c>
      <c r="D12" s="44">
        <v>2973</v>
      </c>
      <c r="E12" s="44">
        <v>4974</v>
      </c>
      <c r="F12" s="44">
        <v>5825</v>
      </c>
      <c r="G12" s="44">
        <v>3944</v>
      </c>
      <c r="H12" s="44">
        <v>4107</v>
      </c>
      <c r="I12" s="44">
        <v>8843</v>
      </c>
      <c r="J12" s="44">
        <v>8921</v>
      </c>
      <c r="K12" s="44">
        <v>7835</v>
      </c>
      <c r="L12" s="527">
        <v>658</v>
      </c>
      <c r="M12" s="383">
        <v>604</v>
      </c>
      <c r="N12" s="242">
        <f t="shared" si="0"/>
        <v>-8.1999999999999993</v>
      </c>
      <c r="O12" s="383">
        <f t="shared" si="1"/>
        <v>998</v>
      </c>
      <c r="P12" s="383">
        <f t="shared" si="1"/>
        <v>607</v>
      </c>
      <c r="Q12" s="242">
        <f t="shared" si="2"/>
        <v>-39.200000000000003</v>
      </c>
      <c r="R12" s="519">
        <v>1656</v>
      </c>
      <c r="S12" s="383">
        <v>1211</v>
      </c>
      <c r="T12" s="242">
        <f t="shared" si="3"/>
        <v>-26.9</v>
      </c>
      <c r="U12" s="383">
        <f t="shared" si="4"/>
        <v>593</v>
      </c>
      <c r="V12" s="383">
        <f t="shared" si="5"/>
        <v>408</v>
      </c>
      <c r="W12" s="242">
        <f t="shared" si="6"/>
        <v>-31.2</v>
      </c>
      <c r="X12" s="383">
        <v>2249</v>
      </c>
      <c r="Y12" s="383">
        <v>1619</v>
      </c>
      <c r="Z12" s="242">
        <f t="shared" si="7"/>
        <v>-28</v>
      </c>
      <c r="AA12" s="527">
        <f t="shared" si="8"/>
        <v>299</v>
      </c>
      <c r="AB12" s="527">
        <f t="shared" si="9"/>
        <v>1108</v>
      </c>
      <c r="AC12" s="242">
        <f t="shared" si="10"/>
        <v>270.60000000000002</v>
      </c>
      <c r="AD12" s="527">
        <v>2548</v>
      </c>
      <c r="AE12" s="527">
        <v>2727</v>
      </c>
      <c r="AF12" s="242">
        <f t="shared" si="11"/>
        <v>7</v>
      </c>
      <c r="AG12" s="527">
        <f t="shared" si="12"/>
        <v>899</v>
      </c>
      <c r="AH12" s="527">
        <f t="shared" si="12"/>
        <v>0</v>
      </c>
      <c r="AI12" s="242">
        <f t="shared" si="13"/>
        <v>-100</v>
      </c>
      <c r="AJ12" s="527">
        <v>3447</v>
      </c>
      <c r="AK12" s="527">
        <v>2727</v>
      </c>
      <c r="AL12" s="242">
        <f t="shared" si="14"/>
        <v>-20.9</v>
      </c>
      <c r="AM12" s="661">
        <f t="shared" si="15"/>
        <v>701</v>
      </c>
      <c r="AN12" s="661">
        <f t="shared" si="16"/>
        <v>701</v>
      </c>
      <c r="AO12" s="652">
        <f t="shared" si="17"/>
        <v>0</v>
      </c>
      <c r="AP12" s="817">
        <v>4148</v>
      </c>
      <c r="AQ12" s="817">
        <v>3428</v>
      </c>
      <c r="AR12" s="652">
        <f t="shared" si="18"/>
        <v>-17.399999999999999</v>
      </c>
      <c r="AS12" s="817">
        <f t="shared" si="19"/>
        <v>500</v>
      </c>
      <c r="AT12" s="817">
        <f t="shared" si="19"/>
        <v>802</v>
      </c>
      <c r="AU12" s="753">
        <f t="shared" si="20"/>
        <v>60.4</v>
      </c>
      <c r="AV12" s="969">
        <v>4648</v>
      </c>
      <c r="AW12" s="977">
        <v>4230</v>
      </c>
      <c r="AX12" s="753">
        <f t="shared" si="21"/>
        <v>-9</v>
      </c>
      <c r="AY12" s="817">
        <f t="shared" si="22"/>
        <v>601</v>
      </c>
      <c r="AZ12" s="817">
        <f t="shared" si="23"/>
        <v>301</v>
      </c>
      <c r="BA12" s="753">
        <f t="shared" si="24"/>
        <v>-49.9</v>
      </c>
      <c r="BB12" s="817">
        <v>5249</v>
      </c>
      <c r="BC12" s="817">
        <v>4531</v>
      </c>
      <c r="BD12" s="753">
        <f t="shared" si="25"/>
        <v>-13.7</v>
      </c>
      <c r="BE12" s="817">
        <f t="shared" si="26"/>
        <v>297</v>
      </c>
      <c r="BF12" s="817">
        <f t="shared" si="26"/>
        <v>702</v>
      </c>
      <c r="BG12" s="753">
        <f t="shared" si="27"/>
        <v>136.4</v>
      </c>
      <c r="BH12" s="817">
        <v>5546</v>
      </c>
      <c r="BI12" s="817">
        <v>5233</v>
      </c>
      <c r="BJ12" s="753">
        <f t="shared" si="28"/>
        <v>-5.6</v>
      </c>
      <c r="BK12" s="817">
        <f t="shared" si="29"/>
        <v>1191</v>
      </c>
      <c r="BL12" s="817">
        <f t="shared" si="29"/>
        <v>702</v>
      </c>
      <c r="BM12" s="753">
        <f t="shared" si="30"/>
        <v>-41.1</v>
      </c>
      <c r="BN12" s="817">
        <v>6737</v>
      </c>
      <c r="BO12" s="817">
        <v>5935</v>
      </c>
      <c r="BP12" s="753">
        <f t="shared" si="31"/>
        <v>-11.9</v>
      </c>
      <c r="BQ12" s="817">
        <f t="shared" si="32"/>
        <v>596</v>
      </c>
      <c r="BR12" s="817">
        <f t="shared" si="32"/>
        <v>701</v>
      </c>
      <c r="BS12" s="753">
        <f t="shared" si="33"/>
        <v>17.600000000000001</v>
      </c>
      <c r="BT12" s="817">
        <v>7333</v>
      </c>
      <c r="BU12" s="817">
        <v>6636</v>
      </c>
      <c r="BV12" s="753">
        <f t="shared" si="34"/>
        <v>-9.5</v>
      </c>
    </row>
    <row r="13" spans="1:74" ht="15" customHeight="1">
      <c r="A13" s="96"/>
      <c r="B13" s="1164"/>
      <c r="C13" s="79" t="s">
        <v>159</v>
      </c>
      <c r="D13" s="44">
        <v>4429</v>
      </c>
      <c r="E13" s="44">
        <v>2501</v>
      </c>
      <c r="F13" s="44">
        <v>2331</v>
      </c>
      <c r="G13" s="44">
        <v>1375</v>
      </c>
      <c r="H13" s="44">
        <v>6003</v>
      </c>
      <c r="I13" s="44">
        <v>4973</v>
      </c>
      <c r="J13" s="44">
        <v>6496</v>
      </c>
      <c r="K13" s="44">
        <v>5865</v>
      </c>
      <c r="L13" s="527">
        <v>680</v>
      </c>
      <c r="M13" s="383">
        <v>400</v>
      </c>
      <c r="N13" s="242">
        <f t="shared" si="0"/>
        <v>-41.2</v>
      </c>
      <c r="O13" s="383">
        <f t="shared" si="1"/>
        <v>995</v>
      </c>
      <c r="P13" s="383">
        <f t="shared" si="1"/>
        <v>305</v>
      </c>
      <c r="Q13" s="242">
        <f t="shared" si="2"/>
        <v>-69.3</v>
      </c>
      <c r="R13" s="519">
        <v>1675</v>
      </c>
      <c r="S13" s="383">
        <v>705</v>
      </c>
      <c r="T13" s="242">
        <f t="shared" si="3"/>
        <v>-57.9</v>
      </c>
      <c r="U13" s="383">
        <f t="shared" si="4"/>
        <v>1390</v>
      </c>
      <c r="V13" s="383">
        <f t="shared" si="5"/>
        <v>111</v>
      </c>
      <c r="W13" s="242">
        <f t="shared" si="6"/>
        <v>-92</v>
      </c>
      <c r="X13" s="383">
        <v>3065</v>
      </c>
      <c r="Y13" s="383">
        <v>816</v>
      </c>
      <c r="Z13" s="242">
        <f t="shared" si="7"/>
        <v>-73.400000000000006</v>
      </c>
      <c r="AA13" s="527">
        <f t="shared" si="8"/>
        <v>233</v>
      </c>
      <c r="AB13" s="527">
        <f t="shared" si="9"/>
        <v>191</v>
      </c>
      <c r="AC13" s="242">
        <f t="shared" si="10"/>
        <v>-18</v>
      </c>
      <c r="AD13" s="527">
        <v>3298</v>
      </c>
      <c r="AE13" s="527">
        <v>1007</v>
      </c>
      <c r="AF13" s="242">
        <f t="shared" si="11"/>
        <v>-69.5</v>
      </c>
      <c r="AG13" s="527">
        <f t="shared" si="12"/>
        <v>205</v>
      </c>
      <c r="AH13" s="527">
        <f t="shared" si="12"/>
        <v>100</v>
      </c>
      <c r="AI13" s="242">
        <f t="shared" si="13"/>
        <v>-51.2</v>
      </c>
      <c r="AJ13" s="527">
        <v>3503</v>
      </c>
      <c r="AK13" s="527">
        <v>1107</v>
      </c>
      <c r="AL13" s="242">
        <f t="shared" si="14"/>
        <v>-68.400000000000006</v>
      </c>
      <c r="AM13" s="661">
        <f t="shared" si="15"/>
        <v>244</v>
      </c>
      <c r="AN13" s="661">
        <f t="shared" si="16"/>
        <v>129</v>
      </c>
      <c r="AO13" s="652">
        <f t="shared" si="17"/>
        <v>-47.1</v>
      </c>
      <c r="AP13" s="817">
        <v>3747</v>
      </c>
      <c r="AQ13" s="817">
        <v>1236</v>
      </c>
      <c r="AR13" s="652">
        <f t="shared" si="18"/>
        <v>-67</v>
      </c>
      <c r="AS13" s="817">
        <f t="shared" si="19"/>
        <v>339</v>
      </c>
      <c r="AT13" s="817">
        <f t="shared" si="19"/>
        <v>291</v>
      </c>
      <c r="AU13" s="753">
        <f t="shared" si="20"/>
        <v>-14.2</v>
      </c>
      <c r="AV13" s="969">
        <v>4086</v>
      </c>
      <c r="AW13" s="977">
        <v>1527</v>
      </c>
      <c r="AX13" s="753">
        <f t="shared" si="21"/>
        <v>-62.6</v>
      </c>
      <c r="AY13" s="817">
        <f t="shared" si="22"/>
        <v>650</v>
      </c>
      <c r="AZ13" s="817">
        <f t="shared" si="23"/>
        <v>381</v>
      </c>
      <c r="BA13" s="753">
        <f t="shared" si="24"/>
        <v>-41.4</v>
      </c>
      <c r="BB13" s="817">
        <v>4736</v>
      </c>
      <c r="BC13" s="817">
        <v>1908</v>
      </c>
      <c r="BD13" s="753">
        <f t="shared" si="25"/>
        <v>-59.7</v>
      </c>
      <c r="BE13" s="817">
        <f t="shared" si="26"/>
        <v>340</v>
      </c>
      <c r="BF13" s="817">
        <f t="shared" si="26"/>
        <v>312</v>
      </c>
      <c r="BG13" s="753">
        <f t="shared" si="27"/>
        <v>-8.1999999999999993</v>
      </c>
      <c r="BH13" s="817">
        <v>5076</v>
      </c>
      <c r="BI13" s="817">
        <v>2220</v>
      </c>
      <c r="BJ13" s="753">
        <f t="shared" si="28"/>
        <v>-56.3</v>
      </c>
      <c r="BK13" s="817">
        <f t="shared" si="29"/>
        <v>239</v>
      </c>
      <c r="BL13" s="817">
        <f t="shared" si="29"/>
        <v>-79</v>
      </c>
      <c r="BM13" s="753">
        <f t="shared" si="30"/>
        <v>-133.1</v>
      </c>
      <c r="BN13" s="817">
        <v>5315</v>
      </c>
      <c r="BO13" s="817">
        <v>2141</v>
      </c>
      <c r="BP13" s="753">
        <f t="shared" si="31"/>
        <v>-59.7</v>
      </c>
      <c r="BQ13" s="817">
        <f t="shared" si="32"/>
        <v>225</v>
      </c>
      <c r="BR13" s="817">
        <f t="shared" si="32"/>
        <v>0</v>
      </c>
      <c r="BS13" s="753">
        <f t="shared" si="33"/>
        <v>-100</v>
      </c>
      <c r="BT13" s="817">
        <v>5540</v>
      </c>
      <c r="BU13" s="817">
        <v>2141</v>
      </c>
      <c r="BV13" s="753">
        <f t="shared" si="34"/>
        <v>-61.4</v>
      </c>
    </row>
    <row r="14" spans="1:74" ht="15" customHeight="1">
      <c r="A14" s="96"/>
      <c r="B14" s="1164"/>
      <c r="C14" s="79" t="s">
        <v>162</v>
      </c>
      <c r="D14" s="44">
        <v>3290</v>
      </c>
      <c r="E14" s="44">
        <v>4549</v>
      </c>
      <c r="F14" s="44">
        <v>3829</v>
      </c>
      <c r="G14" s="44">
        <v>2883</v>
      </c>
      <c r="H14" s="44">
        <v>2992</v>
      </c>
      <c r="I14" s="44">
        <v>1435</v>
      </c>
      <c r="J14" s="44">
        <v>801</v>
      </c>
      <c r="K14" s="44">
        <v>2383</v>
      </c>
      <c r="L14" s="527">
        <v>0</v>
      </c>
      <c r="M14" s="383">
        <v>93</v>
      </c>
      <c r="N14" s="177">
        <v>0</v>
      </c>
      <c r="O14" s="383">
        <f t="shared" si="1"/>
        <v>0</v>
      </c>
      <c r="P14" s="383">
        <f t="shared" si="1"/>
        <v>775</v>
      </c>
      <c r="Q14" s="177">
        <v>0</v>
      </c>
      <c r="R14" s="519">
        <v>0</v>
      </c>
      <c r="S14" s="383">
        <v>868</v>
      </c>
      <c r="T14" s="177">
        <v>0</v>
      </c>
      <c r="U14" s="383">
        <f t="shared" si="4"/>
        <v>0</v>
      </c>
      <c r="V14" s="383">
        <f t="shared" si="5"/>
        <v>845</v>
      </c>
      <c r="W14" s="177">
        <v>0</v>
      </c>
      <c r="X14" s="383">
        <v>0</v>
      </c>
      <c r="Y14" s="383">
        <v>1713</v>
      </c>
      <c r="Z14" s="177">
        <v>0</v>
      </c>
      <c r="AA14" s="527">
        <f t="shared" si="8"/>
        <v>117</v>
      </c>
      <c r="AB14" s="527">
        <f t="shared" si="9"/>
        <v>201</v>
      </c>
      <c r="AC14" s="242">
        <f t="shared" si="10"/>
        <v>71.8</v>
      </c>
      <c r="AD14" s="527">
        <v>117</v>
      </c>
      <c r="AE14" s="527">
        <v>1914</v>
      </c>
      <c r="AF14" s="242">
        <f t="shared" si="11"/>
        <v>1535.9</v>
      </c>
      <c r="AG14" s="527">
        <f t="shared" si="12"/>
        <v>201</v>
      </c>
      <c r="AH14" s="527">
        <f t="shared" si="12"/>
        <v>100</v>
      </c>
      <c r="AI14" s="242">
        <f t="shared" si="13"/>
        <v>-50.2</v>
      </c>
      <c r="AJ14" s="527">
        <v>318</v>
      </c>
      <c r="AK14" s="527">
        <v>2014</v>
      </c>
      <c r="AL14" s="242">
        <f t="shared" si="14"/>
        <v>533.29999999999995</v>
      </c>
      <c r="AM14" s="661">
        <f t="shared" si="15"/>
        <v>584</v>
      </c>
      <c r="AN14" s="661">
        <f t="shared" si="16"/>
        <v>398</v>
      </c>
      <c r="AO14" s="652">
        <f t="shared" si="17"/>
        <v>-31.8</v>
      </c>
      <c r="AP14" s="817">
        <v>902</v>
      </c>
      <c r="AQ14" s="817">
        <v>2412</v>
      </c>
      <c r="AR14" s="652">
        <f t="shared" si="18"/>
        <v>167.4</v>
      </c>
      <c r="AS14" s="817">
        <f t="shared" si="19"/>
        <v>0</v>
      </c>
      <c r="AT14" s="817">
        <f t="shared" si="19"/>
        <v>745</v>
      </c>
      <c r="AU14" s="753" t="e">
        <f t="shared" si="20"/>
        <v>#DIV/0!</v>
      </c>
      <c r="AV14" s="969">
        <v>902</v>
      </c>
      <c r="AW14" s="977">
        <v>3157</v>
      </c>
      <c r="AX14" s="753">
        <f t="shared" si="21"/>
        <v>250</v>
      </c>
      <c r="AY14" s="817">
        <f t="shared" si="22"/>
        <v>0</v>
      </c>
      <c r="AZ14" s="817">
        <f t="shared" si="23"/>
        <v>182</v>
      </c>
      <c r="BA14" s="799">
        <v>0</v>
      </c>
      <c r="BB14" s="817">
        <v>902</v>
      </c>
      <c r="BC14" s="817">
        <v>3339</v>
      </c>
      <c r="BD14" s="753">
        <f t="shared" si="25"/>
        <v>270.2</v>
      </c>
      <c r="BE14" s="817">
        <f t="shared" si="26"/>
        <v>98</v>
      </c>
      <c r="BF14" s="817">
        <f t="shared" si="26"/>
        <v>141</v>
      </c>
      <c r="BG14" s="753">
        <f t="shared" si="27"/>
        <v>43.9</v>
      </c>
      <c r="BH14" s="817">
        <v>1000</v>
      </c>
      <c r="BI14" s="817">
        <v>3480</v>
      </c>
      <c r="BJ14" s="753">
        <f t="shared" si="28"/>
        <v>248</v>
      </c>
      <c r="BK14" s="817">
        <f t="shared" si="29"/>
        <v>302</v>
      </c>
      <c r="BL14" s="817">
        <f t="shared" si="29"/>
        <v>325</v>
      </c>
      <c r="BM14" s="753">
        <f t="shared" si="30"/>
        <v>7.6</v>
      </c>
      <c r="BN14" s="817">
        <v>1302</v>
      </c>
      <c r="BO14" s="817">
        <v>3805</v>
      </c>
      <c r="BP14" s="753">
        <f t="shared" si="31"/>
        <v>192.2</v>
      </c>
      <c r="BQ14" s="817">
        <f t="shared" si="32"/>
        <v>597</v>
      </c>
      <c r="BR14" s="817">
        <f t="shared" si="32"/>
        <v>50</v>
      </c>
      <c r="BS14" s="753">
        <f t="shared" si="33"/>
        <v>-91.6</v>
      </c>
      <c r="BT14" s="817">
        <v>1899</v>
      </c>
      <c r="BU14" s="817">
        <v>3855</v>
      </c>
      <c r="BV14" s="753">
        <f t="shared" si="34"/>
        <v>103</v>
      </c>
    </row>
    <row r="15" spans="1:74" ht="15" customHeight="1">
      <c r="A15" s="96"/>
      <c r="B15" s="1164"/>
      <c r="C15" s="79" t="s">
        <v>160</v>
      </c>
      <c r="D15" s="44">
        <v>2201</v>
      </c>
      <c r="E15" s="44">
        <v>1894</v>
      </c>
      <c r="F15" s="44">
        <v>3247</v>
      </c>
      <c r="G15" s="44">
        <v>2463</v>
      </c>
      <c r="H15" s="44">
        <v>10838</v>
      </c>
      <c r="I15" s="44">
        <v>4387</v>
      </c>
      <c r="J15" s="44">
        <v>4907</v>
      </c>
      <c r="K15" s="44">
        <v>2329</v>
      </c>
      <c r="L15" s="527">
        <v>398</v>
      </c>
      <c r="M15" s="383">
        <v>0</v>
      </c>
      <c r="N15" s="242">
        <f>ROUND(((M15/L15-1)*100), 1)</f>
        <v>-100</v>
      </c>
      <c r="O15" s="383">
        <f t="shared" si="1"/>
        <v>197</v>
      </c>
      <c r="P15" s="383">
        <f t="shared" si="1"/>
        <v>174</v>
      </c>
      <c r="Q15" s="242">
        <f>ROUND(((P15/O15-1)*100), 1)</f>
        <v>-11.7</v>
      </c>
      <c r="R15" s="519">
        <v>595</v>
      </c>
      <c r="S15" s="383">
        <v>174</v>
      </c>
      <c r="T15" s="242">
        <f>ROUND(((S15/R15-1)*100), 1)</f>
        <v>-70.8</v>
      </c>
      <c r="U15" s="383">
        <f t="shared" si="4"/>
        <v>1</v>
      </c>
      <c r="V15" s="383">
        <f t="shared" si="5"/>
        <v>175</v>
      </c>
      <c r="W15" s="242">
        <f>ROUND(((V15/U15-1)*100), 1)</f>
        <v>17400</v>
      </c>
      <c r="X15" s="383">
        <v>596</v>
      </c>
      <c r="Y15" s="383">
        <v>349</v>
      </c>
      <c r="Z15" s="242">
        <f>ROUND(((Y15/X15-1)*100), 1)</f>
        <v>-41.4</v>
      </c>
      <c r="AA15" s="527">
        <f t="shared" si="8"/>
        <v>200</v>
      </c>
      <c r="AB15" s="527">
        <f t="shared" si="9"/>
        <v>0</v>
      </c>
      <c r="AC15" s="242">
        <f>ROUND(((AB15/AA15-1)*100), 1)</f>
        <v>-100</v>
      </c>
      <c r="AD15" s="527">
        <v>796</v>
      </c>
      <c r="AE15" s="527">
        <v>349</v>
      </c>
      <c r="AF15" s="242">
        <f>ROUND(((AE15/AD15-1)*100), 1)</f>
        <v>-56.2</v>
      </c>
      <c r="AG15" s="527">
        <f t="shared" si="12"/>
        <v>399</v>
      </c>
      <c r="AH15" s="527">
        <f t="shared" si="12"/>
        <v>175</v>
      </c>
      <c r="AI15" s="242">
        <f>ROUND(((AH15/AG15-1)*100), 1)</f>
        <v>-56.1</v>
      </c>
      <c r="AJ15" s="527">
        <v>1195</v>
      </c>
      <c r="AK15" s="527">
        <v>524</v>
      </c>
      <c r="AL15" s="242">
        <f>ROUND(((AK15/AJ15-1)*100), 1)</f>
        <v>-56.2</v>
      </c>
      <c r="AM15" s="661">
        <f t="shared" si="15"/>
        <v>198</v>
      </c>
      <c r="AN15" s="661">
        <f t="shared" si="16"/>
        <v>176</v>
      </c>
      <c r="AO15" s="652">
        <f>ROUND(((AN15/AM15-1)*100), 1)</f>
        <v>-11.1</v>
      </c>
      <c r="AP15" s="817">
        <v>1393</v>
      </c>
      <c r="AQ15" s="817">
        <v>700</v>
      </c>
      <c r="AR15" s="652">
        <f>ROUND(((AQ15/AP15-1)*100), 1)</f>
        <v>-49.7</v>
      </c>
      <c r="AS15" s="817">
        <f t="shared" si="19"/>
        <v>198</v>
      </c>
      <c r="AT15" s="817">
        <f t="shared" si="19"/>
        <v>0</v>
      </c>
      <c r="AU15" s="753">
        <f>ROUND(((AT15/AS15-1)*100), 1)</f>
        <v>-100</v>
      </c>
      <c r="AV15" s="969">
        <v>1591</v>
      </c>
      <c r="AW15" s="977">
        <v>700</v>
      </c>
      <c r="AX15" s="753">
        <f>ROUND(((AW15/AV15-1)*100), 1)</f>
        <v>-56</v>
      </c>
      <c r="AY15" s="817">
        <f t="shared" si="22"/>
        <v>0</v>
      </c>
      <c r="AZ15" s="817">
        <f t="shared" si="23"/>
        <v>100</v>
      </c>
      <c r="BA15" s="799">
        <v>0</v>
      </c>
      <c r="BB15" s="817">
        <v>1591</v>
      </c>
      <c r="BC15" s="817">
        <v>800</v>
      </c>
      <c r="BD15" s="753">
        <f>ROUND(((BC15/BB15-1)*100), 1)</f>
        <v>-49.7</v>
      </c>
      <c r="BE15" s="817">
        <f t="shared" si="26"/>
        <v>199</v>
      </c>
      <c r="BF15" s="817">
        <f t="shared" si="26"/>
        <v>76</v>
      </c>
      <c r="BG15" s="753">
        <f t="shared" si="27"/>
        <v>-61.8</v>
      </c>
      <c r="BH15" s="817">
        <v>1790</v>
      </c>
      <c r="BI15" s="817">
        <v>876</v>
      </c>
      <c r="BJ15" s="753">
        <f>ROUND(((BI15/BH15-1)*100), 1)</f>
        <v>-51.1</v>
      </c>
      <c r="BK15" s="817">
        <f t="shared" si="29"/>
        <v>0</v>
      </c>
      <c r="BL15" s="817">
        <f t="shared" si="29"/>
        <v>0</v>
      </c>
      <c r="BM15" s="799">
        <v>0</v>
      </c>
      <c r="BN15" s="817">
        <v>1790</v>
      </c>
      <c r="BO15" s="817">
        <v>876</v>
      </c>
      <c r="BP15" s="753">
        <f>ROUND(((BO15/BN15-1)*100), 1)</f>
        <v>-51.1</v>
      </c>
      <c r="BQ15" s="817">
        <f t="shared" si="32"/>
        <v>539</v>
      </c>
      <c r="BR15" s="817">
        <f t="shared" si="32"/>
        <v>0</v>
      </c>
      <c r="BS15" s="753">
        <f>ROUND(((BR15/BQ15-1)*100), 1)</f>
        <v>-100</v>
      </c>
      <c r="BT15" s="817">
        <v>2329</v>
      </c>
      <c r="BU15" s="817">
        <v>876</v>
      </c>
      <c r="BV15" s="753">
        <f t="shared" si="34"/>
        <v>-62.4</v>
      </c>
    </row>
    <row r="16" spans="1:74" ht="15" customHeight="1">
      <c r="A16" s="96"/>
      <c r="B16" s="1164"/>
      <c r="C16" s="79" t="s">
        <v>89</v>
      </c>
      <c r="D16" s="44">
        <v>0</v>
      </c>
      <c r="E16" s="44">
        <v>39</v>
      </c>
      <c r="F16" s="44">
        <v>1923</v>
      </c>
      <c r="G16" s="44">
        <v>2931</v>
      </c>
      <c r="H16" s="44">
        <v>194</v>
      </c>
      <c r="I16" s="44">
        <v>276</v>
      </c>
      <c r="J16" s="44">
        <v>1455</v>
      </c>
      <c r="K16" s="44">
        <v>1080</v>
      </c>
      <c r="L16" s="527">
        <v>100</v>
      </c>
      <c r="M16" s="383">
        <v>102</v>
      </c>
      <c r="N16" s="242">
        <f>ROUND(((M16/L16-1)*100), 1)</f>
        <v>2</v>
      </c>
      <c r="O16" s="383">
        <f t="shared" si="1"/>
        <v>0</v>
      </c>
      <c r="P16" s="383">
        <f t="shared" si="1"/>
        <v>101</v>
      </c>
      <c r="Q16" s="521">
        <v>0</v>
      </c>
      <c r="R16" s="519">
        <v>100</v>
      </c>
      <c r="S16" s="383">
        <v>203</v>
      </c>
      <c r="T16" s="242">
        <f>ROUND(((S16/R16-1)*100), 1)</f>
        <v>103</v>
      </c>
      <c r="U16" s="383">
        <f t="shared" si="4"/>
        <v>75</v>
      </c>
      <c r="V16" s="383">
        <f t="shared" si="5"/>
        <v>100</v>
      </c>
      <c r="W16" s="242">
        <f>ROUND(((V16/U16-1)*100), 1)</f>
        <v>33.299999999999997</v>
      </c>
      <c r="X16" s="383">
        <v>175</v>
      </c>
      <c r="Y16" s="383">
        <v>303</v>
      </c>
      <c r="Z16" s="242">
        <f>ROUND(((Y16/X16-1)*100), 1)</f>
        <v>73.099999999999994</v>
      </c>
      <c r="AA16" s="527">
        <f t="shared" si="8"/>
        <v>202</v>
      </c>
      <c r="AB16" s="527">
        <f t="shared" si="9"/>
        <v>100</v>
      </c>
      <c r="AC16" s="242">
        <f>ROUND(((AB16/AA16-1)*100), 1)</f>
        <v>-50.5</v>
      </c>
      <c r="AD16" s="527">
        <v>377</v>
      </c>
      <c r="AE16" s="527">
        <v>403</v>
      </c>
      <c r="AF16" s="242">
        <f>ROUND(((AE16/AD16-1)*100), 1)</f>
        <v>6.9</v>
      </c>
      <c r="AG16" s="527">
        <f t="shared" si="12"/>
        <v>101</v>
      </c>
      <c r="AH16" s="527">
        <f t="shared" si="12"/>
        <v>100</v>
      </c>
      <c r="AI16" s="242">
        <f>ROUND(((AH16/AG16-1)*100), 1)</f>
        <v>-1</v>
      </c>
      <c r="AJ16" s="527">
        <v>478</v>
      </c>
      <c r="AK16" s="527">
        <v>503</v>
      </c>
      <c r="AL16" s="242">
        <f>ROUND(((AK16/AJ16-1)*100), 1)</f>
        <v>5.2</v>
      </c>
      <c r="AM16" s="661">
        <f t="shared" si="15"/>
        <v>100</v>
      </c>
      <c r="AN16" s="661">
        <f t="shared" si="16"/>
        <v>0</v>
      </c>
      <c r="AO16" s="652">
        <f>ROUND(((AN16/AM16-1)*100), 1)</f>
        <v>-100</v>
      </c>
      <c r="AP16" s="817">
        <v>578</v>
      </c>
      <c r="AQ16" s="817">
        <v>503</v>
      </c>
      <c r="AR16" s="652">
        <f>ROUND(((AQ16/AP16-1)*100), 1)</f>
        <v>-13</v>
      </c>
      <c r="AS16" s="817">
        <f t="shared" si="19"/>
        <v>101</v>
      </c>
      <c r="AT16" s="817">
        <f t="shared" si="19"/>
        <v>101</v>
      </c>
      <c r="AU16" s="753">
        <f>ROUND(((AT16/AS16-1)*100), 1)</f>
        <v>0</v>
      </c>
      <c r="AV16" s="969">
        <v>679</v>
      </c>
      <c r="AW16" s="977">
        <v>604</v>
      </c>
      <c r="AX16" s="753">
        <f>ROUND(((AW16/AV16-1)*100), 1)</f>
        <v>-11</v>
      </c>
      <c r="AY16" s="817">
        <f t="shared" si="22"/>
        <v>101</v>
      </c>
      <c r="AZ16" s="817">
        <f t="shared" si="23"/>
        <v>100</v>
      </c>
      <c r="BA16" s="753">
        <f>ROUND(((AZ16/AY16-1)*100), 1)</f>
        <v>-1</v>
      </c>
      <c r="BB16" s="817">
        <v>780</v>
      </c>
      <c r="BC16" s="817">
        <v>704</v>
      </c>
      <c r="BD16" s="753">
        <f>ROUND(((BC16/BB16-1)*100), 1)</f>
        <v>-9.6999999999999993</v>
      </c>
      <c r="BE16" s="817">
        <f t="shared" si="26"/>
        <v>0</v>
      </c>
      <c r="BF16" s="817">
        <f t="shared" si="26"/>
        <v>101</v>
      </c>
      <c r="BG16" s="799">
        <v>0</v>
      </c>
      <c r="BH16" s="817">
        <v>780</v>
      </c>
      <c r="BI16" s="817">
        <v>805</v>
      </c>
      <c r="BJ16" s="753">
        <f>ROUND(((BI16/BH16-1)*100), 1)</f>
        <v>3.2</v>
      </c>
      <c r="BK16" s="817">
        <f t="shared" si="29"/>
        <v>100</v>
      </c>
      <c r="BL16" s="817">
        <f t="shared" si="29"/>
        <v>100</v>
      </c>
      <c r="BM16" s="753">
        <f>ROUND(((BL16/BK16-1)*100), 1)</f>
        <v>0</v>
      </c>
      <c r="BN16" s="817">
        <v>880</v>
      </c>
      <c r="BO16" s="817">
        <v>905</v>
      </c>
      <c r="BP16" s="753">
        <f>ROUND(((BO16/BN16-1)*100), 1)</f>
        <v>2.8</v>
      </c>
      <c r="BQ16" s="817">
        <f t="shared" si="32"/>
        <v>100</v>
      </c>
      <c r="BR16" s="817">
        <f t="shared" si="32"/>
        <v>100</v>
      </c>
      <c r="BS16" s="753">
        <f>ROUND(((BR16/BQ16-1)*100), 1)</f>
        <v>0</v>
      </c>
      <c r="BT16" s="817">
        <v>980</v>
      </c>
      <c r="BU16" s="817">
        <v>1005</v>
      </c>
      <c r="BV16" s="753">
        <f t="shared" si="34"/>
        <v>2.6</v>
      </c>
    </row>
    <row r="17" spans="1:74" ht="15" customHeight="1">
      <c r="A17" s="96"/>
      <c r="B17" s="1164"/>
      <c r="C17" s="79" t="s">
        <v>168</v>
      </c>
      <c r="D17" s="44">
        <v>0</v>
      </c>
      <c r="E17" s="44">
        <v>0</v>
      </c>
      <c r="F17" s="44">
        <v>0</v>
      </c>
      <c r="G17" s="44">
        <v>100</v>
      </c>
      <c r="H17" s="44">
        <v>400</v>
      </c>
      <c r="I17" s="44">
        <v>448</v>
      </c>
      <c r="J17" s="44">
        <v>250</v>
      </c>
      <c r="K17" s="44">
        <v>300</v>
      </c>
      <c r="L17" s="527">
        <v>0</v>
      </c>
      <c r="M17" s="383">
        <v>0</v>
      </c>
      <c r="N17" s="177">
        <v>0</v>
      </c>
      <c r="O17" s="383">
        <f t="shared" si="1"/>
        <v>0</v>
      </c>
      <c r="P17" s="383">
        <f t="shared" si="1"/>
        <v>41</v>
      </c>
      <c r="Q17" s="177">
        <v>0</v>
      </c>
      <c r="R17" s="519">
        <v>0</v>
      </c>
      <c r="S17" s="383">
        <v>41</v>
      </c>
      <c r="T17" s="177">
        <v>0</v>
      </c>
      <c r="U17" s="383">
        <f t="shared" si="4"/>
        <v>99</v>
      </c>
      <c r="V17" s="383">
        <f t="shared" si="5"/>
        <v>100</v>
      </c>
      <c r="W17" s="242">
        <f>ROUND(((V17/U17-1)*100), 1)</f>
        <v>1</v>
      </c>
      <c r="X17" s="383">
        <v>99</v>
      </c>
      <c r="Y17" s="383">
        <v>141</v>
      </c>
      <c r="Z17" s="242">
        <f t="shared" ref="Z17" si="35">ROUND(((Y17/X17-1)*100), 1)</f>
        <v>42.4</v>
      </c>
      <c r="AA17" s="527">
        <f t="shared" si="8"/>
        <v>0</v>
      </c>
      <c r="AB17" s="527">
        <f t="shared" si="9"/>
        <v>0</v>
      </c>
      <c r="AC17" s="521">
        <v>0</v>
      </c>
      <c r="AD17" s="527">
        <v>99</v>
      </c>
      <c r="AE17" s="527">
        <v>141</v>
      </c>
      <c r="AF17" s="242">
        <f t="shared" ref="AF17" si="36">ROUND(((AE17/AD17-1)*100), 1)</f>
        <v>42.4</v>
      </c>
      <c r="AG17" s="527">
        <f t="shared" si="12"/>
        <v>50</v>
      </c>
      <c r="AH17" s="527">
        <f t="shared" si="12"/>
        <v>101</v>
      </c>
      <c r="AI17" s="242">
        <f>ROUND(((AH17/AG17-1)*100), 1)</f>
        <v>102</v>
      </c>
      <c r="AJ17" s="527">
        <v>149</v>
      </c>
      <c r="AK17" s="527">
        <v>242</v>
      </c>
      <c r="AL17" s="242">
        <f t="shared" ref="AL17" si="37">ROUND(((AK17/AJ17-1)*100), 1)</f>
        <v>62.4</v>
      </c>
      <c r="AM17" s="661">
        <f t="shared" si="15"/>
        <v>0</v>
      </c>
      <c r="AN17" s="661">
        <f t="shared" si="16"/>
        <v>100</v>
      </c>
      <c r="AO17" s="799">
        <v>0</v>
      </c>
      <c r="AP17" s="817">
        <v>149</v>
      </c>
      <c r="AQ17" s="817">
        <v>342</v>
      </c>
      <c r="AR17" s="652">
        <f t="shared" ref="AR17" si="38">ROUND(((AQ17/AP17-1)*100), 1)</f>
        <v>129.5</v>
      </c>
      <c r="AS17" s="817">
        <f t="shared" si="19"/>
        <v>0</v>
      </c>
      <c r="AT17" s="817">
        <f t="shared" si="19"/>
        <v>0</v>
      </c>
      <c r="AU17" s="799">
        <v>0</v>
      </c>
      <c r="AV17" s="969">
        <v>149</v>
      </c>
      <c r="AW17" s="977">
        <v>342</v>
      </c>
      <c r="AX17" s="753">
        <f>ROUND(((AW17/AV17-1)*100), 1)</f>
        <v>129.5</v>
      </c>
      <c r="AY17" s="817">
        <f t="shared" si="22"/>
        <v>51</v>
      </c>
      <c r="AZ17" s="817">
        <f t="shared" si="23"/>
        <v>201</v>
      </c>
      <c r="BA17" s="753">
        <f>ROUND(((AZ17/AY17-1)*100), 1)</f>
        <v>294.10000000000002</v>
      </c>
      <c r="BB17" s="817">
        <v>200</v>
      </c>
      <c r="BC17" s="817">
        <v>543</v>
      </c>
      <c r="BD17" s="753">
        <f>ROUND(((BC17/BB17-1)*100), 1)</f>
        <v>171.5</v>
      </c>
      <c r="BE17" s="817">
        <f t="shared" si="26"/>
        <v>0</v>
      </c>
      <c r="BF17" s="817">
        <f t="shared" si="26"/>
        <v>0</v>
      </c>
      <c r="BG17" s="799">
        <v>0</v>
      </c>
      <c r="BH17" s="817">
        <v>200</v>
      </c>
      <c r="BI17" s="817">
        <v>543</v>
      </c>
      <c r="BJ17" s="753">
        <f>ROUND(((BI17/BH17-1)*100), 1)</f>
        <v>171.5</v>
      </c>
      <c r="BK17" s="817">
        <f t="shared" si="29"/>
        <v>0</v>
      </c>
      <c r="BL17" s="817">
        <f t="shared" si="29"/>
        <v>0</v>
      </c>
      <c r="BM17" s="799">
        <v>0</v>
      </c>
      <c r="BN17" s="817">
        <v>200</v>
      </c>
      <c r="BO17" s="817">
        <v>543</v>
      </c>
      <c r="BP17" s="753">
        <f>ROUND(((BO17/BN17-1)*100), 1)</f>
        <v>171.5</v>
      </c>
      <c r="BQ17" s="817">
        <f t="shared" si="32"/>
        <v>49</v>
      </c>
      <c r="BR17" s="817">
        <f t="shared" si="32"/>
        <v>0</v>
      </c>
      <c r="BS17" s="753">
        <f>ROUND(((BR17/BQ17-1)*100), 1)</f>
        <v>-100</v>
      </c>
      <c r="BT17" s="817">
        <v>249</v>
      </c>
      <c r="BU17" s="817">
        <v>543</v>
      </c>
      <c r="BV17" s="753">
        <f t="shared" si="34"/>
        <v>118.1</v>
      </c>
    </row>
    <row r="18" spans="1:74" s="291" customFormat="1" ht="15" customHeight="1">
      <c r="A18" s="434"/>
      <c r="B18" s="1164"/>
      <c r="C18" s="79" t="s">
        <v>468</v>
      </c>
      <c r="D18" s="44">
        <v>585</v>
      </c>
      <c r="E18" s="44">
        <v>0</v>
      </c>
      <c r="F18" s="44">
        <v>277</v>
      </c>
      <c r="G18" s="44">
        <v>20</v>
      </c>
      <c r="H18" s="44">
        <v>146</v>
      </c>
      <c r="I18" s="44">
        <v>171</v>
      </c>
      <c r="J18" s="44">
        <v>25</v>
      </c>
      <c r="K18" s="44">
        <v>270</v>
      </c>
      <c r="L18" s="527">
        <v>0</v>
      </c>
      <c r="M18" s="383">
        <v>0</v>
      </c>
      <c r="N18" s="177"/>
      <c r="O18" s="383">
        <f t="shared" si="1"/>
        <v>0</v>
      </c>
      <c r="P18" s="383">
        <f t="shared" si="1"/>
        <v>0</v>
      </c>
      <c r="Q18" s="177"/>
      <c r="R18" s="519">
        <v>0</v>
      </c>
      <c r="S18" s="383">
        <v>0</v>
      </c>
      <c r="T18" s="177"/>
      <c r="U18" s="383">
        <f t="shared" si="4"/>
        <v>0</v>
      </c>
      <c r="V18" s="383">
        <f t="shared" si="5"/>
        <v>97</v>
      </c>
      <c r="W18" s="177"/>
      <c r="X18" s="383">
        <v>0</v>
      </c>
      <c r="Y18" s="383">
        <v>97</v>
      </c>
      <c r="Z18" s="177"/>
      <c r="AA18" s="527">
        <f t="shared" si="8"/>
        <v>0</v>
      </c>
      <c r="AB18" s="527">
        <f t="shared" si="9"/>
        <v>0</v>
      </c>
      <c r="AC18" s="521">
        <v>0</v>
      </c>
      <c r="AD18" s="527">
        <v>0</v>
      </c>
      <c r="AE18" s="527">
        <v>97</v>
      </c>
      <c r="AF18" s="521">
        <v>0</v>
      </c>
      <c r="AG18" s="527">
        <f t="shared" si="12"/>
        <v>0</v>
      </c>
      <c r="AH18" s="527">
        <f t="shared" si="12"/>
        <v>0</v>
      </c>
      <c r="AI18" s="521"/>
      <c r="AJ18" s="527">
        <v>0</v>
      </c>
      <c r="AK18" s="527">
        <v>97</v>
      </c>
      <c r="AL18" s="521"/>
      <c r="AM18" s="661">
        <f t="shared" si="15"/>
        <v>0</v>
      </c>
      <c r="AN18" s="661">
        <f t="shared" si="16"/>
        <v>0</v>
      </c>
      <c r="AO18" s="799">
        <v>0</v>
      </c>
      <c r="AP18" s="817">
        <v>0</v>
      </c>
      <c r="AQ18" s="817">
        <v>97</v>
      </c>
      <c r="AR18" s="799">
        <v>0</v>
      </c>
      <c r="AS18" s="817">
        <f t="shared" si="19"/>
        <v>75</v>
      </c>
      <c r="AT18" s="817">
        <f t="shared" si="19"/>
        <v>0</v>
      </c>
      <c r="AU18" s="753">
        <f>ROUND(((AT18/AS18-1)*100), 1)</f>
        <v>-100</v>
      </c>
      <c r="AV18" s="969">
        <v>75</v>
      </c>
      <c r="AW18" s="977">
        <v>97</v>
      </c>
      <c r="AX18" s="753">
        <f>ROUND(((AW18/AV18-1)*100), 1)</f>
        <v>29.3</v>
      </c>
      <c r="AY18" s="817">
        <f t="shared" si="22"/>
        <v>0</v>
      </c>
      <c r="AZ18" s="817">
        <f t="shared" si="23"/>
        <v>0</v>
      </c>
      <c r="BA18" s="799">
        <v>0</v>
      </c>
      <c r="BB18" s="817">
        <v>75</v>
      </c>
      <c r="BC18" s="817">
        <v>97</v>
      </c>
      <c r="BD18" s="753">
        <f>ROUND(((BC18/BB18-1)*100), 1)</f>
        <v>29.3</v>
      </c>
      <c r="BE18" s="817">
        <f t="shared" si="26"/>
        <v>0</v>
      </c>
      <c r="BF18" s="817">
        <f t="shared" si="26"/>
        <v>0</v>
      </c>
      <c r="BG18" s="799">
        <v>0</v>
      </c>
      <c r="BH18" s="817">
        <v>75</v>
      </c>
      <c r="BI18" s="817">
        <v>97</v>
      </c>
      <c r="BJ18" s="753">
        <f>ROUND(((BI18/BH18-1)*100), 1)</f>
        <v>29.3</v>
      </c>
      <c r="BK18" s="817">
        <f t="shared" si="29"/>
        <v>0</v>
      </c>
      <c r="BL18" s="817">
        <f t="shared" si="29"/>
        <v>0</v>
      </c>
      <c r="BM18" s="799">
        <v>0</v>
      </c>
      <c r="BN18" s="817">
        <v>75</v>
      </c>
      <c r="BO18" s="817">
        <v>97</v>
      </c>
      <c r="BP18" s="753">
        <f>ROUND(((BO18/BN18-1)*100), 1)</f>
        <v>29.3</v>
      </c>
      <c r="BQ18" s="817">
        <f t="shared" si="32"/>
        <v>0</v>
      </c>
      <c r="BR18" s="817">
        <f t="shared" si="32"/>
        <v>0</v>
      </c>
      <c r="BS18" s="799">
        <v>0</v>
      </c>
      <c r="BT18" s="817">
        <v>75</v>
      </c>
      <c r="BU18" s="817">
        <v>97</v>
      </c>
      <c r="BV18" s="753">
        <f t="shared" si="34"/>
        <v>29.3</v>
      </c>
    </row>
    <row r="19" spans="1:74" ht="15" customHeight="1">
      <c r="A19" s="96"/>
      <c r="B19" s="1164"/>
      <c r="C19" s="79" t="s">
        <v>166</v>
      </c>
      <c r="D19" s="44">
        <v>15439</v>
      </c>
      <c r="E19" s="44">
        <v>24354</v>
      </c>
      <c r="F19" s="44">
        <v>11068</v>
      </c>
      <c r="G19" s="44">
        <v>733</v>
      </c>
      <c r="H19" s="44">
        <v>1734</v>
      </c>
      <c r="I19" s="44">
        <v>637</v>
      </c>
      <c r="J19" s="44">
        <v>587</v>
      </c>
      <c r="K19" s="44">
        <v>270</v>
      </c>
      <c r="L19" s="527">
        <v>0</v>
      </c>
      <c r="M19" s="383">
        <v>46</v>
      </c>
      <c r="N19" s="177">
        <v>0</v>
      </c>
      <c r="O19" s="383">
        <f t="shared" si="1"/>
        <v>20</v>
      </c>
      <c r="P19" s="383">
        <f t="shared" si="1"/>
        <v>0</v>
      </c>
      <c r="Q19" s="242">
        <f>ROUND(((P19/O19-1)*100), 1)</f>
        <v>-100</v>
      </c>
      <c r="R19" s="519">
        <v>20</v>
      </c>
      <c r="S19" s="383">
        <v>46</v>
      </c>
      <c r="T19" s="242">
        <f>ROUND(((S19/R19-1)*100), 1)</f>
        <v>130</v>
      </c>
      <c r="U19" s="383">
        <f t="shared" si="4"/>
        <v>51</v>
      </c>
      <c r="V19" s="383">
        <f t="shared" si="5"/>
        <v>0</v>
      </c>
      <c r="W19" s="242">
        <f>ROUND(((V19/U19-1)*100), 1)</f>
        <v>-100</v>
      </c>
      <c r="X19" s="383">
        <v>71</v>
      </c>
      <c r="Y19" s="383">
        <v>46</v>
      </c>
      <c r="Z19" s="242">
        <f>ROUND(((Y19/X19-1)*100), 1)</f>
        <v>-35.200000000000003</v>
      </c>
      <c r="AA19" s="527">
        <f t="shared" si="8"/>
        <v>0</v>
      </c>
      <c r="AB19" s="527">
        <f t="shared" si="9"/>
        <v>0</v>
      </c>
      <c r="AC19" s="521">
        <v>0</v>
      </c>
      <c r="AD19" s="527">
        <v>71</v>
      </c>
      <c r="AE19" s="527">
        <v>46</v>
      </c>
      <c r="AF19" s="242">
        <f>ROUND(((AE19/AD19-1)*100), 1)</f>
        <v>-35.200000000000003</v>
      </c>
      <c r="AG19" s="527">
        <f t="shared" si="12"/>
        <v>19</v>
      </c>
      <c r="AH19" s="527">
        <f t="shared" si="12"/>
        <v>20</v>
      </c>
      <c r="AI19" s="242">
        <f>ROUND(((AH19/AG19-1)*100), 1)</f>
        <v>5.3</v>
      </c>
      <c r="AJ19" s="527">
        <v>90</v>
      </c>
      <c r="AK19" s="527">
        <v>66</v>
      </c>
      <c r="AL19" s="242">
        <f>ROUND(((AK19/AJ19-1)*100), 1)</f>
        <v>-26.7</v>
      </c>
      <c r="AM19" s="661">
        <f t="shared" si="15"/>
        <v>20</v>
      </c>
      <c r="AN19" s="661">
        <f t="shared" si="16"/>
        <v>234</v>
      </c>
      <c r="AO19" s="753">
        <f t="shared" ref="AO19" si="39">ROUND(((AN19/AM19-1)*100), 1)</f>
        <v>1070</v>
      </c>
      <c r="AP19" s="817">
        <v>110</v>
      </c>
      <c r="AQ19" s="817">
        <v>300</v>
      </c>
      <c r="AR19" s="652">
        <f>ROUND(((AQ19/AP19-1)*100), 1)</f>
        <v>172.7</v>
      </c>
      <c r="AS19" s="817">
        <f t="shared" si="19"/>
        <v>20</v>
      </c>
      <c r="AT19" s="817">
        <f t="shared" si="19"/>
        <v>317</v>
      </c>
      <c r="AU19" s="753">
        <f>ROUND(((AT19/AS19-1)*100), 1)</f>
        <v>1485</v>
      </c>
      <c r="AV19" s="969">
        <v>130</v>
      </c>
      <c r="AW19" s="969">
        <v>617</v>
      </c>
      <c r="AX19" s="753">
        <f>ROUND(((AW19/AV19-1)*100), 1)</f>
        <v>374.6</v>
      </c>
      <c r="AY19" s="817">
        <f t="shared" si="22"/>
        <v>39</v>
      </c>
      <c r="AZ19" s="817">
        <f t="shared" si="23"/>
        <v>20</v>
      </c>
      <c r="BA19" s="753">
        <f>ROUND(((AZ19/AY19-1)*100), 1)</f>
        <v>-48.7</v>
      </c>
      <c r="BB19" s="817">
        <v>169</v>
      </c>
      <c r="BC19" s="817">
        <v>637</v>
      </c>
      <c r="BD19" s="753">
        <f>ROUND(((BC19/BB19-1)*100), 1)</f>
        <v>276.89999999999998</v>
      </c>
      <c r="BE19" s="817">
        <f t="shared" si="26"/>
        <v>20</v>
      </c>
      <c r="BF19" s="817">
        <f t="shared" si="26"/>
        <v>20</v>
      </c>
      <c r="BG19" s="753">
        <f>ROUND(((BF19/BE19-1)*100), 1)</f>
        <v>0</v>
      </c>
      <c r="BH19" s="817">
        <v>189</v>
      </c>
      <c r="BI19" s="817">
        <v>657</v>
      </c>
      <c r="BJ19" s="753">
        <f>ROUND(((BI19/BH19-1)*100), 1)</f>
        <v>247.6</v>
      </c>
      <c r="BK19" s="817">
        <f t="shared" si="29"/>
        <v>20</v>
      </c>
      <c r="BL19" s="817">
        <f t="shared" si="29"/>
        <v>19</v>
      </c>
      <c r="BM19" s="753">
        <f>ROUND(((BL19/BK19-1)*100), 1)</f>
        <v>-5</v>
      </c>
      <c r="BN19" s="817">
        <v>209</v>
      </c>
      <c r="BO19" s="817">
        <v>676</v>
      </c>
      <c r="BP19" s="753">
        <f>ROUND(((BO19/BN19-1)*100), 1)</f>
        <v>223.4</v>
      </c>
      <c r="BQ19" s="817">
        <f t="shared" si="32"/>
        <v>41</v>
      </c>
      <c r="BR19" s="817">
        <f t="shared" si="32"/>
        <v>20</v>
      </c>
      <c r="BS19" s="753">
        <f>ROUND(((BR19/BQ19-1)*100), 1)</f>
        <v>-51.2</v>
      </c>
      <c r="BT19" s="817">
        <v>250</v>
      </c>
      <c r="BU19" s="817">
        <v>696</v>
      </c>
      <c r="BV19" s="753">
        <f t="shared" si="34"/>
        <v>178.4</v>
      </c>
    </row>
    <row r="20" spans="1:74" ht="15" customHeight="1">
      <c r="A20" s="96"/>
      <c r="B20" s="1164"/>
      <c r="C20" s="79" t="s">
        <v>169</v>
      </c>
      <c r="D20" s="44">
        <v>7489</v>
      </c>
      <c r="E20" s="44">
        <v>6700</v>
      </c>
      <c r="F20" s="44">
        <v>2351</v>
      </c>
      <c r="G20" s="44">
        <v>1949</v>
      </c>
      <c r="H20" s="44">
        <v>3286</v>
      </c>
      <c r="I20" s="44">
        <v>400</v>
      </c>
      <c r="J20" s="44">
        <v>305</v>
      </c>
      <c r="K20" s="44">
        <v>2</v>
      </c>
      <c r="L20" s="527">
        <v>0</v>
      </c>
      <c r="M20" s="383">
        <v>0</v>
      </c>
      <c r="N20" s="177">
        <v>0</v>
      </c>
      <c r="O20" s="383">
        <f t="shared" si="1"/>
        <v>0</v>
      </c>
      <c r="P20" s="383">
        <f t="shared" si="1"/>
        <v>6</v>
      </c>
      <c r="Q20" s="177">
        <v>0</v>
      </c>
      <c r="R20" s="519">
        <v>0</v>
      </c>
      <c r="S20" s="383">
        <v>6</v>
      </c>
      <c r="T20" s="177">
        <v>0</v>
      </c>
      <c r="U20" s="383">
        <f t="shared" si="4"/>
        <v>0</v>
      </c>
      <c r="V20" s="383">
        <f t="shared" si="5"/>
        <v>10</v>
      </c>
      <c r="W20" s="177">
        <v>0</v>
      </c>
      <c r="X20" s="383">
        <v>0</v>
      </c>
      <c r="Y20" s="383">
        <v>16</v>
      </c>
      <c r="Z20" s="177">
        <v>0</v>
      </c>
      <c r="AA20" s="527">
        <f t="shared" si="8"/>
        <v>0</v>
      </c>
      <c r="AB20" s="527">
        <f t="shared" si="9"/>
        <v>0</v>
      </c>
      <c r="AC20" s="521">
        <v>0</v>
      </c>
      <c r="AD20" s="527">
        <v>0</v>
      </c>
      <c r="AE20" s="527">
        <v>16</v>
      </c>
      <c r="AF20" s="521">
        <v>0</v>
      </c>
      <c r="AG20" s="527">
        <f t="shared" si="12"/>
        <v>0</v>
      </c>
      <c r="AH20" s="527">
        <f t="shared" si="12"/>
        <v>0</v>
      </c>
      <c r="AI20" s="521">
        <v>0</v>
      </c>
      <c r="AJ20" s="527">
        <v>0</v>
      </c>
      <c r="AK20" s="527">
        <v>16</v>
      </c>
      <c r="AL20" s="521">
        <v>0</v>
      </c>
      <c r="AM20" s="661">
        <f t="shared" si="15"/>
        <v>0</v>
      </c>
      <c r="AN20" s="661">
        <f t="shared" si="16"/>
        <v>0</v>
      </c>
      <c r="AO20" s="647">
        <v>0</v>
      </c>
      <c r="AP20" s="817">
        <v>0</v>
      </c>
      <c r="AQ20" s="817">
        <v>16</v>
      </c>
      <c r="AR20" s="647">
        <v>0</v>
      </c>
      <c r="AS20" s="817">
        <f t="shared" si="19"/>
        <v>0</v>
      </c>
      <c r="AT20" s="817">
        <f t="shared" si="19"/>
        <v>0</v>
      </c>
      <c r="AU20" s="799">
        <v>0</v>
      </c>
      <c r="AV20" s="969">
        <v>0</v>
      </c>
      <c r="AW20" s="969">
        <v>16</v>
      </c>
      <c r="AX20" s="799">
        <v>0</v>
      </c>
      <c r="AY20" s="817">
        <f t="shared" si="22"/>
        <v>0</v>
      </c>
      <c r="AZ20" s="817">
        <f t="shared" si="23"/>
        <v>5</v>
      </c>
      <c r="BA20" s="799">
        <v>0</v>
      </c>
      <c r="BB20" s="817">
        <v>0</v>
      </c>
      <c r="BC20" s="817">
        <v>21</v>
      </c>
      <c r="BD20" s="799">
        <v>0</v>
      </c>
      <c r="BE20" s="817">
        <f t="shared" si="26"/>
        <v>2</v>
      </c>
      <c r="BF20" s="817">
        <f t="shared" si="26"/>
        <v>0</v>
      </c>
      <c r="BG20" s="753">
        <f t="shared" ref="BG20" si="40">ROUND(((BF20/BE20-1)*100), 1)</f>
        <v>-100</v>
      </c>
      <c r="BH20" s="817">
        <v>2</v>
      </c>
      <c r="BI20" s="817">
        <v>21</v>
      </c>
      <c r="BJ20" s="753">
        <f t="shared" ref="BJ20" si="41">ROUND(((BI20/BH20-1)*100), 1)</f>
        <v>950</v>
      </c>
      <c r="BK20" s="817">
        <f t="shared" si="29"/>
        <v>0</v>
      </c>
      <c r="BL20" s="817">
        <f t="shared" si="29"/>
        <v>0</v>
      </c>
      <c r="BM20" s="799">
        <v>0</v>
      </c>
      <c r="BN20" s="817">
        <v>2</v>
      </c>
      <c r="BO20" s="817">
        <v>21</v>
      </c>
      <c r="BP20" s="753">
        <f t="shared" ref="BP20" si="42">ROUND(((BO20/BN20-1)*100), 1)</f>
        <v>950</v>
      </c>
      <c r="BQ20" s="817">
        <f t="shared" si="32"/>
        <v>0</v>
      </c>
      <c r="BR20" s="817">
        <f t="shared" si="32"/>
        <v>0</v>
      </c>
      <c r="BS20" s="799">
        <v>0</v>
      </c>
      <c r="BT20" s="817">
        <v>2</v>
      </c>
      <c r="BU20" s="817">
        <v>21</v>
      </c>
      <c r="BV20" s="753">
        <f t="shared" si="34"/>
        <v>950</v>
      </c>
    </row>
    <row r="21" spans="1:74" ht="15" customHeight="1">
      <c r="A21" s="96"/>
      <c r="B21" s="1164"/>
      <c r="C21" s="79" t="s">
        <v>163</v>
      </c>
      <c r="D21" s="44">
        <v>6668</v>
      </c>
      <c r="E21" s="44">
        <v>1811</v>
      </c>
      <c r="F21" s="44">
        <v>8005</v>
      </c>
      <c r="G21" s="44">
        <v>304</v>
      </c>
      <c r="H21" s="44">
        <v>256</v>
      </c>
      <c r="I21" s="44">
        <v>1190</v>
      </c>
      <c r="J21" s="44">
        <v>2889</v>
      </c>
      <c r="K21" s="44">
        <v>0</v>
      </c>
      <c r="L21" s="527">
        <v>0</v>
      </c>
      <c r="M21" s="383">
        <v>0</v>
      </c>
      <c r="N21" s="177">
        <v>0</v>
      </c>
      <c r="O21" s="383">
        <f t="shared" si="1"/>
        <v>0</v>
      </c>
      <c r="P21" s="383">
        <f t="shared" si="1"/>
        <v>0</v>
      </c>
      <c r="Q21" s="177">
        <v>0</v>
      </c>
      <c r="R21" s="519">
        <v>0</v>
      </c>
      <c r="S21" s="383">
        <v>0</v>
      </c>
      <c r="T21" s="177">
        <v>0</v>
      </c>
      <c r="U21" s="383">
        <f t="shared" si="4"/>
        <v>0</v>
      </c>
      <c r="V21" s="383">
        <f t="shared" si="5"/>
        <v>0</v>
      </c>
      <c r="W21" s="177">
        <v>0</v>
      </c>
      <c r="X21" s="383">
        <v>0</v>
      </c>
      <c r="Y21" s="383">
        <v>0</v>
      </c>
      <c r="Z21" s="177">
        <v>0</v>
      </c>
      <c r="AA21" s="527">
        <f t="shared" si="8"/>
        <v>0</v>
      </c>
      <c r="AB21" s="527">
        <f t="shared" si="9"/>
        <v>0</v>
      </c>
      <c r="AC21" s="521">
        <v>0</v>
      </c>
      <c r="AD21" s="527">
        <v>0</v>
      </c>
      <c r="AE21" s="527">
        <v>0</v>
      </c>
      <c r="AF21" s="521">
        <v>0</v>
      </c>
      <c r="AG21" s="527">
        <f t="shared" si="12"/>
        <v>0</v>
      </c>
      <c r="AH21" s="527">
        <f t="shared" si="12"/>
        <v>0</v>
      </c>
      <c r="AI21" s="521">
        <v>0</v>
      </c>
      <c r="AJ21" s="527">
        <v>0</v>
      </c>
      <c r="AK21" s="527">
        <v>0</v>
      </c>
      <c r="AL21" s="521">
        <v>0</v>
      </c>
      <c r="AM21" s="661">
        <f t="shared" si="15"/>
        <v>0</v>
      </c>
      <c r="AN21" s="661">
        <f t="shared" si="16"/>
        <v>0</v>
      </c>
      <c r="AO21" s="647">
        <v>0</v>
      </c>
      <c r="AP21" s="817">
        <v>0</v>
      </c>
      <c r="AQ21" s="817">
        <v>0</v>
      </c>
      <c r="AR21" s="647">
        <v>0</v>
      </c>
      <c r="AS21" s="817">
        <f t="shared" si="19"/>
        <v>0</v>
      </c>
      <c r="AT21" s="817">
        <f t="shared" si="19"/>
        <v>48</v>
      </c>
      <c r="AU21" s="799">
        <v>0</v>
      </c>
      <c r="AV21" s="969">
        <v>0</v>
      </c>
      <c r="AW21" s="969">
        <v>48</v>
      </c>
      <c r="AX21" s="799">
        <v>0</v>
      </c>
      <c r="AY21" s="817">
        <f t="shared" si="22"/>
        <v>0</v>
      </c>
      <c r="AZ21" s="817">
        <f t="shared" si="23"/>
        <v>0</v>
      </c>
      <c r="BA21" s="799">
        <v>0</v>
      </c>
      <c r="BB21" s="817">
        <v>0</v>
      </c>
      <c r="BC21" s="817">
        <v>48</v>
      </c>
      <c r="BD21" s="799">
        <v>0</v>
      </c>
      <c r="BE21" s="817">
        <f t="shared" si="26"/>
        <v>0</v>
      </c>
      <c r="BF21" s="817">
        <f t="shared" si="26"/>
        <v>0</v>
      </c>
      <c r="BG21" s="799">
        <v>0</v>
      </c>
      <c r="BH21" s="817">
        <v>0</v>
      </c>
      <c r="BI21" s="817">
        <v>48</v>
      </c>
      <c r="BJ21" s="799">
        <v>0</v>
      </c>
      <c r="BK21" s="817">
        <f t="shared" si="29"/>
        <v>0</v>
      </c>
      <c r="BL21" s="817">
        <f t="shared" si="29"/>
        <v>0</v>
      </c>
      <c r="BM21" s="799">
        <v>0</v>
      </c>
      <c r="BN21" s="817">
        <v>0</v>
      </c>
      <c r="BO21" s="817">
        <v>48</v>
      </c>
      <c r="BP21" s="799">
        <v>0</v>
      </c>
      <c r="BQ21" s="817">
        <f t="shared" si="32"/>
        <v>0</v>
      </c>
      <c r="BR21" s="817">
        <f t="shared" si="32"/>
        <v>0</v>
      </c>
      <c r="BS21" s="799">
        <v>0</v>
      </c>
      <c r="BT21" s="817">
        <v>0</v>
      </c>
      <c r="BU21" s="817">
        <v>48</v>
      </c>
      <c r="BV21" s="799">
        <v>0</v>
      </c>
    </row>
    <row r="22" spans="1:74" ht="15" customHeight="1">
      <c r="A22" s="96"/>
      <c r="B22" s="1164"/>
      <c r="C22" s="79" t="s">
        <v>170</v>
      </c>
      <c r="D22" s="44">
        <v>0</v>
      </c>
      <c r="E22" s="44">
        <v>0</v>
      </c>
      <c r="F22" s="44">
        <v>0</v>
      </c>
      <c r="G22" s="44">
        <v>342</v>
      </c>
      <c r="H22" s="44">
        <v>289</v>
      </c>
      <c r="I22" s="44">
        <v>206</v>
      </c>
      <c r="J22" s="44">
        <v>355</v>
      </c>
      <c r="K22" s="44">
        <v>0</v>
      </c>
      <c r="L22" s="527">
        <v>0</v>
      </c>
      <c r="M22" s="383">
        <v>0</v>
      </c>
      <c r="N22" s="177">
        <v>0</v>
      </c>
      <c r="O22" s="383">
        <f t="shared" si="1"/>
        <v>0</v>
      </c>
      <c r="P22" s="383">
        <f t="shared" si="1"/>
        <v>0</v>
      </c>
      <c r="Q22" s="177">
        <v>0</v>
      </c>
      <c r="R22" s="519">
        <v>0</v>
      </c>
      <c r="S22" s="383">
        <v>0</v>
      </c>
      <c r="T22" s="177">
        <v>0</v>
      </c>
      <c r="U22" s="383">
        <f t="shared" si="4"/>
        <v>0</v>
      </c>
      <c r="V22" s="383">
        <f t="shared" si="5"/>
        <v>0</v>
      </c>
      <c r="W22" s="177">
        <v>0</v>
      </c>
      <c r="X22" s="383">
        <v>0</v>
      </c>
      <c r="Y22" s="383">
        <v>0</v>
      </c>
      <c r="Z22" s="177">
        <v>0</v>
      </c>
      <c r="AA22" s="527">
        <f t="shared" si="8"/>
        <v>0</v>
      </c>
      <c r="AB22" s="527">
        <f t="shared" si="9"/>
        <v>0</v>
      </c>
      <c r="AC22" s="521">
        <v>0</v>
      </c>
      <c r="AD22" s="527">
        <v>0</v>
      </c>
      <c r="AE22" s="527">
        <v>0</v>
      </c>
      <c r="AF22" s="521">
        <v>0</v>
      </c>
      <c r="AG22" s="527">
        <f t="shared" si="12"/>
        <v>0</v>
      </c>
      <c r="AH22" s="527">
        <f t="shared" si="12"/>
        <v>0</v>
      </c>
      <c r="AI22" s="521">
        <v>0</v>
      </c>
      <c r="AJ22" s="527">
        <v>0</v>
      </c>
      <c r="AK22" s="527">
        <v>0</v>
      </c>
      <c r="AL22" s="521">
        <v>0</v>
      </c>
      <c r="AM22" s="661">
        <f t="shared" si="15"/>
        <v>0</v>
      </c>
      <c r="AN22" s="661">
        <f t="shared" si="16"/>
        <v>0</v>
      </c>
      <c r="AO22" s="647">
        <v>0</v>
      </c>
      <c r="AP22" s="817">
        <v>0</v>
      </c>
      <c r="AQ22" s="817">
        <v>0</v>
      </c>
      <c r="AR22" s="647">
        <v>0</v>
      </c>
      <c r="AS22" s="817">
        <f t="shared" si="19"/>
        <v>0</v>
      </c>
      <c r="AT22" s="817">
        <f t="shared" si="19"/>
        <v>0</v>
      </c>
      <c r="AU22" s="799">
        <v>0</v>
      </c>
      <c r="AV22" s="969">
        <v>0</v>
      </c>
      <c r="AW22" s="969">
        <v>0</v>
      </c>
      <c r="AX22" s="799">
        <v>0</v>
      </c>
      <c r="AY22" s="817">
        <f t="shared" si="22"/>
        <v>0</v>
      </c>
      <c r="AZ22" s="817">
        <f t="shared" si="23"/>
        <v>0</v>
      </c>
      <c r="BA22" s="799">
        <v>0</v>
      </c>
      <c r="BB22" s="817">
        <v>0</v>
      </c>
      <c r="BC22" s="817">
        <v>0</v>
      </c>
      <c r="BD22" s="799">
        <v>0</v>
      </c>
      <c r="BE22" s="817">
        <f t="shared" si="26"/>
        <v>0</v>
      </c>
      <c r="BF22" s="817">
        <f t="shared" si="26"/>
        <v>0</v>
      </c>
      <c r="BG22" s="799">
        <v>0</v>
      </c>
      <c r="BH22" s="817">
        <v>0</v>
      </c>
      <c r="BI22" s="817">
        <v>0</v>
      </c>
      <c r="BJ22" s="799">
        <v>0</v>
      </c>
      <c r="BK22" s="817">
        <f t="shared" si="29"/>
        <v>0</v>
      </c>
      <c r="BL22" s="817">
        <f t="shared" si="29"/>
        <v>0</v>
      </c>
      <c r="BM22" s="799">
        <v>0</v>
      </c>
      <c r="BN22" s="817">
        <v>0</v>
      </c>
      <c r="BO22" s="817">
        <v>0</v>
      </c>
      <c r="BP22" s="799">
        <v>0</v>
      </c>
      <c r="BQ22" s="817">
        <f t="shared" si="32"/>
        <v>0</v>
      </c>
      <c r="BR22" s="817">
        <f t="shared" si="32"/>
        <v>0</v>
      </c>
      <c r="BS22" s="799">
        <v>0</v>
      </c>
      <c r="BT22" s="817">
        <v>0</v>
      </c>
      <c r="BU22" s="817">
        <v>0</v>
      </c>
      <c r="BV22" s="799">
        <v>0</v>
      </c>
    </row>
    <row r="23" spans="1:74" ht="15" customHeight="1">
      <c r="A23" s="96"/>
      <c r="B23" s="1164"/>
      <c r="C23" s="79" t="s">
        <v>172</v>
      </c>
      <c r="D23" s="44">
        <v>0</v>
      </c>
      <c r="E23" s="44">
        <v>0</v>
      </c>
      <c r="F23" s="44">
        <v>0</v>
      </c>
      <c r="G23" s="44">
        <v>199</v>
      </c>
      <c r="H23" s="44">
        <v>2246</v>
      </c>
      <c r="I23" s="44">
        <v>0</v>
      </c>
      <c r="J23" s="44">
        <v>193</v>
      </c>
      <c r="K23" s="44">
        <v>0</v>
      </c>
      <c r="L23" s="383">
        <v>0</v>
      </c>
      <c r="M23" s="383">
        <v>0</v>
      </c>
      <c r="N23" s="177">
        <v>0</v>
      </c>
      <c r="O23" s="383">
        <f t="shared" si="1"/>
        <v>0</v>
      </c>
      <c r="P23" s="383">
        <f t="shared" si="1"/>
        <v>0</v>
      </c>
      <c r="Q23" s="177">
        <v>0</v>
      </c>
      <c r="R23" s="519">
        <v>0</v>
      </c>
      <c r="S23" s="383">
        <v>0</v>
      </c>
      <c r="T23" s="177">
        <v>0</v>
      </c>
      <c r="U23" s="383">
        <f t="shared" si="4"/>
        <v>0</v>
      </c>
      <c r="V23" s="383">
        <f t="shared" si="5"/>
        <v>0</v>
      </c>
      <c r="W23" s="177">
        <v>0</v>
      </c>
      <c r="X23" s="383">
        <v>0</v>
      </c>
      <c r="Y23" s="383">
        <v>0</v>
      </c>
      <c r="Z23" s="177">
        <v>0</v>
      </c>
      <c r="AA23" s="527">
        <f t="shared" si="8"/>
        <v>0</v>
      </c>
      <c r="AB23" s="527">
        <f t="shared" si="9"/>
        <v>0</v>
      </c>
      <c r="AC23" s="521">
        <v>0</v>
      </c>
      <c r="AD23" s="527">
        <v>0</v>
      </c>
      <c r="AE23" s="527">
        <v>0</v>
      </c>
      <c r="AF23" s="521">
        <v>0</v>
      </c>
      <c r="AG23" s="527">
        <f t="shared" si="12"/>
        <v>0</v>
      </c>
      <c r="AH23" s="527">
        <f t="shared" si="12"/>
        <v>0</v>
      </c>
      <c r="AI23" s="521">
        <v>0</v>
      </c>
      <c r="AJ23" s="527">
        <v>0</v>
      </c>
      <c r="AK23" s="527">
        <v>0</v>
      </c>
      <c r="AL23" s="521">
        <v>0</v>
      </c>
      <c r="AM23" s="661">
        <f t="shared" si="15"/>
        <v>0</v>
      </c>
      <c r="AN23" s="661">
        <f t="shared" si="16"/>
        <v>0</v>
      </c>
      <c r="AO23" s="647">
        <v>0</v>
      </c>
      <c r="AP23" s="817">
        <v>0</v>
      </c>
      <c r="AQ23" s="817">
        <v>0</v>
      </c>
      <c r="AR23" s="647">
        <v>0</v>
      </c>
      <c r="AS23" s="817">
        <f t="shared" si="19"/>
        <v>0</v>
      </c>
      <c r="AT23" s="817">
        <f t="shared" si="19"/>
        <v>0</v>
      </c>
      <c r="AU23" s="799">
        <v>0</v>
      </c>
      <c r="AV23" s="969">
        <v>0</v>
      </c>
      <c r="AW23" s="969">
        <v>0</v>
      </c>
      <c r="AX23" s="799">
        <v>0</v>
      </c>
      <c r="AY23" s="817">
        <f t="shared" si="22"/>
        <v>0</v>
      </c>
      <c r="AZ23" s="817">
        <f t="shared" si="23"/>
        <v>0</v>
      </c>
      <c r="BA23" s="799">
        <v>0</v>
      </c>
      <c r="BB23" s="817">
        <v>0</v>
      </c>
      <c r="BC23" s="817">
        <v>0</v>
      </c>
      <c r="BD23" s="799">
        <v>0</v>
      </c>
      <c r="BE23" s="817">
        <f t="shared" si="26"/>
        <v>0</v>
      </c>
      <c r="BF23" s="817">
        <f t="shared" si="26"/>
        <v>0</v>
      </c>
      <c r="BG23" s="799">
        <v>0</v>
      </c>
      <c r="BH23" s="817">
        <v>0</v>
      </c>
      <c r="BI23" s="817">
        <v>0</v>
      </c>
      <c r="BJ23" s="799">
        <v>0</v>
      </c>
      <c r="BK23" s="817">
        <f t="shared" si="29"/>
        <v>0</v>
      </c>
      <c r="BL23" s="817">
        <f t="shared" si="29"/>
        <v>0</v>
      </c>
      <c r="BM23" s="799">
        <v>0</v>
      </c>
      <c r="BN23" s="817">
        <v>0</v>
      </c>
      <c r="BO23" s="817">
        <v>0</v>
      </c>
      <c r="BP23" s="799">
        <v>0</v>
      </c>
      <c r="BQ23" s="817">
        <f t="shared" si="32"/>
        <v>0</v>
      </c>
      <c r="BR23" s="817">
        <f t="shared" si="32"/>
        <v>0</v>
      </c>
      <c r="BS23" s="799">
        <v>0</v>
      </c>
      <c r="BT23" s="817">
        <v>0</v>
      </c>
      <c r="BU23" s="817">
        <v>0</v>
      </c>
      <c r="BV23" s="799">
        <v>0</v>
      </c>
    </row>
    <row r="24" spans="1:74" ht="15" customHeight="1">
      <c r="A24" s="96"/>
      <c r="B24" s="1164"/>
      <c r="C24" s="79" t="s">
        <v>164</v>
      </c>
      <c r="D24" s="44">
        <v>0</v>
      </c>
      <c r="E24" s="44">
        <v>1999</v>
      </c>
      <c r="F24" s="44">
        <v>0</v>
      </c>
      <c r="G24" s="44">
        <v>0</v>
      </c>
      <c r="H24" s="44">
        <v>0</v>
      </c>
      <c r="I24" s="44">
        <v>1002</v>
      </c>
      <c r="J24" s="44">
        <v>0</v>
      </c>
      <c r="K24" s="44">
        <v>0</v>
      </c>
      <c r="L24" s="383">
        <v>0</v>
      </c>
      <c r="M24" s="383">
        <v>0</v>
      </c>
      <c r="N24" s="177">
        <v>0</v>
      </c>
      <c r="O24" s="383">
        <f t="shared" si="1"/>
        <v>0</v>
      </c>
      <c r="P24" s="383">
        <f t="shared" si="1"/>
        <v>0</v>
      </c>
      <c r="Q24" s="177">
        <v>0</v>
      </c>
      <c r="R24" s="519">
        <v>0</v>
      </c>
      <c r="S24" s="383">
        <v>0</v>
      </c>
      <c r="T24" s="177">
        <v>0</v>
      </c>
      <c r="U24" s="383">
        <f t="shared" si="4"/>
        <v>0</v>
      </c>
      <c r="V24" s="383">
        <f t="shared" si="5"/>
        <v>0</v>
      </c>
      <c r="W24" s="177">
        <v>0</v>
      </c>
      <c r="X24" s="383">
        <v>0</v>
      </c>
      <c r="Y24" s="383">
        <v>0</v>
      </c>
      <c r="Z24" s="177">
        <v>0</v>
      </c>
      <c r="AA24" s="527">
        <f t="shared" si="8"/>
        <v>0</v>
      </c>
      <c r="AB24" s="527">
        <f t="shared" si="9"/>
        <v>0</v>
      </c>
      <c r="AC24" s="521">
        <v>0</v>
      </c>
      <c r="AD24" s="527">
        <v>0</v>
      </c>
      <c r="AE24" s="527">
        <v>0</v>
      </c>
      <c r="AF24" s="521">
        <v>0</v>
      </c>
      <c r="AG24" s="527">
        <f t="shared" si="12"/>
        <v>0</v>
      </c>
      <c r="AH24" s="527">
        <f t="shared" si="12"/>
        <v>0</v>
      </c>
      <c r="AI24" s="521">
        <v>0</v>
      </c>
      <c r="AJ24" s="527">
        <v>0</v>
      </c>
      <c r="AK24" s="527">
        <v>0</v>
      </c>
      <c r="AL24" s="521">
        <v>0</v>
      </c>
      <c r="AM24" s="661">
        <f t="shared" si="15"/>
        <v>0</v>
      </c>
      <c r="AN24" s="661">
        <f t="shared" si="16"/>
        <v>0</v>
      </c>
      <c r="AO24" s="647">
        <v>0</v>
      </c>
      <c r="AP24" s="817">
        <v>0</v>
      </c>
      <c r="AQ24" s="817">
        <v>0</v>
      </c>
      <c r="AR24" s="647">
        <v>0</v>
      </c>
      <c r="AS24" s="817">
        <f t="shared" si="19"/>
        <v>0</v>
      </c>
      <c r="AT24" s="817">
        <f t="shared" si="19"/>
        <v>0</v>
      </c>
      <c r="AU24" s="799">
        <v>0</v>
      </c>
      <c r="AV24" s="969">
        <v>0</v>
      </c>
      <c r="AW24" s="969">
        <v>0</v>
      </c>
      <c r="AX24" s="799">
        <v>0</v>
      </c>
      <c r="AY24" s="817">
        <f t="shared" si="22"/>
        <v>0</v>
      </c>
      <c r="AZ24" s="817">
        <f t="shared" si="23"/>
        <v>0</v>
      </c>
      <c r="BA24" s="799">
        <v>0</v>
      </c>
      <c r="BB24" s="817">
        <v>0</v>
      </c>
      <c r="BC24" s="817">
        <v>0</v>
      </c>
      <c r="BD24" s="799">
        <v>0</v>
      </c>
      <c r="BE24" s="817">
        <f t="shared" si="26"/>
        <v>0</v>
      </c>
      <c r="BF24" s="817">
        <f t="shared" si="26"/>
        <v>0</v>
      </c>
      <c r="BG24" s="799">
        <v>0</v>
      </c>
      <c r="BH24" s="817">
        <v>0</v>
      </c>
      <c r="BI24" s="817">
        <v>0</v>
      </c>
      <c r="BJ24" s="799">
        <v>0</v>
      </c>
      <c r="BK24" s="817">
        <f t="shared" si="29"/>
        <v>0</v>
      </c>
      <c r="BL24" s="817">
        <f t="shared" si="29"/>
        <v>0</v>
      </c>
      <c r="BM24" s="799">
        <v>0</v>
      </c>
      <c r="BN24" s="817">
        <v>0</v>
      </c>
      <c r="BO24" s="817">
        <v>0</v>
      </c>
      <c r="BP24" s="799">
        <v>0</v>
      </c>
      <c r="BQ24" s="817">
        <f t="shared" si="32"/>
        <v>0</v>
      </c>
      <c r="BR24" s="817">
        <f t="shared" si="32"/>
        <v>0</v>
      </c>
      <c r="BS24" s="799">
        <v>0</v>
      </c>
      <c r="BT24" s="817">
        <v>0</v>
      </c>
      <c r="BU24" s="817">
        <v>0</v>
      </c>
      <c r="BV24" s="799">
        <v>0</v>
      </c>
    </row>
    <row r="25" spans="1:74" ht="15" customHeight="1">
      <c r="A25" s="96"/>
      <c r="B25" s="1164"/>
      <c r="C25" s="79" t="s">
        <v>165</v>
      </c>
      <c r="D25" s="44">
        <v>499</v>
      </c>
      <c r="E25" s="44">
        <v>5998</v>
      </c>
      <c r="F25" s="44">
        <v>8103</v>
      </c>
      <c r="G25" s="44">
        <v>542</v>
      </c>
      <c r="H25" s="44">
        <v>26023</v>
      </c>
      <c r="I25" s="44">
        <v>788</v>
      </c>
      <c r="J25" s="44">
        <v>0</v>
      </c>
      <c r="K25" s="44">
        <v>0</v>
      </c>
      <c r="L25" s="383">
        <v>0</v>
      </c>
      <c r="M25" s="383">
        <v>0</v>
      </c>
      <c r="N25" s="177">
        <v>0</v>
      </c>
      <c r="O25" s="383">
        <f t="shared" si="1"/>
        <v>0</v>
      </c>
      <c r="P25" s="383">
        <f t="shared" si="1"/>
        <v>0</v>
      </c>
      <c r="Q25" s="177">
        <v>0</v>
      </c>
      <c r="R25" s="519">
        <v>0</v>
      </c>
      <c r="S25" s="383">
        <v>0</v>
      </c>
      <c r="T25" s="177">
        <v>0</v>
      </c>
      <c r="U25" s="383">
        <f t="shared" si="4"/>
        <v>0</v>
      </c>
      <c r="V25" s="383">
        <f t="shared" si="5"/>
        <v>0</v>
      </c>
      <c r="W25" s="177">
        <v>0</v>
      </c>
      <c r="X25" s="383">
        <v>0</v>
      </c>
      <c r="Y25" s="383">
        <v>0</v>
      </c>
      <c r="Z25" s="177">
        <v>0</v>
      </c>
      <c r="AA25" s="527">
        <f t="shared" si="8"/>
        <v>0</v>
      </c>
      <c r="AB25" s="527">
        <f t="shared" si="9"/>
        <v>293</v>
      </c>
      <c r="AC25" s="521">
        <v>0</v>
      </c>
      <c r="AD25" s="527">
        <v>0</v>
      </c>
      <c r="AE25" s="527">
        <v>293</v>
      </c>
      <c r="AF25" s="521">
        <v>0</v>
      </c>
      <c r="AG25" s="527">
        <f t="shared" si="12"/>
        <v>0</v>
      </c>
      <c r="AH25" s="527">
        <f t="shared" si="12"/>
        <v>0</v>
      </c>
      <c r="AI25" s="521">
        <v>0</v>
      </c>
      <c r="AJ25" s="527">
        <v>0</v>
      </c>
      <c r="AK25" s="527">
        <v>293</v>
      </c>
      <c r="AL25" s="521">
        <v>0</v>
      </c>
      <c r="AM25" s="661">
        <f t="shared" si="15"/>
        <v>0</v>
      </c>
      <c r="AN25" s="661">
        <f t="shared" si="16"/>
        <v>0</v>
      </c>
      <c r="AO25" s="647">
        <v>0</v>
      </c>
      <c r="AP25" s="817">
        <v>0</v>
      </c>
      <c r="AQ25" s="817">
        <v>293</v>
      </c>
      <c r="AR25" s="647">
        <v>0</v>
      </c>
      <c r="AS25" s="817">
        <f t="shared" si="19"/>
        <v>0</v>
      </c>
      <c r="AT25" s="817">
        <f t="shared" si="19"/>
        <v>0</v>
      </c>
      <c r="AU25" s="799">
        <v>0</v>
      </c>
      <c r="AV25" s="969">
        <v>0</v>
      </c>
      <c r="AW25" s="969">
        <v>293</v>
      </c>
      <c r="AX25" s="799">
        <v>0</v>
      </c>
      <c r="AY25" s="817">
        <f t="shared" si="22"/>
        <v>0</v>
      </c>
      <c r="AZ25" s="817">
        <f t="shared" si="23"/>
        <v>0</v>
      </c>
      <c r="BA25" s="799">
        <v>0</v>
      </c>
      <c r="BB25" s="817">
        <v>0</v>
      </c>
      <c r="BC25" s="817">
        <v>293</v>
      </c>
      <c r="BD25" s="799">
        <v>0</v>
      </c>
      <c r="BE25" s="817">
        <f t="shared" si="26"/>
        <v>0</v>
      </c>
      <c r="BF25" s="817">
        <f t="shared" si="26"/>
        <v>0</v>
      </c>
      <c r="BG25" s="799">
        <v>0</v>
      </c>
      <c r="BH25" s="817">
        <v>0</v>
      </c>
      <c r="BI25" s="817">
        <v>293</v>
      </c>
      <c r="BJ25" s="799">
        <v>0</v>
      </c>
      <c r="BK25" s="817">
        <f t="shared" si="29"/>
        <v>0</v>
      </c>
      <c r="BL25" s="817">
        <f t="shared" si="29"/>
        <v>0</v>
      </c>
      <c r="BM25" s="799">
        <v>0</v>
      </c>
      <c r="BN25" s="817">
        <v>0</v>
      </c>
      <c r="BO25" s="817">
        <v>293</v>
      </c>
      <c r="BP25" s="799">
        <v>0</v>
      </c>
      <c r="BQ25" s="817">
        <f t="shared" si="32"/>
        <v>0</v>
      </c>
      <c r="BR25" s="817">
        <f t="shared" si="32"/>
        <v>0</v>
      </c>
      <c r="BS25" s="799">
        <v>0</v>
      </c>
      <c r="BT25" s="817">
        <v>0</v>
      </c>
      <c r="BU25" s="817">
        <v>293</v>
      </c>
      <c r="BV25" s="799">
        <v>0</v>
      </c>
    </row>
    <row r="26" spans="1:74" ht="15" customHeight="1">
      <c r="A26" s="96"/>
      <c r="B26" s="1164"/>
      <c r="C26" s="79" t="s">
        <v>167</v>
      </c>
      <c r="D26" s="44">
        <v>2981</v>
      </c>
      <c r="E26" s="44">
        <v>99</v>
      </c>
      <c r="F26" s="44">
        <v>200</v>
      </c>
      <c r="G26" s="44">
        <v>97</v>
      </c>
      <c r="H26" s="44">
        <v>0</v>
      </c>
      <c r="I26" s="44">
        <v>504</v>
      </c>
      <c r="J26" s="44">
        <v>0</v>
      </c>
      <c r="K26" s="44">
        <v>0</v>
      </c>
      <c r="L26" s="383">
        <v>0</v>
      </c>
      <c r="M26" s="383">
        <v>0</v>
      </c>
      <c r="N26" s="177">
        <v>0</v>
      </c>
      <c r="O26" s="383">
        <f t="shared" si="1"/>
        <v>0</v>
      </c>
      <c r="P26" s="383">
        <f t="shared" si="1"/>
        <v>0</v>
      </c>
      <c r="Q26" s="177">
        <v>0</v>
      </c>
      <c r="R26" s="519">
        <v>0</v>
      </c>
      <c r="S26" s="383">
        <v>0</v>
      </c>
      <c r="T26" s="177">
        <v>0</v>
      </c>
      <c r="U26" s="383">
        <f t="shared" si="4"/>
        <v>0</v>
      </c>
      <c r="V26" s="383">
        <f t="shared" si="5"/>
        <v>0</v>
      </c>
      <c r="W26" s="177">
        <v>0</v>
      </c>
      <c r="X26" s="383">
        <v>0</v>
      </c>
      <c r="Y26" s="383">
        <v>0</v>
      </c>
      <c r="Z26" s="177">
        <v>0</v>
      </c>
      <c r="AA26" s="527">
        <f t="shared" si="8"/>
        <v>0</v>
      </c>
      <c r="AB26" s="527">
        <f t="shared" si="9"/>
        <v>0</v>
      </c>
      <c r="AC26" s="521">
        <v>0</v>
      </c>
      <c r="AD26" s="527">
        <v>0</v>
      </c>
      <c r="AE26" s="527">
        <v>0</v>
      </c>
      <c r="AF26" s="521">
        <v>0</v>
      </c>
      <c r="AG26" s="527">
        <f t="shared" si="12"/>
        <v>0</v>
      </c>
      <c r="AH26" s="527">
        <f t="shared" si="12"/>
        <v>0</v>
      </c>
      <c r="AI26" s="521">
        <v>0</v>
      </c>
      <c r="AJ26" s="527">
        <v>0</v>
      </c>
      <c r="AK26" s="527">
        <v>0</v>
      </c>
      <c r="AL26" s="521">
        <v>0</v>
      </c>
      <c r="AM26" s="661">
        <f t="shared" si="15"/>
        <v>0</v>
      </c>
      <c r="AN26" s="661">
        <f t="shared" si="16"/>
        <v>0</v>
      </c>
      <c r="AO26" s="647">
        <v>0</v>
      </c>
      <c r="AP26" s="817">
        <v>0</v>
      </c>
      <c r="AQ26" s="817">
        <v>0</v>
      </c>
      <c r="AR26" s="647">
        <v>0</v>
      </c>
      <c r="AS26" s="817">
        <f t="shared" si="19"/>
        <v>0</v>
      </c>
      <c r="AT26" s="817">
        <f t="shared" si="19"/>
        <v>0</v>
      </c>
      <c r="AU26" s="799">
        <v>0</v>
      </c>
      <c r="AV26" s="969">
        <v>0</v>
      </c>
      <c r="AW26" s="969">
        <v>0</v>
      </c>
      <c r="AX26" s="799">
        <v>0</v>
      </c>
      <c r="AY26" s="817">
        <f t="shared" si="22"/>
        <v>0</v>
      </c>
      <c r="AZ26" s="817">
        <f t="shared" si="23"/>
        <v>0</v>
      </c>
      <c r="BA26" s="799">
        <v>0</v>
      </c>
      <c r="BB26" s="817">
        <v>0</v>
      </c>
      <c r="BC26" s="817">
        <v>0</v>
      </c>
      <c r="BD26" s="799">
        <v>0</v>
      </c>
      <c r="BE26" s="817">
        <f t="shared" si="26"/>
        <v>0</v>
      </c>
      <c r="BF26" s="817">
        <f t="shared" si="26"/>
        <v>0</v>
      </c>
      <c r="BG26" s="799">
        <v>0</v>
      </c>
      <c r="BH26" s="817">
        <v>0</v>
      </c>
      <c r="BI26" s="817">
        <v>0</v>
      </c>
      <c r="BJ26" s="799">
        <v>0</v>
      </c>
      <c r="BK26" s="817">
        <f t="shared" si="29"/>
        <v>0</v>
      </c>
      <c r="BL26" s="817">
        <f t="shared" si="29"/>
        <v>0</v>
      </c>
      <c r="BM26" s="799">
        <v>0</v>
      </c>
      <c r="BN26" s="817">
        <v>0</v>
      </c>
      <c r="BO26" s="817">
        <v>0</v>
      </c>
      <c r="BP26" s="799">
        <v>0</v>
      </c>
      <c r="BQ26" s="817">
        <f t="shared" si="32"/>
        <v>0</v>
      </c>
      <c r="BR26" s="817">
        <f t="shared" si="32"/>
        <v>0</v>
      </c>
      <c r="BS26" s="799">
        <v>0</v>
      </c>
      <c r="BT26" s="817">
        <v>0</v>
      </c>
      <c r="BU26" s="817">
        <v>0</v>
      </c>
      <c r="BV26" s="799">
        <v>0</v>
      </c>
    </row>
    <row r="27" spans="1:74" ht="15" customHeight="1">
      <c r="A27" s="96"/>
      <c r="B27" s="1164"/>
      <c r="C27" s="79" t="s">
        <v>171</v>
      </c>
      <c r="D27" s="44"/>
      <c r="E27" s="44"/>
      <c r="F27" s="44"/>
      <c r="G27" s="44">
        <v>0</v>
      </c>
      <c r="H27" s="44">
        <v>2400</v>
      </c>
      <c r="I27" s="44">
        <v>0</v>
      </c>
      <c r="J27" s="44">
        <v>0</v>
      </c>
      <c r="K27" s="44">
        <v>0</v>
      </c>
      <c r="L27" s="383">
        <v>0</v>
      </c>
      <c r="M27" s="383">
        <v>0</v>
      </c>
      <c r="N27" s="177">
        <v>0</v>
      </c>
      <c r="O27" s="383">
        <f t="shared" si="1"/>
        <v>0</v>
      </c>
      <c r="P27" s="383">
        <f t="shared" si="1"/>
        <v>0</v>
      </c>
      <c r="Q27" s="177">
        <v>0</v>
      </c>
      <c r="R27" s="519">
        <v>0</v>
      </c>
      <c r="S27" s="383">
        <v>0</v>
      </c>
      <c r="T27" s="177">
        <v>0</v>
      </c>
      <c r="U27" s="383">
        <f t="shared" si="4"/>
        <v>0</v>
      </c>
      <c r="V27" s="383">
        <f t="shared" si="5"/>
        <v>0</v>
      </c>
      <c r="W27" s="177">
        <v>0</v>
      </c>
      <c r="X27" s="383">
        <v>0</v>
      </c>
      <c r="Y27" s="383">
        <v>0</v>
      </c>
      <c r="Z27" s="177">
        <v>0</v>
      </c>
      <c r="AA27" s="527">
        <f t="shared" si="8"/>
        <v>0</v>
      </c>
      <c r="AB27" s="527">
        <f t="shared" si="9"/>
        <v>0</v>
      </c>
      <c r="AC27" s="521">
        <v>0</v>
      </c>
      <c r="AD27" s="527">
        <v>0</v>
      </c>
      <c r="AE27" s="527">
        <v>0</v>
      </c>
      <c r="AF27" s="521">
        <v>0</v>
      </c>
      <c r="AG27" s="527">
        <f t="shared" si="12"/>
        <v>0</v>
      </c>
      <c r="AH27" s="527">
        <f t="shared" si="12"/>
        <v>0</v>
      </c>
      <c r="AI27" s="521">
        <v>0</v>
      </c>
      <c r="AJ27" s="527">
        <v>0</v>
      </c>
      <c r="AK27" s="527">
        <v>0</v>
      </c>
      <c r="AL27" s="521">
        <v>0</v>
      </c>
      <c r="AM27" s="661">
        <f t="shared" si="15"/>
        <v>0</v>
      </c>
      <c r="AN27" s="661">
        <f t="shared" si="16"/>
        <v>0</v>
      </c>
      <c r="AO27" s="647">
        <v>0</v>
      </c>
      <c r="AP27" s="817">
        <v>0</v>
      </c>
      <c r="AQ27" s="817">
        <v>0</v>
      </c>
      <c r="AR27" s="647">
        <v>0</v>
      </c>
      <c r="AS27" s="817">
        <f t="shared" si="19"/>
        <v>0</v>
      </c>
      <c r="AT27" s="817">
        <f t="shared" si="19"/>
        <v>0</v>
      </c>
      <c r="AU27" s="799">
        <v>0</v>
      </c>
      <c r="AV27" s="969">
        <v>0</v>
      </c>
      <c r="AW27" s="969">
        <v>0</v>
      </c>
      <c r="AX27" s="799">
        <v>0</v>
      </c>
      <c r="AY27" s="817">
        <f t="shared" si="22"/>
        <v>0</v>
      </c>
      <c r="AZ27" s="817">
        <f t="shared" si="23"/>
        <v>0</v>
      </c>
      <c r="BA27" s="799">
        <v>0</v>
      </c>
      <c r="BB27" s="817">
        <v>0</v>
      </c>
      <c r="BC27" s="817">
        <v>0</v>
      </c>
      <c r="BD27" s="799">
        <v>0</v>
      </c>
      <c r="BE27" s="817">
        <f t="shared" si="26"/>
        <v>0</v>
      </c>
      <c r="BF27" s="817">
        <f t="shared" si="26"/>
        <v>0</v>
      </c>
      <c r="BG27" s="799">
        <v>0</v>
      </c>
      <c r="BH27" s="817">
        <v>0</v>
      </c>
      <c r="BI27" s="817">
        <v>0</v>
      </c>
      <c r="BJ27" s="799">
        <v>0</v>
      </c>
      <c r="BK27" s="817">
        <f t="shared" si="29"/>
        <v>0</v>
      </c>
      <c r="BL27" s="817">
        <f t="shared" si="29"/>
        <v>0</v>
      </c>
      <c r="BM27" s="799">
        <v>0</v>
      </c>
      <c r="BN27" s="817">
        <v>0</v>
      </c>
      <c r="BO27" s="817">
        <v>0</v>
      </c>
      <c r="BP27" s="799">
        <v>0</v>
      </c>
      <c r="BQ27" s="817">
        <f t="shared" si="32"/>
        <v>0</v>
      </c>
      <c r="BR27" s="817">
        <f t="shared" si="32"/>
        <v>0</v>
      </c>
      <c r="BS27" s="799">
        <v>0</v>
      </c>
      <c r="BT27" s="817">
        <v>0</v>
      </c>
      <c r="BU27" s="817">
        <v>0</v>
      </c>
      <c r="BV27" s="799">
        <v>0</v>
      </c>
    </row>
    <row r="28" spans="1:74" ht="15" customHeight="1">
      <c r="A28" s="96"/>
      <c r="B28" s="1164"/>
      <c r="C28" s="79" t="s">
        <v>173</v>
      </c>
      <c r="D28" s="44">
        <f t="shared" ref="D28:I28" si="43">D29-SUM(D6:D27)</f>
        <v>4688</v>
      </c>
      <c r="E28" s="44">
        <f t="shared" si="43"/>
        <v>2336</v>
      </c>
      <c r="F28" s="44">
        <f t="shared" si="43"/>
        <v>373</v>
      </c>
      <c r="G28" s="44">
        <f t="shared" si="43"/>
        <v>1256</v>
      </c>
      <c r="H28" s="44">
        <f>H29-SUM(H6:H27)</f>
        <v>70</v>
      </c>
      <c r="I28" s="44">
        <f t="shared" si="43"/>
        <v>130</v>
      </c>
      <c r="J28" s="44">
        <f>J29-SUM(J6:J27)</f>
        <v>124</v>
      </c>
      <c r="K28" s="44">
        <f>K29-SUM(K6:K27)</f>
        <v>91</v>
      </c>
      <c r="L28" s="383">
        <f>L29-SUM(L6:L27)</f>
        <v>0</v>
      </c>
      <c r="M28" s="390">
        <f>M29-SUM(M6:M27)</f>
        <v>25</v>
      </c>
      <c r="N28" s="522">
        <v>0</v>
      </c>
      <c r="O28" s="383">
        <f>O29-SUM(O6:O27)</f>
        <v>0</v>
      </c>
      <c r="P28" s="390">
        <f>P29-SUM(P6:P27)</f>
        <v>0</v>
      </c>
      <c r="Q28" s="522">
        <v>0</v>
      </c>
      <c r="R28" s="383">
        <f>R29-SUM(R6:R27)</f>
        <v>0</v>
      </c>
      <c r="S28" s="390">
        <f>S29-SUM(S6:S27)</f>
        <v>25</v>
      </c>
      <c r="T28" s="522">
        <v>0</v>
      </c>
      <c r="U28" s="383">
        <f>U29-SUM(U6:U27)</f>
        <v>2</v>
      </c>
      <c r="V28" s="390">
        <f>V29-SUM(V6:V27)</f>
        <v>173</v>
      </c>
      <c r="W28" s="178">
        <v>0</v>
      </c>
      <c r="X28" s="383">
        <f>X29-SUM(X6:X27)</f>
        <v>2</v>
      </c>
      <c r="Y28" s="390">
        <f>Y29-SUM(Y6:Y27)</f>
        <v>198</v>
      </c>
      <c r="Z28" s="242">
        <f t="shared" ref="Z28:Z37" si="44">ROUND(((Y28/X28-1)*100), 1)</f>
        <v>9800</v>
      </c>
      <c r="AA28" s="527">
        <f>AA29-SUM(AA6:AA27)</f>
        <v>0</v>
      </c>
      <c r="AB28" s="390">
        <f>AB29-SUM(AB6:AB27)</f>
        <v>51</v>
      </c>
      <c r="AC28" s="522">
        <v>0</v>
      </c>
      <c r="AD28" s="527">
        <f>AD29-SUM(AD6:AD27)</f>
        <v>2</v>
      </c>
      <c r="AE28" s="390">
        <f>AE29-SUM(AE6:AE27)</f>
        <v>249</v>
      </c>
      <c r="AF28" s="242">
        <f t="shared" ref="AF28:AF37" si="45">ROUND(((AE28/AD28-1)*100), 1)</f>
        <v>12350</v>
      </c>
      <c r="AG28" s="527">
        <f>AG29-SUM(AG6:AG27)</f>
        <v>22</v>
      </c>
      <c r="AH28" s="390">
        <f>AH29-SUM(AH6:AH27)</f>
        <v>19</v>
      </c>
      <c r="AI28" s="242">
        <f>ROUND(((AH28/AG28-1)*100), 1)</f>
        <v>-13.6</v>
      </c>
      <c r="AJ28" s="527">
        <f>AJ29-SUM(AJ6:AJ27)</f>
        <v>24</v>
      </c>
      <c r="AK28" s="390">
        <f>AK29-SUM(AK6:AK27)</f>
        <v>268</v>
      </c>
      <c r="AL28" s="242">
        <f t="shared" ref="AL28:AL37" si="46">ROUND(((AK28/AJ28-1)*100), 1)</f>
        <v>1016.7</v>
      </c>
      <c r="AM28" s="661">
        <f>AM29-SUM(AM6:AM27)</f>
        <v>1</v>
      </c>
      <c r="AN28" s="663">
        <f>AN29-SUM(AN6:AN27)</f>
        <v>0</v>
      </c>
      <c r="AO28" s="652">
        <f>ROUND(((AN28/AM28-1)*100), 1)</f>
        <v>-100</v>
      </c>
      <c r="AP28" s="817">
        <f>AP29-SUM(AP6:AP27)</f>
        <v>25</v>
      </c>
      <c r="AQ28" s="819">
        <f>AQ29-SUM(AQ6:AQ27)</f>
        <v>268</v>
      </c>
      <c r="AR28" s="652">
        <f t="shared" ref="AR28:AR37" si="47">ROUND(((AQ28/AP28-1)*100), 1)</f>
        <v>972</v>
      </c>
      <c r="AS28" s="817">
        <f>AS29-SUM(AS6:AS27)</f>
        <v>0</v>
      </c>
      <c r="AT28" s="819">
        <f>AT29-SUM(AT6:AT27)</f>
        <v>0</v>
      </c>
      <c r="AU28" s="800">
        <v>0</v>
      </c>
      <c r="AV28" s="969">
        <f>AV29-SUM(AV6:AV27)</f>
        <v>25</v>
      </c>
      <c r="AW28" s="970">
        <f>AW29-SUM(AW6:AW27)</f>
        <v>268</v>
      </c>
      <c r="AX28" s="753">
        <f t="shared" ref="AX28:AX37" si="48">ROUND(((AW28/AV28-1)*100), 1)</f>
        <v>972</v>
      </c>
      <c r="AY28" s="817">
        <f>AY29-SUM(AY6:AY27)</f>
        <v>42</v>
      </c>
      <c r="AZ28" s="819">
        <f>AZ29-SUM(AZ6:AZ27)</f>
        <v>2</v>
      </c>
      <c r="BA28" s="753">
        <f t="shared" ref="BA28" si="49">ROUND(((AZ28/AY28-1)*100), 1)</f>
        <v>-95.2</v>
      </c>
      <c r="BB28" s="817">
        <f>BB29-SUM(BB6:BB27)</f>
        <v>67</v>
      </c>
      <c r="BC28" s="819">
        <f>BC29-SUM(BC6:BC27)</f>
        <v>270</v>
      </c>
      <c r="BD28" s="753">
        <f t="shared" ref="BD28:BD37" si="50">ROUND(((BC28/BB28-1)*100), 1)</f>
        <v>303</v>
      </c>
      <c r="BE28" s="817">
        <f>BE29-SUM(BE6:BE27)</f>
        <v>24</v>
      </c>
      <c r="BF28" s="819">
        <f>BF29-SUM(BF6:BF27)</f>
        <v>5</v>
      </c>
      <c r="BG28" s="753">
        <f t="shared" ref="BG28:BG37" si="51">ROUND(((BF28/BE28-1)*100), 1)</f>
        <v>-79.2</v>
      </c>
      <c r="BH28" s="817">
        <f>BH29-SUM(BH6:BH27)</f>
        <v>91</v>
      </c>
      <c r="BI28" s="819">
        <f>BI29-SUM(BI6:BI27)</f>
        <v>275</v>
      </c>
      <c r="BJ28" s="753">
        <f t="shared" ref="BJ28:BJ37" si="52">ROUND(((BI28/BH28-1)*100), 1)</f>
        <v>202.2</v>
      </c>
      <c r="BK28" s="817">
        <f>BK29-SUM(BK6:BK27)</f>
        <v>0</v>
      </c>
      <c r="BL28" s="819">
        <f>BL29-SUM(BL6:BL27)</f>
        <v>23</v>
      </c>
      <c r="BM28" s="799">
        <v>0</v>
      </c>
      <c r="BN28" s="817">
        <f>BN29-SUM(BN6:BN27)</f>
        <v>91</v>
      </c>
      <c r="BO28" s="819">
        <f>BO29-SUM(BO6:BO27)</f>
        <v>298</v>
      </c>
      <c r="BP28" s="753">
        <f t="shared" ref="BP28:BP37" si="53">ROUND(((BO28/BN28-1)*100), 1)</f>
        <v>227.5</v>
      </c>
      <c r="BQ28" s="817">
        <f>BQ29-SUM(BQ6:BQ27)</f>
        <v>0</v>
      </c>
      <c r="BR28" s="819">
        <f>BR29-SUM(BR6:BR27)</f>
        <v>48</v>
      </c>
      <c r="BS28" s="799">
        <v>0</v>
      </c>
      <c r="BT28" s="817">
        <f>BT29-SUM(BT6:BT27)</f>
        <v>91</v>
      </c>
      <c r="BU28" s="819">
        <f>BU29-SUM(BU6:BU27)</f>
        <v>346</v>
      </c>
      <c r="BV28" s="753">
        <f t="shared" ref="BV28:BV37" si="54">ROUND(((BU28/BT28-1)*100), 1)</f>
        <v>280.2</v>
      </c>
    </row>
    <row r="29" spans="1:74" ht="15" customHeight="1">
      <c r="A29" s="531"/>
      <c r="B29" s="1098"/>
      <c r="C29" s="167" t="s">
        <v>292</v>
      </c>
      <c r="D29" s="46">
        <v>137291</v>
      </c>
      <c r="E29" s="46">
        <v>135223</v>
      </c>
      <c r="F29" s="46">
        <v>203361</v>
      </c>
      <c r="G29" s="46">
        <v>206038</v>
      </c>
      <c r="H29" s="46">
        <v>307943</v>
      </c>
      <c r="I29" s="46">
        <v>272274</v>
      </c>
      <c r="J29" s="46">
        <v>286836</v>
      </c>
      <c r="K29" s="46">
        <v>270665</v>
      </c>
      <c r="L29" s="403">
        <v>19549</v>
      </c>
      <c r="M29" s="403">
        <v>28462</v>
      </c>
      <c r="N29" s="243">
        <f t="shared" ref="N29:N37" si="55">ROUND(((M29/L29-1)*100), 1)</f>
        <v>45.6</v>
      </c>
      <c r="O29" s="403">
        <f t="shared" ref="O29:P46" si="56">R29-L29</f>
        <v>29161</v>
      </c>
      <c r="P29" s="403">
        <f t="shared" si="56"/>
        <v>18079</v>
      </c>
      <c r="Q29" s="243">
        <f t="shared" ref="Q29:Q37" si="57">ROUND(((P29/O29-1)*100), 1)</f>
        <v>-38</v>
      </c>
      <c r="R29" s="403">
        <v>48710</v>
      </c>
      <c r="S29" s="403">
        <v>46541</v>
      </c>
      <c r="T29" s="243">
        <f t="shared" ref="T29:T37" si="58">ROUND(((S29/R29-1)*100), 1)</f>
        <v>-4.5</v>
      </c>
      <c r="U29" s="403">
        <f t="shared" ref="U29:U46" si="59">X29-R29</f>
        <v>23060</v>
      </c>
      <c r="V29" s="403">
        <f t="shared" ref="V29:V46" si="60">Y29-S29</f>
        <v>24332</v>
      </c>
      <c r="W29" s="243">
        <f t="shared" ref="W29:W37" si="61">ROUND(((V29/U29-1)*100), 1)</f>
        <v>5.5</v>
      </c>
      <c r="X29" s="403">
        <v>71770</v>
      </c>
      <c r="Y29" s="403">
        <v>70873</v>
      </c>
      <c r="Z29" s="243">
        <f t="shared" si="44"/>
        <v>-1.2</v>
      </c>
      <c r="AA29" s="403">
        <f t="shared" ref="AA29:AA46" si="62">AD29-X29</f>
        <v>21550</v>
      </c>
      <c r="AB29" s="403">
        <f t="shared" ref="AB29:AB46" si="63">AE29-Y29</f>
        <v>25973</v>
      </c>
      <c r="AC29" s="243">
        <f t="shared" ref="AC29:AC37" si="64">ROUND(((AB29/AA29-1)*100), 1)</f>
        <v>20.5</v>
      </c>
      <c r="AD29" s="403">
        <v>93320</v>
      </c>
      <c r="AE29" s="403">
        <v>96846</v>
      </c>
      <c r="AF29" s="243">
        <f t="shared" si="45"/>
        <v>3.8</v>
      </c>
      <c r="AG29" s="403">
        <f t="shared" ref="AG29:AH46" si="65">AJ29-AD29</f>
        <v>30603</v>
      </c>
      <c r="AH29" s="403">
        <f t="shared" si="65"/>
        <v>17015</v>
      </c>
      <c r="AI29" s="243">
        <f t="shared" ref="AI29:AI37" si="66">ROUND(((AH29/AG29-1)*100), 1)</f>
        <v>-44.4</v>
      </c>
      <c r="AJ29" s="403">
        <v>123923</v>
      </c>
      <c r="AK29" s="403">
        <v>113861</v>
      </c>
      <c r="AL29" s="243">
        <f t="shared" si="46"/>
        <v>-8.1</v>
      </c>
      <c r="AM29" s="664">
        <f t="shared" ref="AM29:AM46" si="67">AP29-AJ29</f>
        <v>25972</v>
      </c>
      <c r="AN29" s="664">
        <f t="shared" ref="AN29:AN46" si="68">AQ29-AK29</f>
        <v>19085</v>
      </c>
      <c r="AO29" s="653">
        <f t="shared" ref="AO29:AO37" si="69">ROUND(((AN29/AM29-1)*100), 1)</f>
        <v>-26.5</v>
      </c>
      <c r="AP29" s="814">
        <v>149895</v>
      </c>
      <c r="AQ29" s="814">
        <v>132946</v>
      </c>
      <c r="AR29" s="653">
        <f t="shared" si="47"/>
        <v>-11.3</v>
      </c>
      <c r="AS29" s="814">
        <f t="shared" ref="AS29:AT46" si="70">AV29-AP29</f>
        <v>18755</v>
      </c>
      <c r="AT29" s="814">
        <f t="shared" si="70"/>
        <v>31108</v>
      </c>
      <c r="AU29" s="754">
        <f t="shared" ref="AU29:AU37" si="71">ROUND(((AT29/AS29-1)*100), 1)</f>
        <v>65.900000000000006</v>
      </c>
      <c r="AV29" s="971">
        <v>168650</v>
      </c>
      <c r="AW29" s="971">
        <v>164054</v>
      </c>
      <c r="AX29" s="754">
        <f t="shared" si="48"/>
        <v>-2.7</v>
      </c>
      <c r="AY29" s="814">
        <f t="shared" ref="AY29:AY46" si="72">BB29-AV29</f>
        <v>29599</v>
      </c>
      <c r="AZ29" s="814">
        <f t="shared" ref="AZ29:AZ46" si="73">BC29-AW29</f>
        <v>15933</v>
      </c>
      <c r="BA29" s="754">
        <f t="shared" ref="BA29:BA35" si="74">ROUND(((AZ29/AY29-1)*100), 1)</f>
        <v>-46.2</v>
      </c>
      <c r="BB29" s="814">
        <v>198249</v>
      </c>
      <c r="BC29" s="814">
        <v>179987</v>
      </c>
      <c r="BD29" s="754">
        <f t="shared" si="50"/>
        <v>-9.1999999999999993</v>
      </c>
      <c r="BE29" s="814">
        <f t="shared" ref="BE29:BF46" si="75">BH29-BB29</f>
        <v>13696</v>
      </c>
      <c r="BF29" s="814">
        <f t="shared" si="75"/>
        <v>17893</v>
      </c>
      <c r="BG29" s="754">
        <f t="shared" si="51"/>
        <v>30.6</v>
      </c>
      <c r="BH29" s="814">
        <v>211945</v>
      </c>
      <c r="BI29" s="814">
        <v>197880</v>
      </c>
      <c r="BJ29" s="754">
        <f t="shared" si="52"/>
        <v>-6.6</v>
      </c>
      <c r="BK29" s="814">
        <f t="shared" ref="BK29:BL46" si="76">BN29-BH29</f>
        <v>19826</v>
      </c>
      <c r="BL29" s="814">
        <f t="shared" si="76"/>
        <v>13882</v>
      </c>
      <c r="BM29" s="754">
        <f t="shared" ref="BM29:BM37" si="77">ROUND(((BL29/BK29-1)*100), 1)</f>
        <v>-30</v>
      </c>
      <c r="BN29" s="814">
        <v>231771</v>
      </c>
      <c r="BO29" s="814">
        <v>211762</v>
      </c>
      <c r="BP29" s="754">
        <f t="shared" si="53"/>
        <v>-8.6</v>
      </c>
      <c r="BQ29" s="814">
        <f t="shared" ref="BQ29:BR46" si="78">BT29-BN29</f>
        <v>20709</v>
      </c>
      <c r="BR29" s="814">
        <f t="shared" si="78"/>
        <v>33872</v>
      </c>
      <c r="BS29" s="754">
        <f t="shared" ref="BS29:BS37" si="79">ROUND(((BR29/BQ29-1)*100), 1)</f>
        <v>63.6</v>
      </c>
      <c r="BT29" s="814">
        <v>252480</v>
      </c>
      <c r="BU29" s="814">
        <v>245634</v>
      </c>
      <c r="BV29" s="754">
        <f t="shared" si="54"/>
        <v>-2.7</v>
      </c>
    </row>
    <row r="30" spans="1:74" ht="15" customHeight="1">
      <c r="A30" s="96"/>
      <c r="B30" s="1165" t="s">
        <v>174</v>
      </c>
      <c r="C30" s="79" t="s">
        <v>156</v>
      </c>
      <c r="D30" s="44">
        <v>14269</v>
      </c>
      <c r="E30" s="44">
        <v>23850</v>
      </c>
      <c r="F30" s="44">
        <v>23282</v>
      </c>
      <c r="G30" s="44">
        <v>10030</v>
      </c>
      <c r="H30" s="44">
        <v>19736</v>
      </c>
      <c r="I30" s="44">
        <v>16781</v>
      </c>
      <c r="J30" s="44">
        <v>23636</v>
      </c>
      <c r="K30" s="44">
        <v>31915</v>
      </c>
      <c r="L30" s="383">
        <v>1243</v>
      </c>
      <c r="M30" s="383">
        <v>2421</v>
      </c>
      <c r="N30" s="242">
        <f t="shared" si="55"/>
        <v>94.8</v>
      </c>
      <c r="O30" s="383">
        <f t="shared" si="56"/>
        <v>2303</v>
      </c>
      <c r="P30" s="383">
        <f t="shared" si="56"/>
        <v>2602</v>
      </c>
      <c r="Q30" s="242">
        <f t="shared" si="57"/>
        <v>13</v>
      </c>
      <c r="R30" s="383">
        <v>3546</v>
      </c>
      <c r="S30" s="383">
        <v>5023</v>
      </c>
      <c r="T30" s="242">
        <f t="shared" si="58"/>
        <v>41.7</v>
      </c>
      <c r="U30" s="383">
        <f t="shared" si="59"/>
        <v>2261</v>
      </c>
      <c r="V30" s="383">
        <f t="shared" si="60"/>
        <v>3095</v>
      </c>
      <c r="W30" s="242">
        <f t="shared" si="61"/>
        <v>36.9</v>
      </c>
      <c r="X30" s="383">
        <v>5807</v>
      </c>
      <c r="Y30" s="383">
        <v>8118</v>
      </c>
      <c r="Z30" s="242">
        <f t="shared" si="44"/>
        <v>39.799999999999997</v>
      </c>
      <c r="AA30" s="527">
        <f t="shared" si="62"/>
        <v>2883</v>
      </c>
      <c r="AB30" s="527">
        <f t="shared" si="63"/>
        <v>1888</v>
      </c>
      <c r="AC30" s="242">
        <f t="shared" si="64"/>
        <v>-34.5</v>
      </c>
      <c r="AD30" s="527">
        <v>8690</v>
      </c>
      <c r="AE30" s="527">
        <v>10006</v>
      </c>
      <c r="AF30" s="242">
        <f t="shared" si="45"/>
        <v>15.1</v>
      </c>
      <c r="AG30" s="527">
        <f t="shared" si="65"/>
        <v>3083</v>
      </c>
      <c r="AH30" s="527">
        <f t="shared" si="65"/>
        <v>1302</v>
      </c>
      <c r="AI30" s="242">
        <f t="shared" si="66"/>
        <v>-57.8</v>
      </c>
      <c r="AJ30" s="527">
        <v>11773</v>
      </c>
      <c r="AK30" s="527">
        <v>11308</v>
      </c>
      <c r="AL30" s="242">
        <f t="shared" si="46"/>
        <v>-3.9</v>
      </c>
      <c r="AM30" s="661">
        <f t="shared" si="67"/>
        <v>3088</v>
      </c>
      <c r="AN30" s="661">
        <f t="shared" si="68"/>
        <v>1928</v>
      </c>
      <c r="AO30" s="652">
        <f t="shared" si="69"/>
        <v>-37.6</v>
      </c>
      <c r="AP30" s="817">
        <v>14861</v>
      </c>
      <c r="AQ30" s="817">
        <v>13236</v>
      </c>
      <c r="AR30" s="652">
        <f t="shared" si="47"/>
        <v>-10.9</v>
      </c>
      <c r="AS30" s="817">
        <f t="shared" si="70"/>
        <v>2981</v>
      </c>
      <c r="AT30" s="817">
        <f t="shared" si="70"/>
        <v>2912</v>
      </c>
      <c r="AU30" s="753">
        <f t="shared" si="71"/>
        <v>-2.2999999999999998</v>
      </c>
      <c r="AV30" s="969">
        <v>17842</v>
      </c>
      <c r="AW30" s="969">
        <v>16148</v>
      </c>
      <c r="AX30" s="753">
        <f t="shared" si="48"/>
        <v>-9.5</v>
      </c>
      <c r="AY30" s="817">
        <f t="shared" si="72"/>
        <v>2704</v>
      </c>
      <c r="AZ30" s="817">
        <f t="shared" si="73"/>
        <v>2621</v>
      </c>
      <c r="BA30" s="753">
        <f t="shared" si="74"/>
        <v>-3.1</v>
      </c>
      <c r="BB30" s="817">
        <v>20546</v>
      </c>
      <c r="BC30" s="817">
        <v>18769</v>
      </c>
      <c r="BD30" s="753">
        <f t="shared" si="50"/>
        <v>-8.6</v>
      </c>
      <c r="BE30" s="817">
        <f t="shared" si="75"/>
        <v>2275</v>
      </c>
      <c r="BF30" s="817">
        <f t="shared" si="75"/>
        <v>3681</v>
      </c>
      <c r="BG30" s="753">
        <f t="shared" si="51"/>
        <v>61.8</v>
      </c>
      <c r="BH30" s="817">
        <v>22821</v>
      </c>
      <c r="BI30" s="817">
        <v>22450</v>
      </c>
      <c r="BJ30" s="753">
        <f t="shared" si="52"/>
        <v>-1.6</v>
      </c>
      <c r="BK30" s="817">
        <f t="shared" si="76"/>
        <v>3314</v>
      </c>
      <c r="BL30" s="817">
        <f t="shared" si="76"/>
        <v>2419</v>
      </c>
      <c r="BM30" s="753">
        <f t="shared" si="77"/>
        <v>-27</v>
      </c>
      <c r="BN30" s="817">
        <v>26135</v>
      </c>
      <c r="BO30" s="817">
        <v>24869</v>
      </c>
      <c r="BP30" s="753">
        <f t="shared" si="53"/>
        <v>-4.8</v>
      </c>
      <c r="BQ30" s="817">
        <f t="shared" si="78"/>
        <v>3125</v>
      </c>
      <c r="BR30" s="817">
        <f t="shared" si="78"/>
        <v>2666</v>
      </c>
      <c r="BS30" s="753">
        <f t="shared" si="79"/>
        <v>-14.7</v>
      </c>
      <c r="BT30" s="817">
        <v>29260</v>
      </c>
      <c r="BU30" s="817">
        <v>27535</v>
      </c>
      <c r="BV30" s="753">
        <f t="shared" si="54"/>
        <v>-5.9</v>
      </c>
    </row>
    <row r="31" spans="1:74" ht="15" customHeight="1">
      <c r="A31" s="531"/>
      <c r="B31" s="1164"/>
      <c r="C31" s="79" t="s">
        <v>52</v>
      </c>
      <c r="D31" s="44">
        <v>18124</v>
      </c>
      <c r="E31" s="44">
        <v>14790</v>
      </c>
      <c r="F31" s="44">
        <v>12636</v>
      </c>
      <c r="G31" s="44">
        <v>14794</v>
      </c>
      <c r="H31" s="44">
        <v>15719</v>
      </c>
      <c r="I31" s="44">
        <v>14083</v>
      </c>
      <c r="J31" s="44">
        <v>19909</v>
      </c>
      <c r="K31" s="44">
        <v>23421</v>
      </c>
      <c r="L31" s="383">
        <v>2216</v>
      </c>
      <c r="M31" s="383">
        <v>2392</v>
      </c>
      <c r="N31" s="242">
        <f t="shared" si="55"/>
        <v>7.9</v>
      </c>
      <c r="O31" s="383">
        <f t="shared" si="56"/>
        <v>1499</v>
      </c>
      <c r="P31" s="383">
        <f t="shared" si="56"/>
        <v>2906</v>
      </c>
      <c r="Q31" s="242">
        <f t="shared" si="57"/>
        <v>93.9</v>
      </c>
      <c r="R31" s="383">
        <v>3715</v>
      </c>
      <c r="S31" s="383">
        <v>5298</v>
      </c>
      <c r="T31" s="242">
        <f t="shared" si="58"/>
        <v>42.6</v>
      </c>
      <c r="U31" s="383">
        <f t="shared" si="59"/>
        <v>1747</v>
      </c>
      <c r="V31" s="383">
        <f t="shared" si="60"/>
        <v>1475</v>
      </c>
      <c r="W31" s="242">
        <f t="shared" si="61"/>
        <v>-15.6</v>
      </c>
      <c r="X31" s="383">
        <v>5462</v>
      </c>
      <c r="Y31" s="383">
        <v>6773</v>
      </c>
      <c r="Z31" s="242">
        <f t="shared" si="44"/>
        <v>24</v>
      </c>
      <c r="AA31" s="527">
        <f t="shared" si="62"/>
        <v>1380</v>
      </c>
      <c r="AB31" s="527">
        <f t="shared" si="63"/>
        <v>666</v>
      </c>
      <c r="AC31" s="242">
        <f t="shared" si="64"/>
        <v>-51.7</v>
      </c>
      <c r="AD31" s="527">
        <v>6842</v>
      </c>
      <c r="AE31" s="527">
        <v>7439</v>
      </c>
      <c r="AF31" s="242">
        <f t="shared" si="45"/>
        <v>8.6999999999999993</v>
      </c>
      <c r="AG31" s="527">
        <f t="shared" si="65"/>
        <v>1872</v>
      </c>
      <c r="AH31" s="527">
        <f t="shared" si="65"/>
        <v>0</v>
      </c>
      <c r="AI31" s="242">
        <f t="shared" si="66"/>
        <v>-100</v>
      </c>
      <c r="AJ31" s="527">
        <v>8714</v>
      </c>
      <c r="AK31" s="527">
        <v>7439</v>
      </c>
      <c r="AL31" s="242">
        <f t="shared" si="46"/>
        <v>-14.6</v>
      </c>
      <c r="AM31" s="661">
        <f t="shared" si="67"/>
        <v>1590</v>
      </c>
      <c r="AN31" s="661">
        <f t="shared" si="68"/>
        <v>1466</v>
      </c>
      <c r="AO31" s="652">
        <f t="shared" si="69"/>
        <v>-7.8</v>
      </c>
      <c r="AP31" s="817">
        <v>10304</v>
      </c>
      <c r="AQ31" s="817">
        <v>8905</v>
      </c>
      <c r="AR31" s="652">
        <f t="shared" si="47"/>
        <v>-13.6</v>
      </c>
      <c r="AS31" s="817">
        <f t="shared" si="70"/>
        <v>2842</v>
      </c>
      <c r="AT31" s="817">
        <f t="shared" si="70"/>
        <v>2677</v>
      </c>
      <c r="AU31" s="753">
        <f t="shared" si="71"/>
        <v>-5.8</v>
      </c>
      <c r="AV31" s="969">
        <v>13146</v>
      </c>
      <c r="AW31" s="969">
        <v>11582</v>
      </c>
      <c r="AX31" s="753">
        <f t="shared" si="48"/>
        <v>-11.9</v>
      </c>
      <c r="AY31" s="817">
        <f t="shared" si="72"/>
        <v>1385</v>
      </c>
      <c r="AZ31" s="817">
        <f t="shared" si="73"/>
        <v>1710</v>
      </c>
      <c r="BA31" s="753">
        <f t="shared" si="74"/>
        <v>23.5</v>
      </c>
      <c r="BB31" s="817">
        <v>14531</v>
      </c>
      <c r="BC31" s="817">
        <v>13292</v>
      </c>
      <c r="BD31" s="753">
        <f t="shared" si="50"/>
        <v>-8.5</v>
      </c>
      <c r="BE31" s="817">
        <f t="shared" si="75"/>
        <v>1375</v>
      </c>
      <c r="BF31" s="817">
        <f t="shared" si="75"/>
        <v>2031</v>
      </c>
      <c r="BG31" s="753">
        <f t="shared" si="51"/>
        <v>47.7</v>
      </c>
      <c r="BH31" s="817">
        <v>15906</v>
      </c>
      <c r="BI31" s="817">
        <v>15323</v>
      </c>
      <c r="BJ31" s="753">
        <f t="shared" si="52"/>
        <v>-3.7</v>
      </c>
      <c r="BK31" s="817">
        <f t="shared" si="76"/>
        <v>2361</v>
      </c>
      <c r="BL31" s="817">
        <f t="shared" si="76"/>
        <v>2415</v>
      </c>
      <c r="BM31" s="753">
        <f t="shared" si="77"/>
        <v>2.2999999999999998</v>
      </c>
      <c r="BN31" s="817">
        <v>18267</v>
      </c>
      <c r="BO31" s="817">
        <v>17738</v>
      </c>
      <c r="BP31" s="753">
        <f t="shared" si="53"/>
        <v>-2.9</v>
      </c>
      <c r="BQ31" s="817">
        <f t="shared" si="78"/>
        <v>2244</v>
      </c>
      <c r="BR31" s="817">
        <f t="shared" si="78"/>
        <v>836</v>
      </c>
      <c r="BS31" s="753">
        <f t="shared" si="79"/>
        <v>-62.7</v>
      </c>
      <c r="BT31" s="817">
        <v>20511</v>
      </c>
      <c r="BU31" s="817">
        <v>18574</v>
      </c>
      <c r="BV31" s="753">
        <f t="shared" si="54"/>
        <v>-9.4</v>
      </c>
    </row>
    <row r="32" spans="1:74" ht="15" customHeight="1">
      <c r="A32" s="96"/>
      <c r="B32" s="1164"/>
      <c r="C32" s="79" t="s">
        <v>175</v>
      </c>
      <c r="D32" s="44">
        <v>3880</v>
      </c>
      <c r="E32" s="44">
        <v>11086</v>
      </c>
      <c r="F32" s="44">
        <v>13259</v>
      </c>
      <c r="G32" s="44">
        <v>5652</v>
      </c>
      <c r="H32" s="44">
        <v>8032</v>
      </c>
      <c r="I32" s="44">
        <v>11055</v>
      </c>
      <c r="J32" s="44">
        <v>4163</v>
      </c>
      <c r="K32" s="44">
        <v>9440</v>
      </c>
      <c r="L32" s="383">
        <v>637</v>
      </c>
      <c r="M32" s="383">
        <v>553</v>
      </c>
      <c r="N32" s="242">
        <f t="shared" si="55"/>
        <v>-13.2</v>
      </c>
      <c r="O32" s="383">
        <f t="shared" si="56"/>
        <v>722</v>
      </c>
      <c r="P32" s="383">
        <f t="shared" si="56"/>
        <v>253</v>
      </c>
      <c r="Q32" s="242">
        <f t="shared" si="57"/>
        <v>-65</v>
      </c>
      <c r="R32" s="383">
        <v>1359</v>
      </c>
      <c r="S32" s="383">
        <v>806</v>
      </c>
      <c r="T32" s="242">
        <f t="shared" si="58"/>
        <v>-40.700000000000003</v>
      </c>
      <c r="U32" s="383">
        <f t="shared" si="59"/>
        <v>476</v>
      </c>
      <c r="V32" s="383">
        <f t="shared" si="60"/>
        <v>229</v>
      </c>
      <c r="W32" s="242">
        <f t="shared" si="61"/>
        <v>-51.9</v>
      </c>
      <c r="X32" s="383">
        <v>1835</v>
      </c>
      <c r="Y32" s="383">
        <v>1035</v>
      </c>
      <c r="Z32" s="242">
        <f t="shared" si="44"/>
        <v>-43.6</v>
      </c>
      <c r="AA32" s="527">
        <f t="shared" si="62"/>
        <v>614</v>
      </c>
      <c r="AB32" s="527">
        <f t="shared" si="63"/>
        <v>179</v>
      </c>
      <c r="AC32" s="242">
        <f t="shared" si="64"/>
        <v>-70.8</v>
      </c>
      <c r="AD32" s="527">
        <v>2449</v>
      </c>
      <c r="AE32" s="527">
        <v>1214</v>
      </c>
      <c r="AF32" s="242">
        <f t="shared" si="45"/>
        <v>-50.4</v>
      </c>
      <c r="AG32" s="527">
        <f t="shared" si="65"/>
        <v>622</v>
      </c>
      <c r="AH32" s="527">
        <f t="shared" si="65"/>
        <v>352</v>
      </c>
      <c r="AI32" s="242">
        <f t="shared" si="66"/>
        <v>-43.4</v>
      </c>
      <c r="AJ32" s="527">
        <v>3071</v>
      </c>
      <c r="AK32" s="527">
        <v>1566</v>
      </c>
      <c r="AL32" s="242">
        <f t="shared" si="46"/>
        <v>-49</v>
      </c>
      <c r="AM32" s="661">
        <f t="shared" si="67"/>
        <v>1094</v>
      </c>
      <c r="AN32" s="661">
        <f t="shared" si="68"/>
        <v>253</v>
      </c>
      <c r="AO32" s="652">
        <f t="shared" si="69"/>
        <v>-76.900000000000006</v>
      </c>
      <c r="AP32" s="817">
        <v>4165</v>
      </c>
      <c r="AQ32" s="817">
        <v>1819</v>
      </c>
      <c r="AR32" s="652">
        <f t="shared" si="47"/>
        <v>-56.3</v>
      </c>
      <c r="AS32" s="817">
        <f t="shared" si="70"/>
        <v>942</v>
      </c>
      <c r="AT32" s="817">
        <f t="shared" si="70"/>
        <v>103</v>
      </c>
      <c r="AU32" s="753">
        <f t="shared" si="71"/>
        <v>-89.1</v>
      </c>
      <c r="AV32" s="969">
        <v>5107</v>
      </c>
      <c r="AW32" s="969">
        <v>1922</v>
      </c>
      <c r="AX32" s="753">
        <f t="shared" si="48"/>
        <v>-62.4</v>
      </c>
      <c r="AY32" s="817">
        <f t="shared" si="72"/>
        <v>1169</v>
      </c>
      <c r="AZ32" s="817">
        <f t="shared" si="73"/>
        <v>173</v>
      </c>
      <c r="BA32" s="753">
        <f t="shared" si="74"/>
        <v>-85.2</v>
      </c>
      <c r="BB32" s="817">
        <v>6276</v>
      </c>
      <c r="BC32" s="817">
        <v>2095</v>
      </c>
      <c r="BD32" s="753">
        <f t="shared" si="50"/>
        <v>-66.599999999999994</v>
      </c>
      <c r="BE32" s="817">
        <f t="shared" si="75"/>
        <v>977</v>
      </c>
      <c r="BF32" s="817">
        <f t="shared" si="75"/>
        <v>402</v>
      </c>
      <c r="BG32" s="753">
        <f t="shared" si="51"/>
        <v>-58.9</v>
      </c>
      <c r="BH32" s="817">
        <v>7253</v>
      </c>
      <c r="BI32" s="817">
        <v>2497</v>
      </c>
      <c r="BJ32" s="753">
        <f t="shared" si="52"/>
        <v>-65.599999999999994</v>
      </c>
      <c r="BK32" s="817">
        <f t="shared" si="76"/>
        <v>753</v>
      </c>
      <c r="BL32" s="817">
        <f t="shared" si="76"/>
        <v>150</v>
      </c>
      <c r="BM32" s="753">
        <f t="shared" si="77"/>
        <v>-80.099999999999994</v>
      </c>
      <c r="BN32" s="817">
        <v>8006</v>
      </c>
      <c r="BO32" s="817">
        <v>2647</v>
      </c>
      <c r="BP32" s="753">
        <f t="shared" si="53"/>
        <v>-66.900000000000006</v>
      </c>
      <c r="BQ32" s="817">
        <f t="shared" si="78"/>
        <v>399</v>
      </c>
      <c r="BR32" s="817">
        <f t="shared" si="78"/>
        <v>323</v>
      </c>
      <c r="BS32" s="753">
        <f t="shared" si="79"/>
        <v>-19</v>
      </c>
      <c r="BT32" s="817">
        <v>8405</v>
      </c>
      <c r="BU32" s="817">
        <v>2970</v>
      </c>
      <c r="BV32" s="753">
        <f t="shared" si="54"/>
        <v>-64.7</v>
      </c>
    </row>
    <row r="33" spans="1:74" ht="15" customHeight="1">
      <c r="A33" s="96"/>
      <c r="B33" s="1164"/>
      <c r="C33" s="79" t="s">
        <v>172</v>
      </c>
      <c r="D33" s="44">
        <v>0</v>
      </c>
      <c r="E33" s="44">
        <v>311</v>
      </c>
      <c r="F33" s="44">
        <v>426</v>
      </c>
      <c r="G33" s="44">
        <v>2613</v>
      </c>
      <c r="H33" s="44">
        <v>5540</v>
      </c>
      <c r="I33" s="44">
        <v>3591</v>
      </c>
      <c r="J33" s="44">
        <v>4463</v>
      </c>
      <c r="K33" s="44">
        <v>3682</v>
      </c>
      <c r="L33" s="383">
        <v>301</v>
      </c>
      <c r="M33" s="383">
        <v>282</v>
      </c>
      <c r="N33" s="242">
        <f t="shared" si="55"/>
        <v>-6.3</v>
      </c>
      <c r="O33" s="383">
        <f t="shared" si="56"/>
        <v>350</v>
      </c>
      <c r="P33" s="383">
        <f t="shared" si="56"/>
        <v>113</v>
      </c>
      <c r="Q33" s="242">
        <f t="shared" si="57"/>
        <v>-67.7</v>
      </c>
      <c r="R33" s="383">
        <v>651</v>
      </c>
      <c r="S33" s="383">
        <v>395</v>
      </c>
      <c r="T33" s="242">
        <f t="shared" si="58"/>
        <v>-39.299999999999997</v>
      </c>
      <c r="U33" s="383">
        <f t="shared" si="59"/>
        <v>300</v>
      </c>
      <c r="V33" s="383">
        <f t="shared" si="60"/>
        <v>301</v>
      </c>
      <c r="W33" s="242">
        <f t="shared" si="61"/>
        <v>0.3</v>
      </c>
      <c r="X33" s="383">
        <v>951</v>
      </c>
      <c r="Y33" s="383">
        <v>696</v>
      </c>
      <c r="Z33" s="242">
        <f t="shared" si="44"/>
        <v>-26.8</v>
      </c>
      <c r="AA33" s="527">
        <f t="shared" si="62"/>
        <v>301</v>
      </c>
      <c r="AB33" s="527">
        <f t="shared" si="63"/>
        <v>69</v>
      </c>
      <c r="AC33" s="242">
        <f t="shared" si="64"/>
        <v>-77.099999999999994</v>
      </c>
      <c r="AD33" s="527">
        <v>1252</v>
      </c>
      <c r="AE33" s="527">
        <v>765</v>
      </c>
      <c r="AF33" s="242">
        <f t="shared" si="45"/>
        <v>-38.9</v>
      </c>
      <c r="AG33" s="527">
        <f t="shared" si="65"/>
        <v>299</v>
      </c>
      <c r="AH33" s="527">
        <f t="shared" si="65"/>
        <v>0</v>
      </c>
      <c r="AI33" s="242">
        <f t="shared" si="66"/>
        <v>-100</v>
      </c>
      <c r="AJ33" s="527">
        <v>1551</v>
      </c>
      <c r="AK33" s="527">
        <v>765</v>
      </c>
      <c r="AL33" s="242">
        <f t="shared" si="46"/>
        <v>-50.7</v>
      </c>
      <c r="AM33" s="661">
        <f t="shared" si="67"/>
        <v>315</v>
      </c>
      <c r="AN33" s="661">
        <f t="shared" si="68"/>
        <v>70</v>
      </c>
      <c r="AO33" s="652">
        <f t="shared" si="69"/>
        <v>-77.8</v>
      </c>
      <c r="AP33" s="817">
        <v>1866</v>
      </c>
      <c r="AQ33" s="817">
        <v>835</v>
      </c>
      <c r="AR33" s="652">
        <f t="shared" si="47"/>
        <v>-55.3</v>
      </c>
      <c r="AS33" s="817">
        <f t="shared" si="70"/>
        <v>278</v>
      </c>
      <c r="AT33" s="817">
        <f t="shared" si="70"/>
        <v>64</v>
      </c>
      <c r="AU33" s="753">
        <f t="shared" si="71"/>
        <v>-77</v>
      </c>
      <c r="AV33" s="969">
        <v>2144</v>
      </c>
      <c r="AW33" s="969">
        <v>899</v>
      </c>
      <c r="AX33" s="753">
        <f t="shared" si="48"/>
        <v>-58.1</v>
      </c>
      <c r="AY33" s="817">
        <f t="shared" si="72"/>
        <v>342</v>
      </c>
      <c r="AZ33" s="817">
        <f t="shared" si="73"/>
        <v>50</v>
      </c>
      <c r="BA33" s="753">
        <f t="shared" si="74"/>
        <v>-85.4</v>
      </c>
      <c r="BB33" s="817">
        <v>2486</v>
      </c>
      <c r="BC33" s="817">
        <v>949</v>
      </c>
      <c r="BD33" s="753">
        <f t="shared" si="50"/>
        <v>-61.8</v>
      </c>
      <c r="BE33" s="817">
        <f t="shared" si="75"/>
        <v>328</v>
      </c>
      <c r="BF33" s="817">
        <f t="shared" si="75"/>
        <v>0</v>
      </c>
      <c r="BG33" s="753">
        <f t="shared" si="51"/>
        <v>-100</v>
      </c>
      <c r="BH33" s="817">
        <v>2814</v>
      </c>
      <c r="BI33" s="817">
        <v>949</v>
      </c>
      <c r="BJ33" s="753">
        <f t="shared" si="52"/>
        <v>-66.3</v>
      </c>
      <c r="BK33" s="817">
        <f t="shared" si="76"/>
        <v>281</v>
      </c>
      <c r="BL33" s="817">
        <f t="shared" si="76"/>
        <v>84</v>
      </c>
      <c r="BM33" s="753">
        <f t="shared" si="77"/>
        <v>-70.099999999999994</v>
      </c>
      <c r="BN33" s="817">
        <v>3095</v>
      </c>
      <c r="BO33" s="817">
        <v>1033</v>
      </c>
      <c r="BP33" s="753">
        <f t="shared" si="53"/>
        <v>-66.599999999999994</v>
      </c>
      <c r="BQ33" s="817">
        <f t="shared" si="78"/>
        <v>280</v>
      </c>
      <c r="BR33" s="817">
        <f t="shared" si="78"/>
        <v>65</v>
      </c>
      <c r="BS33" s="753">
        <f t="shared" si="79"/>
        <v>-76.8</v>
      </c>
      <c r="BT33" s="817">
        <v>3375</v>
      </c>
      <c r="BU33" s="817">
        <v>1098</v>
      </c>
      <c r="BV33" s="753">
        <f t="shared" si="54"/>
        <v>-67.5</v>
      </c>
    </row>
    <row r="34" spans="1:74" ht="15" customHeight="1">
      <c r="A34" s="96"/>
      <c r="B34" s="1164"/>
      <c r="C34" s="79" t="s">
        <v>157</v>
      </c>
      <c r="D34" s="44">
        <v>2661</v>
      </c>
      <c r="E34" s="44">
        <v>2882</v>
      </c>
      <c r="F34" s="44">
        <v>6073</v>
      </c>
      <c r="G34" s="44">
        <v>9339</v>
      </c>
      <c r="H34" s="44">
        <v>10732</v>
      </c>
      <c r="I34" s="44">
        <v>7860</v>
      </c>
      <c r="J34" s="44">
        <v>4407</v>
      </c>
      <c r="K34" s="44">
        <v>3176</v>
      </c>
      <c r="L34" s="383">
        <v>246</v>
      </c>
      <c r="M34" s="383">
        <v>323</v>
      </c>
      <c r="N34" s="242">
        <f t="shared" si="55"/>
        <v>31.3</v>
      </c>
      <c r="O34" s="383">
        <f t="shared" si="56"/>
        <v>100</v>
      </c>
      <c r="P34" s="383">
        <f t="shared" si="56"/>
        <v>349</v>
      </c>
      <c r="Q34" s="242">
        <f t="shared" si="57"/>
        <v>249</v>
      </c>
      <c r="R34" s="383">
        <v>346</v>
      </c>
      <c r="S34" s="383">
        <v>672</v>
      </c>
      <c r="T34" s="242">
        <f t="shared" si="58"/>
        <v>94.2</v>
      </c>
      <c r="U34" s="383">
        <f t="shared" si="59"/>
        <v>387</v>
      </c>
      <c r="V34" s="383">
        <f t="shared" si="60"/>
        <v>148</v>
      </c>
      <c r="W34" s="242">
        <f t="shared" si="61"/>
        <v>-61.8</v>
      </c>
      <c r="X34" s="383">
        <v>733</v>
      </c>
      <c r="Y34" s="383">
        <v>820</v>
      </c>
      <c r="Z34" s="242">
        <f t="shared" si="44"/>
        <v>11.9</v>
      </c>
      <c r="AA34" s="527">
        <f t="shared" si="62"/>
        <v>301</v>
      </c>
      <c r="AB34" s="527">
        <f t="shared" si="63"/>
        <v>251</v>
      </c>
      <c r="AC34" s="242">
        <f t="shared" si="64"/>
        <v>-16.600000000000001</v>
      </c>
      <c r="AD34" s="527">
        <v>1034</v>
      </c>
      <c r="AE34" s="527">
        <v>1071</v>
      </c>
      <c r="AF34" s="242">
        <f t="shared" si="45"/>
        <v>3.6</v>
      </c>
      <c r="AG34" s="527">
        <f t="shared" si="65"/>
        <v>276</v>
      </c>
      <c r="AH34" s="527">
        <f t="shared" si="65"/>
        <v>200</v>
      </c>
      <c r="AI34" s="242">
        <f t="shared" si="66"/>
        <v>-27.5</v>
      </c>
      <c r="AJ34" s="527">
        <v>1310</v>
      </c>
      <c r="AK34" s="527">
        <v>1271</v>
      </c>
      <c r="AL34" s="242">
        <f t="shared" si="46"/>
        <v>-3</v>
      </c>
      <c r="AM34" s="661">
        <f t="shared" si="67"/>
        <v>247</v>
      </c>
      <c r="AN34" s="661">
        <f t="shared" si="68"/>
        <v>251</v>
      </c>
      <c r="AO34" s="652">
        <f t="shared" si="69"/>
        <v>1.6</v>
      </c>
      <c r="AP34" s="817">
        <v>1557</v>
      </c>
      <c r="AQ34" s="817">
        <v>1522</v>
      </c>
      <c r="AR34" s="652">
        <f t="shared" si="47"/>
        <v>-2.2000000000000002</v>
      </c>
      <c r="AS34" s="817">
        <f t="shared" si="70"/>
        <v>326</v>
      </c>
      <c r="AT34" s="817">
        <f t="shared" si="70"/>
        <v>350</v>
      </c>
      <c r="AU34" s="753">
        <f t="shared" si="71"/>
        <v>7.4</v>
      </c>
      <c r="AV34" s="969">
        <v>1883</v>
      </c>
      <c r="AW34" s="969">
        <v>1872</v>
      </c>
      <c r="AX34" s="753">
        <f t="shared" si="48"/>
        <v>-0.6</v>
      </c>
      <c r="AY34" s="817">
        <f t="shared" si="72"/>
        <v>349</v>
      </c>
      <c r="AZ34" s="817">
        <f t="shared" si="73"/>
        <v>406</v>
      </c>
      <c r="BA34" s="753">
        <f t="shared" si="74"/>
        <v>16.3</v>
      </c>
      <c r="BB34" s="817">
        <v>2232</v>
      </c>
      <c r="BC34" s="817">
        <v>2278</v>
      </c>
      <c r="BD34" s="753">
        <f t="shared" si="50"/>
        <v>2.1</v>
      </c>
      <c r="BE34" s="817">
        <f t="shared" si="75"/>
        <v>319</v>
      </c>
      <c r="BF34" s="817">
        <f t="shared" si="75"/>
        <v>422</v>
      </c>
      <c r="BG34" s="753">
        <f t="shared" si="51"/>
        <v>32.299999999999997</v>
      </c>
      <c r="BH34" s="817">
        <v>2551</v>
      </c>
      <c r="BI34" s="817">
        <v>2700</v>
      </c>
      <c r="BJ34" s="753">
        <f t="shared" si="52"/>
        <v>5.8</v>
      </c>
      <c r="BK34" s="817">
        <f t="shared" si="76"/>
        <v>227</v>
      </c>
      <c r="BL34" s="817">
        <f t="shared" si="76"/>
        <v>368</v>
      </c>
      <c r="BM34" s="753">
        <f t="shared" si="77"/>
        <v>62.1</v>
      </c>
      <c r="BN34" s="817">
        <v>2778</v>
      </c>
      <c r="BO34" s="817">
        <v>3068</v>
      </c>
      <c r="BP34" s="753">
        <f t="shared" si="53"/>
        <v>10.4</v>
      </c>
      <c r="BQ34" s="817">
        <f t="shared" si="78"/>
        <v>274</v>
      </c>
      <c r="BR34" s="817">
        <f t="shared" si="78"/>
        <v>397</v>
      </c>
      <c r="BS34" s="753">
        <f t="shared" si="79"/>
        <v>44.9</v>
      </c>
      <c r="BT34" s="817">
        <v>3052</v>
      </c>
      <c r="BU34" s="817">
        <v>3465</v>
      </c>
      <c r="BV34" s="753">
        <f t="shared" si="54"/>
        <v>13.5</v>
      </c>
    </row>
    <row r="35" spans="1:74" ht="15" customHeight="1">
      <c r="A35" s="96"/>
      <c r="B35" s="1164"/>
      <c r="C35" s="79" t="s">
        <v>161</v>
      </c>
      <c r="D35" s="44">
        <v>558</v>
      </c>
      <c r="E35" s="44">
        <v>0</v>
      </c>
      <c r="F35" s="44">
        <v>3</v>
      </c>
      <c r="G35" s="44">
        <v>584</v>
      </c>
      <c r="H35" s="44">
        <v>2144</v>
      </c>
      <c r="I35" s="44">
        <v>4340</v>
      </c>
      <c r="J35" s="44">
        <v>3218</v>
      </c>
      <c r="K35" s="44">
        <v>2642</v>
      </c>
      <c r="L35" s="383">
        <v>398</v>
      </c>
      <c r="M35" s="383">
        <v>521</v>
      </c>
      <c r="N35" s="242">
        <f t="shared" si="55"/>
        <v>30.9</v>
      </c>
      <c r="O35" s="383">
        <f t="shared" si="56"/>
        <v>501</v>
      </c>
      <c r="P35" s="383">
        <f t="shared" si="56"/>
        <v>0</v>
      </c>
      <c r="Q35" s="242">
        <f t="shared" si="57"/>
        <v>-100</v>
      </c>
      <c r="R35" s="383">
        <v>899</v>
      </c>
      <c r="S35" s="383">
        <v>521</v>
      </c>
      <c r="T35" s="242">
        <f t="shared" si="58"/>
        <v>-42</v>
      </c>
      <c r="U35" s="383">
        <f t="shared" si="59"/>
        <v>350</v>
      </c>
      <c r="V35" s="383">
        <f t="shared" si="60"/>
        <v>0</v>
      </c>
      <c r="W35" s="242">
        <f t="shared" si="61"/>
        <v>-100</v>
      </c>
      <c r="X35" s="383">
        <v>1249</v>
      </c>
      <c r="Y35" s="383">
        <v>521</v>
      </c>
      <c r="Z35" s="242">
        <f t="shared" si="44"/>
        <v>-58.3</v>
      </c>
      <c r="AA35" s="527">
        <f t="shared" si="62"/>
        <v>0</v>
      </c>
      <c r="AB35" s="527">
        <f t="shared" si="63"/>
        <v>0</v>
      </c>
      <c r="AC35" s="521">
        <v>0</v>
      </c>
      <c r="AD35" s="527">
        <v>1249</v>
      </c>
      <c r="AE35" s="527">
        <v>521</v>
      </c>
      <c r="AF35" s="242">
        <f t="shared" si="45"/>
        <v>-58.3</v>
      </c>
      <c r="AG35" s="527">
        <f t="shared" si="65"/>
        <v>293</v>
      </c>
      <c r="AH35" s="527">
        <f t="shared" si="65"/>
        <v>347</v>
      </c>
      <c r="AI35" s="242">
        <f t="shared" si="66"/>
        <v>18.399999999999999</v>
      </c>
      <c r="AJ35" s="527">
        <v>1542</v>
      </c>
      <c r="AK35" s="527">
        <v>868</v>
      </c>
      <c r="AL35" s="242">
        <f t="shared" si="46"/>
        <v>-43.7</v>
      </c>
      <c r="AM35" s="661">
        <f t="shared" si="67"/>
        <v>0</v>
      </c>
      <c r="AN35" s="661">
        <f t="shared" si="68"/>
        <v>427</v>
      </c>
      <c r="AO35" s="799">
        <v>0</v>
      </c>
      <c r="AP35" s="817">
        <v>1542</v>
      </c>
      <c r="AQ35" s="817">
        <v>1295</v>
      </c>
      <c r="AR35" s="652">
        <f t="shared" si="47"/>
        <v>-16</v>
      </c>
      <c r="AS35" s="817">
        <f t="shared" si="70"/>
        <v>0</v>
      </c>
      <c r="AT35" s="817">
        <f t="shared" si="70"/>
        <v>0</v>
      </c>
      <c r="AU35" s="799">
        <v>0</v>
      </c>
      <c r="AV35" s="969">
        <v>1542</v>
      </c>
      <c r="AW35" s="969">
        <v>1295</v>
      </c>
      <c r="AX35" s="753">
        <f t="shared" si="48"/>
        <v>-16</v>
      </c>
      <c r="AY35" s="817">
        <f t="shared" si="72"/>
        <v>200</v>
      </c>
      <c r="AZ35" s="817">
        <f t="shared" si="73"/>
        <v>475</v>
      </c>
      <c r="BA35" s="753">
        <f t="shared" si="74"/>
        <v>137.5</v>
      </c>
      <c r="BB35" s="817">
        <v>1742</v>
      </c>
      <c r="BC35" s="817">
        <v>1770</v>
      </c>
      <c r="BD35" s="753">
        <f t="shared" si="50"/>
        <v>1.6</v>
      </c>
      <c r="BE35" s="817">
        <f t="shared" si="75"/>
        <v>0</v>
      </c>
      <c r="BF35" s="817">
        <f t="shared" si="75"/>
        <v>0</v>
      </c>
      <c r="BG35" s="753" t="e">
        <f t="shared" si="51"/>
        <v>#DIV/0!</v>
      </c>
      <c r="BH35" s="817">
        <v>1742</v>
      </c>
      <c r="BI35" s="817">
        <v>1770</v>
      </c>
      <c r="BJ35" s="753">
        <f t="shared" si="52"/>
        <v>1.6</v>
      </c>
      <c r="BK35" s="817">
        <f t="shared" si="76"/>
        <v>199</v>
      </c>
      <c r="BL35" s="817">
        <f t="shared" si="76"/>
        <v>0</v>
      </c>
      <c r="BM35" s="753">
        <f t="shared" si="77"/>
        <v>-100</v>
      </c>
      <c r="BN35" s="817">
        <v>1941</v>
      </c>
      <c r="BO35" s="817">
        <v>1770</v>
      </c>
      <c r="BP35" s="753">
        <f t="shared" si="53"/>
        <v>-8.8000000000000007</v>
      </c>
      <c r="BQ35" s="817">
        <f t="shared" si="78"/>
        <v>302</v>
      </c>
      <c r="BR35" s="817">
        <f t="shared" si="78"/>
        <v>600</v>
      </c>
      <c r="BS35" s="753">
        <f t="shared" si="79"/>
        <v>98.7</v>
      </c>
      <c r="BT35" s="817">
        <v>2243</v>
      </c>
      <c r="BU35" s="817">
        <v>2370</v>
      </c>
      <c r="BV35" s="753">
        <f t="shared" si="54"/>
        <v>5.7</v>
      </c>
    </row>
    <row r="36" spans="1:74" ht="15" customHeight="1">
      <c r="A36" s="96"/>
      <c r="B36" s="1164"/>
      <c r="C36" s="79" t="s">
        <v>56</v>
      </c>
      <c r="D36" s="44">
        <v>200</v>
      </c>
      <c r="E36" s="44">
        <v>2116</v>
      </c>
      <c r="F36" s="44">
        <v>2619</v>
      </c>
      <c r="G36" s="44">
        <v>1104</v>
      </c>
      <c r="H36" s="44">
        <v>3941</v>
      </c>
      <c r="I36" s="44">
        <v>3145</v>
      </c>
      <c r="J36" s="44">
        <v>3466</v>
      </c>
      <c r="K36" s="44">
        <v>2306</v>
      </c>
      <c r="L36" s="383">
        <v>201</v>
      </c>
      <c r="M36" s="383">
        <v>42</v>
      </c>
      <c r="N36" s="242">
        <f t="shared" si="55"/>
        <v>-79.099999999999994</v>
      </c>
      <c r="O36" s="383">
        <f t="shared" si="56"/>
        <v>180</v>
      </c>
      <c r="P36" s="383">
        <f t="shared" si="56"/>
        <v>97</v>
      </c>
      <c r="Q36" s="242">
        <f t="shared" si="57"/>
        <v>-46.1</v>
      </c>
      <c r="R36" s="383">
        <v>381</v>
      </c>
      <c r="S36" s="383">
        <v>139</v>
      </c>
      <c r="T36" s="242">
        <f t="shared" si="58"/>
        <v>-63.5</v>
      </c>
      <c r="U36" s="383">
        <f t="shared" si="59"/>
        <v>513</v>
      </c>
      <c r="V36" s="383">
        <f t="shared" si="60"/>
        <v>197</v>
      </c>
      <c r="W36" s="242">
        <f t="shared" si="61"/>
        <v>-61.6</v>
      </c>
      <c r="X36" s="383">
        <v>894</v>
      </c>
      <c r="Y36" s="383">
        <v>336</v>
      </c>
      <c r="Z36" s="242">
        <f t="shared" si="44"/>
        <v>-62.4</v>
      </c>
      <c r="AA36" s="527">
        <f t="shared" si="62"/>
        <v>159</v>
      </c>
      <c r="AB36" s="527">
        <f t="shared" si="63"/>
        <v>0</v>
      </c>
      <c r="AC36" s="242">
        <f t="shared" si="64"/>
        <v>-100</v>
      </c>
      <c r="AD36" s="527">
        <v>1053</v>
      </c>
      <c r="AE36" s="527">
        <v>336</v>
      </c>
      <c r="AF36" s="242">
        <f t="shared" si="45"/>
        <v>-68.099999999999994</v>
      </c>
      <c r="AG36" s="527">
        <f t="shared" si="65"/>
        <v>102</v>
      </c>
      <c r="AH36" s="527">
        <f t="shared" si="65"/>
        <v>0</v>
      </c>
      <c r="AI36" s="242">
        <f t="shared" si="66"/>
        <v>-100</v>
      </c>
      <c r="AJ36" s="527">
        <v>1155</v>
      </c>
      <c r="AK36" s="527">
        <v>336</v>
      </c>
      <c r="AL36" s="242">
        <f t="shared" si="46"/>
        <v>-70.900000000000006</v>
      </c>
      <c r="AM36" s="661">
        <f t="shared" si="67"/>
        <v>201</v>
      </c>
      <c r="AN36" s="661">
        <f t="shared" si="68"/>
        <v>0</v>
      </c>
      <c r="AO36" s="652">
        <f t="shared" si="69"/>
        <v>-100</v>
      </c>
      <c r="AP36" s="817">
        <v>1356</v>
      </c>
      <c r="AQ36" s="817">
        <v>336</v>
      </c>
      <c r="AR36" s="652">
        <f t="shared" si="47"/>
        <v>-75.2</v>
      </c>
      <c r="AS36" s="817">
        <f t="shared" si="70"/>
        <v>245</v>
      </c>
      <c r="AT36" s="817">
        <f t="shared" si="70"/>
        <v>0</v>
      </c>
      <c r="AU36" s="753">
        <f t="shared" si="71"/>
        <v>-100</v>
      </c>
      <c r="AV36" s="969">
        <v>1601</v>
      </c>
      <c r="AW36" s="969">
        <v>336</v>
      </c>
      <c r="AX36" s="753">
        <f t="shared" si="48"/>
        <v>-79</v>
      </c>
      <c r="AY36" s="817">
        <f t="shared" si="72"/>
        <v>199</v>
      </c>
      <c r="AZ36" s="817">
        <f t="shared" si="73"/>
        <v>0</v>
      </c>
      <c r="BA36" s="753">
        <f t="shared" ref="BA36:BA37" si="80">ROUND(((AZ36/AY36-1)*100), 1)</f>
        <v>-100</v>
      </c>
      <c r="BB36" s="817">
        <v>1800</v>
      </c>
      <c r="BC36" s="817">
        <v>336</v>
      </c>
      <c r="BD36" s="753">
        <f t="shared" si="50"/>
        <v>-81.3</v>
      </c>
      <c r="BE36" s="817">
        <f t="shared" si="75"/>
        <v>98</v>
      </c>
      <c r="BF36" s="817">
        <f t="shared" si="75"/>
        <v>0</v>
      </c>
      <c r="BG36" s="753">
        <f t="shared" si="51"/>
        <v>-100</v>
      </c>
      <c r="BH36" s="817">
        <v>1898</v>
      </c>
      <c r="BI36" s="817">
        <v>336</v>
      </c>
      <c r="BJ36" s="753">
        <f t="shared" si="52"/>
        <v>-82.3</v>
      </c>
      <c r="BK36" s="817">
        <f t="shared" si="76"/>
        <v>305</v>
      </c>
      <c r="BL36" s="817">
        <f t="shared" si="76"/>
        <v>98</v>
      </c>
      <c r="BM36" s="753">
        <f t="shared" si="77"/>
        <v>-67.900000000000006</v>
      </c>
      <c r="BN36" s="817">
        <v>2203</v>
      </c>
      <c r="BO36" s="817">
        <v>434</v>
      </c>
      <c r="BP36" s="753">
        <f t="shared" si="53"/>
        <v>-80.3</v>
      </c>
      <c r="BQ36" s="817">
        <f t="shared" si="78"/>
        <v>103</v>
      </c>
      <c r="BR36" s="817">
        <f t="shared" si="78"/>
        <v>201</v>
      </c>
      <c r="BS36" s="753">
        <f t="shared" si="79"/>
        <v>95.1</v>
      </c>
      <c r="BT36" s="817">
        <v>2306</v>
      </c>
      <c r="BU36" s="817">
        <v>635</v>
      </c>
      <c r="BV36" s="753">
        <f t="shared" si="54"/>
        <v>-72.5</v>
      </c>
    </row>
    <row r="37" spans="1:74" ht="15" customHeight="1">
      <c r="A37" s="96"/>
      <c r="B37" s="1164"/>
      <c r="C37" s="79" t="s">
        <v>166</v>
      </c>
      <c r="D37" s="44">
        <v>5042</v>
      </c>
      <c r="E37" s="44">
        <v>3943</v>
      </c>
      <c r="F37" s="44">
        <v>1419</v>
      </c>
      <c r="G37" s="44">
        <v>1499</v>
      </c>
      <c r="H37" s="44">
        <v>1842</v>
      </c>
      <c r="I37" s="44">
        <v>2126</v>
      </c>
      <c r="J37" s="44">
        <v>2076</v>
      </c>
      <c r="K37" s="44">
        <v>2220</v>
      </c>
      <c r="L37" s="383">
        <v>201</v>
      </c>
      <c r="M37" s="383">
        <v>142</v>
      </c>
      <c r="N37" s="242">
        <f t="shared" si="55"/>
        <v>-29.4</v>
      </c>
      <c r="O37" s="383">
        <f t="shared" si="56"/>
        <v>200</v>
      </c>
      <c r="P37" s="383">
        <f t="shared" si="56"/>
        <v>120</v>
      </c>
      <c r="Q37" s="242">
        <f t="shared" si="57"/>
        <v>-40</v>
      </c>
      <c r="R37" s="383">
        <v>401</v>
      </c>
      <c r="S37" s="383">
        <v>262</v>
      </c>
      <c r="T37" s="242">
        <f t="shared" si="58"/>
        <v>-34.700000000000003</v>
      </c>
      <c r="U37" s="383">
        <f t="shared" si="59"/>
        <v>196</v>
      </c>
      <c r="V37" s="383">
        <f t="shared" si="60"/>
        <v>100</v>
      </c>
      <c r="W37" s="242">
        <f t="shared" si="61"/>
        <v>-49</v>
      </c>
      <c r="X37" s="383">
        <v>597</v>
      </c>
      <c r="Y37" s="383">
        <v>362</v>
      </c>
      <c r="Z37" s="242">
        <f t="shared" si="44"/>
        <v>-39.4</v>
      </c>
      <c r="AA37" s="527">
        <f t="shared" si="62"/>
        <v>180</v>
      </c>
      <c r="AB37" s="527">
        <f t="shared" si="63"/>
        <v>119</v>
      </c>
      <c r="AC37" s="242">
        <f t="shared" si="64"/>
        <v>-33.9</v>
      </c>
      <c r="AD37" s="527">
        <v>777</v>
      </c>
      <c r="AE37" s="527">
        <v>481</v>
      </c>
      <c r="AF37" s="242">
        <f t="shared" si="45"/>
        <v>-38.1</v>
      </c>
      <c r="AG37" s="527">
        <f t="shared" si="65"/>
        <v>202</v>
      </c>
      <c r="AH37" s="527">
        <f t="shared" si="65"/>
        <v>121</v>
      </c>
      <c r="AI37" s="242">
        <f t="shared" si="66"/>
        <v>-40.1</v>
      </c>
      <c r="AJ37" s="527">
        <v>979</v>
      </c>
      <c r="AK37" s="527">
        <v>602</v>
      </c>
      <c r="AL37" s="242">
        <f t="shared" si="46"/>
        <v>-38.5</v>
      </c>
      <c r="AM37" s="661">
        <f t="shared" si="67"/>
        <v>199</v>
      </c>
      <c r="AN37" s="661">
        <f t="shared" si="68"/>
        <v>119</v>
      </c>
      <c r="AO37" s="652">
        <f t="shared" si="69"/>
        <v>-40.200000000000003</v>
      </c>
      <c r="AP37" s="817">
        <v>1178</v>
      </c>
      <c r="AQ37" s="817">
        <v>721</v>
      </c>
      <c r="AR37" s="652">
        <f t="shared" si="47"/>
        <v>-38.799999999999997</v>
      </c>
      <c r="AS37" s="817">
        <f t="shared" si="70"/>
        <v>142</v>
      </c>
      <c r="AT37" s="817">
        <f t="shared" si="70"/>
        <v>140</v>
      </c>
      <c r="AU37" s="753">
        <f t="shared" si="71"/>
        <v>-1.4</v>
      </c>
      <c r="AV37" s="969">
        <v>1320</v>
      </c>
      <c r="AW37" s="969">
        <v>861</v>
      </c>
      <c r="AX37" s="753">
        <f t="shared" si="48"/>
        <v>-34.799999999999997</v>
      </c>
      <c r="AY37" s="817">
        <f t="shared" si="72"/>
        <v>221</v>
      </c>
      <c r="AZ37" s="817">
        <f t="shared" si="73"/>
        <v>100</v>
      </c>
      <c r="BA37" s="753">
        <f t="shared" si="80"/>
        <v>-54.8</v>
      </c>
      <c r="BB37" s="817">
        <v>1541</v>
      </c>
      <c r="BC37" s="817">
        <v>961</v>
      </c>
      <c r="BD37" s="753">
        <f t="shared" si="50"/>
        <v>-37.6</v>
      </c>
      <c r="BE37" s="817">
        <f t="shared" si="75"/>
        <v>136</v>
      </c>
      <c r="BF37" s="817">
        <f t="shared" si="75"/>
        <v>140</v>
      </c>
      <c r="BG37" s="753">
        <f t="shared" si="51"/>
        <v>2.9</v>
      </c>
      <c r="BH37" s="817">
        <v>1677</v>
      </c>
      <c r="BI37" s="817">
        <v>1101</v>
      </c>
      <c r="BJ37" s="753">
        <f t="shared" si="52"/>
        <v>-34.299999999999997</v>
      </c>
      <c r="BK37" s="817">
        <f t="shared" si="76"/>
        <v>182</v>
      </c>
      <c r="BL37" s="817">
        <f t="shared" si="76"/>
        <v>101</v>
      </c>
      <c r="BM37" s="753">
        <f t="shared" si="77"/>
        <v>-44.5</v>
      </c>
      <c r="BN37" s="817">
        <v>1859</v>
      </c>
      <c r="BO37" s="817">
        <v>1202</v>
      </c>
      <c r="BP37" s="753">
        <f t="shared" si="53"/>
        <v>-35.299999999999997</v>
      </c>
      <c r="BQ37" s="817">
        <f t="shared" si="78"/>
        <v>261</v>
      </c>
      <c r="BR37" s="817">
        <f t="shared" si="78"/>
        <v>153</v>
      </c>
      <c r="BS37" s="753">
        <f t="shared" si="79"/>
        <v>-41.4</v>
      </c>
      <c r="BT37" s="817">
        <v>2120</v>
      </c>
      <c r="BU37" s="817">
        <v>1355</v>
      </c>
      <c r="BV37" s="753">
        <f t="shared" si="54"/>
        <v>-36.1</v>
      </c>
    </row>
    <row r="38" spans="1:74" ht="15" customHeight="1">
      <c r="A38" s="96"/>
      <c r="B38" s="1164"/>
      <c r="C38" s="79" t="s">
        <v>162</v>
      </c>
      <c r="D38" s="44">
        <v>1483</v>
      </c>
      <c r="E38" s="44">
        <v>614</v>
      </c>
      <c r="F38" s="44">
        <v>1278</v>
      </c>
      <c r="G38" s="44">
        <v>3684</v>
      </c>
      <c r="H38" s="44">
        <v>1815</v>
      </c>
      <c r="I38" s="44">
        <v>0</v>
      </c>
      <c r="J38" s="44">
        <v>0</v>
      </c>
      <c r="K38" s="44">
        <v>863</v>
      </c>
      <c r="L38" s="383">
        <v>0</v>
      </c>
      <c r="M38" s="383">
        <v>0</v>
      </c>
      <c r="N38" s="177">
        <v>0</v>
      </c>
      <c r="O38" s="383">
        <f t="shared" si="56"/>
        <v>0</v>
      </c>
      <c r="P38" s="383">
        <f t="shared" si="56"/>
        <v>0</v>
      </c>
      <c r="Q38" s="177">
        <v>0</v>
      </c>
      <c r="R38" s="383">
        <v>0</v>
      </c>
      <c r="S38" s="383">
        <v>0</v>
      </c>
      <c r="T38" s="177">
        <v>0</v>
      </c>
      <c r="U38" s="383">
        <f t="shared" si="59"/>
        <v>0</v>
      </c>
      <c r="V38" s="383">
        <f t="shared" si="60"/>
        <v>0</v>
      </c>
      <c r="W38" s="177">
        <v>0</v>
      </c>
      <c r="X38" s="383">
        <v>0</v>
      </c>
      <c r="Y38" s="383">
        <v>0</v>
      </c>
      <c r="Z38" s="177">
        <v>0</v>
      </c>
      <c r="AA38" s="527">
        <f t="shared" si="62"/>
        <v>0</v>
      </c>
      <c r="AB38" s="527">
        <f t="shared" si="63"/>
        <v>0</v>
      </c>
      <c r="AC38" s="521">
        <v>0</v>
      </c>
      <c r="AD38" s="527">
        <v>0</v>
      </c>
      <c r="AE38" s="527">
        <v>0</v>
      </c>
      <c r="AF38" s="521">
        <v>0</v>
      </c>
      <c r="AG38" s="527">
        <f t="shared" si="65"/>
        <v>0</v>
      </c>
      <c r="AH38" s="527">
        <f t="shared" si="65"/>
        <v>0</v>
      </c>
      <c r="AI38" s="521">
        <v>0</v>
      </c>
      <c r="AJ38" s="527">
        <v>0</v>
      </c>
      <c r="AK38" s="527">
        <v>0</v>
      </c>
      <c r="AL38" s="521">
        <v>0</v>
      </c>
      <c r="AM38" s="661">
        <f t="shared" si="67"/>
        <v>0</v>
      </c>
      <c r="AN38" s="661">
        <f t="shared" si="68"/>
        <v>0</v>
      </c>
      <c r="AO38" s="647">
        <v>0</v>
      </c>
      <c r="AP38" s="817">
        <v>0</v>
      </c>
      <c r="AQ38" s="817">
        <v>0</v>
      </c>
      <c r="AR38" s="647">
        <v>0</v>
      </c>
      <c r="AS38" s="817">
        <f t="shared" si="70"/>
        <v>0</v>
      </c>
      <c r="AT38" s="817">
        <f t="shared" si="70"/>
        <v>0</v>
      </c>
      <c r="AU38" s="799">
        <v>0</v>
      </c>
      <c r="AV38" s="969">
        <v>0</v>
      </c>
      <c r="AW38" s="969">
        <v>0</v>
      </c>
      <c r="AX38" s="799">
        <v>0</v>
      </c>
      <c r="AY38" s="817">
        <f t="shared" si="72"/>
        <v>0</v>
      </c>
      <c r="AZ38" s="817">
        <f t="shared" si="73"/>
        <v>200</v>
      </c>
      <c r="BA38" s="799">
        <v>0</v>
      </c>
      <c r="BB38" s="817">
        <v>0</v>
      </c>
      <c r="BC38" s="817">
        <v>200</v>
      </c>
      <c r="BD38" s="799">
        <v>0</v>
      </c>
      <c r="BE38" s="817">
        <f t="shared" si="75"/>
        <v>0</v>
      </c>
      <c r="BF38" s="817">
        <f t="shared" si="75"/>
        <v>0</v>
      </c>
      <c r="BG38" s="799">
        <v>0</v>
      </c>
      <c r="BH38" s="817">
        <v>0</v>
      </c>
      <c r="BI38" s="817">
        <v>200</v>
      </c>
      <c r="BJ38" s="799">
        <v>0</v>
      </c>
      <c r="BK38" s="817">
        <f t="shared" si="76"/>
        <v>0</v>
      </c>
      <c r="BL38" s="817">
        <f t="shared" si="76"/>
        <v>0</v>
      </c>
      <c r="BM38" s="799">
        <v>0</v>
      </c>
      <c r="BN38" s="817">
        <v>0</v>
      </c>
      <c r="BO38" s="817">
        <v>200</v>
      </c>
      <c r="BP38" s="799">
        <v>0</v>
      </c>
      <c r="BQ38" s="817">
        <f t="shared" si="78"/>
        <v>0</v>
      </c>
      <c r="BR38" s="817">
        <f t="shared" si="78"/>
        <v>125</v>
      </c>
      <c r="BS38" s="799">
        <v>0</v>
      </c>
      <c r="BT38" s="817">
        <v>0</v>
      </c>
      <c r="BU38" s="817">
        <v>325</v>
      </c>
      <c r="BV38" s="799">
        <v>0</v>
      </c>
    </row>
    <row r="39" spans="1:74" ht="15" customHeight="1">
      <c r="A39" s="96"/>
      <c r="B39" s="1164"/>
      <c r="C39" s="79" t="s">
        <v>158</v>
      </c>
      <c r="D39" s="44">
        <v>0</v>
      </c>
      <c r="E39" s="44">
        <v>43</v>
      </c>
      <c r="F39" s="44">
        <v>254</v>
      </c>
      <c r="G39" s="44">
        <v>458</v>
      </c>
      <c r="H39" s="44">
        <v>48</v>
      </c>
      <c r="I39" s="44">
        <v>1847</v>
      </c>
      <c r="J39" s="44">
        <v>380</v>
      </c>
      <c r="K39" s="44">
        <v>94</v>
      </c>
      <c r="L39" s="383">
        <v>0</v>
      </c>
      <c r="M39" s="383">
        <v>0</v>
      </c>
      <c r="N39" s="177">
        <v>0</v>
      </c>
      <c r="O39" s="383">
        <f t="shared" si="56"/>
        <v>0</v>
      </c>
      <c r="P39" s="383">
        <f t="shared" si="56"/>
        <v>0</v>
      </c>
      <c r="Q39" s="177">
        <v>0</v>
      </c>
      <c r="R39" s="383">
        <v>0</v>
      </c>
      <c r="S39" s="383">
        <v>0</v>
      </c>
      <c r="T39" s="177">
        <v>0</v>
      </c>
      <c r="U39" s="383">
        <f t="shared" si="59"/>
        <v>0</v>
      </c>
      <c r="V39" s="383">
        <f t="shared" si="60"/>
        <v>0</v>
      </c>
      <c r="W39" s="177">
        <v>0</v>
      </c>
      <c r="X39" s="383">
        <v>0</v>
      </c>
      <c r="Y39" s="383">
        <v>0</v>
      </c>
      <c r="Z39" s="177">
        <v>0</v>
      </c>
      <c r="AA39" s="527">
        <f t="shared" si="62"/>
        <v>94</v>
      </c>
      <c r="AB39" s="527">
        <f t="shared" si="63"/>
        <v>0</v>
      </c>
      <c r="AC39" s="242">
        <f t="shared" ref="AC39" si="81">ROUND(((AB39/AA39-1)*100), 1)</f>
        <v>-100</v>
      </c>
      <c r="AD39" s="527">
        <v>94</v>
      </c>
      <c r="AE39" s="527">
        <v>0</v>
      </c>
      <c r="AF39" s="242">
        <f t="shared" ref="AF39" si="82">ROUND(((AE39/AD39-1)*100), 1)</f>
        <v>-100</v>
      </c>
      <c r="AG39" s="527">
        <f t="shared" si="65"/>
        <v>0</v>
      </c>
      <c r="AH39" s="527">
        <f t="shared" si="65"/>
        <v>6</v>
      </c>
      <c r="AI39" s="521">
        <v>0</v>
      </c>
      <c r="AJ39" s="527">
        <v>94</v>
      </c>
      <c r="AK39" s="527">
        <v>6</v>
      </c>
      <c r="AL39" s="242">
        <f t="shared" ref="AL39" si="83">ROUND(((AK39/AJ39-1)*100), 1)</f>
        <v>-93.6</v>
      </c>
      <c r="AM39" s="661">
        <f t="shared" si="67"/>
        <v>0</v>
      </c>
      <c r="AN39" s="661">
        <f t="shared" si="68"/>
        <v>0</v>
      </c>
      <c r="AO39" s="647">
        <v>0</v>
      </c>
      <c r="AP39" s="817">
        <v>94</v>
      </c>
      <c r="AQ39" s="817">
        <v>6</v>
      </c>
      <c r="AR39" s="652">
        <f t="shared" ref="AR39" si="84">ROUND(((AQ39/AP39-1)*100), 1)</f>
        <v>-93.6</v>
      </c>
      <c r="AS39" s="817">
        <f t="shared" si="70"/>
        <v>0</v>
      </c>
      <c r="AT39" s="817">
        <f t="shared" si="70"/>
        <v>0</v>
      </c>
      <c r="AU39" s="799">
        <v>0</v>
      </c>
      <c r="AV39" s="969">
        <v>94</v>
      </c>
      <c r="AW39" s="969">
        <v>6</v>
      </c>
      <c r="AX39" s="753">
        <f>ROUND(((AW39/AV39-1)*100), 1)</f>
        <v>-93.6</v>
      </c>
      <c r="AY39" s="817">
        <f t="shared" si="72"/>
        <v>0</v>
      </c>
      <c r="AZ39" s="817">
        <f t="shared" si="73"/>
        <v>0</v>
      </c>
      <c r="BA39" s="799">
        <v>0</v>
      </c>
      <c r="BB39" s="817">
        <v>94</v>
      </c>
      <c r="BC39" s="817">
        <v>6</v>
      </c>
      <c r="BD39" s="753">
        <f>ROUND(((BC39/BB39-1)*100), 1)</f>
        <v>-93.6</v>
      </c>
      <c r="BE39" s="817">
        <f t="shared" si="75"/>
        <v>0</v>
      </c>
      <c r="BF39" s="817">
        <f t="shared" si="75"/>
        <v>4</v>
      </c>
      <c r="BG39" s="799">
        <v>0</v>
      </c>
      <c r="BH39" s="817">
        <v>94</v>
      </c>
      <c r="BI39" s="817">
        <v>10</v>
      </c>
      <c r="BJ39" s="753">
        <f>ROUND(((BI39/BH39-1)*100), 1)</f>
        <v>-89.4</v>
      </c>
      <c r="BK39" s="817">
        <f t="shared" si="76"/>
        <v>0</v>
      </c>
      <c r="BL39" s="817">
        <f t="shared" si="76"/>
        <v>0</v>
      </c>
      <c r="BM39" s="799">
        <v>0</v>
      </c>
      <c r="BN39" s="817">
        <v>94</v>
      </c>
      <c r="BO39" s="817">
        <v>10</v>
      </c>
      <c r="BP39" s="753">
        <f>ROUND(((BO39/BN39-1)*100), 1)</f>
        <v>-89.4</v>
      </c>
      <c r="BQ39" s="817">
        <f t="shared" si="78"/>
        <v>0</v>
      </c>
      <c r="BR39" s="817">
        <f t="shared" si="78"/>
        <v>0</v>
      </c>
      <c r="BS39" s="799">
        <v>0</v>
      </c>
      <c r="BT39" s="817">
        <v>94</v>
      </c>
      <c r="BU39" s="817">
        <v>10</v>
      </c>
      <c r="BV39" s="753">
        <f>ROUND(((BU39/BT39-1)*100), 1)</f>
        <v>-89.4</v>
      </c>
    </row>
    <row r="40" spans="1:74" ht="15" customHeight="1">
      <c r="A40" s="96"/>
      <c r="B40" s="1164"/>
      <c r="C40" s="79" t="s">
        <v>153</v>
      </c>
      <c r="D40" s="44">
        <v>0</v>
      </c>
      <c r="E40" s="44">
        <v>0</v>
      </c>
      <c r="F40" s="44">
        <v>20</v>
      </c>
      <c r="G40" s="44">
        <v>722</v>
      </c>
      <c r="H40" s="44">
        <v>2763</v>
      </c>
      <c r="I40" s="44">
        <v>0</v>
      </c>
      <c r="J40" s="44">
        <v>0</v>
      </c>
      <c r="K40" s="44">
        <v>7</v>
      </c>
      <c r="L40" s="383">
        <v>0</v>
      </c>
      <c r="M40" s="383">
        <v>0</v>
      </c>
      <c r="N40" s="177">
        <v>0</v>
      </c>
      <c r="O40" s="383">
        <f t="shared" si="56"/>
        <v>0</v>
      </c>
      <c r="P40" s="383">
        <f t="shared" si="56"/>
        <v>0</v>
      </c>
      <c r="Q40" s="177">
        <v>0</v>
      </c>
      <c r="R40" s="383">
        <v>0</v>
      </c>
      <c r="S40" s="383">
        <v>0</v>
      </c>
      <c r="T40" s="177">
        <v>0</v>
      </c>
      <c r="U40" s="383">
        <f t="shared" si="59"/>
        <v>0</v>
      </c>
      <c r="V40" s="383">
        <f t="shared" si="60"/>
        <v>0</v>
      </c>
      <c r="W40" s="177">
        <v>0</v>
      </c>
      <c r="X40" s="383">
        <v>0</v>
      </c>
      <c r="Y40" s="383">
        <v>0</v>
      </c>
      <c r="Z40" s="177">
        <v>0</v>
      </c>
      <c r="AA40" s="527">
        <f t="shared" si="62"/>
        <v>0</v>
      </c>
      <c r="AB40" s="527">
        <f t="shared" si="63"/>
        <v>0</v>
      </c>
      <c r="AC40" s="521">
        <v>0</v>
      </c>
      <c r="AD40" s="527">
        <v>0</v>
      </c>
      <c r="AE40" s="527">
        <v>0</v>
      </c>
      <c r="AF40" s="521">
        <v>0</v>
      </c>
      <c r="AG40" s="527">
        <f t="shared" si="65"/>
        <v>0</v>
      </c>
      <c r="AH40" s="527">
        <f t="shared" si="65"/>
        <v>0</v>
      </c>
      <c r="AI40" s="521">
        <v>0</v>
      </c>
      <c r="AJ40" s="527">
        <v>0</v>
      </c>
      <c r="AK40" s="527">
        <v>0</v>
      </c>
      <c r="AL40" s="521">
        <v>0</v>
      </c>
      <c r="AM40" s="661">
        <f t="shared" si="67"/>
        <v>0</v>
      </c>
      <c r="AN40" s="661">
        <f t="shared" si="68"/>
        <v>0</v>
      </c>
      <c r="AO40" s="647">
        <v>0</v>
      </c>
      <c r="AP40" s="817">
        <v>0</v>
      </c>
      <c r="AQ40" s="817">
        <v>0</v>
      </c>
      <c r="AR40" s="647">
        <v>0</v>
      </c>
      <c r="AS40" s="817">
        <f t="shared" si="70"/>
        <v>0</v>
      </c>
      <c r="AT40" s="817">
        <f t="shared" si="70"/>
        <v>10</v>
      </c>
      <c r="AU40" s="799">
        <v>0</v>
      </c>
      <c r="AV40" s="969">
        <v>0</v>
      </c>
      <c r="AW40" s="969">
        <v>10</v>
      </c>
      <c r="AX40" s="799">
        <v>0</v>
      </c>
      <c r="AY40" s="817">
        <f t="shared" si="72"/>
        <v>0</v>
      </c>
      <c r="AZ40" s="817">
        <f t="shared" si="73"/>
        <v>0</v>
      </c>
      <c r="BA40" s="799">
        <v>0</v>
      </c>
      <c r="BB40" s="817">
        <v>0</v>
      </c>
      <c r="BC40" s="817">
        <v>10</v>
      </c>
      <c r="BD40" s="799">
        <v>0</v>
      </c>
      <c r="BE40" s="817">
        <f t="shared" si="75"/>
        <v>7</v>
      </c>
      <c r="BF40" s="817">
        <f t="shared" si="75"/>
        <v>0</v>
      </c>
      <c r="BG40" s="753">
        <f t="shared" ref="BG40" si="85">ROUND(((BF40/BE40-1)*100), 1)</f>
        <v>-100</v>
      </c>
      <c r="BH40" s="817">
        <v>7</v>
      </c>
      <c r="BI40" s="817">
        <v>10</v>
      </c>
      <c r="BJ40" s="753">
        <f t="shared" ref="BJ40" si="86">ROUND(((BI40/BH40-1)*100), 1)</f>
        <v>42.9</v>
      </c>
      <c r="BK40" s="817">
        <f t="shared" si="76"/>
        <v>0</v>
      </c>
      <c r="BL40" s="817">
        <f t="shared" si="76"/>
        <v>0</v>
      </c>
      <c r="BM40" s="799">
        <v>0</v>
      </c>
      <c r="BN40" s="817">
        <v>7</v>
      </c>
      <c r="BO40" s="817">
        <v>10</v>
      </c>
      <c r="BP40" s="753">
        <f t="shared" ref="BP40" si="87">ROUND(((BO40/BN40-1)*100), 1)</f>
        <v>42.9</v>
      </c>
      <c r="BQ40" s="817">
        <f t="shared" si="78"/>
        <v>0</v>
      </c>
      <c r="BR40" s="817">
        <f t="shared" si="78"/>
        <v>0</v>
      </c>
      <c r="BS40" s="799">
        <v>0</v>
      </c>
      <c r="BT40" s="817">
        <v>7</v>
      </c>
      <c r="BU40" s="817">
        <v>10</v>
      </c>
      <c r="BV40" s="753">
        <f>ROUND(((BU40/BT40-1)*100), 1)</f>
        <v>42.9</v>
      </c>
    </row>
    <row r="41" spans="1:74" ht="15" customHeight="1">
      <c r="A41" s="96"/>
      <c r="B41" s="1164"/>
      <c r="C41" s="79" t="s">
        <v>167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695</v>
      </c>
      <c r="J41" s="44">
        <v>698</v>
      </c>
      <c r="K41" s="44">
        <v>0</v>
      </c>
      <c r="L41" s="383">
        <v>0</v>
      </c>
      <c r="M41" s="383">
        <v>0</v>
      </c>
      <c r="N41" s="177">
        <v>0</v>
      </c>
      <c r="O41" s="383">
        <f t="shared" si="56"/>
        <v>0</v>
      </c>
      <c r="P41" s="383">
        <f t="shared" si="56"/>
        <v>0</v>
      </c>
      <c r="Q41" s="177">
        <v>0</v>
      </c>
      <c r="R41" s="383">
        <v>0</v>
      </c>
      <c r="S41" s="383">
        <v>0</v>
      </c>
      <c r="T41" s="177">
        <v>0</v>
      </c>
      <c r="U41" s="383">
        <f t="shared" si="59"/>
        <v>0</v>
      </c>
      <c r="V41" s="383">
        <f t="shared" si="60"/>
        <v>0</v>
      </c>
      <c r="W41" s="177">
        <v>0</v>
      </c>
      <c r="X41" s="383">
        <v>0</v>
      </c>
      <c r="Y41" s="383">
        <v>0</v>
      </c>
      <c r="Z41" s="177">
        <v>0</v>
      </c>
      <c r="AA41" s="527">
        <f t="shared" si="62"/>
        <v>0</v>
      </c>
      <c r="AB41" s="527">
        <f t="shared" si="63"/>
        <v>0</v>
      </c>
      <c r="AC41" s="521">
        <v>0</v>
      </c>
      <c r="AD41" s="527">
        <v>0</v>
      </c>
      <c r="AE41" s="527">
        <v>0</v>
      </c>
      <c r="AF41" s="521">
        <v>0</v>
      </c>
      <c r="AG41" s="527">
        <f t="shared" si="65"/>
        <v>0</v>
      </c>
      <c r="AH41" s="527">
        <f t="shared" si="65"/>
        <v>0</v>
      </c>
      <c r="AI41" s="521">
        <v>0</v>
      </c>
      <c r="AJ41" s="527">
        <v>0</v>
      </c>
      <c r="AK41" s="527">
        <v>0</v>
      </c>
      <c r="AL41" s="521">
        <v>0</v>
      </c>
      <c r="AM41" s="661">
        <f t="shared" si="67"/>
        <v>0</v>
      </c>
      <c r="AN41" s="661">
        <f t="shared" si="68"/>
        <v>0</v>
      </c>
      <c r="AO41" s="647">
        <v>0</v>
      </c>
      <c r="AP41" s="817">
        <v>0</v>
      </c>
      <c r="AQ41" s="817">
        <v>0</v>
      </c>
      <c r="AR41" s="647">
        <v>0</v>
      </c>
      <c r="AS41" s="817">
        <f t="shared" si="70"/>
        <v>0</v>
      </c>
      <c r="AT41" s="817">
        <f t="shared" si="70"/>
        <v>0</v>
      </c>
      <c r="AU41" s="799">
        <v>0</v>
      </c>
      <c r="AV41" s="969">
        <v>0</v>
      </c>
      <c r="AW41" s="969">
        <v>0</v>
      </c>
      <c r="AX41" s="799">
        <v>0</v>
      </c>
      <c r="AY41" s="817">
        <f t="shared" si="72"/>
        <v>0</v>
      </c>
      <c r="AZ41" s="817">
        <f t="shared" si="73"/>
        <v>0</v>
      </c>
      <c r="BA41" s="799">
        <v>0</v>
      </c>
      <c r="BB41" s="817">
        <v>0</v>
      </c>
      <c r="BC41" s="817">
        <v>0</v>
      </c>
      <c r="BD41" s="799">
        <v>0</v>
      </c>
      <c r="BE41" s="817">
        <f t="shared" si="75"/>
        <v>0</v>
      </c>
      <c r="BF41" s="817">
        <f t="shared" si="75"/>
        <v>0</v>
      </c>
      <c r="BG41" s="799">
        <v>0</v>
      </c>
      <c r="BH41" s="817">
        <v>0</v>
      </c>
      <c r="BI41" s="817">
        <v>0</v>
      </c>
      <c r="BJ41" s="799">
        <v>0</v>
      </c>
      <c r="BK41" s="817">
        <f t="shared" si="76"/>
        <v>0</v>
      </c>
      <c r="BL41" s="817">
        <f t="shared" si="76"/>
        <v>0</v>
      </c>
      <c r="BM41" s="799">
        <v>0</v>
      </c>
      <c r="BN41" s="817">
        <v>0</v>
      </c>
      <c r="BO41" s="817">
        <v>0</v>
      </c>
      <c r="BP41" s="799">
        <v>0</v>
      </c>
      <c r="BQ41" s="817">
        <f t="shared" si="78"/>
        <v>0</v>
      </c>
      <c r="BR41" s="817">
        <f t="shared" si="78"/>
        <v>0</v>
      </c>
      <c r="BS41" s="799">
        <v>0</v>
      </c>
      <c r="BT41" s="817">
        <v>0</v>
      </c>
      <c r="BU41" s="817">
        <v>0</v>
      </c>
      <c r="BV41" s="799">
        <v>0</v>
      </c>
    </row>
    <row r="42" spans="1:74" ht="15" customHeight="1">
      <c r="A42" s="96"/>
      <c r="B42" s="1164"/>
      <c r="C42" s="79" t="s">
        <v>176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1078</v>
      </c>
      <c r="J42" s="44">
        <v>0</v>
      </c>
      <c r="K42" s="44">
        <v>0</v>
      </c>
      <c r="L42" s="383">
        <v>0</v>
      </c>
      <c r="M42" s="383">
        <v>0</v>
      </c>
      <c r="N42" s="177">
        <v>0</v>
      </c>
      <c r="O42" s="383">
        <f t="shared" si="56"/>
        <v>0</v>
      </c>
      <c r="P42" s="383">
        <f t="shared" si="56"/>
        <v>0</v>
      </c>
      <c r="Q42" s="177">
        <v>0</v>
      </c>
      <c r="R42" s="383">
        <v>0</v>
      </c>
      <c r="S42" s="383">
        <v>0</v>
      </c>
      <c r="T42" s="177">
        <v>0</v>
      </c>
      <c r="U42" s="383">
        <f t="shared" si="59"/>
        <v>0</v>
      </c>
      <c r="V42" s="383">
        <f t="shared" si="60"/>
        <v>0</v>
      </c>
      <c r="W42" s="177">
        <v>0</v>
      </c>
      <c r="X42" s="383">
        <v>0</v>
      </c>
      <c r="Y42" s="383">
        <v>0</v>
      </c>
      <c r="Z42" s="177">
        <v>0</v>
      </c>
      <c r="AA42" s="527">
        <f t="shared" si="62"/>
        <v>0</v>
      </c>
      <c r="AB42" s="527">
        <f t="shared" si="63"/>
        <v>0</v>
      </c>
      <c r="AC42" s="521">
        <v>0</v>
      </c>
      <c r="AD42" s="527">
        <v>0</v>
      </c>
      <c r="AE42" s="527">
        <v>0</v>
      </c>
      <c r="AF42" s="521">
        <v>0</v>
      </c>
      <c r="AG42" s="527">
        <f t="shared" si="65"/>
        <v>0</v>
      </c>
      <c r="AH42" s="527">
        <f t="shared" si="65"/>
        <v>0</v>
      </c>
      <c r="AI42" s="521">
        <v>0</v>
      </c>
      <c r="AJ42" s="527">
        <v>0</v>
      </c>
      <c r="AK42" s="527">
        <v>0</v>
      </c>
      <c r="AL42" s="521">
        <v>0</v>
      </c>
      <c r="AM42" s="661">
        <f t="shared" si="67"/>
        <v>0</v>
      </c>
      <c r="AN42" s="661">
        <f t="shared" si="68"/>
        <v>0</v>
      </c>
      <c r="AO42" s="647">
        <v>0</v>
      </c>
      <c r="AP42" s="817">
        <v>0</v>
      </c>
      <c r="AQ42" s="817">
        <v>0</v>
      </c>
      <c r="AR42" s="647">
        <v>0</v>
      </c>
      <c r="AS42" s="817">
        <f t="shared" si="70"/>
        <v>0</v>
      </c>
      <c r="AT42" s="817">
        <f t="shared" si="70"/>
        <v>0</v>
      </c>
      <c r="AU42" s="799">
        <v>0</v>
      </c>
      <c r="AV42" s="969">
        <v>0</v>
      </c>
      <c r="AW42" s="969">
        <v>0</v>
      </c>
      <c r="AX42" s="799">
        <v>0</v>
      </c>
      <c r="AY42" s="817">
        <f t="shared" si="72"/>
        <v>0</v>
      </c>
      <c r="AZ42" s="817">
        <f t="shared" si="73"/>
        <v>0</v>
      </c>
      <c r="BA42" s="799">
        <v>0</v>
      </c>
      <c r="BB42" s="817">
        <v>0</v>
      </c>
      <c r="BC42" s="817">
        <v>0</v>
      </c>
      <c r="BD42" s="799">
        <v>0</v>
      </c>
      <c r="BE42" s="817">
        <f t="shared" si="75"/>
        <v>0</v>
      </c>
      <c r="BF42" s="817">
        <f t="shared" si="75"/>
        <v>0</v>
      </c>
      <c r="BG42" s="799">
        <v>0</v>
      </c>
      <c r="BH42" s="817">
        <v>0</v>
      </c>
      <c r="BI42" s="817">
        <v>0</v>
      </c>
      <c r="BJ42" s="799">
        <v>0</v>
      </c>
      <c r="BK42" s="817">
        <f t="shared" si="76"/>
        <v>0</v>
      </c>
      <c r="BL42" s="817">
        <f t="shared" si="76"/>
        <v>0</v>
      </c>
      <c r="BM42" s="799">
        <v>0</v>
      </c>
      <c r="BN42" s="817">
        <v>0</v>
      </c>
      <c r="BO42" s="817">
        <v>0</v>
      </c>
      <c r="BP42" s="799">
        <v>0</v>
      </c>
      <c r="BQ42" s="817">
        <f t="shared" si="78"/>
        <v>0</v>
      </c>
      <c r="BR42" s="817">
        <f t="shared" si="78"/>
        <v>0</v>
      </c>
      <c r="BS42" s="799">
        <v>0</v>
      </c>
      <c r="BT42" s="817">
        <v>0</v>
      </c>
      <c r="BU42" s="817">
        <v>0</v>
      </c>
      <c r="BV42" s="799">
        <v>0</v>
      </c>
    </row>
    <row r="43" spans="1:74" ht="15" customHeight="1">
      <c r="A43" s="96"/>
      <c r="B43" s="1164"/>
      <c r="C43" s="79" t="s">
        <v>177</v>
      </c>
      <c r="D43" s="44">
        <v>0</v>
      </c>
      <c r="E43" s="44">
        <v>0</v>
      </c>
      <c r="F43" s="44">
        <v>44</v>
      </c>
      <c r="G43" s="44">
        <v>116</v>
      </c>
      <c r="H43" s="44">
        <v>0</v>
      </c>
      <c r="I43" s="44">
        <v>0</v>
      </c>
      <c r="J43" s="44">
        <v>0</v>
      </c>
      <c r="K43" s="44">
        <v>0</v>
      </c>
      <c r="L43" s="383">
        <v>0</v>
      </c>
      <c r="M43" s="383">
        <v>0</v>
      </c>
      <c r="N43" s="177">
        <v>0</v>
      </c>
      <c r="O43" s="383">
        <f t="shared" si="56"/>
        <v>0</v>
      </c>
      <c r="P43" s="383">
        <f t="shared" si="56"/>
        <v>0</v>
      </c>
      <c r="Q43" s="177">
        <v>0</v>
      </c>
      <c r="R43" s="383">
        <v>0</v>
      </c>
      <c r="S43" s="383">
        <v>0</v>
      </c>
      <c r="T43" s="177">
        <v>0</v>
      </c>
      <c r="U43" s="383">
        <f t="shared" si="59"/>
        <v>0</v>
      </c>
      <c r="V43" s="383">
        <f t="shared" si="60"/>
        <v>0</v>
      </c>
      <c r="W43" s="177">
        <v>0</v>
      </c>
      <c r="X43" s="383">
        <v>0</v>
      </c>
      <c r="Y43" s="383">
        <v>0</v>
      </c>
      <c r="Z43" s="177">
        <v>0</v>
      </c>
      <c r="AA43" s="527">
        <f t="shared" si="62"/>
        <v>0</v>
      </c>
      <c r="AB43" s="527">
        <f t="shared" si="63"/>
        <v>0</v>
      </c>
      <c r="AC43" s="521">
        <v>0</v>
      </c>
      <c r="AD43" s="527">
        <v>0</v>
      </c>
      <c r="AE43" s="527">
        <v>0</v>
      </c>
      <c r="AF43" s="521">
        <v>0</v>
      </c>
      <c r="AG43" s="527">
        <f t="shared" si="65"/>
        <v>0</v>
      </c>
      <c r="AH43" s="527">
        <f t="shared" si="65"/>
        <v>0</v>
      </c>
      <c r="AI43" s="521">
        <v>0</v>
      </c>
      <c r="AJ43" s="527">
        <v>0</v>
      </c>
      <c r="AK43" s="527">
        <v>0</v>
      </c>
      <c r="AL43" s="521">
        <v>0</v>
      </c>
      <c r="AM43" s="661">
        <f t="shared" si="67"/>
        <v>0</v>
      </c>
      <c r="AN43" s="661">
        <f t="shared" si="68"/>
        <v>0</v>
      </c>
      <c r="AO43" s="647">
        <v>0</v>
      </c>
      <c r="AP43" s="817">
        <v>0</v>
      </c>
      <c r="AQ43" s="817">
        <v>0</v>
      </c>
      <c r="AR43" s="647">
        <v>0</v>
      </c>
      <c r="AS43" s="817">
        <f t="shared" si="70"/>
        <v>0</v>
      </c>
      <c r="AT43" s="817">
        <f t="shared" si="70"/>
        <v>0</v>
      </c>
      <c r="AU43" s="799">
        <v>0</v>
      </c>
      <c r="AV43" s="969">
        <v>0</v>
      </c>
      <c r="AW43" s="969">
        <v>0</v>
      </c>
      <c r="AX43" s="799">
        <v>0</v>
      </c>
      <c r="AY43" s="817">
        <f t="shared" si="72"/>
        <v>0</v>
      </c>
      <c r="AZ43" s="817">
        <f t="shared" si="73"/>
        <v>0</v>
      </c>
      <c r="BA43" s="799">
        <v>0</v>
      </c>
      <c r="BB43" s="817">
        <v>0</v>
      </c>
      <c r="BC43" s="817">
        <v>0</v>
      </c>
      <c r="BD43" s="799">
        <v>0</v>
      </c>
      <c r="BE43" s="817">
        <f t="shared" si="75"/>
        <v>0</v>
      </c>
      <c r="BF43" s="817">
        <f t="shared" si="75"/>
        <v>0</v>
      </c>
      <c r="BG43" s="799">
        <v>0</v>
      </c>
      <c r="BH43" s="817">
        <v>0</v>
      </c>
      <c r="BI43" s="817">
        <v>0</v>
      </c>
      <c r="BJ43" s="799">
        <v>0</v>
      </c>
      <c r="BK43" s="817">
        <f t="shared" si="76"/>
        <v>0</v>
      </c>
      <c r="BL43" s="817">
        <f t="shared" si="76"/>
        <v>0</v>
      </c>
      <c r="BM43" s="799">
        <v>0</v>
      </c>
      <c r="BN43" s="817">
        <v>0</v>
      </c>
      <c r="BO43" s="817">
        <v>0</v>
      </c>
      <c r="BP43" s="799">
        <v>0</v>
      </c>
      <c r="BQ43" s="817">
        <f t="shared" si="78"/>
        <v>0</v>
      </c>
      <c r="BR43" s="817">
        <f t="shared" si="78"/>
        <v>0</v>
      </c>
      <c r="BS43" s="799">
        <v>0</v>
      </c>
      <c r="BT43" s="817">
        <v>0</v>
      </c>
      <c r="BU43" s="817">
        <v>0</v>
      </c>
      <c r="BV43" s="799">
        <v>0</v>
      </c>
    </row>
    <row r="44" spans="1:74" ht="15" customHeight="1">
      <c r="A44" s="96"/>
      <c r="B44" s="1164"/>
      <c r="C44" s="79" t="s">
        <v>178</v>
      </c>
      <c r="D44" s="44">
        <v>0</v>
      </c>
      <c r="E44" s="44">
        <v>100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383">
        <v>0</v>
      </c>
      <c r="M44" s="383">
        <v>0</v>
      </c>
      <c r="N44" s="177">
        <v>0</v>
      </c>
      <c r="O44" s="383">
        <f t="shared" si="56"/>
        <v>0</v>
      </c>
      <c r="P44" s="383">
        <f t="shared" si="56"/>
        <v>0</v>
      </c>
      <c r="Q44" s="177">
        <v>0</v>
      </c>
      <c r="R44" s="383">
        <v>0</v>
      </c>
      <c r="S44" s="383">
        <v>0</v>
      </c>
      <c r="T44" s="177">
        <v>0</v>
      </c>
      <c r="U44" s="383">
        <f t="shared" si="59"/>
        <v>0</v>
      </c>
      <c r="V44" s="383">
        <f t="shared" si="60"/>
        <v>0</v>
      </c>
      <c r="W44" s="177">
        <v>0</v>
      </c>
      <c r="X44" s="383">
        <v>0</v>
      </c>
      <c r="Y44" s="383">
        <v>0</v>
      </c>
      <c r="Z44" s="177">
        <v>0</v>
      </c>
      <c r="AA44" s="527">
        <f t="shared" si="62"/>
        <v>0</v>
      </c>
      <c r="AB44" s="527">
        <f t="shared" si="63"/>
        <v>0</v>
      </c>
      <c r="AC44" s="521">
        <v>0</v>
      </c>
      <c r="AD44" s="527">
        <v>0</v>
      </c>
      <c r="AE44" s="527">
        <v>0</v>
      </c>
      <c r="AF44" s="521">
        <v>0</v>
      </c>
      <c r="AG44" s="527">
        <f t="shared" si="65"/>
        <v>0</v>
      </c>
      <c r="AH44" s="527">
        <f t="shared" si="65"/>
        <v>0</v>
      </c>
      <c r="AI44" s="521">
        <v>0</v>
      </c>
      <c r="AJ44" s="527">
        <v>0</v>
      </c>
      <c r="AK44" s="527">
        <v>0</v>
      </c>
      <c r="AL44" s="521">
        <v>0</v>
      </c>
      <c r="AM44" s="661">
        <f t="shared" si="67"/>
        <v>0</v>
      </c>
      <c r="AN44" s="661">
        <f t="shared" si="68"/>
        <v>0</v>
      </c>
      <c r="AO44" s="647">
        <v>0</v>
      </c>
      <c r="AP44" s="817">
        <v>0</v>
      </c>
      <c r="AQ44" s="817">
        <v>0</v>
      </c>
      <c r="AR44" s="647">
        <v>0</v>
      </c>
      <c r="AS44" s="817">
        <f t="shared" si="70"/>
        <v>0</v>
      </c>
      <c r="AT44" s="817">
        <f t="shared" si="70"/>
        <v>0</v>
      </c>
      <c r="AU44" s="799">
        <v>0</v>
      </c>
      <c r="AV44" s="969">
        <v>0</v>
      </c>
      <c r="AW44" s="969">
        <v>0</v>
      </c>
      <c r="AX44" s="799">
        <v>0</v>
      </c>
      <c r="AY44" s="817">
        <f t="shared" si="72"/>
        <v>0</v>
      </c>
      <c r="AZ44" s="817">
        <f t="shared" si="73"/>
        <v>0</v>
      </c>
      <c r="BA44" s="799">
        <v>0</v>
      </c>
      <c r="BB44" s="817">
        <v>0</v>
      </c>
      <c r="BC44" s="817">
        <v>0</v>
      </c>
      <c r="BD44" s="799">
        <v>0</v>
      </c>
      <c r="BE44" s="817">
        <f t="shared" si="75"/>
        <v>0</v>
      </c>
      <c r="BF44" s="817">
        <f t="shared" si="75"/>
        <v>0</v>
      </c>
      <c r="BG44" s="799">
        <v>0</v>
      </c>
      <c r="BH44" s="817">
        <v>0</v>
      </c>
      <c r="BI44" s="817">
        <v>0</v>
      </c>
      <c r="BJ44" s="799">
        <v>0</v>
      </c>
      <c r="BK44" s="817">
        <f t="shared" si="76"/>
        <v>0</v>
      </c>
      <c r="BL44" s="817">
        <f t="shared" si="76"/>
        <v>0</v>
      </c>
      <c r="BM44" s="799">
        <v>0</v>
      </c>
      <c r="BN44" s="817">
        <v>0</v>
      </c>
      <c r="BO44" s="817">
        <v>0</v>
      </c>
      <c r="BP44" s="799">
        <v>0</v>
      </c>
      <c r="BQ44" s="817">
        <f t="shared" si="78"/>
        <v>0</v>
      </c>
      <c r="BR44" s="817">
        <f t="shared" si="78"/>
        <v>0</v>
      </c>
      <c r="BS44" s="799">
        <v>0</v>
      </c>
      <c r="BT44" s="817">
        <v>0</v>
      </c>
      <c r="BU44" s="817">
        <v>0</v>
      </c>
      <c r="BV44" s="799">
        <v>0</v>
      </c>
    </row>
    <row r="45" spans="1:74" ht="15" customHeight="1">
      <c r="A45" s="96"/>
      <c r="B45" s="1164"/>
      <c r="C45" s="79" t="s">
        <v>179</v>
      </c>
      <c r="D45" s="44">
        <v>0</v>
      </c>
      <c r="E45" s="44">
        <v>82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383">
        <v>0</v>
      </c>
      <c r="M45" s="383">
        <v>0</v>
      </c>
      <c r="N45" s="177">
        <v>0</v>
      </c>
      <c r="O45" s="383">
        <f t="shared" si="56"/>
        <v>0</v>
      </c>
      <c r="P45" s="383">
        <f t="shared" si="56"/>
        <v>0</v>
      </c>
      <c r="Q45" s="177">
        <v>0</v>
      </c>
      <c r="R45" s="383">
        <v>0</v>
      </c>
      <c r="S45" s="383">
        <v>0</v>
      </c>
      <c r="T45" s="177">
        <v>0</v>
      </c>
      <c r="U45" s="383">
        <f t="shared" si="59"/>
        <v>0</v>
      </c>
      <c r="V45" s="383">
        <f t="shared" si="60"/>
        <v>0</v>
      </c>
      <c r="W45" s="177">
        <v>0</v>
      </c>
      <c r="X45" s="383">
        <v>0</v>
      </c>
      <c r="Y45" s="383">
        <v>0</v>
      </c>
      <c r="Z45" s="177">
        <v>0</v>
      </c>
      <c r="AA45" s="527">
        <f t="shared" si="62"/>
        <v>0</v>
      </c>
      <c r="AB45" s="527">
        <f t="shared" si="63"/>
        <v>0</v>
      </c>
      <c r="AC45" s="521">
        <v>0</v>
      </c>
      <c r="AD45" s="527">
        <v>0</v>
      </c>
      <c r="AE45" s="527">
        <v>0</v>
      </c>
      <c r="AF45" s="521">
        <v>0</v>
      </c>
      <c r="AG45" s="527">
        <f t="shared" si="65"/>
        <v>0</v>
      </c>
      <c r="AH45" s="527">
        <f t="shared" si="65"/>
        <v>0</v>
      </c>
      <c r="AI45" s="521">
        <v>0</v>
      </c>
      <c r="AJ45" s="527">
        <v>0</v>
      </c>
      <c r="AK45" s="527">
        <v>0</v>
      </c>
      <c r="AL45" s="521">
        <v>0</v>
      </c>
      <c r="AM45" s="661">
        <f t="shared" si="67"/>
        <v>0</v>
      </c>
      <c r="AN45" s="661">
        <f t="shared" si="68"/>
        <v>0</v>
      </c>
      <c r="AO45" s="647">
        <v>0</v>
      </c>
      <c r="AP45" s="817">
        <v>0</v>
      </c>
      <c r="AQ45" s="817">
        <v>0</v>
      </c>
      <c r="AR45" s="647">
        <v>0</v>
      </c>
      <c r="AS45" s="817">
        <f t="shared" si="70"/>
        <v>0</v>
      </c>
      <c r="AT45" s="817">
        <f t="shared" si="70"/>
        <v>0</v>
      </c>
      <c r="AU45" s="799">
        <v>0</v>
      </c>
      <c r="AV45" s="969">
        <v>0</v>
      </c>
      <c r="AW45" s="969">
        <v>0</v>
      </c>
      <c r="AX45" s="799">
        <v>0</v>
      </c>
      <c r="AY45" s="817">
        <f t="shared" si="72"/>
        <v>0</v>
      </c>
      <c r="AZ45" s="817">
        <f t="shared" si="73"/>
        <v>0</v>
      </c>
      <c r="BA45" s="799">
        <v>0</v>
      </c>
      <c r="BB45" s="817">
        <v>0</v>
      </c>
      <c r="BC45" s="817">
        <v>0</v>
      </c>
      <c r="BD45" s="799">
        <v>0</v>
      </c>
      <c r="BE45" s="817">
        <f t="shared" si="75"/>
        <v>0</v>
      </c>
      <c r="BF45" s="817">
        <f t="shared" si="75"/>
        <v>0</v>
      </c>
      <c r="BG45" s="799">
        <v>0</v>
      </c>
      <c r="BH45" s="817">
        <v>0</v>
      </c>
      <c r="BI45" s="817">
        <v>0</v>
      </c>
      <c r="BJ45" s="799">
        <v>0</v>
      </c>
      <c r="BK45" s="817">
        <f t="shared" si="76"/>
        <v>0</v>
      </c>
      <c r="BL45" s="817">
        <f t="shared" si="76"/>
        <v>0</v>
      </c>
      <c r="BM45" s="799">
        <v>0</v>
      </c>
      <c r="BN45" s="817">
        <v>0</v>
      </c>
      <c r="BO45" s="817">
        <v>0</v>
      </c>
      <c r="BP45" s="799">
        <v>0</v>
      </c>
      <c r="BQ45" s="817">
        <f t="shared" si="78"/>
        <v>0</v>
      </c>
      <c r="BR45" s="817">
        <f t="shared" si="78"/>
        <v>0</v>
      </c>
      <c r="BS45" s="799">
        <v>0</v>
      </c>
      <c r="BT45" s="817">
        <v>0</v>
      </c>
      <c r="BU45" s="817">
        <v>0</v>
      </c>
      <c r="BV45" s="799">
        <v>0</v>
      </c>
    </row>
    <row r="46" spans="1:74" ht="15" customHeight="1">
      <c r="A46" s="96"/>
      <c r="B46" s="1164"/>
      <c r="C46" s="79" t="s">
        <v>180</v>
      </c>
      <c r="D46" s="44">
        <v>41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383">
        <v>0</v>
      </c>
      <c r="M46" s="383">
        <v>0</v>
      </c>
      <c r="N46" s="177">
        <v>0</v>
      </c>
      <c r="O46" s="383">
        <f t="shared" si="56"/>
        <v>0</v>
      </c>
      <c r="P46" s="383">
        <f t="shared" si="56"/>
        <v>0</v>
      </c>
      <c r="Q46" s="177">
        <v>0</v>
      </c>
      <c r="R46" s="383">
        <v>0</v>
      </c>
      <c r="S46" s="383">
        <v>0</v>
      </c>
      <c r="T46" s="177">
        <v>0</v>
      </c>
      <c r="U46" s="383">
        <f t="shared" si="59"/>
        <v>0</v>
      </c>
      <c r="V46" s="383">
        <f t="shared" si="60"/>
        <v>0</v>
      </c>
      <c r="W46" s="177">
        <v>0</v>
      </c>
      <c r="X46" s="383">
        <v>0</v>
      </c>
      <c r="Y46" s="383">
        <v>0</v>
      </c>
      <c r="Z46" s="177">
        <v>0</v>
      </c>
      <c r="AA46" s="527">
        <f t="shared" si="62"/>
        <v>0</v>
      </c>
      <c r="AB46" s="527">
        <f t="shared" si="63"/>
        <v>0</v>
      </c>
      <c r="AC46" s="521">
        <v>0</v>
      </c>
      <c r="AD46" s="527">
        <v>0</v>
      </c>
      <c r="AE46" s="527">
        <v>0</v>
      </c>
      <c r="AF46" s="521">
        <v>0</v>
      </c>
      <c r="AG46" s="527">
        <f t="shared" si="65"/>
        <v>0</v>
      </c>
      <c r="AH46" s="527">
        <f t="shared" si="65"/>
        <v>0</v>
      </c>
      <c r="AI46" s="521">
        <v>0</v>
      </c>
      <c r="AJ46" s="527">
        <v>0</v>
      </c>
      <c r="AK46" s="527">
        <v>0</v>
      </c>
      <c r="AL46" s="521">
        <v>0</v>
      </c>
      <c r="AM46" s="661">
        <f t="shared" si="67"/>
        <v>0</v>
      </c>
      <c r="AN46" s="661">
        <f t="shared" si="68"/>
        <v>0</v>
      </c>
      <c r="AO46" s="647">
        <v>0</v>
      </c>
      <c r="AP46" s="817">
        <v>0</v>
      </c>
      <c r="AQ46" s="817">
        <v>0</v>
      </c>
      <c r="AR46" s="647">
        <v>0</v>
      </c>
      <c r="AS46" s="817">
        <f t="shared" si="70"/>
        <v>0</v>
      </c>
      <c r="AT46" s="817">
        <f t="shared" si="70"/>
        <v>0</v>
      </c>
      <c r="AU46" s="799">
        <v>0</v>
      </c>
      <c r="AV46" s="969">
        <v>0</v>
      </c>
      <c r="AW46" s="969">
        <v>0</v>
      </c>
      <c r="AX46" s="799">
        <v>0</v>
      </c>
      <c r="AY46" s="817">
        <f t="shared" si="72"/>
        <v>0</v>
      </c>
      <c r="AZ46" s="817">
        <f t="shared" si="73"/>
        <v>0</v>
      </c>
      <c r="BA46" s="799">
        <v>0</v>
      </c>
      <c r="BB46" s="817">
        <v>0</v>
      </c>
      <c r="BC46" s="817">
        <v>0</v>
      </c>
      <c r="BD46" s="799">
        <v>0</v>
      </c>
      <c r="BE46" s="817">
        <f t="shared" si="75"/>
        <v>0</v>
      </c>
      <c r="BF46" s="817">
        <f t="shared" si="75"/>
        <v>0</v>
      </c>
      <c r="BG46" s="799">
        <v>0</v>
      </c>
      <c r="BH46" s="817">
        <v>0</v>
      </c>
      <c r="BI46" s="817">
        <v>0</v>
      </c>
      <c r="BJ46" s="799">
        <v>0</v>
      </c>
      <c r="BK46" s="817">
        <f t="shared" si="76"/>
        <v>0</v>
      </c>
      <c r="BL46" s="817">
        <f t="shared" si="76"/>
        <v>0</v>
      </c>
      <c r="BM46" s="799">
        <v>0</v>
      </c>
      <c r="BN46" s="817">
        <v>0</v>
      </c>
      <c r="BO46" s="817">
        <v>0</v>
      </c>
      <c r="BP46" s="799">
        <v>0</v>
      </c>
      <c r="BQ46" s="817">
        <f t="shared" si="78"/>
        <v>0</v>
      </c>
      <c r="BR46" s="817">
        <f t="shared" si="78"/>
        <v>0</v>
      </c>
      <c r="BS46" s="799">
        <v>0</v>
      </c>
      <c r="BT46" s="817">
        <v>0</v>
      </c>
      <c r="BU46" s="817">
        <v>0</v>
      </c>
      <c r="BV46" s="799">
        <v>0</v>
      </c>
    </row>
    <row r="47" spans="1:74" ht="15" customHeight="1">
      <c r="A47" s="96"/>
      <c r="B47" s="1164"/>
      <c r="C47" s="79" t="s">
        <v>173</v>
      </c>
      <c r="D47" s="44">
        <f t="shared" ref="D47:M47" si="88">D48-SUM(D30:D46)</f>
        <v>17</v>
      </c>
      <c r="E47" s="44">
        <f t="shared" si="88"/>
        <v>5</v>
      </c>
      <c r="F47" s="44">
        <f t="shared" si="88"/>
        <v>75</v>
      </c>
      <c r="G47" s="44">
        <f t="shared" si="88"/>
        <v>0</v>
      </c>
      <c r="H47" s="44">
        <f t="shared" si="88"/>
        <v>0</v>
      </c>
      <c r="I47" s="44">
        <f t="shared" si="88"/>
        <v>58</v>
      </c>
      <c r="J47" s="44">
        <f t="shared" si="88"/>
        <v>4</v>
      </c>
      <c r="K47" s="44">
        <f>K48-SUM(K30:K46)</f>
        <v>0</v>
      </c>
      <c r="L47" s="383">
        <f t="shared" si="88"/>
        <v>0</v>
      </c>
      <c r="M47" s="383">
        <f t="shared" si="88"/>
        <v>4</v>
      </c>
      <c r="N47" s="178">
        <v>0</v>
      </c>
      <c r="O47" s="383">
        <f>O48-SUM(O30:O46)</f>
        <v>0</v>
      </c>
      <c r="P47" s="383">
        <f>P48-SUM(P30:P46)</f>
        <v>1</v>
      </c>
      <c r="Q47" s="242" t="e">
        <f>ROUND(((P47/O47-1)*100), 1)</f>
        <v>#DIV/0!</v>
      </c>
      <c r="R47" s="383">
        <f>R48-SUM(R30:R46)</f>
        <v>0</v>
      </c>
      <c r="S47" s="383">
        <f>S48-SUM(S30:S46)</f>
        <v>5</v>
      </c>
      <c r="T47" s="242" t="e">
        <f>ROUND(((S47/R47-1)*100), 1)</f>
        <v>#DIV/0!</v>
      </c>
      <c r="U47" s="383">
        <f>U48-SUM(U30:U46)</f>
        <v>0</v>
      </c>
      <c r="V47" s="383">
        <f>V48-SUM(V30:V46)</f>
        <v>0</v>
      </c>
      <c r="W47" s="177">
        <v>0</v>
      </c>
      <c r="X47" s="383">
        <f>X48-SUM(X30:X46)</f>
        <v>0</v>
      </c>
      <c r="Y47" s="383">
        <f>Y48-SUM(Y30:Y46)</f>
        <v>5</v>
      </c>
      <c r="Z47" s="178">
        <v>0</v>
      </c>
      <c r="AA47" s="527">
        <f>AA48-SUM(AA30:AA46)</f>
        <v>0</v>
      </c>
      <c r="AB47" s="527">
        <f>AB48-SUM(AB30:AB46)</f>
        <v>0</v>
      </c>
      <c r="AC47" s="522">
        <v>0</v>
      </c>
      <c r="AD47" s="527">
        <f>AD48-SUM(AD30:AD46)</f>
        <v>0</v>
      </c>
      <c r="AE47" s="527">
        <f>AE48-SUM(AE30:AE46)</f>
        <v>5</v>
      </c>
      <c r="AF47" s="522">
        <v>0</v>
      </c>
      <c r="AG47" s="527">
        <f>AG48-SUM(AG30:AG46)</f>
        <v>0</v>
      </c>
      <c r="AH47" s="527">
        <f>AH48-SUM(AH30:AH46)</f>
        <v>8</v>
      </c>
      <c r="AI47" s="521">
        <v>0</v>
      </c>
      <c r="AJ47" s="527">
        <f>AJ48-SUM(AJ30:AJ46)</f>
        <v>0</v>
      </c>
      <c r="AK47" s="527">
        <f>AK48-SUM(AK30:AK46)</f>
        <v>13</v>
      </c>
      <c r="AL47" s="521">
        <v>0</v>
      </c>
      <c r="AM47" s="661">
        <f>AM48-SUM(AM30:AM46)</f>
        <v>0</v>
      </c>
      <c r="AN47" s="661">
        <f>AN48-SUM(AN30:AN46)</f>
        <v>10</v>
      </c>
      <c r="AO47" s="647">
        <v>0</v>
      </c>
      <c r="AP47" s="817">
        <f>AP48-SUM(AP30:AP46)</f>
        <v>0</v>
      </c>
      <c r="AQ47" s="817">
        <f>AQ48-SUM(AQ30:AQ46)</f>
        <v>23</v>
      </c>
      <c r="AR47" s="647">
        <v>0</v>
      </c>
      <c r="AS47" s="817">
        <f>AS48-SUM(AS30:AS46)</f>
        <v>0</v>
      </c>
      <c r="AT47" s="817">
        <f>AT48-SUM(AT30:AT46)</f>
        <v>14</v>
      </c>
      <c r="AU47" s="799">
        <v>0</v>
      </c>
      <c r="AV47" s="969">
        <f>AV48-SUM(AV30:AV46)</f>
        <v>0</v>
      </c>
      <c r="AW47" s="969">
        <f>AW48-SUM(AW30:AW46)</f>
        <v>37</v>
      </c>
      <c r="AX47" s="799">
        <v>0</v>
      </c>
      <c r="AY47" s="817">
        <f>AY48-SUM(AY30:AY46)</f>
        <v>0</v>
      </c>
      <c r="AZ47" s="817">
        <f>AZ48-SUM(AZ30:AZ46)</f>
        <v>0</v>
      </c>
      <c r="BA47" s="799">
        <v>0</v>
      </c>
      <c r="BB47" s="817">
        <f>BB48-SUM(BB30:BB46)</f>
        <v>0</v>
      </c>
      <c r="BC47" s="817">
        <f>BC48-SUM(BC30:BC46)</f>
        <v>37</v>
      </c>
      <c r="BD47" s="799">
        <v>0</v>
      </c>
      <c r="BE47" s="817">
        <f>BE48-SUM(BE30:BE46)</f>
        <v>0</v>
      </c>
      <c r="BF47" s="817">
        <f>BF48-SUM(BF30:BF46)</f>
        <v>0</v>
      </c>
      <c r="BG47" s="799">
        <v>0</v>
      </c>
      <c r="BH47" s="817">
        <f>BH48-SUM(BH30:BH46)</f>
        <v>0</v>
      </c>
      <c r="BI47" s="817">
        <f>BI48-SUM(BI30:BI46)</f>
        <v>37</v>
      </c>
      <c r="BJ47" s="799">
        <v>0</v>
      </c>
      <c r="BK47" s="817">
        <f>BK48-SUM(BK30:BK46)</f>
        <v>0</v>
      </c>
      <c r="BL47" s="817">
        <f>BL48-SUM(BL30:BL46)</f>
        <v>0</v>
      </c>
      <c r="BM47" s="799">
        <v>0</v>
      </c>
      <c r="BN47" s="817">
        <f>BN48-SUM(BN30:BN46)</f>
        <v>0</v>
      </c>
      <c r="BO47" s="817">
        <f>BO48-SUM(BO30:BO46)</f>
        <v>37</v>
      </c>
      <c r="BP47" s="799">
        <v>0</v>
      </c>
      <c r="BQ47" s="817">
        <f>BQ48-SUM(BQ30:BQ46)</f>
        <v>0</v>
      </c>
      <c r="BR47" s="817">
        <f>BR48-SUM(BR30:BR46)</f>
        <v>0</v>
      </c>
      <c r="BS47" s="799">
        <v>0</v>
      </c>
      <c r="BT47" s="817">
        <f>BT48-SUM(BT30:BT46)</f>
        <v>0</v>
      </c>
      <c r="BU47" s="817">
        <f>BU48-SUM(BU30:BU46)</f>
        <v>37</v>
      </c>
      <c r="BV47" s="799">
        <v>0</v>
      </c>
    </row>
    <row r="48" spans="1:74" ht="15" customHeight="1">
      <c r="A48" s="96"/>
      <c r="B48" s="1164"/>
      <c r="C48" s="166" t="s">
        <v>292</v>
      </c>
      <c r="D48" s="46">
        <v>46275</v>
      </c>
      <c r="E48" s="46">
        <v>59822</v>
      </c>
      <c r="F48" s="46">
        <v>61388</v>
      </c>
      <c r="G48" s="46">
        <v>50595</v>
      </c>
      <c r="H48" s="46">
        <v>72312</v>
      </c>
      <c r="I48" s="46">
        <v>66659</v>
      </c>
      <c r="J48" s="54">
        <v>66420</v>
      </c>
      <c r="K48" s="46">
        <v>79766</v>
      </c>
      <c r="L48" s="403">
        <v>5443</v>
      </c>
      <c r="M48" s="403">
        <v>6680</v>
      </c>
      <c r="N48" s="243">
        <f>ROUND(((M48/L48-1)*100), 1)</f>
        <v>22.7</v>
      </c>
      <c r="O48" s="403">
        <f>R48-L48</f>
        <v>5855</v>
      </c>
      <c r="P48" s="403">
        <f>S48-M48</f>
        <v>6441</v>
      </c>
      <c r="Q48" s="243">
        <f>ROUND(((P48/O48-1)*100), 1)</f>
        <v>10</v>
      </c>
      <c r="R48" s="403">
        <v>11298</v>
      </c>
      <c r="S48" s="403">
        <v>13121</v>
      </c>
      <c r="T48" s="243">
        <f>ROUND(((S48/R48-1)*100), 1)</f>
        <v>16.100000000000001</v>
      </c>
      <c r="U48" s="403">
        <f>X48-R48</f>
        <v>6230</v>
      </c>
      <c r="V48" s="403">
        <f>Y48-S48</f>
        <v>5545</v>
      </c>
      <c r="W48" s="243">
        <f>ROUND(((V48/U48-1)*100), 1)</f>
        <v>-11</v>
      </c>
      <c r="X48" s="403">
        <v>17528</v>
      </c>
      <c r="Y48" s="403">
        <v>18666</v>
      </c>
      <c r="Z48" s="243">
        <f>ROUND(((Y48/X48-1)*100), 1)</f>
        <v>6.5</v>
      </c>
      <c r="AA48" s="403">
        <f>AD48-X48</f>
        <v>5912</v>
      </c>
      <c r="AB48" s="403">
        <f>AE48-Y48</f>
        <v>3172</v>
      </c>
      <c r="AC48" s="243">
        <f>ROUND(((AB48/AA48-1)*100), 1)</f>
        <v>-46.3</v>
      </c>
      <c r="AD48" s="403">
        <v>23440</v>
      </c>
      <c r="AE48" s="403">
        <v>21838</v>
      </c>
      <c r="AF48" s="243">
        <f>ROUND(((AE48/AD48-1)*100), 1)</f>
        <v>-6.8</v>
      </c>
      <c r="AG48" s="403">
        <f>AJ48-AD48</f>
        <v>6749</v>
      </c>
      <c r="AH48" s="403">
        <f>AK48-AE48</f>
        <v>2336</v>
      </c>
      <c r="AI48" s="243">
        <f>ROUND(((AH48/AG48-1)*100), 1)</f>
        <v>-65.400000000000006</v>
      </c>
      <c r="AJ48" s="403">
        <v>30189</v>
      </c>
      <c r="AK48" s="403">
        <v>24174</v>
      </c>
      <c r="AL48" s="243">
        <f>ROUND(((AK48/AJ48-1)*100), 1)</f>
        <v>-19.899999999999999</v>
      </c>
      <c r="AM48" s="664">
        <f>AP48-AJ48</f>
        <v>6734</v>
      </c>
      <c r="AN48" s="664">
        <f>AQ48-AK48</f>
        <v>4524</v>
      </c>
      <c r="AO48" s="653">
        <f>ROUND(((AN48/AM48-1)*100), 1)</f>
        <v>-32.799999999999997</v>
      </c>
      <c r="AP48" s="814">
        <v>36923</v>
      </c>
      <c r="AQ48" s="814">
        <v>28698</v>
      </c>
      <c r="AR48" s="653">
        <f>ROUND(((AQ48/AP48-1)*100), 1)</f>
        <v>-22.3</v>
      </c>
      <c r="AS48" s="814">
        <f>AV48-AP48</f>
        <v>7756</v>
      </c>
      <c r="AT48" s="814">
        <f>AW48-AQ48</f>
        <v>6270</v>
      </c>
      <c r="AU48" s="754">
        <f>ROUND(((AT48/AS48-1)*100), 1)</f>
        <v>-19.2</v>
      </c>
      <c r="AV48" s="971">
        <v>44679</v>
      </c>
      <c r="AW48" s="971">
        <v>34968</v>
      </c>
      <c r="AX48" s="754">
        <f>ROUND(((AW48/AV48-1)*100), 1)</f>
        <v>-21.7</v>
      </c>
      <c r="AY48" s="814">
        <f>BB48-AV48</f>
        <v>6569</v>
      </c>
      <c r="AZ48" s="814">
        <f>BC48-AW48</f>
        <v>5735</v>
      </c>
      <c r="BA48" s="754">
        <f>ROUND(((AZ48/AY48-1)*100), 1)</f>
        <v>-12.7</v>
      </c>
      <c r="BB48" s="814">
        <v>51248</v>
      </c>
      <c r="BC48" s="814">
        <v>40703</v>
      </c>
      <c r="BD48" s="754">
        <f>ROUND(((BC48/BB48-1)*100), 1)</f>
        <v>-20.6</v>
      </c>
      <c r="BE48" s="814">
        <f>BH48-BB48</f>
        <v>5515</v>
      </c>
      <c r="BF48" s="814">
        <f>BI48-BC48</f>
        <v>6680</v>
      </c>
      <c r="BG48" s="754">
        <f>ROUND(((BF48/BE48-1)*100), 1)</f>
        <v>21.1</v>
      </c>
      <c r="BH48" s="814">
        <v>56763</v>
      </c>
      <c r="BI48" s="814">
        <v>47383</v>
      </c>
      <c r="BJ48" s="754">
        <f>ROUND(((BI48/BH48-1)*100), 1)</f>
        <v>-16.5</v>
      </c>
      <c r="BK48" s="814">
        <f>BN48-BH48</f>
        <v>7622</v>
      </c>
      <c r="BL48" s="814">
        <f>BO48-BI48</f>
        <v>5635</v>
      </c>
      <c r="BM48" s="754">
        <f>ROUND(((BL48/BK48-1)*100), 1)</f>
        <v>-26.1</v>
      </c>
      <c r="BN48" s="814">
        <v>64385</v>
      </c>
      <c r="BO48" s="814">
        <v>53018</v>
      </c>
      <c r="BP48" s="754">
        <f>ROUND(((BO48/BN48-1)*100), 1)</f>
        <v>-17.7</v>
      </c>
      <c r="BQ48" s="814">
        <f>BT48-BN48</f>
        <v>6988</v>
      </c>
      <c r="BR48" s="814">
        <f>BU48-BO48</f>
        <v>5366</v>
      </c>
      <c r="BS48" s="754">
        <f t="shared" ref="BS48:BS53" si="89">ROUND(((BR48/BQ48-1)*100), 1)</f>
        <v>-23.2</v>
      </c>
      <c r="BT48" s="814">
        <v>71373</v>
      </c>
      <c r="BU48" s="814">
        <v>58384</v>
      </c>
      <c r="BV48" s="754">
        <f>ROUND(((BU48/BT48-1)*100), 1)</f>
        <v>-18.2</v>
      </c>
    </row>
    <row r="49" spans="1:74" ht="15" customHeight="1">
      <c r="A49" s="97"/>
      <c r="B49" s="1162" t="s">
        <v>181</v>
      </c>
      <c r="C49" s="1121"/>
      <c r="D49" s="46">
        <f t="shared" ref="D49:M49" si="90">SUM(D29+D48)</f>
        <v>183566</v>
      </c>
      <c r="E49" s="46">
        <f t="shared" si="90"/>
        <v>195045</v>
      </c>
      <c r="F49" s="46">
        <f t="shared" si="90"/>
        <v>264749</v>
      </c>
      <c r="G49" s="46">
        <f t="shared" si="90"/>
        <v>256633</v>
      </c>
      <c r="H49" s="46">
        <f t="shared" si="90"/>
        <v>380255</v>
      </c>
      <c r="I49" s="46">
        <f t="shared" si="90"/>
        <v>338933</v>
      </c>
      <c r="J49" s="46">
        <f t="shared" si="90"/>
        <v>353256</v>
      </c>
      <c r="K49" s="46">
        <f>SUM(K29+K48)</f>
        <v>350431</v>
      </c>
      <c r="L49" s="404">
        <f t="shared" si="90"/>
        <v>24992</v>
      </c>
      <c r="M49" s="295">
        <f t="shared" si="90"/>
        <v>35142</v>
      </c>
      <c r="N49" s="243">
        <f>ROUND(((M49/L49-1)*100), 1)</f>
        <v>40.6</v>
      </c>
      <c r="O49" s="404">
        <f>SUM(O29+O48)</f>
        <v>35016</v>
      </c>
      <c r="P49" s="295">
        <f>SUM(P29+P48)</f>
        <v>24520</v>
      </c>
      <c r="Q49" s="243">
        <f>ROUND(((P49/O49-1)*100), 1)</f>
        <v>-30</v>
      </c>
      <c r="R49" s="404">
        <f>SUM(R29+R48)</f>
        <v>60008</v>
      </c>
      <c r="S49" s="295">
        <f>SUM(S29+S48)</f>
        <v>59662</v>
      </c>
      <c r="T49" s="243">
        <f>ROUND(((S49/R49-1)*100), 1)</f>
        <v>-0.6</v>
      </c>
      <c r="U49" s="404">
        <f>SUM(U29+U48)</f>
        <v>29290</v>
      </c>
      <c r="V49" s="295">
        <f>SUM(V29+V48)</f>
        <v>29877</v>
      </c>
      <c r="W49" s="243">
        <f>ROUND(((V49/U49-1)*100), 1)</f>
        <v>2</v>
      </c>
      <c r="X49" s="404">
        <f>SUM(X29+X48)</f>
        <v>89298</v>
      </c>
      <c r="Y49" s="295">
        <f>SUM(Y29+Y48)</f>
        <v>89539</v>
      </c>
      <c r="Z49" s="243">
        <f>ROUND(((Y49/X49-1)*100), 1)</f>
        <v>0.3</v>
      </c>
      <c r="AA49" s="404">
        <f>SUM(AA29+AA48)</f>
        <v>27462</v>
      </c>
      <c r="AB49" s="295">
        <f>SUM(AB29+AB48)</f>
        <v>29145</v>
      </c>
      <c r="AC49" s="243">
        <f>ROUND(((AB49/AA49-1)*100), 1)</f>
        <v>6.1</v>
      </c>
      <c r="AD49" s="404">
        <f>SUM(AD29+AD48)</f>
        <v>116760</v>
      </c>
      <c r="AE49" s="295">
        <f>SUM(AE29+AE48)</f>
        <v>118684</v>
      </c>
      <c r="AF49" s="243">
        <f>ROUND(((AE49/AD49-1)*100), 1)</f>
        <v>1.6</v>
      </c>
      <c r="AG49" s="404">
        <f>SUM(AG29+AG48)</f>
        <v>37352</v>
      </c>
      <c r="AH49" s="295">
        <f>SUM(AH29+AH48)</f>
        <v>19351</v>
      </c>
      <c r="AI49" s="243">
        <f>ROUND(((AH49/AG49-1)*100), 1)</f>
        <v>-48.2</v>
      </c>
      <c r="AJ49" s="404">
        <f>SUM(AJ29+AJ48)</f>
        <v>154112</v>
      </c>
      <c r="AK49" s="295">
        <f>SUM(AK29+AK48)</f>
        <v>138035</v>
      </c>
      <c r="AL49" s="243">
        <f>ROUND(((AK49/AJ49-1)*100), 1)</f>
        <v>-10.4</v>
      </c>
      <c r="AM49" s="665">
        <f>SUM(AM29+AM48)</f>
        <v>32706</v>
      </c>
      <c r="AN49" s="658">
        <f>SUM(AN29+AN48)</f>
        <v>23609</v>
      </c>
      <c r="AO49" s="653">
        <f>ROUND(((AN49/AM49-1)*100), 1)</f>
        <v>-27.8</v>
      </c>
      <c r="AP49" s="665">
        <f>SUM(AP29+AP48)</f>
        <v>186818</v>
      </c>
      <c r="AQ49" s="808">
        <f>SUM(AQ29+AQ48)</f>
        <v>161644</v>
      </c>
      <c r="AR49" s="653">
        <f>ROUND(((AQ49/AP49-1)*100), 1)</f>
        <v>-13.5</v>
      </c>
      <c r="AS49" s="665">
        <f>SUM(AS29+AS48)</f>
        <v>26511</v>
      </c>
      <c r="AT49" s="808">
        <f>SUM(AT29+AT48)</f>
        <v>37378</v>
      </c>
      <c r="AU49" s="754">
        <f>ROUND(((AT49/AS49-1)*100), 1)</f>
        <v>41</v>
      </c>
      <c r="AV49" s="979">
        <f>SUM(AV29+AV48)</f>
        <v>213329</v>
      </c>
      <c r="AW49" s="972">
        <f>SUM(AW29+AW48)</f>
        <v>199022</v>
      </c>
      <c r="AX49" s="754">
        <f>ROUND(((AW49/AV49-1)*100), 1)</f>
        <v>-6.7</v>
      </c>
      <c r="AY49" s="665">
        <f>SUM(AY29+AY48)</f>
        <v>36168</v>
      </c>
      <c r="AZ49" s="808">
        <f>SUM(AZ29+AZ48)</f>
        <v>21668</v>
      </c>
      <c r="BA49" s="754">
        <f>ROUND(((AZ49/AY49-1)*100), 1)</f>
        <v>-40.1</v>
      </c>
      <c r="BB49" s="665">
        <f>SUM(BB29+BB48)</f>
        <v>249497</v>
      </c>
      <c r="BC49" s="808">
        <f>SUM(BC29+BC48)</f>
        <v>220690</v>
      </c>
      <c r="BD49" s="754">
        <f>ROUND(((BC49/BB49-1)*100), 1)</f>
        <v>-11.5</v>
      </c>
      <c r="BE49" s="665">
        <f>SUM(BE29+BE48)</f>
        <v>19211</v>
      </c>
      <c r="BF49" s="808">
        <f>SUM(BF29+BF48)</f>
        <v>24573</v>
      </c>
      <c r="BG49" s="754">
        <f>ROUND(((BF49/BE49-1)*100), 1)</f>
        <v>27.9</v>
      </c>
      <c r="BH49" s="665">
        <f>SUM(BH29+BH48)</f>
        <v>268708</v>
      </c>
      <c r="BI49" s="808">
        <f>SUM(BI29+BI48)</f>
        <v>245263</v>
      </c>
      <c r="BJ49" s="754">
        <f>ROUND(((BI49/BH49-1)*100), 1)</f>
        <v>-8.6999999999999993</v>
      </c>
      <c r="BK49" s="665">
        <f>SUM(BK29+BK48)</f>
        <v>27448</v>
      </c>
      <c r="BL49" s="808">
        <f>SUM(BL29+BL48)</f>
        <v>19517</v>
      </c>
      <c r="BM49" s="754">
        <f>ROUND(((BL49/BK49-1)*100), 1)</f>
        <v>-28.9</v>
      </c>
      <c r="BN49" s="665">
        <f>SUM(BN29+BN48)</f>
        <v>296156</v>
      </c>
      <c r="BO49" s="808">
        <f>SUM(BO29+BO48)</f>
        <v>264780</v>
      </c>
      <c r="BP49" s="754">
        <f>ROUND(((BO49/BN49-1)*100), 1)</f>
        <v>-10.6</v>
      </c>
      <c r="BQ49" s="665">
        <f>SUM(BQ29+BQ48)</f>
        <v>27697</v>
      </c>
      <c r="BR49" s="808">
        <f>SUM(BR29+BR48)</f>
        <v>39238</v>
      </c>
      <c r="BS49" s="754">
        <f t="shared" si="89"/>
        <v>41.7</v>
      </c>
      <c r="BT49" s="665">
        <f>SUM(BT29+BT48)</f>
        <v>323853</v>
      </c>
      <c r="BU49" s="808">
        <f>SUM(BU29+BU48)</f>
        <v>304018</v>
      </c>
      <c r="BV49" s="754">
        <f>ROUND(((BU49/BT49-1)*100), 1)</f>
        <v>-6.1</v>
      </c>
    </row>
    <row r="50" spans="1:74" ht="15" customHeight="1">
      <c r="A50" s="93"/>
      <c r="B50" s="1163" t="s">
        <v>341</v>
      </c>
      <c r="C50" s="79" t="s">
        <v>52</v>
      </c>
      <c r="D50" s="44">
        <v>19246</v>
      </c>
      <c r="E50" s="44">
        <v>24726</v>
      </c>
      <c r="F50" s="44">
        <v>24208</v>
      </c>
      <c r="G50" s="44">
        <v>16980</v>
      </c>
      <c r="H50" s="44">
        <v>7117</v>
      </c>
      <c r="I50" s="44">
        <v>17339</v>
      </c>
      <c r="J50" s="44">
        <v>53169</v>
      </c>
      <c r="K50" s="44">
        <v>43488</v>
      </c>
      <c r="L50" s="383">
        <v>5576</v>
      </c>
      <c r="M50" s="383">
        <v>3397</v>
      </c>
      <c r="N50" s="242">
        <f>ROUND(((M50/L50-1)*100), 1)</f>
        <v>-39.1</v>
      </c>
      <c r="O50" s="383">
        <f t="shared" ref="O50:P69" si="91">R50-L50</f>
        <v>3573</v>
      </c>
      <c r="P50" s="383">
        <f t="shared" si="91"/>
        <v>2153</v>
      </c>
      <c r="Q50" s="242">
        <f>ROUND(((P50/O50-1)*100), 1)</f>
        <v>-39.700000000000003</v>
      </c>
      <c r="R50" s="383">
        <v>9149</v>
      </c>
      <c r="S50" s="383">
        <v>5550</v>
      </c>
      <c r="T50" s="242">
        <f>ROUND(((S50/R50-1)*100), 1)</f>
        <v>-39.299999999999997</v>
      </c>
      <c r="U50" s="383">
        <f t="shared" ref="U50:U69" si="92">X50-R50</f>
        <v>2930</v>
      </c>
      <c r="V50" s="383">
        <f t="shared" ref="V50:V69" si="93">Y50-S50</f>
        <v>2962</v>
      </c>
      <c r="W50" s="242">
        <f>ROUND(((V50/U50-1)*100), 1)</f>
        <v>1.1000000000000001</v>
      </c>
      <c r="X50" s="383">
        <v>12079</v>
      </c>
      <c r="Y50" s="383">
        <v>8512</v>
      </c>
      <c r="Z50" s="242">
        <f>ROUND(((Y50/X50-1)*100), 1)</f>
        <v>-29.5</v>
      </c>
      <c r="AA50" s="527">
        <f t="shared" ref="AA50:AA69" si="94">AD50-X50</f>
        <v>3378</v>
      </c>
      <c r="AB50" s="527">
        <f t="shared" ref="AB50:AB69" si="95">AE50-Y50</f>
        <v>1740</v>
      </c>
      <c r="AC50" s="242">
        <f>ROUND(((AB50/AA50-1)*100), 1)</f>
        <v>-48.5</v>
      </c>
      <c r="AD50" s="527">
        <v>15457</v>
      </c>
      <c r="AE50" s="527">
        <v>10252</v>
      </c>
      <c r="AF50" s="242">
        <f>ROUND(((AE50/AD50-1)*100), 1)</f>
        <v>-33.700000000000003</v>
      </c>
      <c r="AG50" s="527">
        <f t="shared" ref="AG50:AH69" si="96">AJ50-AD50</f>
        <v>4619</v>
      </c>
      <c r="AH50" s="527">
        <f t="shared" si="96"/>
        <v>1757</v>
      </c>
      <c r="AI50" s="242">
        <f>ROUND(((AH50/AG50-1)*100), 1)</f>
        <v>-62</v>
      </c>
      <c r="AJ50" s="527">
        <v>20076</v>
      </c>
      <c r="AK50" s="527">
        <v>12009</v>
      </c>
      <c r="AL50" s="242">
        <f>ROUND(((AK50/AJ50-1)*100), 1)</f>
        <v>-40.200000000000003</v>
      </c>
      <c r="AM50" s="661">
        <f t="shared" ref="AM50:AM69" si="97">AP50-AJ50</f>
        <v>2346</v>
      </c>
      <c r="AN50" s="661">
        <f t="shared" ref="AN50:AN69" si="98">AQ50-AK50</f>
        <v>4570</v>
      </c>
      <c r="AO50" s="652">
        <f>ROUND(((AN50/AM50-1)*100), 1)</f>
        <v>94.8</v>
      </c>
      <c r="AP50" s="817">
        <v>22422</v>
      </c>
      <c r="AQ50" s="817">
        <v>16579</v>
      </c>
      <c r="AR50" s="652">
        <f>ROUND(((AQ50/AP50-1)*100), 1)</f>
        <v>-26.1</v>
      </c>
      <c r="AS50" s="817">
        <f t="shared" ref="AS50:AT69" si="99">AV50-AP50</f>
        <v>1139</v>
      </c>
      <c r="AT50" s="817">
        <f t="shared" si="99"/>
        <v>6496</v>
      </c>
      <c r="AU50" s="753">
        <f>ROUND(((AT50/AS50-1)*100), 1)</f>
        <v>470.3</v>
      </c>
      <c r="AV50" s="969">
        <v>23561</v>
      </c>
      <c r="AW50" s="969">
        <v>23075</v>
      </c>
      <c r="AX50" s="753">
        <f>ROUND(((AW50/AV50-1)*100), 1)</f>
        <v>-2.1</v>
      </c>
      <c r="AY50" s="817">
        <f t="shared" ref="AY50:AY69" si="100">BB50-AV50</f>
        <v>1315</v>
      </c>
      <c r="AZ50" s="817">
        <f t="shared" ref="AZ50:AZ69" si="101">BC50-AW50</f>
        <v>2922</v>
      </c>
      <c r="BA50" s="753">
        <f>ROUND(((AZ50/AY50-1)*100), 1)</f>
        <v>122.2</v>
      </c>
      <c r="BB50" s="817">
        <v>24876</v>
      </c>
      <c r="BC50" s="817">
        <v>25997</v>
      </c>
      <c r="BD50" s="753">
        <f>ROUND(((BC50/BB50-1)*100), 1)</f>
        <v>4.5</v>
      </c>
      <c r="BE50" s="817">
        <f t="shared" ref="BE50:BF69" si="102">BH50-BB50</f>
        <v>3819</v>
      </c>
      <c r="BF50" s="817">
        <f t="shared" si="102"/>
        <v>4579</v>
      </c>
      <c r="BG50" s="753">
        <f>ROUND(((BF50/BE50-1)*100), 1)</f>
        <v>19.899999999999999</v>
      </c>
      <c r="BH50" s="817">
        <v>28695</v>
      </c>
      <c r="BI50" s="817">
        <v>30576</v>
      </c>
      <c r="BJ50" s="753">
        <f>ROUND(((BI50/BH50-1)*100), 1)</f>
        <v>6.6</v>
      </c>
      <c r="BK50" s="817">
        <f t="shared" ref="BK50:BL69" si="103">BN50-BH50</f>
        <v>3880</v>
      </c>
      <c r="BL50" s="817">
        <f t="shared" si="103"/>
        <v>2884</v>
      </c>
      <c r="BM50" s="753">
        <f>ROUND(((BL50/BK50-1)*100), 1)</f>
        <v>-25.7</v>
      </c>
      <c r="BN50" s="817">
        <v>32575</v>
      </c>
      <c r="BO50" s="817">
        <v>33460</v>
      </c>
      <c r="BP50" s="753">
        <f>ROUND(((BO50/BN50-1)*100), 1)</f>
        <v>2.7</v>
      </c>
      <c r="BQ50" s="817">
        <f t="shared" ref="BQ50:BR69" si="104">BT50-BN50</f>
        <v>4959</v>
      </c>
      <c r="BR50" s="817">
        <f t="shared" si="104"/>
        <v>3637</v>
      </c>
      <c r="BS50" s="753">
        <f t="shared" si="89"/>
        <v>-26.7</v>
      </c>
      <c r="BT50" s="817">
        <v>37534</v>
      </c>
      <c r="BU50" s="817">
        <v>37097</v>
      </c>
      <c r="BV50" s="753">
        <f>ROUND(((BU50/BT50-1)*100), 1)</f>
        <v>-1.2</v>
      </c>
    </row>
    <row r="51" spans="1:74" ht="15" customHeight="1">
      <c r="A51" s="96" t="s">
        <v>182</v>
      </c>
      <c r="B51" s="1164"/>
      <c r="C51" s="79" t="s">
        <v>183</v>
      </c>
      <c r="D51" s="44">
        <v>9784</v>
      </c>
      <c r="E51" s="44">
        <v>11237</v>
      </c>
      <c r="F51" s="44">
        <v>16011</v>
      </c>
      <c r="G51" s="44">
        <v>14324</v>
      </c>
      <c r="H51" s="44">
        <v>16272</v>
      </c>
      <c r="I51" s="44">
        <v>14817</v>
      </c>
      <c r="J51" s="44">
        <v>14128</v>
      </c>
      <c r="K51" s="44">
        <v>10004</v>
      </c>
      <c r="L51" s="383">
        <v>229</v>
      </c>
      <c r="M51" s="383">
        <v>1243</v>
      </c>
      <c r="N51" s="242">
        <f>ROUND(((M51/L51-1)*100), 1)</f>
        <v>442.8</v>
      </c>
      <c r="O51" s="383">
        <f t="shared" si="91"/>
        <v>296</v>
      </c>
      <c r="P51" s="383">
        <f t="shared" si="91"/>
        <v>1291</v>
      </c>
      <c r="Q51" s="242">
        <f>ROUND(((P51/O51-1)*100), 1)</f>
        <v>336.1</v>
      </c>
      <c r="R51" s="383">
        <v>525</v>
      </c>
      <c r="S51" s="383">
        <v>2534</v>
      </c>
      <c r="T51" s="242">
        <f>ROUND(((S51/R51-1)*100), 1)</f>
        <v>382.7</v>
      </c>
      <c r="U51" s="383">
        <f t="shared" si="92"/>
        <v>622</v>
      </c>
      <c r="V51" s="383">
        <f t="shared" si="93"/>
        <v>1807</v>
      </c>
      <c r="W51" s="242">
        <f>ROUND(((V51/U51-1)*100), 1)</f>
        <v>190.5</v>
      </c>
      <c r="X51" s="383">
        <v>1147</v>
      </c>
      <c r="Y51" s="383">
        <v>4341</v>
      </c>
      <c r="Z51" s="242">
        <f>ROUND(((Y51/X51-1)*100), 1)</f>
        <v>278.5</v>
      </c>
      <c r="AA51" s="527">
        <f t="shared" si="94"/>
        <v>1457</v>
      </c>
      <c r="AB51" s="527">
        <f t="shared" si="95"/>
        <v>922</v>
      </c>
      <c r="AC51" s="242">
        <f>ROUND(((AB51/AA51-1)*100), 1)</f>
        <v>-36.700000000000003</v>
      </c>
      <c r="AD51" s="527">
        <v>2604</v>
      </c>
      <c r="AE51" s="527">
        <v>5263</v>
      </c>
      <c r="AF51" s="242">
        <f>ROUND(((AE51/AD51-1)*100), 1)</f>
        <v>102.1</v>
      </c>
      <c r="AG51" s="527">
        <f t="shared" si="96"/>
        <v>724</v>
      </c>
      <c r="AH51" s="527">
        <f t="shared" si="96"/>
        <v>1271</v>
      </c>
      <c r="AI51" s="242">
        <f>ROUND(((AH51/AG51-1)*100), 1)</f>
        <v>75.599999999999994</v>
      </c>
      <c r="AJ51" s="527">
        <v>3328</v>
      </c>
      <c r="AK51" s="527">
        <v>6534</v>
      </c>
      <c r="AL51" s="242">
        <f>ROUND(((AK51/AJ51-1)*100), 1)</f>
        <v>96.3</v>
      </c>
      <c r="AM51" s="661">
        <f t="shared" si="97"/>
        <v>920</v>
      </c>
      <c r="AN51" s="661">
        <f t="shared" si="98"/>
        <v>482</v>
      </c>
      <c r="AO51" s="652">
        <f>ROUND(((AN51/AM51-1)*100), 1)</f>
        <v>-47.6</v>
      </c>
      <c r="AP51" s="817">
        <v>4248</v>
      </c>
      <c r="AQ51" s="817">
        <v>7016</v>
      </c>
      <c r="AR51" s="652">
        <f>ROUND(((AQ51/AP51-1)*100), 1)</f>
        <v>65.2</v>
      </c>
      <c r="AS51" s="817">
        <f t="shared" si="99"/>
        <v>218</v>
      </c>
      <c r="AT51" s="817">
        <f t="shared" si="99"/>
        <v>526</v>
      </c>
      <c r="AU51" s="753">
        <f>ROUND(((AT51/AS51-1)*100), 1)</f>
        <v>141.30000000000001</v>
      </c>
      <c r="AV51" s="969">
        <v>4466</v>
      </c>
      <c r="AW51" s="969">
        <v>7542</v>
      </c>
      <c r="AX51" s="753">
        <f>ROUND(((AW51/AV51-1)*100), 1)</f>
        <v>68.900000000000006</v>
      </c>
      <c r="AY51" s="817">
        <f t="shared" si="100"/>
        <v>593</v>
      </c>
      <c r="AZ51" s="817">
        <f t="shared" si="101"/>
        <v>285</v>
      </c>
      <c r="BA51" s="753">
        <f>ROUND(((AZ51/AY51-1)*100), 1)</f>
        <v>-51.9</v>
      </c>
      <c r="BB51" s="817">
        <v>5059</v>
      </c>
      <c r="BC51" s="817">
        <v>7827</v>
      </c>
      <c r="BD51" s="753">
        <f>ROUND(((BC51/BB51-1)*100), 1)</f>
        <v>54.7</v>
      </c>
      <c r="BE51" s="817">
        <f t="shared" si="102"/>
        <v>524</v>
      </c>
      <c r="BF51" s="817">
        <f t="shared" si="102"/>
        <v>367</v>
      </c>
      <c r="BG51" s="753">
        <f>ROUND(((BF51/BE51-1)*100), 1)</f>
        <v>-30</v>
      </c>
      <c r="BH51" s="817">
        <v>5583</v>
      </c>
      <c r="BI51" s="817">
        <v>8194</v>
      </c>
      <c r="BJ51" s="753">
        <f>ROUND(((BI51/BH51-1)*100), 1)</f>
        <v>46.8</v>
      </c>
      <c r="BK51" s="817">
        <f t="shared" si="103"/>
        <v>1011</v>
      </c>
      <c r="BL51" s="817">
        <f t="shared" si="103"/>
        <v>1075</v>
      </c>
      <c r="BM51" s="753">
        <f>ROUND(((BL51/BK51-1)*100), 1)</f>
        <v>6.3</v>
      </c>
      <c r="BN51" s="817">
        <v>6594</v>
      </c>
      <c r="BO51" s="817">
        <v>9269</v>
      </c>
      <c r="BP51" s="753">
        <f>ROUND(((BO51/BN51-1)*100), 1)</f>
        <v>40.6</v>
      </c>
      <c r="BQ51" s="817">
        <f t="shared" si="104"/>
        <v>1917</v>
      </c>
      <c r="BR51" s="817">
        <f t="shared" si="104"/>
        <v>699</v>
      </c>
      <c r="BS51" s="753">
        <f t="shared" si="89"/>
        <v>-63.5</v>
      </c>
      <c r="BT51" s="817">
        <v>8511</v>
      </c>
      <c r="BU51" s="817">
        <v>9968</v>
      </c>
      <c r="BV51" s="753">
        <f>ROUND(((BU51/BT51-1)*100), 1)</f>
        <v>17.100000000000001</v>
      </c>
    </row>
    <row r="52" spans="1:74" ht="15" customHeight="1">
      <c r="A52" s="96"/>
      <c r="B52" s="1164"/>
      <c r="C52" s="79" t="s">
        <v>86</v>
      </c>
      <c r="D52" s="44">
        <v>8215</v>
      </c>
      <c r="E52" s="44">
        <v>10466</v>
      </c>
      <c r="F52" s="44">
        <v>9889</v>
      </c>
      <c r="G52" s="44">
        <v>25070</v>
      </c>
      <c r="H52" s="44">
        <v>18065</v>
      </c>
      <c r="I52" s="44">
        <v>4054</v>
      </c>
      <c r="J52" s="44">
        <v>1548</v>
      </c>
      <c r="K52" s="44">
        <v>3246</v>
      </c>
      <c r="L52" s="383">
        <v>0</v>
      </c>
      <c r="M52" s="383">
        <v>0</v>
      </c>
      <c r="N52" s="177">
        <v>0</v>
      </c>
      <c r="O52" s="383">
        <f t="shared" si="91"/>
        <v>0</v>
      </c>
      <c r="P52" s="383">
        <f t="shared" si="91"/>
        <v>349</v>
      </c>
      <c r="Q52" s="177">
        <v>0</v>
      </c>
      <c r="R52" s="383">
        <v>0</v>
      </c>
      <c r="S52" s="383">
        <v>349</v>
      </c>
      <c r="T52" s="177">
        <v>0</v>
      </c>
      <c r="U52" s="383">
        <f t="shared" si="92"/>
        <v>0</v>
      </c>
      <c r="V52" s="383">
        <f t="shared" si="93"/>
        <v>0</v>
      </c>
      <c r="W52" s="177">
        <v>0</v>
      </c>
      <c r="X52" s="383">
        <v>0</v>
      </c>
      <c r="Y52" s="383">
        <v>349</v>
      </c>
      <c r="Z52" s="177">
        <v>0</v>
      </c>
      <c r="AA52" s="527">
        <f t="shared" si="94"/>
        <v>523</v>
      </c>
      <c r="AB52" s="527">
        <f t="shared" si="95"/>
        <v>0</v>
      </c>
      <c r="AC52" s="242">
        <f t="shared" ref="AC52" si="105">ROUND(((AB52/AA52-1)*100), 1)</f>
        <v>-100</v>
      </c>
      <c r="AD52" s="527">
        <v>523</v>
      </c>
      <c r="AE52" s="527">
        <v>349</v>
      </c>
      <c r="AF52" s="242">
        <f t="shared" ref="AF52" si="106">ROUND(((AE52/AD52-1)*100), 1)</f>
        <v>-33.299999999999997</v>
      </c>
      <c r="AG52" s="527">
        <f t="shared" si="96"/>
        <v>373</v>
      </c>
      <c r="AH52" s="527">
        <f t="shared" si="96"/>
        <v>990</v>
      </c>
      <c r="AI52" s="242">
        <f t="shared" ref="AI52" si="107">ROUND(((AH52/AG52-1)*100), 1)</f>
        <v>165.4</v>
      </c>
      <c r="AJ52" s="527">
        <v>896</v>
      </c>
      <c r="AK52" s="527">
        <v>1339</v>
      </c>
      <c r="AL52" s="242">
        <f t="shared" ref="AL52" si="108">ROUND(((AK52/AJ52-1)*100), 1)</f>
        <v>49.4</v>
      </c>
      <c r="AM52" s="661">
        <f t="shared" si="97"/>
        <v>0</v>
      </c>
      <c r="AN52" s="661">
        <f t="shared" si="98"/>
        <v>0</v>
      </c>
      <c r="AO52" s="799">
        <v>0</v>
      </c>
      <c r="AP52" s="817">
        <v>896</v>
      </c>
      <c r="AQ52" s="817">
        <v>1339</v>
      </c>
      <c r="AR52" s="652">
        <f t="shared" ref="AR52" si="109">ROUND(((AQ52/AP52-1)*100), 1)</f>
        <v>49.4</v>
      </c>
      <c r="AS52" s="817">
        <f t="shared" si="99"/>
        <v>0</v>
      </c>
      <c r="AT52" s="817">
        <f t="shared" si="99"/>
        <v>1950</v>
      </c>
      <c r="AU52" s="799">
        <v>0</v>
      </c>
      <c r="AV52" s="969">
        <v>896</v>
      </c>
      <c r="AW52" s="969">
        <v>3289</v>
      </c>
      <c r="AX52" s="753">
        <f t="shared" ref="AX52:AX60" si="110">ROUND(((AW52/AV52-1)*100), 1)</f>
        <v>267.10000000000002</v>
      </c>
      <c r="AY52" s="817">
        <f t="shared" si="100"/>
        <v>1508</v>
      </c>
      <c r="AZ52" s="817">
        <f t="shared" si="101"/>
        <v>2795</v>
      </c>
      <c r="BA52" s="753">
        <f t="shared" ref="BA52:BA62" si="111">ROUND(((AZ52/AY52-1)*100), 1)</f>
        <v>85.3</v>
      </c>
      <c r="BB52" s="817">
        <v>2404</v>
      </c>
      <c r="BC52" s="817">
        <v>6084</v>
      </c>
      <c r="BD52" s="753">
        <f t="shared" ref="BD52:BD60" si="112">ROUND(((BC52/BB52-1)*100), 1)</f>
        <v>153.1</v>
      </c>
      <c r="BE52" s="817">
        <f t="shared" si="102"/>
        <v>199</v>
      </c>
      <c r="BF52" s="817">
        <f t="shared" si="102"/>
        <v>0</v>
      </c>
      <c r="BG52" s="753">
        <f t="shared" ref="BG52:BG55" si="113">ROUND(((BF52/BE52-1)*100), 1)</f>
        <v>-100</v>
      </c>
      <c r="BH52" s="817">
        <v>2603</v>
      </c>
      <c r="BI52" s="817">
        <v>6084</v>
      </c>
      <c r="BJ52" s="753">
        <f t="shared" ref="BJ52:BJ61" si="114">ROUND(((BI52/BH52-1)*100), 1)</f>
        <v>133.69999999999999</v>
      </c>
      <c r="BK52" s="817">
        <f t="shared" si="103"/>
        <v>643</v>
      </c>
      <c r="BL52" s="817">
        <f t="shared" si="103"/>
        <v>404</v>
      </c>
      <c r="BM52" s="753">
        <f t="shared" ref="BM52:BM55" si="115">ROUND(((BL52/BK52-1)*100), 1)</f>
        <v>-37.200000000000003</v>
      </c>
      <c r="BN52" s="817">
        <v>3246</v>
      </c>
      <c r="BO52" s="817">
        <v>6488</v>
      </c>
      <c r="BP52" s="753">
        <f t="shared" ref="BP52:BP61" si="116">ROUND(((BO52/BN52-1)*100), 1)</f>
        <v>99.9</v>
      </c>
      <c r="BQ52" s="817">
        <f t="shared" ref="BQ52:BQ69" si="117">BT52-BN52</f>
        <v>0</v>
      </c>
      <c r="BR52" s="817">
        <f t="shared" ref="BR52:BR69" si="118">BU52-BO52</f>
        <v>1242</v>
      </c>
      <c r="BS52" s="799">
        <v>0</v>
      </c>
      <c r="BT52" s="817">
        <v>3246</v>
      </c>
      <c r="BU52" s="817">
        <v>7730</v>
      </c>
      <c r="BV52" s="753">
        <f t="shared" ref="BV52:BV61" si="119">ROUND(((BU52/BT52-1)*100), 1)</f>
        <v>138.1</v>
      </c>
    </row>
    <row r="53" spans="1:74" ht="15" customHeight="1">
      <c r="A53" s="96"/>
      <c r="B53" s="1164"/>
      <c r="C53" s="79" t="s">
        <v>186</v>
      </c>
      <c r="D53" s="44">
        <v>949</v>
      </c>
      <c r="E53" s="44">
        <v>3698</v>
      </c>
      <c r="F53" s="44">
        <v>8315</v>
      </c>
      <c r="G53" s="44">
        <v>7861</v>
      </c>
      <c r="H53" s="44">
        <v>9463</v>
      </c>
      <c r="I53" s="44">
        <v>5829</v>
      </c>
      <c r="J53" s="44">
        <v>905</v>
      </c>
      <c r="K53" s="44">
        <v>2386</v>
      </c>
      <c r="L53" s="383">
        <v>88</v>
      </c>
      <c r="M53" s="383">
        <v>446</v>
      </c>
      <c r="N53" s="242">
        <f>ROUND(((M53/L53-1)*100), 1)</f>
        <v>406.8</v>
      </c>
      <c r="O53" s="383">
        <f t="shared" si="91"/>
        <v>132</v>
      </c>
      <c r="P53" s="383">
        <f t="shared" si="91"/>
        <v>374</v>
      </c>
      <c r="Q53" s="242">
        <f>ROUND(((P53/O53-1)*100), 1)</f>
        <v>183.3</v>
      </c>
      <c r="R53" s="383">
        <v>220</v>
      </c>
      <c r="S53" s="383">
        <v>820</v>
      </c>
      <c r="T53" s="242">
        <f>ROUND(((S53/R53-1)*100), 1)</f>
        <v>272.7</v>
      </c>
      <c r="U53" s="383">
        <f t="shared" si="92"/>
        <v>45</v>
      </c>
      <c r="V53" s="383">
        <f t="shared" si="93"/>
        <v>98</v>
      </c>
      <c r="W53" s="242">
        <f>ROUND(((V53/U53-1)*100), 1)</f>
        <v>117.8</v>
      </c>
      <c r="X53" s="383">
        <v>265</v>
      </c>
      <c r="Y53" s="383">
        <v>918</v>
      </c>
      <c r="Z53" s="242">
        <f>ROUND(((Y53/X53-1)*100), 1)</f>
        <v>246.4</v>
      </c>
      <c r="AA53" s="527">
        <f t="shared" si="94"/>
        <v>197</v>
      </c>
      <c r="AB53" s="527">
        <f t="shared" si="95"/>
        <v>50</v>
      </c>
      <c r="AC53" s="242">
        <f>ROUND(((AB53/AA53-1)*100), 1)</f>
        <v>-74.599999999999994</v>
      </c>
      <c r="AD53" s="527">
        <v>462</v>
      </c>
      <c r="AE53" s="527">
        <v>968</v>
      </c>
      <c r="AF53" s="242">
        <f>ROUND(((AE53/AD53-1)*100), 1)</f>
        <v>109.5</v>
      </c>
      <c r="AG53" s="527">
        <f t="shared" si="96"/>
        <v>99</v>
      </c>
      <c r="AH53" s="527">
        <f t="shared" si="96"/>
        <v>496</v>
      </c>
      <c r="AI53" s="242">
        <f>ROUND(((AH53/AG53-1)*100), 1)</f>
        <v>401</v>
      </c>
      <c r="AJ53" s="527">
        <v>561</v>
      </c>
      <c r="AK53" s="527">
        <v>1464</v>
      </c>
      <c r="AL53" s="242">
        <f>ROUND(((AK53/AJ53-1)*100), 1)</f>
        <v>161</v>
      </c>
      <c r="AM53" s="661">
        <f t="shared" si="97"/>
        <v>0</v>
      </c>
      <c r="AN53" s="661">
        <f t="shared" si="98"/>
        <v>272</v>
      </c>
      <c r="AO53" s="799">
        <v>0</v>
      </c>
      <c r="AP53" s="817">
        <v>561</v>
      </c>
      <c r="AQ53" s="817">
        <v>1736</v>
      </c>
      <c r="AR53" s="652">
        <f t="shared" ref="AR53:AR60" si="120">ROUND(((AQ53/AP53-1)*100), 1)</f>
        <v>209.4</v>
      </c>
      <c r="AS53" s="817">
        <f t="shared" si="99"/>
        <v>490</v>
      </c>
      <c r="AT53" s="817">
        <f t="shared" si="99"/>
        <v>74</v>
      </c>
      <c r="AU53" s="753">
        <f t="shared" ref="AU53:AU66" si="121">ROUND(((AT53/AS53-1)*100), 1)</f>
        <v>-84.9</v>
      </c>
      <c r="AV53" s="969">
        <v>1051</v>
      </c>
      <c r="AW53" s="969">
        <v>1810</v>
      </c>
      <c r="AX53" s="753">
        <f t="shared" si="110"/>
        <v>72.2</v>
      </c>
      <c r="AY53" s="817">
        <f t="shared" si="100"/>
        <v>49</v>
      </c>
      <c r="AZ53" s="817">
        <f t="shared" si="101"/>
        <v>199</v>
      </c>
      <c r="BA53" s="753">
        <f t="shared" si="111"/>
        <v>306.10000000000002</v>
      </c>
      <c r="BB53" s="817">
        <v>1100</v>
      </c>
      <c r="BC53" s="817">
        <v>2009</v>
      </c>
      <c r="BD53" s="753">
        <f t="shared" si="112"/>
        <v>82.6</v>
      </c>
      <c r="BE53" s="817">
        <f t="shared" si="102"/>
        <v>295</v>
      </c>
      <c r="BF53" s="817">
        <f t="shared" si="102"/>
        <v>100</v>
      </c>
      <c r="BG53" s="753">
        <f t="shared" si="113"/>
        <v>-66.099999999999994</v>
      </c>
      <c r="BH53" s="817">
        <v>1395</v>
      </c>
      <c r="BI53" s="817">
        <v>2109</v>
      </c>
      <c r="BJ53" s="753">
        <f t="shared" si="114"/>
        <v>51.2</v>
      </c>
      <c r="BK53" s="817">
        <f t="shared" si="103"/>
        <v>199</v>
      </c>
      <c r="BL53" s="817">
        <f t="shared" si="103"/>
        <v>1047</v>
      </c>
      <c r="BM53" s="753">
        <f t="shared" si="115"/>
        <v>426.1</v>
      </c>
      <c r="BN53" s="817">
        <v>1594</v>
      </c>
      <c r="BO53" s="817">
        <v>3156</v>
      </c>
      <c r="BP53" s="753">
        <f t="shared" si="116"/>
        <v>98</v>
      </c>
      <c r="BQ53" s="817">
        <f t="shared" si="117"/>
        <v>395</v>
      </c>
      <c r="BR53" s="817">
        <f t="shared" si="118"/>
        <v>471</v>
      </c>
      <c r="BS53" s="753">
        <f t="shared" si="89"/>
        <v>19.2</v>
      </c>
      <c r="BT53" s="817">
        <v>1989</v>
      </c>
      <c r="BU53" s="817">
        <v>3627</v>
      </c>
      <c r="BV53" s="753">
        <f t="shared" si="119"/>
        <v>82.4</v>
      </c>
    </row>
    <row r="54" spans="1:74" ht="15" customHeight="1">
      <c r="A54" s="96"/>
      <c r="B54" s="1164"/>
      <c r="C54" s="79" t="s">
        <v>169</v>
      </c>
      <c r="D54" s="44">
        <v>1596</v>
      </c>
      <c r="E54" s="44">
        <v>5904</v>
      </c>
      <c r="F54" s="44">
        <v>3014</v>
      </c>
      <c r="G54" s="44">
        <v>2500</v>
      </c>
      <c r="H54" s="44">
        <v>1819</v>
      </c>
      <c r="I54" s="44">
        <v>3074</v>
      </c>
      <c r="J54" s="44">
        <v>43</v>
      </c>
      <c r="K54" s="44">
        <v>2198</v>
      </c>
      <c r="L54" s="383">
        <v>0</v>
      </c>
      <c r="M54" s="383">
        <v>0</v>
      </c>
      <c r="N54" s="177">
        <v>0</v>
      </c>
      <c r="O54" s="383">
        <f t="shared" si="91"/>
        <v>197</v>
      </c>
      <c r="P54" s="383">
        <f t="shared" si="91"/>
        <v>0</v>
      </c>
      <c r="Q54" s="242">
        <f>ROUND(((P54/O54-1)*100), 1)</f>
        <v>-100</v>
      </c>
      <c r="R54" s="383">
        <v>197</v>
      </c>
      <c r="S54" s="383">
        <v>0</v>
      </c>
      <c r="T54" s="242">
        <f>ROUND(((S54/R54-1)*100), 1)</f>
        <v>-100</v>
      </c>
      <c r="U54" s="383">
        <f t="shared" si="92"/>
        <v>487</v>
      </c>
      <c r="V54" s="383">
        <f t="shared" si="93"/>
        <v>491</v>
      </c>
      <c r="W54" s="242">
        <f>ROUND(((V54/U54-1)*100), 1)</f>
        <v>0.8</v>
      </c>
      <c r="X54" s="383">
        <v>684</v>
      </c>
      <c r="Y54" s="383">
        <v>491</v>
      </c>
      <c r="Z54" s="242">
        <f>ROUND(((Y54/X54-1)*100), 1)</f>
        <v>-28.2</v>
      </c>
      <c r="AA54" s="527">
        <f t="shared" si="94"/>
        <v>390</v>
      </c>
      <c r="AB54" s="527">
        <f t="shared" si="95"/>
        <v>494</v>
      </c>
      <c r="AC54" s="242">
        <f>ROUND(((AB54/AA54-1)*100), 1)</f>
        <v>26.7</v>
      </c>
      <c r="AD54" s="527">
        <v>1074</v>
      </c>
      <c r="AE54" s="527">
        <v>985</v>
      </c>
      <c r="AF54" s="242">
        <f>ROUND(((AE54/AD54-1)*100), 1)</f>
        <v>-8.3000000000000007</v>
      </c>
      <c r="AG54" s="527">
        <f t="shared" si="96"/>
        <v>98</v>
      </c>
      <c r="AH54" s="527">
        <f t="shared" si="96"/>
        <v>0</v>
      </c>
      <c r="AI54" s="242">
        <f>ROUND(((AH54/AG54-1)*100), 1)</f>
        <v>-100</v>
      </c>
      <c r="AJ54" s="527">
        <v>1172</v>
      </c>
      <c r="AK54" s="527">
        <v>985</v>
      </c>
      <c r="AL54" s="242">
        <f>ROUND(((AK54/AJ54-1)*100), 1)</f>
        <v>-16</v>
      </c>
      <c r="AM54" s="661">
        <f t="shared" si="97"/>
        <v>293</v>
      </c>
      <c r="AN54" s="661">
        <f t="shared" si="98"/>
        <v>0</v>
      </c>
      <c r="AO54" s="652">
        <f>ROUND(((AN54/AM54-1)*100), 1)</f>
        <v>-100</v>
      </c>
      <c r="AP54" s="817">
        <v>1465</v>
      </c>
      <c r="AQ54" s="817">
        <v>985</v>
      </c>
      <c r="AR54" s="652">
        <f t="shared" si="120"/>
        <v>-32.799999999999997</v>
      </c>
      <c r="AS54" s="817">
        <f t="shared" si="99"/>
        <v>0</v>
      </c>
      <c r="AT54" s="817">
        <f t="shared" si="99"/>
        <v>0</v>
      </c>
      <c r="AU54" s="799">
        <v>0</v>
      </c>
      <c r="AV54" s="969">
        <v>1465</v>
      </c>
      <c r="AW54" s="969">
        <v>985</v>
      </c>
      <c r="AX54" s="753">
        <f t="shared" si="110"/>
        <v>-32.799999999999997</v>
      </c>
      <c r="AY54" s="817">
        <f t="shared" si="100"/>
        <v>489</v>
      </c>
      <c r="AZ54" s="817">
        <f t="shared" si="101"/>
        <v>0</v>
      </c>
      <c r="BA54" s="753">
        <f t="shared" si="111"/>
        <v>-100</v>
      </c>
      <c r="BB54" s="817">
        <v>1954</v>
      </c>
      <c r="BC54" s="817">
        <v>985</v>
      </c>
      <c r="BD54" s="753">
        <f t="shared" si="112"/>
        <v>-49.6</v>
      </c>
      <c r="BE54" s="817">
        <f t="shared" si="102"/>
        <v>1</v>
      </c>
      <c r="BF54" s="817">
        <f t="shared" si="102"/>
        <v>495</v>
      </c>
      <c r="BG54" s="753">
        <f t="shared" si="113"/>
        <v>49400</v>
      </c>
      <c r="BH54" s="817">
        <v>1955</v>
      </c>
      <c r="BI54" s="817">
        <v>1480</v>
      </c>
      <c r="BJ54" s="753">
        <f t="shared" si="114"/>
        <v>-24.3</v>
      </c>
      <c r="BK54" s="817">
        <f t="shared" si="103"/>
        <v>0</v>
      </c>
      <c r="BL54" s="817">
        <f t="shared" si="103"/>
        <v>495</v>
      </c>
      <c r="BM54" s="799">
        <v>0</v>
      </c>
      <c r="BN54" s="817">
        <v>1955</v>
      </c>
      <c r="BO54" s="817">
        <v>1975</v>
      </c>
      <c r="BP54" s="753">
        <f t="shared" si="116"/>
        <v>1</v>
      </c>
      <c r="BQ54" s="817">
        <f t="shared" si="117"/>
        <v>0</v>
      </c>
      <c r="BR54" s="817">
        <f t="shared" si="118"/>
        <v>498</v>
      </c>
      <c r="BS54" s="799">
        <v>0</v>
      </c>
      <c r="BT54" s="817">
        <v>1955</v>
      </c>
      <c r="BU54" s="817">
        <v>2473</v>
      </c>
      <c r="BV54" s="753">
        <f t="shared" si="119"/>
        <v>26.5</v>
      </c>
    </row>
    <row r="55" spans="1:74" ht="15" customHeight="1">
      <c r="A55" s="96"/>
      <c r="B55" s="1164"/>
      <c r="C55" s="339" t="s">
        <v>323</v>
      </c>
      <c r="D55" s="340">
        <v>0</v>
      </c>
      <c r="E55" s="340">
        <v>0</v>
      </c>
      <c r="F55" s="340">
        <v>0</v>
      </c>
      <c r="G55" s="340">
        <v>0</v>
      </c>
      <c r="H55" s="340">
        <v>0</v>
      </c>
      <c r="I55" s="340">
        <v>125</v>
      </c>
      <c r="J55" s="340">
        <v>1440</v>
      </c>
      <c r="K55" s="44">
        <v>2121</v>
      </c>
      <c r="L55" s="327">
        <v>345</v>
      </c>
      <c r="M55" s="383">
        <v>0</v>
      </c>
      <c r="N55" s="328">
        <f>ROUND(((M55/L55-1)*100), 1)</f>
        <v>-100</v>
      </c>
      <c r="O55" s="327">
        <f t="shared" si="91"/>
        <v>183</v>
      </c>
      <c r="P55" s="383">
        <f t="shared" si="91"/>
        <v>400</v>
      </c>
      <c r="Q55" s="328">
        <f>ROUND(((P55/O55-1)*100), 1)</f>
        <v>118.6</v>
      </c>
      <c r="R55" s="327">
        <v>528</v>
      </c>
      <c r="S55" s="383">
        <v>400</v>
      </c>
      <c r="T55" s="328">
        <f>ROUND(((S55/R55-1)*100), 1)</f>
        <v>-24.2</v>
      </c>
      <c r="U55" s="327">
        <f t="shared" si="92"/>
        <v>70</v>
      </c>
      <c r="V55" s="383">
        <f t="shared" si="93"/>
        <v>0</v>
      </c>
      <c r="W55" s="328">
        <f>ROUND(((V55/U55-1)*100), 1)</f>
        <v>-100</v>
      </c>
      <c r="X55" s="383">
        <v>598</v>
      </c>
      <c r="Y55" s="383">
        <v>400</v>
      </c>
      <c r="Z55" s="328">
        <f>ROUND(((Y55/X55-1)*100), 1)</f>
        <v>-33.1</v>
      </c>
      <c r="AA55" s="327">
        <f t="shared" si="94"/>
        <v>44</v>
      </c>
      <c r="AB55" s="527">
        <f t="shared" si="95"/>
        <v>0</v>
      </c>
      <c r="AC55" s="328">
        <f>ROUND(((AB55/AA55-1)*100), 1)</f>
        <v>-100</v>
      </c>
      <c r="AD55" s="527">
        <v>642</v>
      </c>
      <c r="AE55" s="527">
        <v>400</v>
      </c>
      <c r="AF55" s="328">
        <f>ROUND(((AE55/AD55-1)*100), 1)</f>
        <v>-37.700000000000003</v>
      </c>
      <c r="AG55" s="327">
        <f t="shared" si="96"/>
        <v>108</v>
      </c>
      <c r="AH55" s="527">
        <f t="shared" si="96"/>
        <v>0</v>
      </c>
      <c r="AI55" s="328">
        <f>ROUND(((AH55/AG55-1)*100), 1)</f>
        <v>-100</v>
      </c>
      <c r="AJ55" s="527">
        <v>750</v>
      </c>
      <c r="AK55" s="527">
        <v>400</v>
      </c>
      <c r="AL55" s="328">
        <f>ROUND(((AK55/AJ55-1)*100), 1)</f>
        <v>-46.7</v>
      </c>
      <c r="AM55" s="659">
        <f t="shared" si="97"/>
        <v>212</v>
      </c>
      <c r="AN55" s="661">
        <f t="shared" si="98"/>
        <v>0</v>
      </c>
      <c r="AO55" s="660">
        <f>ROUND(((AN55/AM55-1)*100), 1)</f>
        <v>-100</v>
      </c>
      <c r="AP55" s="817">
        <v>962</v>
      </c>
      <c r="AQ55" s="817">
        <v>400</v>
      </c>
      <c r="AR55" s="660">
        <f t="shared" si="120"/>
        <v>-58.4</v>
      </c>
      <c r="AS55" s="659">
        <f t="shared" si="99"/>
        <v>200</v>
      </c>
      <c r="AT55" s="817">
        <f t="shared" si="99"/>
        <v>0</v>
      </c>
      <c r="AU55" s="753">
        <f t="shared" si="121"/>
        <v>-100</v>
      </c>
      <c r="AV55" s="969">
        <v>1162</v>
      </c>
      <c r="AW55" s="969">
        <v>400</v>
      </c>
      <c r="AX55" s="765">
        <f t="shared" si="110"/>
        <v>-65.599999999999994</v>
      </c>
      <c r="AY55" s="659">
        <f t="shared" si="100"/>
        <v>200</v>
      </c>
      <c r="AZ55" s="817">
        <f t="shared" si="101"/>
        <v>308</v>
      </c>
      <c r="BA55" s="753">
        <f t="shared" si="111"/>
        <v>54</v>
      </c>
      <c r="BB55" s="817">
        <v>1362</v>
      </c>
      <c r="BC55" s="817">
        <v>708</v>
      </c>
      <c r="BD55" s="765">
        <f t="shared" si="112"/>
        <v>-48</v>
      </c>
      <c r="BE55" s="659">
        <f t="shared" si="102"/>
        <v>269</v>
      </c>
      <c r="BF55" s="817">
        <f t="shared" si="102"/>
        <v>0</v>
      </c>
      <c r="BG55" s="753">
        <f t="shared" si="113"/>
        <v>-100</v>
      </c>
      <c r="BH55" s="817">
        <v>1631</v>
      </c>
      <c r="BI55" s="817">
        <v>708</v>
      </c>
      <c r="BJ55" s="765">
        <f t="shared" si="114"/>
        <v>-56.6</v>
      </c>
      <c r="BK55" s="659">
        <f t="shared" si="103"/>
        <v>220</v>
      </c>
      <c r="BL55" s="817">
        <f t="shared" si="103"/>
        <v>100</v>
      </c>
      <c r="BM55" s="753">
        <f t="shared" si="115"/>
        <v>-54.5</v>
      </c>
      <c r="BN55" s="817">
        <v>1851</v>
      </c>
      <c r="BO55" s="817">
        <v>808</v>
      </c>
      <c r="BP55" s="765">
        <f t="shared" si="116"/>
        <v>-56.3</v>
      </c>
      <c r="BQ55" s="817">
        <f t="shared" si="117"/>
        <v>180</v>
      </c>
      <c r="BR55" s="817">
        <f t="shared" si="118"/>
        <v>200</v>
      </c>
      <c r="BS55" s="753">
        <f>ROUND(((BR55/BQ55-1)*100), 1)</f>
        <v>11.1</v>
      </c>
      <c r="BT55" s="817">
        <v>2031</v>
      </c>
      <c r="BU55" s="817">
        <v>1008</v>
      </c>
      <c r="BV55" s="765">
        <f t="shared" si="119"/>
        <v>-50.4</v>
      </c>
    </row>
    <row r="56" spans="1:74" s="173" customFormat="1" ht="15" customHeight="1">
      <c r="A56" s="338"/>
      <c r="B56" s="1164"/>
      <c r="C56" s="79" t="s">
        <v>153</v>
      </c>
      <c r="D56" s="44">
        <v>1001</v>
      </c>
      <c r="E56" s="44">
        <v>6046</v>
      </c>
      <c r="F56" s="44">
        <v>1457</v>
      </c>
      <c r="G56" s="44">
        <v>83</v>
      </c>
      <c r="H56" s="44">
        <v>74</v>
      </c>
      <c r="I56" s="44">
        <v>508</v>
      </c>
      <c r="J56" s="44">
        <v>5319</v>
      </c>
      <c r="K56" s="44">
        <v>2048</v>
      </c>
      <c r="L56" s="383">
        <v>0</v>
      </c>
      <c r="M56" s="383">
        <v>0</v>
      </c>
      <c r="N56" s="177">
        <v>0</v>
      </c>
      <c r="O56" s="383">
        <f t="shared" si="91"/>
        <v>20</v>
      </c>
      <c r="P56" s="383">
        <f t="shared" si="91"/>
        <v>0</v>
      </c>
      <c r="Q56" s="242">
        <f>ROUND(((P56/O56-1)*100), 1)</f>
        <v>-100</v>
      </c>
      <c r="R56" s="383">
        <v>20</v>
      </c>
      <c r="S56" s="383">
        <v>0</v>
      </c>
      <c r="T56" s="242">
        <f>ROUND(((S56/R56-1)*100), 1)</f>
        <v>-100</v>
      </c>
      <c r="U56" s="383">
        <f t="shared" si="92"/>
        <v>0</v>
      </c>
      <c r="V56" s="383">
        <f t="shared" si="93"/>
        <v>0</v>
      </c>
      <c r="W56" s="242" t="e">
        <f>ROUND(((V56/U56-1)*100), 1)</f>
        <v>#DIV/0!</v>
      </c>
      <c r="X56" s="383">
        <v>20</v>
      </c>
      <c r="Y56" s="383">
        <v>0</v>
      </c>
      <c r="Z56" s="242">
        <f>ROUND(((Y56/X56-1)*100), 1)</f>
        <v>-100</v>
      </c>
      <c r="AA56" s="527">
        <f t="shared" si="94"/>
        <v>0</v>
      </c>
      <c r="AB56" s="527">
        <f t="shared" si="95"/>
        <v>0</v>
      </c>
      <c r="AC56" s="521">
        <v>0</v>
      </c>
      <c r="AD56" s="527">
        <v>20</v>
      </c>
      <c r="AE56" s="527">
        <v>0</v>
      </c>
      <c r="AF56" s="242">
        <f>ROUND(((AE56/AD56-1)*100), 1)</f>
        <v>-100</v>
      </c>
      <c r="AG56" s="527">
        <f t="shared" si="96"/>
        <v>0</v>
      </c>
      <c r="AH56" s="527">
        <f t="shared" si="96"/>
        <v>0</v>
      </c>
      <c r="AI56" s="521">
        <v>0</v>
      </c>
      <c r="AJ56" s="527">
        <v>20</v>
      </c>
      <c r="AK56" s="527">
        <v>0</v>
      </c>
      <c r="AL56" s="242">
        <f>ROUND(((AK56/AJ56-1)*100), 1)</f>
        <v>-100</v>
      </c>
      <c r="AM56" s="661">
        <f t="shared" si="97"/>
        <v>706</v>
      </c>
      <c r="AN56" s="661">
        <f t="shared" si="98"/>
        <v>0</v>
      </c>
      <c r="AO56" s="753">
        <f>ROUND(((AN56/AM56-1)*100), 1)</f>
        <v>-100</v>
      </c>
      <c r="AP56" s="817">
        <v>726</v>
      </c>
      <c r="AQ56" s="817">
        <v>0</v>
      </c>
      <c r="AR56" s="652">
        <f t="shared" si="120"/>
        <v>-100</v>
      </c>
      <c r="AS56" s="817">
        <f t="shared" si="99"/>
        <v>750</v>
      </c>
      <c r="AT56" s="817">
        <f t="shared" si="99"/>
        <v>0</v>
      </c>
      <c r="AU56" s="753">
        <f t="shared" si="121"/>
        <v>-100</v>
      </c>
      <c r="AV56" s="969">
        <v>1476</v>
      </c>
      <c r="AW56" s="969">
        <v>0</v>
      </c>
      <c r="AX56" s="753">
        <f t="shared" si="110"/>
        <v>-100</v>
      </c>
      <c r="AY56" s="817">
        <f t="shared" si="100"/>
        <v>0</v>
      </c>
      <c r="AZ56" s="817">
        <f t="shared" si="101"/>
        <v>0</v>
      </c>
      <c r="BA56" s="799">
        <v>0</v>
      </c>
      <c r="BB56" s="817">
        <v>1476</v>
      </c>
      <c r="BC56" s="817">
        <v>0</v>
      </c>
      <c r="BD56" s="753">
        <f t="shared" si="112"/>
        <v>-100</v>
      </c>
      <c r="BE56" s="817">
        <f t="shared" si="102"/>
        <v>0</v>
      </c>
      <c r="BF56" s="817">
        <f t="shared" si="102"/>
        <v>0</v>
      </c>
      <c r="BG56" s="799">
        <v>0</v>
      </c>
      <c r="BH56" s="817">
        <v>1476</v>
      </c>
      <c r="BI56" s="817">
        <v>0</v>
      </c>
      <c r="BJ56" s="753">
        <f t="shared" si="114"/>
        <v>-100</v>
      </c>
      <c r="BK56" s="817">
        <f t="shared" si="103"/>
        <v>0</v>
      </c>
      <c r="BL56" s="817">
        <f t="shared" si="103"/>
        <v>0</v>
      </c>
      <c r="BM56" s="799">
        <v>0</v>
      </c>
      <c r="BN56" s="817">
        <v>1476</v>
      </c>
      <c r="BO56" s="817">
        <v>0</v>
      </c>
      <c r="BP56" s="753">
        <f t="shared" si="116"/>
        <v>-100</v>
      </c>
      <c r="BQ56" s="817">
        <f t="shared" si="117"/>
        <v>553</v>
      </c>
      <c r="BR56" s="817">
        <f t="shared" si="118"/>
        <v>0</v>
      </c>
      <c r="BS56" s="753">
        <f>ROUND(((BR56/BQ56-1)*100), 1)</f>
        <v>-100</v>
      </c>
      <c r="BT56" s="817">
        <v>2029</v>
      </c>
      <c r="BU56" s="817">
        <v>0</v>
      </c>
      <c r="BV56" s="753">
        <f t="shared" si="119"/>
        <v>-100</v>
      </c>
    </row>
    <row r="57" spans="1:74" ht="15" customHeight="1">
      <c r="A57" s="96"/>
      <c r="B57" s="1164"/>
      <c r="C57" s="79" t="s">
        <v>184</v>
      </c>
      <c r="D57" s="44">
        <v>32864</v>
      </c>
      <c r="E57" s="44">
        <v>42598</v>
      </c>
      <c r="F57" s="44">
        <v>26524</v>
      </c>
      <c r="G57" s="44">
        <v>29637</v>
      </c>
      <c r="H57" s="44">
        <v>19897</v>
      </c>
      <c r="I57" s="44">
        <v>8806</v>
      </c>
      <c r="J57" s="44">
        <v>5217</v>
      </c>
      <c r="K57" s="44">
        <v>976</v>
      </c>
      <c r="L57" s="383">
        <v>219</v>
      </c>
      <c r="M57" s="383">
        <v>1036</v>
      </c>
      <c r="N57" s="242">
        <f>ROUND(((M57/L57-1)*100), 1)</f>
        <v>373.1</v>
      </c>
      <c r="O57" s="383">
        <f t="shared" si="91"/>
        <v>555</v>
      </c>
      <c r="P57" s="383">
        <f t="shared" si="91"/>
        <v>0</v>
      </c>
      <c r="Q57" s="242">
        <f>ROUND(((P57/O57-1)*100), 1)</f>
        <v>-100</v>
      </c>
      <c r="R57" s="383">
        <v>774</v>
      </c>
      <c r="S57" s="383">
        <v>1036</v>
      </c>
      <c r="T57" s="242">
        <f>ROUND(((S57/R57-1)*100), 1)</f>
        <v>33.9</v>
      </c>
      <c r="U57" s="383">
        <f t="shared" si="92"/>
        <v>202</v>
      </c>
      <c r="V57" s="383">
        <f t="shared" si="93"/>
        <v>0</v>
      </c>
      <c r="W57" s="242">
        <f>ROUND(((V57/U57-1)*100), 1)</f>
        <v>-100</v>
      </c>
      <c r="X57" s="383">
        <v>976</v>
      </c>
      <c r="Y57" s="383">
        <v>1036</v>
      </c>
      <c r="Z57" s="242">
        <f>ROUND(((Y57/X57-1)*100), 1)</f>
        <v>6.1</v>
      </c>
      <c r="AA57" s="527">
        <f t="shared" si="94"/>
        <v>0</v>
      </c>
      <c r="AB57" s="527">
        <f t="shared" si="95"/>
        <v>0</v>
      </c>
      <c r="AC57" s="521">
        <v>0</v>
      </c>
      <c r="AD57" s="527">
        <v>976</v>
      </c>
      <c r="AE57" s="527">
        <v>1036</v>
      </c>
      <c r="AF57" s="242">
        <f>ROUND(((AE57/AD57-1)*100), 1)</f>
        <v>6.1</v>
      </c>
      <c r="AG57" s="527">
        <f t="shared" si="96"/>
        <v>0</v>
      </c>
      <c r="AH57" s="527">
        <f t="shared" si="96"/>
        <v>0</v>
      </c>
      <c r="AI57" s="521">
        <v>0</v>
      </c>
      <c r="AJ57" s="527">
        <v>976</v>
      </c>
      <c r="AK57" s="527">
        <v>1036</v>
      </c>
      <c r="AL57" s="242">
        <f>ROUND(((AK57/AJ57-1)*100), 1)</f>
        <v>6.1</v>
      </c>
      <c r="AM57" s="661">
        <f t="shared" si="97"/>
        <v>0</v>
      </c>
      <c r="AN57" s="661">
        <f t="shared" si="98"/>
        <v>0</v>
      </c>
      <c r="AO57" s="647">
        <v>0</v>
      </c>
      <c r="AP57" s="817">
        <v>976</v>
      </c>
      <c r="AQ57" s="817">
        <v>1036</v>
      </c>
      <c r="AR57" s="652">
        <f t="shared" si="120"/>
        <v>6.1</v>
      </c>
      <c r="AS57" s="817">
        <f t="shared" si="99"/>
        <v>0</v>
      </c>
      <c r="AT57" s="817">
        <f t="shared" si="99"/>
        <v>0</v>
      </c>
      <c r="AU57" s="799">
        <v>0</v>
      </c>
      <c r="AV57" s="969">
        <v>976</v>
      </c>
      <c r="AW57" s="969">
        <v>1036</v>
      </c>
      <c r="AX57" s="753">
        <f t="shared" si="110"/>
        <v>6.1</v>
      </c>
      <c r="AY57" s="817">
        <f t="shared" si="100"/>
        <v>0</v>
      </c>
      <c r="AZ57" s="817">
        <f t="shared" si="101"/>
        <v>0</v>
      </c>
      <c r="BA57" s="799">
        <v>0</v>
      </c>
      <c r="BB57" s="817">
        <v>976</v>
      </c>
      <c r="BC57" s="817">
        <v>1036</v>
      </c>
      <c r="BD57" s="753">
        <f t="shared" si="112"/>
        <v>6.1</v>
      </c>
      <c r="BE57" s="817">
        <f t="shared" si="102"/>
        <v>0</v>
      </c>
      <c r="BF57" s="817">
        <f t="shared" si="102"/>
        <v>101</v>
      </c>
      <c r="BG57" s="799">
        <v>0</v>
      </c>
      <c r="BH57" s="817">
        <v>976</v>
      </c>
      <c r="BI57" s="817">
        <v>1137</v>
      </c>
      <c r="BJ57" s="753">
        <f t="shared" si="114"/>
        <v>16.5</v>
      </c>
      <c r="BK57" s="817">
        <f t="shared" si="103"/>
        <v>0</v>
      </c>
      <c r="BL57" s="817">
        <f t="shared" si="103"/>
        <v>1480</v>
      </c>
      <c r="BM57" s="799">
        <v>0</v>
      </c>
      <c r="BN57" s="817">
        <v>976</v>
      </c>
      <c r="BO57" s="817">
        <v>2617</v>
      </c>
      <c r="BP57" s="753">
        <f t="shared" si="116"/>
        <v>168.1</v>
      </c>
      <c r="BQ57" s="817">
        <f t="shared" si="117"/>
        <v>0</v>
      </c>
      <c r="BR57" s="817">
        <f t="shared" si="118"/>
        <v>397</v>
      </c>
      <c r="BS57" s="799">
        <v>0</v>
      </c>
      <c r="BT57" s="817">
        <v>976</v>
      </c>
      <c r="BU57" s="817">
        <v>3014</v>
      </c>
      <c r="BV57" s="753">
        <f t="shared" si="119"/>
        <v>208.8</v>
      </c>
    </row>
    <row r="58" spans="1:74" ht="15" customHeight="1">
      <c r="A58" s="96"/>
      <c r="B58" s="1164"/>
      <c r="C58" s="79" t="s">
        <v>185</v>
      </c>
      <c r="D58" s="44">
        <v>0</v>
      </c>
      <c r="E58" s="44">
        <v>3824</v>
      </c>
      <c r="F58" s="44">
        <v>2402</v>
      </c>
      <c r="G58" s="44">
        <v>663</v>
      </c>
      <c r="H58" s="44">
        <v>0</v>
      </c>
      <c r="I58" s="44">
        <v>7350</v>
      </c>
      <c r="J58" s="44">
        <v>1098</v>
      </c>
      <c r="K58" s="44">
        <v>839</v>
      </c>
      <c r="L58" s="383">
        <v>0</v>
      </c>
      <c r="M58" s="383">
        <v>0</v>
      </c>
      <c r="N58" s="177">
        <v>0</v>
      </c>
      <c r="O58" s="383">
        <f t="shared" si="91"/>
        <v>0</v>
      </c>
      <c r="P58" s="383">
        <f t="shared" si="91"/>
        <v>0</v>
      </c>
      <c r="Q58" s="177">
        <v>0</v>
      </c>
      <c r="R58" s="383">
        <v>0</v>
      </c>
      <c r="S58" s="383">
        <v>0</v>
      </c>
      <c r="T58" s="177">
        <v>0</v>
      </c>
      <c r="U58" s="383">
        <f t="shared" si="92"/>
        <v>0</v>
      </c>
      <c r="V58" s="383">
        <f t="shared" si="93"/>
        <v>0</v>
      </c>
      <c r="W58" s="177">
        <v>0</v>
      </c>
      <c r="X58" s="383">
        <v>0</v>
      </c>
      <c r="Y58" s="383">
        <v>0</v>
      </c>
      <c r="Z58" s="177">
        <v>0</v>
      </c>
      <c r="AA58" s="527">
        <f t="shared" si="94"/>
        <v>0</v>
      </c>
      <c r="AB58" s="527">
        <f t="shared" si="95"/>
        <v>151</v>
      </c>
      <c r="AC58" s="521">
        <v>0</v>
      </c>
      <c r="AD58" s="527">
        <v>0</v>
      </c>
      <c r="AE58" s="527">
        <v>151</v>
      </c>
      <c r="AF58" s="521">
        <v>0</v>
      </c>
      <c r="AG58" s="527">
        <f t="shared" si="96"/>
        <v>0</v>
      </c>
      <c r="AH58" s="527">
        <f t="shared" si="96"/>
        <v>0</v>
      </c>
      <c r="AI58" s="521">
        <v>0</v>
      </c>
      <c r="AJ58" s="527">
        <v>0</v>
      </c>
      <c r="AK58" s="527">
        <v>151</v>
      </c>
      <c r="AL58" s="521">
        <v>0</v>
      </c>
      <c r="AM58" s="661">
        <f t="shared" si="97"/>
        <v>127</v>
      </c>
      <c r="AN58" s="661">
        <f t="shared" si="98"/>
        <v>0</v>
      </c>
      <c r="AO58" s="753">
        <f>ROUND(((AN58/AM58-1)*100), 1)</f>
        <v>-100</v>
      </c>
      <c r="AP58" s="817">
        <v>127</v>
      </c>
      <c r="AQ58" s="817">
        <v>151</v>
      </c>
      <c r="AR58" s="753">
        <f t="shared" si="120"/>
        <v>18.899999999999999</v>
      </c>
      <c r="AS58" s="817">
        <f t="shared" si="99"/>
        <v>685</v>
      </c>
      <c r="AT58" s="817">
        <f t="shared" si="99"/>
        <v>0</v>
      </c>
      <c r="AU58" s="753">
        <f t="shared" si="121"/>
        <v>-100</v>
      </c>
      <c r="AV58" s="969">
        <v>812</v>
      </c>
      <c r="AW58" s="969">
        <v>151</v>
      </c>
      <c r="AX58" s="753">
        <f t="shared" si="110"/>
        <v>-81.400000000000006</v>
      </c>
      <c r="AY58" s="817">
        <f t="shared" si="100"/>
        <v>27</v>
      </c>
      <c r="AZ58" s="817">
        <f t="shared" si="101"/>
        <v>0</v>
      </c>
      <c r="BA58" s="753">
        <f t="shared" si="111"/>
        <v>-100</v>
      </c>
      <c r="BB58" s="817">
        <v>839</v>
      </c>
      <c r="BC58" s="817">
        <v>151</v>
      </c>
      <c r="BD58" s="753">
        <f t="shared" si="112"/>
        <v>-82</v>
      </c>
      <c r="BE58" s="817">
        <f t="shared" si="102"/>
        <v>0</v>
      </c>
      <c r="BF58" s="817">
        <f t="shared" si="102"/>
        <v>0</v>
      </c>
      <c r="BG58" s="799">
        <v>0</v>
      </c>
      <c r="BH58" s="817">
        <v>839</v>
      </c>
      <c r="BI58" s="817">
        <v>151</v>
      </c>
      <c r="BJ58" s="753">
        <f t="shared" si="114"/>
        <v>-82</v>
      </c>
      <c r="BK58" s="817">
        <f t="shared" si="103"/>
        <v>0</v>
      </c>
      <c r="BL58" s="817">
        <f t="shared" si="103"/>
        <v>0</v>
      </c>
      <c r="BM58" s="799">
        <v>0</v>
      </c>
      <c r="BN58" s="817">
        <v>839</v>
      </c>
      <c r="BO58" s="817">
        <v>151</v>
      </c>
      <c r="BP58" s="753">
        <f t="shared" si="116"/>
        <v>-82</v>
      </c>
      <c r="BQ58" s="817">
        <f t="shared" si="117"/>
        <v>0</v>
      </c>
      <c r="BR58" s="817">
        <f t="shared" si="118"/>
        <v>0</v>
      </c>
      <c r="BS58" s="799">
        <v>0</v>
      </c>
      <c r="BT58" s="817">
        <v>839</v>
      </c>
      <c r="BU58" s="817">
        <v>151</v>
      </c>
      <c r="BV58" s="753">
        <f t="shared" si="119"/>
        <v>-82</v>
      </c>
    </row>
    <row r="59" spans="1:74" s="291" customFormat="1" ht="15" customHeight="1">
      <c r="A59" s="434"/>
      <c r="B59" s="1164"/>
      <c r="C59" s="79" t="s">
        <v>469</v>
      </c>
      <c r="D59" s="44">
        <v>1891</v>
      </c>
      <c r="E59" s="44">
        <v>415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681</v>
      </c>
      <c r="L59" s="383">
        <v>85</v>
      </c>
      <c r="M59" s="383">
        <v>0</v>
      </c>
      <c r="N59" s="242">
        <f>ROUND(((M59/L59-1)*100), 1)</f>
        <v>-100</v>
      </c>
      <c r="O59" s="383">
        <f t="shared" si="91"/>
        <v>103</v>
      </c>
      <c r="P59" s="383">
        <f t="shared" si="91"/>
        <v>0</v>
      </c>
      <c r="Q59" s="242">
        <f>ROUND(((P59/O59-1)*100), 1)</f>
        <v>-100</v>
      </c>
      <c r="R59" s="383">
        <v>188</v>
      </c>
      <c r="S59" s="383">
        <v>0</v>
      </c>
      <c r="T59" s="242">
        <f>ROUND(((S59/R59-1)*100), 1)</f>
        <v>-100</v>
      </c>
      <c r="U59" s="383">
        <f t="shared" si="92"/>
        <v>103</v>
      </c>
      <c r="V59" s="383">
        <f t="shared" si="93"/>
        <v>0</v>
      </c>
      <c r="W59" s="242">
        <f>ROUND(((V59/U59-1)*100), 1)</f>
        <v>-100</v>
      </c>
      <c r="X59" s="383">
        <v>291</v>
      </c>
      <c r="Y59" s="383">
        <v>0</v>
      </c>
      <c r="Z59" s="242">
        <f>ROUND(((Y59/X59-1)*100), 1)</f>
        <v>-100</v>
      </c>
      <c r="AA59" s="527">
        <f t="shared" si="94"/>
        <v>143</v>
      </c>
      <c r="AB59" s="527">
        <f t="shared" si="95"/>
        <v>0</v>
      </c>
      <c r="AC59" s="242">
        <f>ROUND(((AB59/AA59-1)*100), 1)</f>
        <v>-100</v>
      </c>
      <c r="AD59" s="527">
        <v>434</v>
      </c>
      <c r="AE59" s="527">
        <v>0</v>
      </c>
      <c r="AF59" s="242">
        <f>ROUND(((AE59/AD59-1)*100), 1)</f>
        <v>-100</v>
      </c>
      <c r="AG59" s="527">
        <f t="shared" si="96"/>
        <v>145</v>
      </c>
      <c r="AH59" s="527">
        <f t="shared" si="96"/>
        <v>0</v>
      </c>
      <c r="AI59" s="242">
        <f>ROUND(((AH59/AG59-1)*100), 1)</f>
        <v>-100</v>
      </c>
      <c r="AJ59" s="527">
        <v>579</v>
      </c>
      <c r="AK59" s="527">
        <v>0</v>
      </c>
      <c r="AL59" s="242">
        <f>ROUND(((AK59/AJ59-1)*100), 1)</f>
        <v>-100</v>
      </c>
      <c r="AM59" s="661">
        <f t="shared" si="97"/>
        <v>101</v>
      </c>
      <c r="AN59" s="661">
        <f t="shared" si="98"/>
        <v>0</v>
      </c>
      <c r="AO59" s="652">
        <f>ROUND(((AN59/AM59-1)*100), 1)</f>
        <v>-100</v>
      </c>
      <c r="AP59" s="817">
        <v>680</v>
      </c>
      <c r="AQ59" s="817">
        <v>0</v>
      </c>
      <c r="AR59" s="652">
        <f t="shared" si="120"/>
        <v>-100</v>
      </c>
      <c r="AS59" s="817">
        <f t="shared" si="99"/>
        <v>1</v>
      </c>
      <c r="AT59" s="817">
        <f t="shared" si="99"/>
        <v>0</v>
      </c>
      <c r="AU59" s="753">
        <f t="shared" si="121"/>
        <v>-100</v>
      </c>
      <c r="AV59" s="969">
        <v>681</v>
      </c>
      <c r="AW59" s="969">
        <v>0</v>
      </c>
      <c r="AX59" s="753">
        <f t="shared" si="110"/>
        <v>-100</v>
      </c>
      <c r="AY59" s="817">
        <f t="shared" si="100"/>
        <v>0</v>
      </c>
      <c r="AZ59" s="817">
        <f t="shared" si="101"/>
        <v>50</v>
      </c>
      <c r="BA59" s="799">
        <v>0</v>
      </c>
      <c r="BB59" s="817">
        <v>681</v>
      </c>
      <c r="BC59" s="817">
        <v>50</v>
      </c>
      <c r="BD59" s="753">
        <f t="shared" si="112"/>
        <v>-92.7</v>
      </c>
      <c r="BE59" s="817">
        <f t="shared" si="102"/>
        <v>0</v>
      </c>
      <c r="BF59" s="817">
        <f t="shared" si="102"/>
        <v>0</v>
      </c>
      <c r="BG59" s="799">
        <v>0</v>
      </c>
      <c r="BH59" s="817">
        <v>681</v>
      </c>
      <c r="BI59" s="817">
        <v>50</v>
      </c>
      <c r="BJ59" s="753">
        <f t="shared" si="114"/>
        <v>-92.7</v>
      </c>
      <c r="BK59" s="817">
        <f t="shared" si="103"/>
        <v>0</v>
      </c>
      <c r="BL59" s="817">
        <f t="shared" si="103"/>
        <v>0</v>
      </c>
      <c r="BM59" s="799">
        <v>0</v>
      </c>
      <c r="BN59" s="817">
        <v>681</v>
      </c>
      <c r="BO59" s="817">
        <v>50</v>
      </c>
      <c r="BP59" s="753">
        <f t="shared" si="116"/>
        <v>-92.7</v>
      </c>
      <c r="BQ59" s="817">
        <f t="shared" si="117"/>
        <v>0</v>
      </c>
      <c r="BR59" s="817">
        <f t="shared" si="118"/>
        <v>0</v>
      </c>
      <c r="BS59" s="799">
        <v>0</v>
      </c>
      <c r="BT59" s="817">
        <v>681</v>
      </c>
      <c r="BU59" s="817">
        <v>50</v>
      </c>
      <c r="BV59" s="753">
        <f t="shared" si="119"/>
        <v>-92.7</v>
      </c>
    </row>
    <row r="60" spans="1:74" s="291" customFormat="1" ht="15" customHeight="1">
      <c r="A60" s="434"/>
      <c r="B60" s="1164"/>
      <c r="C60" s="79" t="s">
        <v>470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20</v>
      </c>
      <c r="J60" s="44">
        <v>75</v>
      </c>
      <c r="K60" s="44">
        <v>675</v>
      </c>
      <c r="L60" s="383">
        <v>0</v>
      </c>
      <c r="M60" s="383">
        <v>0</v>
      </c>
      <c r="N60" s="177">
        <v>0</v>
      </c>
      <c r="O60" s="383">
        <f t="shared" si="91"/>
        <v>100</v>
      </c>
      <c r="P60" s="383">
        <f t="shared" si="91"/>
        <v>0</v>
      </c>
      <c r="Q60" s="242">
        <f>ROUND(((P60/O60-1)*100), 1)</f>
        <v>-100</v>
      </c>
      <c r="R60" s="383">
        <v>100</v>
      </c>
      <c r="S60" s="383">
        <v>0</v>
      </c>
      <c r="T60" s="242">
        <f>ROUND(((S60/R60-1)*100), 1)</f>
        <v>-100</v>
      </c>
      <c r="U60" s="383">
        <f t="shared" si="92"/>
        <v>0</v>
      </c>
      <c r="V60" s="383">
        <f t="shared" si="93"/>
        <v>0</v>
      </c>
      <c r="W60" s="242" t="e">
        <f>ROUND(((V60/U60-1)*100), 1)</f>
        <v>#DIV/0!</v>
      </c>
      <c r="X60" s="383">
        <v>100</v>
      </c>
      <c r="Y60" s="383">
        <v>0</v>
      </c>
      <c r="Z60" s="242">
        <f>ROUND(((Y60/X60-1)*100), 1)</f>
        <v>-100</v>
      </c>
      <c r="AA60" s="527">
        <f t="shared" si="94"/>
        <v>25</v>
      </c>
      <c r="AB60" s="527">
        <f t="shared" si="95"/>
        <v>50</v>
      </c>
      <c r="AC60" s="242">
        <f>ROUND(((AB60/AA60-1)*100), 1)</f>
        <v>100</v>
      </c>
      <c r="AD60" s="527">
        <v>125</v>
      </c>
      <c r="AE60" s="527">
        <v>50</v>
      </c>
      <c r="AF60" s="242">
        <f>ROUND(((AE60/AD60-1)*100), 1)</f>
        <v>-60</v>
      </c>
      <c r="AG60" s="527">
        <f t="shared" si="96"/>
        <v>225</v>
      </c>
      <c r="AH60" s="527">
        <f t="shared" si="96"/>
        <v>0</v>
      </c>
      <c r="AI60" s="242">
        <f>ROUND(((AH60/AG60-1)*100), 1)</f>
        <v>-100</v>
      </c>
      <c r="AJ60" s="527">
        <v>350</v>
      </c>
      <c r="AK60" s="527">
        <v>50</v>
      </c>
      <c r="AL60" s="242">
        <f>ROUND(((AK60/AJ60-1)*100), 1)</f>
        <v>-85.7</v>
      </c>
      <c r="AM60" s="661">
        <f t="shared" si="97"/>
        <v>0</v>
      </c>
      <c r="AN60" s="661">
        <f t="shared" si="98"/>
        <v>0</v>
      </c>
      <c r="AO60" s="799">
        <v>0</v>
      </c>
      <c r="AP60" s="817">
        <v>350</v>
      </c>
      <c r="AQ60" s="817">
        <v>50</v>
      </c>
      <c r="AR60" s="652">
        <f t="shared" si="120"/>
        <v>-85.7</v>
      </c>
      <c r="AS60" s="817">
        <f t="shared" si="99"/>
        <v>0</v>
      </c>
      <c r="AT60" s="817">
        <f t="shared" si="99"/>
        <v>91</v>
      </c>
      <c r="AU60" s="799">
        <v>0</v>
      </c>
      <c r="AV60" s="969">
        <v>350</v>
      </c>
      <c r="AW60" s="969">
        <v>141</v>
      </c>
      <c r="AX60" s="753">
        <f t="shared" si="110"/>
        <v>-59.7</v>
      </c>
      <c r="AY60" s="817">
        <f t="shared" si="100"/>
        <v>0</v>
      </c>
      <c r="AZ60" s="817">
        <f t="shared" si="101"/>
        <v>0</v>
      </c>
      <c r="BA60" s="799">
        <v>0</v>
      </c>
      <c r="BB60" s="817">
        <v>350</v>
      </c>
      <c r="BC60" s="817">
        <v>141</v>
      </c>
      <c r="BD60" s="753">
        <f t="shared" si="112"/>
        <v>-59.7</v>
      </c>
      <c r="BE60" s="817">
        <f t="shared" si="102"/>
        <v>0</v>
      </c>
      <c r="BF60" s="817">
        <f t="shared" si="102"/>
        <v>0</v>
      </c>
      <c r="BG60" s="799">
        <v>0</v>
      </c>
      <c r="BH60" s="817">
        <v>350</v>
      </c>
      <c r="BI60" s="817">
        <v>141</v>
      </c>
      <c r="BJ60" s="753">
        <f t="shared" si="114"/>
        <v>-59.7</v>
      </c>
      <c r="BK60" s="817">
        <f t="shared" si="103"/>
        <v>0</v>
      </c>
      <c r="BL60" s="817">
        <f t="shared" si="103"/>
        <v>100</v>
      </c>
      <c r="BM60" s="799">
        <v>0</v>
      </c>
      <c r="BN60" s="817">
        <v>350</v>
      </c>
      <c r="BO60" s="817">
        <v>241</v>
      </c>
      <c r="BP60" s="753">
        <f t="shared" si="116"/>
        <v>-31.1</v>
      </c>
      <c r="BQ60" s="817">
        <f t="shared" si="117"/>
        <v>25</v>
      </c>
      <c r="BR60" s="817">
        <f t="shared" si="118"/>
        <v>0</v>
      </c>
      <c r="BS60" s="753">
        <f>ROUND(((BR60/BQ60-1)*100), 1)</f>
        <v>-100</v>
      </c>
      <c r="BT60" s="817">
        <v>375</v>
      </c>
      <c r="BU60" s="817">
        <v>241</v>
      </c>
      <c r="BV60" s="753">
        <f t="shared" si="119"/>
        <v>-35.700000000000003</v>
      </c>
    </row>
    <row r="61" spans="1:74" ht="15" customHeight="1">
      <c r="A61" s="96"/>
      <c r="B61" s="1164"/>
      <c r="C61" s="79" t="s">
        <v>56</v>
      </c>
      <c r="D61" s="44">
        <v>2520</v>
      </c>
      <c r="E61" s="44">
        <v>4810</v>
      </c>
      <c r="F61" s="44">
        <v>322</v>
      </c>
      <c r="G61" s="44">
        <v>796</v>
      </c>
      <c r="H61" s="44">
        <v>276</v>
      </c>
      <c r="I61" s="44">
        <v>580</v>
      </c>
      <c r="J61" s="44">
        <v>177</v>
      </c>
      <c r="K61" s="44">
        <v>504</v>
      </c>
      <c r="L61" s="383">
        <v>0</v>
      </c>
      <c r="M61" s="383">
        <v>0</v>
      </c>
      <c r="N61" s="177">
        <v>0</v>
      </c>
      <c r="O61" s="383">
        <f t="shared" si="91"/>
        <v>0</v>
      </c>
      <c r="P61" s="383">
        <f t="shared" si="91"/>
        <v>0</v>
      </c>
      <c r="Q61" s="177">
        <v>0</v>
      </c>
      <c r="R61" s="383">
        <v>0</v>
      </c>
      <c r="S61" s="383">
        <v>0</v>
      </c>
      <c r="T61" s="177">
        <v>0</v>
      </c>
      <c r="U61" s="383">
        <f t="shared" si="92"/>
        <v>0</v>
      </c>
      <c r="V61" s="383">
        <f t="shared" si="93"/>
        <v>0</v>
      </c>
      <c r="W61" s="177">
        <v>0</v>
      </c>
      <c r="X61" s="383">
        <v>0</v>
      </c>
      <c r="Y61" s="383">
        <v>0</v>
      </c>
      <c r="Z61" s="177">
        <v>0</v>
      </c>
      <c r="AA61" s="527">
        <f t="shared" si="94"/>
        <v>0</v>
      </c>
      <c r="AB61" s="527">
        <f t="shared" si="95"/>
        <v>0</v>
      </c>
      <c r="AC61" s="521">
        <v>0</v>
      </c>
      <c r="AD61" s="527">
        <v>0</v>
      </c>
      <c r="AE61" s="527">
        <v>0</v>
      </c>
      <c r="AF61" s="521">
        <v>0</v>
      </c>
      <c r="AG61" s="527">
        <f t="shared" si="96"/>
        <v>0</v>
      </c>
      <c r="AH61" s="527">
        <f t="shared" si="96"/>
        <v>401</v>
      </c>
      <c r="AI61" s="521">
        <v>0</v>
      </c>
      <c r="AJ61" s="527">
        <v>0</v>
      </c>
      <c r="AK61" s="527">
        <v>401</v>
      </c>
      <c r="AL61" s="521">
        <v>0</v>
      </c>
      <c r="AM61" s="661">
        <f t="shared" si="97"/>
        <v>0</v>
      </c>
      <c r="AN61" s="661">
        <f t="shared" si="98"/>
        <v>200</v>
      </c>
      <c r="AO61" s="647">
        <v>0</v>
      </c>
      <c r="AP61" s="817">
        <v>0</v>
      </c>
      <c r="AQ61" s="817">
        <v>601</v>
      </c>
      <c r="AR61" s="647">
        <v>0</v>
      </c>
      <c r="AS61" s="817">
        <f t="shared" si="99"/>
        <v>0</v>
      </c>
      <c r="AT61" s="817">
        <f t="shared" si="99"/>
        <v>0</v>
      </c>
      <c r="AU61" s="799">
        <v>0</v>
      </c>
      <c r="AV61" s="969">
        <v>0</v>
      </c>
      <c r="AW61" s="969">
        <v>601</v>
      </c>
      <c r="AX61" s="799">
        <v>0</v>
      </c>
      <c r="AY61" s="817">
        <f t="shared" si="100"/>
        <v>0</v>
      </c>
      <c r="AZ61" s="817">
        <f t="shared" si="101"/>
        <v>0</v>
      </c>
      <c r="BA61" s="799">
        <v>0</v>
      </c>
      <c r="BB61" s="817">
        <v>0</v>
      </c>
      <c r="BC61" s="817">
        <v>601</v>
      </c>
      <c r="BD61" s="799">
        <v>0</v>
      </c>
      <c r="BE61" s="817">
        <f t="shared" si="102"/>
        <v>504</v>
      </c>
      <c r="BF61" s="817">
        <f t="shared" si="102"/>
        <v>0</v>
      </c>
      <c r="BG61" s="753">
        <f t="shared" ref="BG61:BG62" si="122">ROUND(((BF61/BE61-1)*100), 1)</f>
        <v>-100</v>
      </c>
      <c r="BH61" s="817">
        <v>504</v>
      </c>
      <c r="BI61" s="817">
        <v>601</v>
      </c>
      <c r="BJ61" s="753">
        <f t="shared" si="114"/>
        <v>19.2</v>
      </c>
      <c r="BK61" s="817">
        <f t="shared" si="103"/>
        <v>0</v>
      </c>
      <c r="BL61" s="817">
        <f t="shared" si="103"/>
        <v>0</v>
      </c>
      <c r="BM61" s="799">
        <v>0</v>
      </c>
      <c r="BN61" s="817">
        <v>504</v>
      </c>
      <c r="BO61" s="817">
        <v>601</v>
      </c>
      <c r="BP61" s="753">
        <f t="shared" si="116"/>
        <v>19.2</v>
      </c>
      <c r="BQ61" s="817">
        <f t="shared" si="117"/>
        <v>0</v>
      </c>
      <c r="BR61" s="817">
        <f t="shared" si="118"/>
        <v>0</v>
      </c>
      <c r="BS61" s="799">
        <v>0</v>
      </c>
      <c r="BT61" s="817">
        <v>504</v>
      </c>
      <c r="BU61" s="817">
        <v>601</v>
      </c>
      <c r="BV61" s="753">
        <f t="shared" si="119"/>
        <v>19.2</v>
      </c>
    </row>
    <row r="62" spans="1:74" ht="15" customHeight="1">
      <c r="A62" s="96"/>
      <c r="B62" s="1164"/>
      <c r="C62" s="79" t="s">
        <v>188</v>
      </c>
      <c r="D62" s="44">
        <v>129</v>
      </c>
      <c r="E62" s="44">
        <v>562</v>
      </c>
      <c r="F62" s="44">
        <v>0</v>
      </c>
      <c r="G62" s="44">
        <v>0</v>
      </c>
      <c r="H62" s="44">
        <v>0</v>
      </c>
      <c r="I62" s="44">
        <v>1009</v>
      </c>
      <c r="J62" s="44">
        <v>1204</v>
      </c>
      <c r="K62" s="44">
        <v>356</v>
      </c>
      <c r="L62" s="383">
        <v>0</v>
      </c>
      <c r="M62" s="383">
        <v>0</v>
      </c>
      <c r="N62" s="177">
        <v>0</v>
      </c>
      <c r="O62" s="383">
        <f t="shared" si="91"/>
        <v>0</v>
      </c>
      <c r="P62" s="383">
        <f t="shared" si="91"/>
        <v>0</v>
      </c>
      <c r="Q62" s="177">
        <v>0</v>
      </c>
      <c r="R62" s="383">
        <v>0</v>
      </c>
      <c r="S62" s="383">
        <v>0</v>
      </c>
      <c r="T62" s="177">
        <v>0</v>
      </c>
      <c r="U62" s="383">
        <f t="shared" si="92"/>
        <v>0</v>
      </c>
      <c r="V62" s="383">
        <f t="shared" si="93"/>
        <v>0</v>
      </c>
      <c r="W62" s="177">
        <v>0</v>
      </c>
      <c r="X62" s="383">
        <v>0</v>
      </c>
      <c r="Y62" s="383">
        <v>0</v>
      </c>
      <c r="Z62" s="177">
        <v>0</v>
      </c>
      <c r="AA62" s="527">
        <f t="shared" si="94"/>
        <v>0</v>
      </c>
      <c r="AB62" s="527">
        <f t="shared" si="95"/>
        <v>0</v>
      </c>
      <c r="AC62" s="521">
        <v>0</v>
      </c>
      <c r="AD62" s="527">
        <v>0</v>
      </c>
      <c r="AE62" s="527">
        <v>0</v>
      </c>
      <c r="AF62" s="521">
        <v>0</v>
      </c>
      <c r="AG62" s="527">
        <f t="shared" si="96"/>
        <v>0</v>
      </c>
      <c r="AH62" s="527">
        <f t="shared" si="96"/>
        <v>0</v>
      </c>
      <c r="AI62" s="521">
        <v>0</v>
      </c>
      <c r="AJ62" s="527">
        <v>0</v>
      </c>
      <c r="AK62" s="527">
        <v>0</v>
      </c>
      <c r="AL62" s="521">
        <v>0</v>
      </c>
      <c r="AM62" s="661">
        <f t="shared" si="97"/>
        <v>0</v>
      </c>
      <c r="AN62" s="661">
        <f t="shared" si="98"/>
        <v>0</v>
      </c>
      <c r="AO62" s="647">
        <v>0</v>
      </c>
      <c r="AP62" s="817">
        <v>0</v>
      </c>
      <c r="AQ62" s="817">
        <v>0</v>
      </c>
      <c r="AR62" s="647">
        <v>0</v>
      </c>
      <c r="AS62" s="817">
        <f t="shared" si="99"/>
        <v>48</v>
      </c>
      <c r="AT62" s="817">
        <f t="shared" si="99"/>
        <v>0</v>
      </c>
      <c r="AU62" s="753">
        <f t="shared" si="121"/>
        <v>-100</v>
      </c>
      <c r="AV62" s="969">
        <v>48</v>
      </c>
      <c r="AW62" s="969">
        <v>0</v>
      </c>
      <c r="AX62" s="753">
        <f>ROUND(((AW62/AV62-1)*100), 1)</f>
        <v>-100</v>
      </c>
      <c r="AY62" s="817">
        <f t="shared" si="100"/>
        <v>155</v>
      </c>
      <c r="AZ62" s="817">
        <f t="shared" si="101"/>
        <v>264</v>
      </c>
      <c r="BA62" s="753">
        <f t="shared" si="111"/>
        <v>70.3</v>
      </c>
      <c r="BB62" s="817">
        <v>203</v>
      </c>
      <c r="BC62" s="817">
        <v>264</v>
      </c>
      <c r="BD62" s="753">
        <f>ROUND(((BC62/BB62-1)*100), 1)</f>
        <v>30</v>
      </c>
      <c r="BE62" s="817">
        <f t="shared" si="102"/>
        <v>1</v>
      </c>
      <c r="BF62" s="817">
        <f t="shared" si="102"/>
        <v>45</v>
      </c>
      <c r="BG62" s="753">
        <f t="shared" si="122"/>
        <v>4400</v>
      </c>
      <c r="BH62" s="817">
        <v>204</v>
      </c>
      <c r="BI62" s="817">
        <v>309</v>
      </c>
      <c r="BJ62" s="753">
        <f>ROUND(((BI62/BH62-1)*100), 1)</f>
        <v>51.5</v>
      </c>
      <c r="BK62" s="817">
        <f t="shared" si="103"/>
        <v>152</v>
      </c>
      <c r="BL62" s="817">
        <f t="shared" si="103"/>
        <v>400</v>
      </c>
      <c r="BM62" s="753">
        <f t="shared" ref="BM62" si="123">ROUND(((BL62/BK62-1)*100), 1)</f>
        <v>163.19999999999999</v>
      </c>
      <c r="BN62" s="817">
        <v>356</v>
      </c>
      <c r="BO62" s="817">
        <v>709</v>
      </c>
      <c r="BP62" s="753">
        <f>ROUND(((BO62/BN62-1)*100), 1)</f>
        <v>99.2</v>
      </c>
      <c r="BQ62" s="817">
        <f t="shared" si="117"/>
        <v>0</v>
      </c>
      <c r="BR62" s="817">
        <f t="shared" si="118"/>
        <v>200</v>
      </c>
      <c r="BS62" s="799">
        <v>0</v>
      </c>
      <c r="BT62" s="817">
        <v>356</v>
      </c>
      <c r="BU62" s="817">
        <v>909</v>
      </c>
      <c r="BV62" s="753">
        <f>ROUND(((BU62/BT62-1)*100), 1)</f>
        <v>155.30000000000001</v>
      </c>
    </row>
    <row r="63" spans="1:74" ht="15" customHeight="1">
      <c r="A63" s="96"/>
      <c r="B63" s="1164"/>
      <c r="C63" s="79" t="s">
        <v>189</v>
      </c>
      <c r="D63" s="44">
        <v>5825</v>
      </c>
      <c r="E63" s="44">
        <v>2271</v>
      </c>
      <c r="F63" s="44">
        <v>50</v>
      </c>
      <c r="G63" s="44">
        <v>0</v>
      </c>
      <c r="H63" s="44">
        <v>25</v>
      </c>
      <c r="I63" s="44">
        <v>357</v>
      </c>
      <c r="J63" s="44">
        <v>0</v>
      </c>
      <c r="K63" s="44">
        <v>300</v>
      </c>
      <c r="L63" s="383">
        <v>0</v>
      </c>
      <c r="M63" s="383">
        <v>0</v>
      </c>
      <c r="N63" s="177">
        <v>0</v>
      </c>
      <c r="O63" s="383">
        <f t="shared" si="91"/>
        <v>0</v>
      </c>
      <c r="P63" s="383">
        <f t="shared" si="91"/>
        <v>0</v>
      </c>
      <c r="Q63" s="177">
        <v>0</v>
      </c>
      <c r="R63" s="383">
        <v>0</v>
      </c>
      <c r="S63" s="383">
        <v>0</v>
      </c>
      <c r="T63" s="177">
        <v>0</v>
      </c>
      <c r="U63" s="383">
        <f t="shared" si="92"/>
        <v>0</v>
      </c>
      <c r="V63" s="383">
        <f t="shared" si="93"/>
        <v>0</v>
      </c>
      <c r="W63" s="177">
        <v>0</v>
      </c>
      <c r="X63" s="383">
        <v>0</v>
      </c>
      <c r="Y63" s="383">
        <v>0</v>
      </c>
      <c r="Z63" s="177">
        <v>0</v>
      </c>
      <c r="AA63" s="527">
        <f t="shared" si="94"/>
        <v>0</v>
      </c>
      <c r="AB63" s="527">
        <f t="shared" si="95"/>
        <v>0</v>
      </c>
      <c r="AC63" s="521">
        <v>0</v>
      </c>
      <c r="AD63" s="527">
        <v>0</v>
      </c>
      <c r="AE63" s="527">
        <v>0</v>
      </c>
      <c r="AF63" s="521">
        <v>0</v>
      </c>
      <c r="AG63" s="527">
        <f t="shared" si="96"/>
        <v>0</v>
      </c>
      <c r="AH63" s="527">
        <f t="shared" si="96"/>
        <v>0</v>
      </c>
      <c r="AI63" s="521">
        <v>0</v>
      </c>
      <c r="AJ63" s="527">
        <v>0</v>
      </c>
      <c r="AK63" s="527">
        <v>0</v>
      </c>
      <c r="AL63" s="521">
        <v>0</v>
      </c>
      <c r="AM63" s="661">
        <f t="shared" si="97"/>
        <v>0</v>
      </c>
      <c r="AN63" s="661">
        <f t="shared" si="98"/>
        <v>888</v>
      </c>
      <c r="AO63" s="647">
        <v>0</v>
      </c>
      <c r="AP63" s="817">
        <v>0</v>
      </c>
      <c r="AQ63" s="817">
        <v>888</v>
      </c>
      <c r="AR63" s="647">
        <v>0</v>
      </c>
      <c r="AS63" s="817">
        <f t="shared" si="99"/>
        <v>100</v>
      </c>
      <c r="AT63" s="817">
        <f t="shared" si="99"/>
        <v>1946</v>
      </c>
      <c r="AU63" s="753">
        <f t="shared" si="121"/>
        <v>1846</v>
      </c>
      <c r="AV63" s="969">
        <v>100</v>
      </c>
      <c r="AW63" s="969">
        <v>2834</v>
      </c>
      <c r="AX63" s="753">
        <f>ROUND(((AW63/AV63-1)*100), 1)</f>
        <v>2734</v>
      </c>
      <c r="AY63" s="817">
        <f t="shared" si="100"/>
        <v>0</v>
      </c>
      <c r="AZ63" s="817">
        <f t="shared" si="101"/>
        <v>395</v>
      </c>
      <c r="BA63" s="799">
        <v>0</v>
      </c>
      <c r="BB63" s="817">
        <v>100</v>
      </c>
      <c r="BC63" s="817">
        <v>3229</v>
      </c>
      <c r="BD63" s="753">
        <f>ROUND(((BC63/BB63-1)*100), 1)</f>
        <v>3129</v>
      </c>
      <c r="BE63" s="817">
        <f t="shared" si="102"/>
        <v>0</v>
      </c>
      <c r="BF63" s="817">
        <f t="shared" si="102"/>
        <v>885</v>
      </c>
      <c r="BG63" s="799">
        <v>0</v>
      </c>
      <c r="BH63" s="817">
        <v>100</v>
      </c>
      <c r="BI63" s="817">
        <v>4114</v>
      </c>
      <c r="BJ63" s="753">
        <f>ROUND(((BI63/BH63-1)*100), 1)</f>
        <v>4014</v>
      </c>
      <c r="BK63" s="817">
        <f t="shared" si="103"/>
        <v>0</v>
      </c>
      <c r="BL63" s="817">
        <f t="shared" si="103"/>
        <v>2033</v>
      </c>
      <c r="BM63" s="799">
        <v>0</v>
      </c>
      <c r="BN63" s="817">
        <v>100</v>
      </c>
      <c r="BO63" s="817">
        <v>6147</v>
      </c>
      <c r="BP63" s="753">
        <f>ROUND(((BO63/BN63-1)*100), 1)</f>
        <v>6047</v>
      </c>
      <c r="BQ63" s="817">
        <f t="shared" si="117"/>
        <v>0</v>
      </c>
      <c r="BR63" s="817">
        <f t="shared" si="118"/>
        <v>1478</v>
      </c>
      <c r="BS63" s="799">
        <v>0</v>
      </c>
      <c r="BT63" s="817">
        <v>100</v>
      </c>
      <c r="BU63" s="817">
        <v>7625</v>
      </c>
      <c r="BV63" s="753">
        <f>ROUND(((BU63/BT63-1)*100), 1)</f>
        <v>7525</v>
      </c>
    </row>
    <row r="64" spans="1:74" ht="15" customHeight="1">
      <c r="A64" s="96"/>
      <c r="B64" s="1164"/>
      <c r="C64" s="79" t="s">
        <v>187</v>
      </c>
      <c r="D64" s="44">
        <v>0</v>
      </c>
      <c r="E64" s="44">
        <v>0</v>
      </c>
      <c r="F64" s="44">
        <v>0</v>
      </c>
      <c r="G64" s="44">
        <v>0</v>
      </c>
      <c r="H64" s="44">
        <v>2719</v>
      </c>
      <c r="I64" s="44">
        <v>1715</v>
      </c>
      <c r="J64" s="44">
        <v>0</v>
      </c>
      <c r="K64" s="44">
        <v>102</v>
      </c>
      <c r="L64" s="383">
        <v>0</v>
      </c>
      <c r="M64" s="383">
        <v>0</v>
      </c>
      <c r="N64" s="177">
        <v>0</v>
      </c>
      <c r="O64" s="383">
        <f t="shared" si="91"/>
        <v>0</v>
      </c>
      <c r="P64" s="383">
        <f t="shared" si="91"/>
        <v>0</v>
      </c>
      <c r="Q64" s="177">
        <v>0</v>
      </c>
      <c r="R64" s="383">
        <v>0</v>
      </c>
      <c r="S64" s="383">
        <v>0</v>
      </c>
      <c r="T64" s="177">
        <v>0</v>
      </c>
      <c r="U64" s="383">
        <f t="shared" si="92"/>
        <v>0</v>
      </c>
      <c r="V64" s="383">
        <f t="shared" si="93"/>
        <v>0</v>
      </c>
      <c r="W64" s="177">
        <v>0</v>
      </c>
      <c r="X64" s="383">
        <v>0</v>
      </c>
      <c r="Y64" s="383">
        <v>0</v>
      </c>
      <c r="Z64" s="177">
        <v>0</v>
      </c>
      <c r="AA64" s="527">
        <f t="shared" si="94"/>
        <v>0</v>
      </c>
      <c r="AB64" s="527">
        <f t="shared" si="95"/>
        <v>0</v>
      </c>
      <c r="AC64" s="521">
        <v>0</v>
      </c>
      <c r="AD64" s="527">
        <v>0</v>
      </c>
      <c r="AE64" s="527">
        <v>0</v>
      </c>
      <c r="AF64" s="521">
        <v>0</v>
      </c>
      <c r="AG64" s="527">
        <f t="shared" si="96"/>
        <v>0</v>
      </c>
      <c r="AH64" s="527">
        <f t="shared" si="96"/>
        <v>0</v>
      </c>
      <c r="AI64" s="521">
        <v>0</v>
      </c>
      <c r="AJ64" s="527">
        <v>0</v>
      </c>
      <c r="AK64" s="527">
        <v>0</v>
      </c>
      <c r="AL64" s="521">
        <v>0</v>
      </c>
      <c r="AM64" s="661">
        <f t="shared" si="97"/>
        <v>102</v>
      </c>
      <c r="AN64" s="661">
        <f t="shared" si="98"/>
        <v>0</v>
      </c>
      <c r="AO64" s="753">
        <f>ROUND(((AN64/AM64-1)*100), 1)</f>
        <v>-100</v>
      </c>
      <c r="AP64" s="817">
        <v>102</v>
      </c>
      <c r="AQ64" s="817">
        <v>0</v>
      </c>
      <c r="AR64" s="753">
        <f>ROUND(((AQ64/AP64-1)*100), 1)</f>
        <v>-100</v>
      </c>
      <c r="AS64" s="817">
        <f t="shared" si="99"/>
        <v>0</v>
      </c>
      <c r="AT64" s="817">
        <f t="shared" si="99"/>
        <v>0</v>
      </c>
      <c r="AU64" s="799">
        <v>0</v>
      </c>
      <c r="AV64" s="969">
        <v>102</v>
      </c>
      <c r="AW64" s="969">
        <v>0</v>
      </c>
      <c r="AX64" s="753">
        <f>ROUND(((AW64/AV64-1)*100), 1)</f>
        <v>-100</v>
      </c>
      <c r="AY64" s="817">
        <f t="shared" si="100"/>
        <v>0</v>
      </c>
      <c r="AZ64" s="817">
        <f t="shared" si="101"/>
        <v>0</v>
      </c>
      <c r="BA64" s="799">
        <v>0</v>
      </c>
      <c r="BB64" s="817">
        <v>102</v>
      </c>
      <c r="BC64" s="817">
        <v>0</v>
      </c>
      <c r="BD64" s="753">
        <f>ROUND(((BC64/BB64-1)*100), 1)</f>
        <v>-100</v>
      </c>
      <c r="BE64" s="817">
        <f t="shared" si="102"/>
        <v>0</v>
      </c>
      <c r="BF64" s="817">
        <f t="shared" si="102"/>
        <v>0</v>
      </c>
      <c r="BG64" s="799">
        <v>0</v>
      </c>
      <c r="BH64" s="817">
        <v>102</v>
      </c>
      <c r="BI64" s="817">
        <v>0</v>
      </c>
      <c r="BJ64" s="753">
        <f>ROUND(((BI64/BH64-1)*100), 1)</f>
        <v>-100</v>
      </c>
      <c r="BK64" s="817">
        <f t="shared" si="103"/>
        <v>0</v>
      </c>
      <c r="BL64" s="817">
        <f t="shared" si="103"/>
        <v>0</v>
      </c>
      <c r="BM64" s="799">
        <v>0</v>
      </c>
      <c r="BN64" s="817">
        <v>102</v>
      </c>
      <c r="BO64" s="817">
        <v>0</v>
      </c>
      <c r="BP64" s="753">
        <f>ROUND(((BO64/BN64-1)*100), 1)</f>
        <v>-100</v>
      </c>
      <c r="BQ64" s="817">
        <f t="shared" si="117"/>
        <v>0</v>
      </c>
      <c r="BR64" s="817">
        <f t="shared" si="118"/>
        <v>0</v>
      </c>
      <c r="BS64" s="799">
        <v>0</v>
      </c>
      <c r="BT64" s="817">
        <v>102</v>
      </c>
      <c r="BU64" s="817">
        <v>0</v>
      </c>
      <c r="BV64" s="753">
        <f>ROUND(((BU64/BT64-1)*100), 1)</f>
        <v>-100</v>
      </c>
    </row>
    <row r="65" spans="1:74" ht="15" customHeight="1">
      <c r="A65" s="96"/>
      <c r="B65" s="1164"/>
      <c r="C65" s="79" t="s">
        <v>190</v>
      </c>
      <c r="D65" s="44">
        <v>0</v>
      </c>
      <c r="E65" s="44">
        <v>0</v>
      </c>
      <c r="F65" s="44">
        <v>0</v>
      </c>
      <c r="G65" s="44">
        <v>172</v>
      </c>
      <c r="H65" s="44">
        <v>431</v>
      </c>
      <c r="I65" s="44">
        <v>299</v>
      </c>
      <c r="J65" s="44">
        <v>25</v>
      </c>
      <c r="K65" s="44">
        <v>75</v>
      </c>
      <c r="L65" s="383">
        <v>0</v>
      </c>
      <c r="M65" s="383">
        <v>0</v>
      </c>
      <c r="N65" s="177">
        <v>0</v>
      </c>
      <c r="O65" s="383">
        <f t="shared" si="91"/>
        <v>0</v>
      </c>
      <c r="P65" s="383">
        <f t="shared" si="91"/>
        <v>0</v>
      </c>
      <c r="Q65" s="177">
        <v>0</v>
      </c>
      <c r="R65" s="383">
        <v>0</v>
      </c>
      <c r="S65" s="383">
        <v>0</v>
      </c>
      <c r="T65" s="177">
        <v>0</v>
      </c>
      <c r="U65" s="383">
        <f t="shared" si="92"/>
        <v>0</v>
      </c>
      <c r="V65" s="383">
        <f t="shared" si="93"/>
        <v>0</v>
      </c>
      <c r="W65" s="177">
        <v>0</v>
      </c>
      <c r="X65" s="383">
        <v>0</v>
      </c>
      <c r="Y65" s="383">
        <v>0</v>
      </c>
      <c r="Z65" s="177">
        <v>0</v>
      </c>
      <c r="AA65" s="527">
        <f t="shared" si="94"/>
        <v>0</v>
      </c>
      <c r="AB65" s="527">
        <f t="shared" si="95"/>
        <v>50</v>
      </c>
      <c r="AC65" s="521">
        <v>0</v>
      </c>
      <c r="AD65" s="527">
        <v>0</v>
      </c>
      <c r="AE65" s="527">
        <v>50</v>
      </c>
      <c r="AF65" s="521">
        <v>0</v>
      </c>
      <c r="AG65" s="527">
        <f t="shared" si="96"/>
        <v>0</v>
      </c>
      <c r="AH65" s="527">
        <f t="shared" si="96"/>
        <v>0</v>
      </c>
      <c r="AI65" s="521">
        <v>0</v>
      </c>
      <c r="AJ65" s="527">
        <v>0</v>
      </c>
      <c r="AK65" s="527">
        <v>50</v>
      </c>
      <c r="AL65" s="521">
        <v>0</v>
      </c>
      <c r="AM65" s="661">
        <f t="shared" si="97"/>
        <v>75</v>
      </c>
      <c r="AN65" s="661">
        <f t="shared" si="98"/>
        <v>0</v>
      </c>
      <c r="AO65" s="753">
        <f>ROUND(((AN65/AM65-1)*100), 1)</f>
        <v>-100</v>
      </c>
      <c r="AP65" s="817">
        <v>75</v>
      </c>
      <c r="AQ65" s="817">
        <v>50</v>
      </c>
      <c r="AR65" s="753">
        <f>ROUND(((AQ65/AP65-1)*100), 1)</f>
        <v>-33.299999999999997</v>
      </c>
      <c r="AS65" s="817">
        <f t="shared" si="99"/>
        <v>0</v>
      </c>
      <c r="AT65" s="817">
        <f t="shared" si="99"/>
        <v>0</v>
      </c>
      <c r="AU65" s="799">
        <v>0</v>
      </c>
      <c r="AV65" s="969">
        <v>75</v>
      </c>
      <c r="AW65" s="969">
        <v>50</v>
      </c>
      <c r="AX65" s="753">
        <f>ROUND(((AW65/AV65-1)*100), 1)</f>
        <v>-33.299999999999997</v>
      </c>
      <c r="AY65" s="817">
        <f t="shared" si="100"/>
        <v>0</v>
      </c>
      <c r="AZ65" s="817">
        <f t="shared" si="101"/>
        <v>0</v>
      </c>
      <c r="BA65" s="799">
        <v>0</v>
      </c>
      <c r="BB65" s="817">
        <v>75</v>
      </c>
      <c r="BC65" s="817">
        <v>50</v>
      </c>
      <c r="BD65" s="753">
        <f>ROUND(((BC65/BB65-1)*100), 1)</f>
        <v>-33.299999999999997</v>
      </c>
      <c r="BE65" s="817">
        <f t="shared" si="102"/>
        <v>0</v>
      </c>
      <c r="BF65" s="817">
        <f t="shared" si="102"/>
        <v>0</v>
      </c>
      <c r="BG65" s="799">
        <v>0</v>
      </c>
      <c r="BH65" s="817">
        <v>75</v>
      </c>
      <c r="BI65" s="817">
        <v>50</v>
      </c>
      <c r="BJ65" s="753">
        <f>ROUND(((BI65/BH65-1)*100), 1)</f>
        <v>-33.299999999999997</v>
      </c>
      <c r="BK65" s="817">
        <f t="shared" si="103"/>
        <v>0</v>
      </c>
      <c r="BL65" s="817">
        <f t="shared" si="103"/>
        <v>0</v>
      </c>
      <c r="BM65" s="799">
        <v>0</v>
      </c>
      <c r="BN65" s="817">
        <v>75</v>
      </c>
      <c r="BO65" s="817">
        <v>50</v>
      </c>
      <c r="BP65" s="753">
        <f>ROUND(((BO65/BN65-1)*100), 1)</f>
        <v>-33.299999999999997</v>
      </c>
      <c r="BQ65" s="817">
        <f t="shared" si="117"/>
        <v>0</v>
      </c>
      <c r="BR65" s="817">
        <f t="shared" si="118"/>
        <v>0</v>
      </c>
      <c r="BS65" s="799">
        <v>0</v>
      </c>
      <c r="BT65" s="817">
        <v>75</v>
      </c>
      <c r="BU65" s="817">
        <v>50</v>
      </c>
      <c r="BV65" s="753">
        <f>ROUND(((BU65/BT65-1)*100), 1)</f>
        <v>-33.299999999999997</v>
      </c>
    </row>
    <row r="66" spans="1:74" ht="15" customHeight="1">
      <c r="A66" s="96"/>
      <c r="B66" s="1164"/>
      <c r="C66" s="79" t="s">
        <v>165</v>
      </c>
      <c r="D66" s="44"/>
      <c r="E66" s="44"/>
      <c r="F66" s="44">
        <v>0</v>
      </c>
      <c r="G66" s="44">
        <v>977</v>
      </c>
      <c r="H66" s="44">
        <v>776</v>
      </c>
      <c r="I66" s="44">
        <v>51</v>
      </c>
      <c r="J66" s="44">
        <v>0</v>
      </c>
      <c r="K66" s="44">
        <v>50</v>
      </c>
      <c r="L66" s="383">
        <v>0</v>
      </c>
      <c r="M66" s="383">
        <v>0</v>
      </c>
      <c r="N66" s="177">
        <v>0</v>
      </c>
      <c r="O66" s="383">
        <f t="shared" si="91"/>
        <v>0</v>
      </c>
      <c r="P66" s="383">
        <f t="shared" si="91"/>
        <v>0</v>
      </c>
      <c r="Q66" s="177">
        <v>0</v>
      </c>
      <c r="R66" s="383">
        <v>0</v>
      </c>
      <c r="S66" s="383">
        <v>0</v>
      </c>
      <c r="T66" s="177">
        <v>0</v>
      </c>
      <c r="U66" s="383">
        <f t="shared" si="92"/>
        <v>0</v>
      </c>
      <c r="V66" s="383">
        <f t="shared" si="93"/>
        <v>0</v>
      </c>
      <c r="W66" s="177">
        <v>0</v>
      </c>
      <c r="X66" s="383">
        <v>0</v>
      </c>
      <c r="Y66" s="383">
        <v>0</v>
      </c>
      <c r="Z66" s="177">
        <v>0</v>
      </c>
      <c r="AA66" s="527">
        <f t="shared" si="94"/>
        <v>0</v>
      </c>
      <c r="AB66" s="527">
        <f t="shared" si="95"/>
        <v>0</v>
      </c>
      <c r="AC66" s="521">
        <v>0</v>
      </c>
      <c r="AD66" s="527">
        <v>0</v>
      </c>
      <c r="AE66" s="527">
        <v>0</v>
      </c>
      <c r="AF66" s="521">
        <v>0</v>
      </c>
      <c r="AG66" s="527">
        <f t="shared" si="96"/>
        <v>0</v>
      </c>
      <c r="AH66" s="527">
        <f t="shared" si="96"/>
        <v>0</v>
      </c>
      <c r="AI66" s="521">
        <v>0</v>
      </c>
      <c r="AJ66" s="527">
        <v>0</v>
      </c>
      <c r="AK66" s="527">
        <v>0</v>
      </c>
      <c r="AL66" s="521">
        <v>0</v>
      </c>
      <c r="AM66" s="661">
        <f t="shared" si="97"/>
        <v>0</v>
      </c>
      <c r="AN66" s="661">
        <f t="shared" si="98"/>
        <v>0</v>
      </c>
      <c r="AO66" s="647">
        <v>0</v>
      </c>
      <c r="AP66" s="817">
        <v>0</v>
      </c>
      <c r="AQ66" s="817">
        <v>0</v>
      </c>
      <c r="AR66" s="647">
        <v>0</v>
      </c>
      <c r="AS66" s="817">
        <f t="shared" si="99"/>
        <v>50</v>
      </c>
      <c r="AT66" s="817">
        <f t="shared" si="99"/>
        <v>0</v>
      </c>
      <c r="AU66" s="753">
        <f t="shared" si="121"/>
        <v>-100</v>
      </c>
      <c r="AV66" s="969">
        <v>50</v>
      </c>
      <c r="AW66" s="969">
        <v>0</v>
      </c>
      <c r="AX66" s="753">
        <f>ROUND(((AW66/AV66-1)*100), 1)</f>
        <v>-100</v>
      </c>
      <c r="AY66" s="817">
        <f t="shared" si="100"/>
        <v>0</v>
      </c>
      <c r="AZ66" s="817">
        <f t="shared" si="101"/>
        <v>0</v>
      </c>
      <c r="BA66" s="799">
        <v>0</v>
      </c>
      <c r="BB66" s="817">
        <v>50</v>
      </c>
      <c r="BC66" s="817">
        <v>0</v>
      </c>
      <c r="BD66" s="753">
        <f>ROUND(((BC66/BB66-1)*100), 1)</f>
        <v>-100</v>
      </c>
      <c r="BE66" s="817">
        <f t="shared" si="102"/>
        <v>0</v>
      </c>
      <c r="BF66" s="817">
        <f t="shared" si="102"/>
        <v>0</v>
      </c>
      <c r="BG66" s="799">
        <v>0</v>
      </c>
      <c r="BH66" s="817">
        <v>50</v>
      </c>
      <c r="BI66" s="817">
        <v>0</v>
      </c>
      <c r="BJ66" s="753">
        <f>ROUND(((BI66/BH66-1)*100), 1)</f>
        <v>-100</v>
      </c>
      <c r="BK66" s="817">
        <f t="shared" si="103"/>
        <v>0</v>
      </c>
      <c r="BL66" s="817">
        <f t="shared" si="103"/>
        <v>0</v>
      </c>
      <c r="BM66" s="799">
        <v>0</v>
      </c>
      <c r="BN66" s="817">
        <v>50</v>
      </c>
      <c r="BO66" s="817">
        <v>0</v>
      </c>
      <c r="BP66" s="753">
        <f>ROUND(((BO66/BN66-1)*100), 1)</f>
        <v>-100</v>
      </c>
      <c r="BQ66" s="817">
        <f t="shared" si="117"/>
        <v>0</v>
      </c>
      <c r="BR66" s="817">
        <f t="shared" si="118"/>
        <v>0</v>
      </c>
      <c r="BS66" s="799">
        <v>0</v>
      </c>
      <c r="BT66" s="817">
        <v>50</v>
      </c>
      <c r="BU66" s="817">
        <v>0</v>
      </c>
      <c r="BV66" s="753">
        <f>ROUND(((BU66/BT66-1)*100), 1)</f>
        <v>-100</v>
      </c>
    </row>
    <row r="67" spans="1:74" ht="15" customHeight="1">
      <c r="A67" s="96"/>
      <c r="B67" s="1164"/>
      <c r="C67" s="79" t="s">
        <v>178</v>
      </c>
      <c r="D67" s="44">
        <v>1767</v>
      </c>
      <c r="E67" s="44">
        <v>1609</v>
      </c>
      <c r="F67" s="44">
        <v>1182</v>
      </c>
      <c r="G67" s="44">
        <v>395</v>
      </c>
      <c r="H67" s="44">
        <v>3271</v>
      </c>
      <c r="I67" s="44">
        <v>6061</v>
      </c>
      <c r="J67" s="44">
        <v>5655</v>
      </c>
      <c r="K67" s="44">
        <v>0</v>
      </c>
      <c r="L67" s="383">
        <v>0</v>
      </c>
      <c r="M67" s="383">
        <v>0</v>
      </c>
      <c r="N67" s="177">
        <v>0</v>
      </c>
      <c r="O67" s="383">
        <f t="shared" si="91"/>
        <v>0</v>
      </c>
      <c r="P67" s="383">
        <f t="shared" si="91"/>
        <v>0</v>
      </c>
      <c r="Q67" s="177">
        <v>0</v>
      </c>
      <c r="R67" s="383">
        <v>0</v>
      </c>
      <c r="S67" s="383">
        <v>0</v>
      </c>
      <c r="T67" s="177">
        <v>0</v>
      </c>
      <c r="U67" s="383">
        <f t="shared" si="92"/>
        <v>0</v>
      </c>
      <c r="V67" s="383">
        <f t="shared" si="93"/>
        <v>0</v>
      </c>
      <c r="W67" s="177">
        <v>0</v>
      </c>
      <c r="X67" s="383">
        <v>0</v>
      </c>
      <c r="Y67" s="383">
        <v>0</v>
      </c>
      <c r="Z67" s="177">
        <v>0</v>
      </c>
      <c r="AA67" s="527">
        <f t="shared" si="94"/>
        <v>0</v>
      </c>
      <c r="AB67" s="527">
        <f t="shared" si="95"/>
        <v>0</v>
      </c>
      <c r="AC67" s="521">
        <v>0</v>
      </c>
      <c r="AD67" s="527">
        <v>0</v>
      </c>
      <c r="AE67" s="527">
        <v>0</v>
      </c>
      <c r="AF67" s="521">
        <v>0</v>
      </c>
      <c r="AG67" s="527">
        <f t="shared" si="96"/>
        <v>0</v>
      </c>
      <c r="AH67" s="527">
        <f t="shared" si="96"/>
        <v>0</v>
      </c>
      <c r="AI67" s="521">
        <v>0</v>
      </c>
      <c r="AJ67" s="527">
        <v>0</v>
      </c>
      <c r="AK67" s="527">
        <v>0</v>
      </c>
      <c r="AL67" s="521">
        <v>0</v>
      </c>
      <c r="AM67" s="661">
        <f t="shared" si="97"/>
        <v>0</v>
      </c>
      <c r="AN67" s="661">
        <f t="shared" si="98"/>
        <v>0</v>
      </c>
      <c r="AO67" s="647">
        <v>0</v>
      </c>
      <c r="AP67" s="817">
        <v>0</v>
      </c>
      <c r="AQ67" s="817">
        <v>0</v>
      </c>
      <c r="AR67" s="647">
        <v>0</v>
      </c>
      <c r="AS67" s="817">
        <f t="shared" si="99"/>
        <v>0</v>
      </c>
      <c r="AT67" s="817">
        <f t="shared" si="99"/>
        <v>0</v>
      </c>
      <c r="AU67" s="799">
        <v>0</v>
      </c>
      <c r="AV67" s="969">
        <v>0</v>
      </c>
      <c r="AW67" s="969">
        <v>0</v>
      </c>
      <c r="AX67" s="799">
        <v>0</v>
      </c>
      <c r="AY67" s="817">
        <f t="shared" si="100"/>
        <v>0</v>
      </c>
      <c r="AZ67" s="817">
        <f t="shared" si="101"/>
        <v>0</v>
      </c>
      <c r="BA67" s="799">
        <v>0</v>
      </c>
      <c r="BB67" s="817">
        <v>0</v>
      </c>
      <c r="BC67" s="817">
        <v>0</v>
      </c>
      <c r="BD67" s="799">
        <v>0</v>
      </c>
      <c r="BE67" s="817">
        <f t="shared" si="102"/>
        <v>0</v>
      </c>
      <c r="BF67" s="817">
        <f t="shared" si="102"/>
        <v>0</v>
      </c>
      <c r="BG67" s="799">
        <v>0</v>
      </c>
      <c r="BH67" s="817">
        <v>0</v>
      </c>
      <c r="BI67" s="817">
        <v>0</v>
      </c>
      <c r="BJ67" s="799">
        <v>0</v>
      </c>
      <c r="BK67" s="817">
        <f t="shared" si="103"/>
        <v>0</v>
      </c>
      <c r="BL67" s="817">
        <f t="shared" si="103"/>
        <v>0</v>
      </c>
      <c r="BM67" s="799">
        <v>0</v>
      </c>
      <c r="BN67" s="817">
        <v>0</v>
      </c>
      <c r="BO67" s="817">
        <v>0</v>
      </c>
      <c r="BP67" s="799">
        <v>0</v>
      </c>
      <c r="BQ67" s="817">
        <f t="shared" si="117"/>
        <v>0</v>
      </c>
      <c r="BR67" s="817">
        <f t="shared" si="118"/>
        <v>0</v>
      </c>
      <c r="BS67" s="799">
        <v>0</v>
      </c>
      <c r="BT67" s="817">
        <v>0</v>
      </c>
      <c r="BU67" s="817">
        <v>0</v>
      </c>
      <c r="BV67" s="799">
        <v>0</v>
      </c>
    </row>
    <row r="68" spans="1:74" ht="15" customHeight="1">
      <c r="A68" s="96"/>
      <c r="B68" s="1164"/>
      <c r="C68" s="79" t="s">
        <v>166</v>
      </c>
      <c r="D68" s="44">
        <v>0</v>
      </c>
      <c r="E68" s="44">
        <v>509</v>
      </c>
      <c r="F68" s="44">
        <v>398</v>
      </c>
      <c r="G68" s="44">
        <v>994</v>
      </c>
      <c r="H68" s="44">
        <v>1512</v>
      </c>
      <c r="I68" s="44">
        <v>1649</v>
      </c>
      <c r="J68" s="44">
        <v>790</v>
      </c>
      <c r="K68" s="44">
        <v>0</v>
      </c>
      <c r="L68" s="383">
        <v>0</v>
      </c>
      <c r="M68" s="383">
        <v>0</v>
      </c>
      <c r="N68" s="177">
        <v>0</v>
      </c>
      <c r="O68" s="383">
        <f t="shared" si="91"/>
        <v>0</v>
      </c>
      <c r="P68" s="383">
        <f t="shared" si="91"/>
        <v>0</v>
      </c>
      <c r="Q68" s="177">
        <v>0</v>
      </c>
      <c r="R68" s="383">
        <v>0</v>
      </c>
      <c r="S68" s="383">
        <v>0</v>
      </c>
      <c r="T68" s="177">
        <v>0</v>
      </c>
      <c r="U68" s="383">
        <f t="shared" si="92"/>
        <v>0</v>
      </c>
      <c r="V68" s="383">
        <f t="shared" si="93"/>
        <v>0</v>
      </c>
      <c r="W68" s="177">
        <v>0</v>
      </c>
      <c r="X68" s="383">
        <v>0</v>
      </c>
      <c r="Y68" s="383">
        <v>0</v>
      </c>
      <c r="Z68" s="177">
        <v>0</v>
      </c>
      <c r="AA68" s="527">
        <f t="shared" si="94"/>
        <v>0</v>
      </c>
      <c r="AB68" s="527">
        <f t="shared" si="95"/>
        <v>40</v>
      </c>
      <c r="AC68" s="521">
        <v>0</v>
      </c>
      <c r="AD68" s="527">
        <v>0</v>
      </c>
      <c r="AE68" s="527">
        <v>40</v>
      </c>
      <c r="AF68" s="521">
        <v>0</v>
      </c>
      <c r="AG68" s="527">
        <f t="shared" si="96"/>
        <v>0</v>
      </c>
      <c r="AH68" s="527">
        <f t="shared" si="96"/>
        <v>0</v>
      </c>
      <c r="AI68" s="521">
        <v>0</v>
      </c>
      <c r="AJ68" s="527">
        <v>0</v>
      </c>
      <c r="AK68" s="527">
        <v>40</v>
      </c>
      <c r="AL68" s="521">
        <v>0</v>
      </c>
      <c r="AM68" s="661">
        <f t="shared" si="97"/>
        <v>0</v>
      </c>
      <c r="AN68" s="661">
        <f t="shared" si="98"/>
        <v>0</v>
      </c>
      <c r="AO68" s="647">
        <v>0</v>
      </c>
      <c r="AP68" s="817">
        <v>0</v>
      </c>
      <c r="AQ68" s="817">
        <v>40</v>
      </c>
      <c r="AR68" s="647">
        <v>0</v>
      </c>
      <c r="AS68" s="817">
        <f t="shared" si="99"/>
        <v>0</v>
      </c>
      <c r="AT68" s="817">
        <f t="shared" si="99"/>
        <v>50</v>
      </c>
      <c r="AU68" s="799">
        <v>0</v>
      </c>
      <c r="AV68" s="969">
        <v>0</v>
      </c>
      <c r="AW68" s="969">
        <v>90</v>
      </c>
      <c r="AX68" s="799">
        <v>0</v>
      </c>
      <c r="AY68" s="817">
        <f t="shared" si="100"/>
        <v>0</v>
      </c>
      <c r="AZ68" s="817">
        <f t="shared" si="101"/>
        <v>49</v>
      </c>
      <c r="BA68" s="799">
        <v>0</v>
      </c>
      <c r="BB68" s="817">
        <v>0</v>
      </c>
      <c r="BC68" s="817">
        <v>139</v>
      </c>
      <c r="BD68" s="799">
        <v>0</v>
      </c>
      <c r="BE68" s="817">
        <f t="shared" si="102"/>
        <v>0</v>
      </c>
      <c r="BF68" s="817">
        <f t="shared" si="102"/>
        <v>0</v>
      </c>
      <c r="BG68" s="799">
        <v>0</v>
      </c>
      <c r="BH68" s="817">
        <v>0</v>
      </c>
      <c r="BI68" s="817">
        <v>139</v>
      </c>
      <c r="BJ68" s="799">
        <v>0</v>
      </c>
      <c r="BK68" s="817">
        <f t="shared" si="103"/>
        <v>0</v>
      </c>
      <c r="BL68" s="817">
        <f t="shared" si="103"/>
        <v>54</v>
      </c>
      <c r="BM68" s="799">
        <v>0</v>
      </c>
      <c r="BN68" s="817">
        <v>0</v>
      </c>
      <c r="BO68" s="817">
        <v>193</v>
      </c>
      <c r="BP68" s="799">
        <v>0</v>
      </c>
      <c r="BQ68" s="817">
        <f t="shared" si="117"/>
        <v>0</v>
      </c>
      <c r="BR68" s="817">
        <f t="shared" si="118"/>
        <v>175</v>
      </c>
      <c r="BS68" s="799">
        <v>0</v>
      </c>
      <c r="BT68" s="817">
        <v>0</v>
      </c>
      <c r="BU68" s="817">
        <v>368</v>
      </c>
      <c r="BV68" s="799">
        <v>0</v>
      </c>
    </row>
    <row r="69" spans="1:74" ht="15" customHeight="1">
      <c r="A69" s="96"/>
      <c r="B69" s="1164"/>
      <c r="C69" s="79" t="s">
        <v>164</v>
      </c>
      <c r="D69" s="44">
        <v>0</v>
      </c>
      <c r="E69" s="44">
        <v>1981</v>
      </c>
      <c r="F69" s="44">
        <v>705</v>
      </c>
      <c r="G69" s="44">
        <v>3334</v>
      </c>
      <c r="H69" s="44">
        <v>4785</v>
      </c>
      <c r="I69" s="44">
        <v>253</v>
      </c>
      <c r="J69" s="44">
        <v>547</v>
      </c>
      <c r="K69" s="44">
        <v>0</v>
      </c>
      <c r="L69" s="383">
        <v>0</v>
      </c>
      <c r="M69" s="383">
        <v>0</v>
      </c>
      <c r="N69" s="177">
        <v>0</v>
      </c>
      <c r="O69" s="383">
        <f t="shared" si="91"/>
        <v>0</v>
      </c>
      <c r="P69" s="383">
        <f t="shared" si="91"/>
        <v>0</v>
      </c>
      <c r="Q69" s="177">
        <v>0</v>
      </c>
      <c r="R69" s="383">
        <v>0</v>
      </c>
      <c r="S69" s="383">
        <v>0</v>
      </c>
      <c r="T69" s="177">
        <v>0</v>
      </c>
      <c r="U69" s="383">
        <f t="shared" si="92"/>
        <v>0</v>
      </c>
      <c r="V69" s="383">
        <f t="shared" si="93"/>
        <v>0</v>
      </c>
      <c r="W69" s="177">
        <v>0</v>
      </c>
      <c r="X69" s="383">
        <v>0</v>
      </c>
      <c r="Y69" s="383">
        <v>0</v>
      </c>
      <c r="Z69" s="177">
        <v>0</v>
      </c>
      <c r="AA69" s="527">
        <f t="shared" si="94"/>
        <v>0</v>
      </c>
      <c r="AB69" s="527">
        <f t="shared" si="95"/>
        <v>0</v>
      </c>
      <c r="AC69" s="521">
        <v>0</v>
      </c>
      <c r="AD69" s="527">
        <v>0</v>
      </c>
      <c r="AE69" s="527">
        <v>0</v>
      </c>
      <c r="AF69" s="521">
        <v>0</v>
      </c>
      <c r="AG69" s="527">
        <f t="shared" si="96"/>
        <v>0</v>
      </c>
      <c r="AH69" s="527">
        <f t="shared" si="96"/>
        <v>0</v>
      </c>
      <c r="AI69" s="521">
        <v>0</v>
      </c>
      <c r="AJ69" s="527">
        <v>0</v>
      </c>
      <c r="AK69" s="527">
        <v>0</v>
      </c>
      <c r="AL69" s="521">
        <v>0</v>
      </c>
      <c r="AM69" s="661">
        <f t="shared" si="97"/>
        <v>0</v>
      </c>
      <c r="AN69" s="661">
        <f t="shared" si="98"/>
        <v>0</v>
      </c>
      <c r="AO69" s="647">
        <v>0</v>
      </c>
      <c r="AP69" s="817">
        <v>0</v>
      </c>
      <c r="AQ69" s="817">
        <v>0</v>
      </c>
      <c r="AR69" s="647">
        <v>0</v>
      </c>
      <c r="AS69" s="817">
        <f t="shared" si="99"/>
        <v>0</v>
      </c>
      <c r="AT69" s="817">
        <f t="shared" si="99"/>
        <v>0</v>
      </c>
      <c r="AU69" s="799">
        <v>0</v>
      </c>
      <c r="AV69" s="969">
        <v>0</v>
      </c>
      <c r="AW69" s="969">
        <v>0</v>
      </c>
      <c r="AX69" s="799">
        <v>0</v>
      </c>
      <c r="AY69" s="817">
        <f t="shared" si="100"/>
        <v>0</v>
      </c>
      <c r="AZ69" s="817">
        <f t="shared" si="101"/>
        <v>0</v>
      </c>
      <c r="BA69" s="799">
        <v>0</v>
      </c>
      <c r="BB69" s="817">
        <v>0</v>
      </c>
      <c r="BC69" s="817">
        <v>0</v>
      </c>
      <c r="BD69" s="799">
        <v>0</v>
      </c>
      <c r="BE69" s="817">
        <f t="shared" si="102"/>
        <v>0</v>
      </c>
      <c r="BF69" s="817">
        <f t="shared" si="102"/>
        <v>293</v>
      </c>
      <c r="BG69" s="799">
        <v>0</v>
      </c>
      <c r="BH69" s="817">
        <v>0</v>
      </c>
      <c r="BI69" s="817">
        <v>293</v>
      </c>
      <c r="BJ69" s="799">
        <v>0</v>
      </c>
      <c r="BK69" s="817">
        <f t="shared" si="103"/>
        <v>0</v>
      </c>
      <c r="BL69" s="817">
        <f t="shared" si="103"/>
        <v>0</v>
      </c>
      <c r="BM69" s="799">
        <v>0</v>
      </c>
      <c r="BN69" s="817">
        <v>0</v>
      </c>
      <c r="BO69" s="817">
        <v>293</v>
      </c>
      <c r="BP69" s="799">
        <v>0</v>
      </c>
      <c r="BQ69" s="817">
        <f t="shared" si="117"/>
        <v>0</v>
      </c>
      <c r="BR69" s="817">
        <f t="shared" si="118"/>
        <v>0</v>
      </c>
      <c r="BS69" s="799">
        <v>0</v>
      </c>
      <c r="BT69" s="817">
        <v>0</v>
      </c>
      <c r="BU69" s="817">
        <v>293</v>
      </c>
      <c r="BV69" s="799">
        <v>0</v>
      </c>
    </row>
    <row r="70" spans="1:74" ht="15" customHeight="1">
      <c r="A70" s="96"/>
      <c r="B70" s="1164"/>
      <c r="C70" s="79" t="s">
        <v>173</v>
      </c>
      <c r="D70" s="44">
        <f t="shared" ref="D70:M70" si="124">D71-SUM(D50:D69)</f>
        <v>4771</v>
      </c>
      <c r="E70" s="44">
        <f t="shared" si="124"/>
        <v>13583</v>
      </c>
      <c r="F70" s="44">
        <f t="shared" si="124"/>
        <v>10230</v>
      </c>
      <c r="G70" s="44">
        <f t="shared" si="124"/>
        <v>2134</v>
      </c>
      <c r="H70" s="44">
        <f t="shared" si="124"/>
        <v>1692</v>
      </c>
      <c r="I70" s="44">
        <f t="shared" si="124"/>
        <v>467</v>
      </c>
      <c r="J70" s="44">
        <f t="shared" si="124"/>
        <v>360</v>
      </c>
      <c r="K70" s="44">
        <f t="shared" si="124"/>
        <v>480</v>
      </c>
      <c r="L70" s="383">
        <f t="shared" si="124"/>
        <v>0</v>
      </c>
      <c r="M70" s="383">
        <f t="shared" si="124"/>
        <v>24</v>
      </c>
      <c r="N70" s="178">
        <v>0</v>
      </c>
      <c r="O70" s="383">
        <f>O71-SUM(O50:O69)</f>
        <v>0</v>
      </c>
      <c r="P70" s="383">
        <f>P71-SUM(P50:P69)</f>
        <v>25</v>
      </c>
      <c r="Q70" s="178">
        <v>0</v>
      </c>
      <c r="R70" s="383">
        <f>R71-SUM(R50:R69)</f>
        <v>0</v>
      </c>
      <c r="S70" s="383">
        <f>S71-SUM(S50:S69)</f>
        <v>49</v>
      </c>
      <c r="T70" s="178">
        <v>0</v>
      </c>
      <c r="U70" s="383">
        <f>U71-SUM(U50:U69)</f>
        <v>0</v>
      </c>
      <c r="V70" s="383">
        <f>V71-SUM(V50:V69)</f>
        <v>605</v>
      </c>
      <c r="W70" s="178">
        <v>0</v>
      </c>
      <c r="X70" s="383">
        <f>X71-SUM(X50:X69)</f>
        <v>0</v>
      </c>
      <c r="Y70" s="383">
        <f>Y71-SUM(Y50:Y69)</f>
        <v>654</v>
      </c>
      <c r="Z70" s="178">
        <v>0</v>
      </c>
      <c r="AA70" s="527">
        <f>AA71-SUM(AA50:AA69)</f>
        <v>71</v>
      </c>
      <c r="AB70" s="527">
        <f>AB71-SUM(AB50:AB69)</f>
        <v>1309</v>
      </c>
      <c r="AC70" s="242">
        <f t="shared" ref="AC70" si="125">ROUND(((AB70/AA70-1)*100), 1)</f>
        <v>1743.7</v>
      </c>
      <c r="AD70" s="527">
        <f>AD71-SUM(AD50:AD69)</f>
        <v>71</v>
      </c>
      <c r="AE70" s="527">
        <f>AE71-SUM(AE50:AE69)</f>
        <v>1963</v>
      </c>
      <c r="AF70" s="242">
        <f t="shared" ref="AF70" si="126">ROUND(((AE70/AD70-1)*100), 1)</f>
        <v>2664.8</v>
      </c>
      <c r="AG70" s="527">
        <f>AG71-SUM(AG50:AG69)</f>
        <v>0</v>
      </c>
      <c r="AH70" s="527">
        <f>AH71-SUM(AH50:AH69)</f>
        <v>204</v>
      </c>
      <c r="AI70" s="522">
        <v>0</v>
      </c>
      <c r="AJ70" s="527">
        <f>AJ71-SUM(AJ50:AJ69)</f>
        <v>71</v>
      </c>
      <c r="AK70" s="527">
        <f>AK71-SUM(AK50:AK69)</f>
        <v>2167</v>
      </c>
      <c r="AL70" s="89">
        <f t="shared" ref="AL70" si="127">ROUND(((AK70/AJ70-1)*100), 1)</f>
        <v>2952.1</v>
      </c>
      <c r="AM70" s="661">
        <f>AM71-SUM(AM50:AM69)</f>
        <v>0</v>
      </c>
      <c r="AN70" s="661">
        <f>AN71-SUM(AN50:AN69)</f>
        <v>114</v>
      </c>
      <c r="AO70" s="648">
        <v>0</v>
      </c>
      <c r="AP70" s="817">
        <f>AP71-SUM(AP50:AP69)</f>
        <v>71</v>
      </c>
      <c r="AQ70" s="817">
        <f>AQ71-SUM(AQ50:AQ69)</f>
        <v>2281</v>
      </c>
      <c r="AR70" s="646">
        <f t="shared" ref="AR70:AR77" si="128">ROUND(((AQ70/AP70-1)*100), 1)</f>
        <v>3112.7</v>
      </c>
      <c r="AS70" s="817">
        <f>AS71-SUM(AS50:AS69)</f>
        <v>0</v>
      </c>
      <c r="AT70" s="817">
        <f>AT71-SUM(AT50:AT69)</f>
        <v>99</v>
      </c>
      <c r="AU70" s="800">
        <v>0</v>
      </c>
      <c r="AV70" s="969">
        <f>AV71-SUM(AV50:AV69)</f>
        <v>71</v>
      </c>
      <c r="AW70" s="969">
        <f>AW71-SUM(AW50:AW69)</f>
        <v>2380</v>
      </c>
      <c r="AX70" s="646">
        <f t="shared" ref="AX70:AX88" si="129">ROUND(((AW70/AV70-1)*100), 1)</f>
        <v>3252.1</v>
      </c>
      <c r="AY70" s="817">
        <f>AY71-SUM(AY50:AY69)</f>
        <v>0</v>
      </c>
      <c r="AZ70" s="817">
        <f>AZ71-SUM(AZ50:AZ69)</f>
        <v>3</v>
      </c>
      <c r="BA70" s="800">
        <v>0</v>
      </c>
      <c r="BB70" s="817">
        <f>BB71-SUM(BB50:BB69)</f>
        <v>71</v>
      </c>
      <c r="BC70" s="817">
        <f>BC71-SUM(BC50:BC69)</f>
        <v>2383</v>
      </c>
      <c r="BD70" s="646">
        <f t="shared" ref="BD70:BD88" si="130">ROUND(((BC70/BB70-1)*100), 1)</f>
        <v>3256.3</v>
      </c>
      <c r="BE70" s="817">
        <f>BE71-SUM(BE50:BE69)</f>
        <v>0</v>
      </c>
      <c r="BF70" s="817">
        <f>BF71-SUM(BF50:BF69)</f>
        <v>0</v>
      </c>
      <c r="BG70" s="800">
        <v>0</v>
      </c>
      <c r="BH70" s="817">
        <f>BH71-SUM(BH50:BH69)</f>
        <v>71</v>
      </c>
      <c r="BI70" s="817">
        <f>BI71-SUM(BI50:BI69)</f>
        <v>2383</v>
      </c>
      <c r="BJ70" s="646">
        <f t="shared" ref="BJ70:BJ88" si="131">ROUND(((BI70/BH70-1)*100), 1)</f>
        <v>3256.3</v>
      </c>
      <c r="BK70" s="817">
        <f>BK71-SUM(BK50:BK69)</f>
        <v>0</v>
      </c>
      <c r="BL70" s="817">
        <f>BL71-SUM(BL50:BL69)</f>
        <v>1342</v>
      </c>
      <c r="BM70" s="800">
        <v>0</v>
      </c>
      <c r="BN70" s="817">
        <f>BN71-SUM(BN50:BN69)</f>
        <v>71</v>
      </c>
      <c r="BO70" s="817">
        <f>BO71-SUM(BO50:BO69)</f>
        <v>3725</v>
      </c>
      <c r="BP70" s="646">
        <f t="shared" ref="BP70:BP88" si="132">ROUND(((BO70/BN70-1)*100), 1)</f>
        <v>5146.5</v>
      </c>
      <c r="BQ70" s="817">
        <f>BQ71-SUM(BQ50:BQ69)</f>
        <v>112</v>
      </c>
      <c r="BR70" s="817">
        <f>BR71-SUM(BR50:BR69)</f>
        <v>1777</v>
      </c>
      <c r="BS70" s="646">
        <f t="shared" ref="BS70" si="133">ROUND(((BR70/BQ70-1)*100), 1)</f>
        <v>1486.6</v>
      </c>
      <c r="BT70" s="817">
        <f>BT71-SUM(BT50:BT69)</f>
        <v>183</v>
      </c>
      <c r="BU70" s="817">
        <f>BU71-SUM(BU50:BU69)</f>
        <v>5502</v>
      </c>
      <c r="BV70" s="646">
        <f t="shared" ref="BV70:BV88" si="134">ROUND(((BU70/BT70-1)*100), 1)</f>
        <v>2906.6</v>
      </c>
    </row>
    <row r="71" spans="1:74" ht="15" customHeight="1">
      <c r="A71" s="96"/>
      <c r="B71" s="1098"/>
      <c r="C71" s="166" t="s">
        <v>293</v>
      </c>
      <c r="D71" s="46">
        <v>90558</v>
      </c>
      <c r="E71" s="46">
        <v>134239</v>
      </c>
      <c r="F71" s="46">
        <v>104707</v>
      </c>
      <c r="G71" s="46">
        <v>105920</v>
      </c>
      <c r="H71" s="46">
        <v>88194</v>
      </c>
      <c r="I71" s="46">
        <v>74363</v>
      </c>
      <c r="J71" s="46">
        <v>91700</v>
      </c>
      <c r="K71" s="46">
        <v>70529</v>
      </c>
      <c r="L71" s="403">
        <v>6542</v>
      </c>
      <c r="M71" s="403">
        <v>6146</v>
      </c>
      <c r="N71" s="243">
        <f t="shared" ref="N71:N76" si="135">ROUND(((M71/L71-1)*100), 1)</f>
        <v>-6.1</v>
      </c>
      <c r="O71" s="403">
        <f t="shared" ref="O71:P95" si="136">R71-L71</f>
        <v>5159</v>
      </c>
      <c r="P71" s="403">
        <f t="shared" si="136"/>
        <v>4592</v>
      </c>
      <c r="Q71" s="243">
        <f t="shared" ref="Q71:Q76" si="137">ROUND(((P71/O71-1)*100), 1)</f>
        <v>-11</v>
      </c>
      <c r="R71" s="403">
        <v>11701</v>
      </c>
      <c r="S71" s="403">
        <v>10738</v>
      </c>
      <c r="T71" s="243">
        <f t="shared" ref="T71:T76" si="138">ROUND(((S71/R71-1)*100), 1)</f>
        <v>-8.1999999999999993</v>
      </c>
      <c r="U71" s="403">
        <f t="shared" ref="U71:U95" si="139">X71-R71</f>
        <v>4459</v>
      </c>
      <c r="V71" s="403">
        <f t="shared" ref="V71:V95" si="140">Y71-S71</f>
        <v>5963</v>
      </c>
      <c r="W71" s="243">
        <f t="shared" ref="W71:W76" si="141">ROUND(((V71/U71-1)*100), 1)</f>
        <v>33.700000000000003</v>
      </c>
      <c r="X71" s="403">
        <v>16160</v>
      </c>
      <c r="Y71" s="403">
        <v>16701</v>
      </c>
      <c r="Z71" s="243">
        <f t="shared" ref="Z71:Z76" si="142">ROUND(((Y71/X71-1)*100), 1)</f>
        <v>3.3</v>
      </c>
      <c r="AA71" s="403">
        <f t="shared" ref="AA71:AA95" si="143">AD71-X71</f>
        <v>6228</v>
      </c>
      <c r="AB71" s="403">
        <f t="shared" ref="AB71:AB95" si="144">AE71-Y71</f>
        <v>4806</v>
      </c>
      <c r="AC71" s="243">
        <f t="shared" ref="AC71:AC76" si="145">ROUND(((AB71/AA71-1)*100), 1)</f>
        <v>-22.8</v>
      </c>
      <c r="AD71" s="403">
        <v>22388</v>
      </c>
      <c r="AE71" s="403">
        <v>21507</v>
      </c>
      <c r="AF71" s="243">
        <f t="shared" ref="AF71:AF76" si="146">ROUND(((AE71/AD71-1)*100), 1)</f>
        <v>-3.9</v>
      </c>
      <c r="AG71" s="403">
        <f t="shared" ref="AG71:AH95" si="147">AJ71-AD71</f>
        <v>6391</v>
      </c>
      <c r="AH71" s="403">
        <f t="shared" si="147"/>
        <v>5119</v>
      </c>
      <c r="AI71" s="243">
        <f t="shared" ref="AI71:AI76" si="148">ROUND(((AH71/AG71-1)*100), 1)</f>
        <v>-19.899999999999999</v>
      </c>
      <c r="AJ71" s="403">
        <v>28779</v>
      </c>
      <c r="AK71" s="403">
        <v>26626</v>
      </c>
      <c r="AL71" s="243">
        <f t="shared" ref="AL71:AL76" si="149">ROUND(((AK71/AJ71-1)*100), 1)</f>
        <v>-7.5</v>
      </c>
      <c r="AM71" s="664">
        <f t="shared" ref="AM71:AM95" si="150">AP71-AJ71</f>
        <v>4882</v>
      </c>
      <c r="AN71" s="664">
        <f t="shared" ref="AN71:AN95" si="151">AQ71-AK71</f>
        <v>6526</v>
      </c>
      <c r="AO71" s="653">
        <f t="shared" ref="AO71:AO78" si="152">ROUND(((AN71/AM71-1)*100), 1)</f>
        <v>33.700000000000003</v>
      </c>
      <c r="AP71" s="814">
        <v>33661</v>
      </c>
      <c r="AQ71" s="814">
        <v>33152</v>
      </c>
      <c r="AR71" s="653">
        <f t="shared" si="128"/>
        <v>-1.5</v>
      </c>
      <c r="AS71" s="814">
        <f t="shared" ref="AS71:AT95" si="153">AV71-AP71</f>
        <v>3681</v>
      </c>
      <c r="AT71" s="814">
        <f t="shared" si="153"/>
        <v>11232</v>
      </c>
      <c r="AU71" s="754">
        <f>ROUND(((AT71/AS71-1)*100), 1)</f>
        <v>205.1</v>
      </c>
      <c r="AV71" s="971">
        <v>37342</v>
      </c>
      <c r="AW71" s="971">
        <v>44384</v>
      </c>
      <c r="AX71" s="754">
        <f t="shared" si="129"/>
        <v>18.899999999999999</v>
      </c>
      <c r="AY71" s="814">
        <f t="shared" ref="AY71:AY95" si="154">BB71-AV71</f>
        <v>4336</v>
      </c>
      <c r="AZ71" s="814">
        <f t="shared" ref="AZ71:AZ95" si="155">BC71-AW71</f>
        <v>7270</v>
      </c>
      <c r="BA71" s="754">
        <f>ROUND(((AZ71/AY71-1)*100), 1)</f>
        <v>67.7</v>
      </c>
      <c r="BB71" s="814">
        <v>41678</v>
      </c>
      <c r="BC71" s="814">
        <v>51654</v>
      </c>
      <c r="BD71" s="754">
        <f t="shared" si="130"/>
        <v>23.9</v>
      </c>
      <c r="BE71" s="814">
        <f t="shared" ref="BE71:BF95" si="156">BH71-BB71</f>
        <v>5612</v>
      </c>
      <c r="BF71" s="814">
        <f t="shared" si="156"/>
        <v>6865</v>
      </c>
      <c r="BG71" s="754">
        <f>ROUND(((BF71/BE71-1)*100), 1)</f>
        <v>22.3</v>
      </c>
      <c r="BH71" s="814">
        <v>47290</v>
      </c>
      <c r="BI71" s="814">
        <v>58519</v>
      </c>
      <c r="BJ71" s="754">
        <f t="shared" si="131"/>
        <v>23.7</v>
      </c>
      <c r="BK71" s="814">
        <f t="shared" ref="BK71:BL95" si="157">BN71-BH71</f>
        <v>6105</v>
      </c>
      <c r="BL71" s="814">
        <f t="shared" si="157"/>
        <v>11414</v>
      </c>
      <c r="BM71" s="754">
        <f>ROUND(((BL71/BK71-1)*100), 1)</f>
        <v>87</v>
      </c>
      <c r="BN71" s="814">
        <v>53395</v>
      </c>
      <c r="BO71" s="814">
        <v>69933</v>
      </c>
      <c r="BP71" s="754">
        <f t="shared" si="132"/>
        <v>31</v>
      </c>
      <c r="BQ71" s="814">
        <f t="shared" ref="BQ71:BR95" si="158">BT71-BN71</f>
        <v>8141</v>
      </c>
      <c r="BR71" s="814">
        <f t="shared" si="158"/>
        <v>10774</v>
      </c>
      <c r="BS71" s="754">
        <f>ROUND(((BR71/BQ71-1)*100), 1)</f>
        <v>32.299999999999997</v>
      </c>
      <c r="BT71" s="814">
        <v>61536</v>
      </c>
      <c r="BU71" s="814">
        <v>80707</v>
      </c>
      <c r="BV71" s="754">
        <f t="shared" si="134"/>
        <v>31.2</v>
      </c>
    </row>
    <row r="72" spans="1:74" ht="15" customHeight="1">
      <c r="A72" s="96"/>
      <c r="B72" s="1165" t="s">
        <v>174</v>
      </c>
      <c r="C72" s="85" t="s">
        <v>52</v>
      </c>
      <c r="D72" s="66">
        <v>5887</v>
      </c>
      <c r="E72" s="66">
        <v>7116</v>
      </c>
      <c r="F72" s="66">
        <v>13863</v>
      </c>
      <c r="G72" s="66">
        <v>11408</v>
      </c>
      <c r="H72" s="66">
        <v>12994</v>
      </c>
      <c r="I72" s="66">
        <v>13356</v>
      </c>
      <c r="J72" s="66">
        <v>15244</v>
      </c>
      <c r="K72" s="66">
        <v>15908</v>
      </c>
      <c r="L72" s="384">
        <v>1009</v>
      </c>
      <c r="M72" s="384">
        <v>1701</v>
      </c>
      <c r="N72" s="231">
        <f t="shared" si="135"/>
        <v>68.599999999999994</v>
      </c>
      <c r="O72" s="384">
        <f t="shared" si="136"/>
        <v>1606</v>
      </c>
      <c r="P72" s="384">
        <f t="shared" si="136"/>
        <v>895</v>
      </c>
      <c r="Q72" s="231">
        <f t="shared" si="137"/>
        <v>-44.3</v>
      </c>
      <c r="R72" s="384">
        <v>2615</v>
      </c>
      <c r="S72" s="384">
        <v>2596</v>
      </c>
      <c r="T72" s="231">
        <f t="shared" si="138"/>
        <v>-0.7</v>
      </c>
      <c r="U72" s="384">
        <f t="shared" si="139"/>
        <v>1304</v>
      </c>
      <c r="V72" s="384">
        <f t="shared" si="140"/>
        <v>1299</v>
      </c>
      <c r="W72" s="231">
        <f t="shared" si="141"/>
        <v>-0.4</v>
      </c>
      <c r="X72" s="384">
        <v>3919</v>
      </c>
      <c r="Y72" s="384">
        <v>3895</v>
      </c>
      <c r="Z72" s="231">
        <f t="shared" si="142"/>
        <v>-0.6</v>
      </c>
      <c r="AA72" s="528">
        <f t="shared" si="143"/>
        <v>1175</v>
      </c>
      <c r="AB72" s="528">
        <f t="shared" si="144"/>
        <v>608</v>
      </c>
      <c r="AC72" s="231">
        <f t="shared" si="145"/>
        <v>-48.3</v>
      </c>
      <c r="AD72" s="528">
        <v>5094</v>
      </c>
      <c r="AE72" s="528">
        <v>4503</v>
      </c>
      <c r="AF72" s="231">
        <f t="shared" si="146"/>
        <v>-11.6</v>
      </c>
      <c r="AG72" s="528">
        <f t="shared" si="147"/>
        <v>1604</v>
      </c>
      <c r="AH72" s="528">
        <f t="shared" si="147"/>
        <v>387</v>
      </c>
      <c r="AI72" s="231">
        <f t="shared" si="148"/>
        <v>-75.900000000000006</v>
      </c>
      <c r="AJ72" s="528">
        <v>6698</v>
      </c>
      <c r="AK72" s="528">
        <v>4890</v>
      </c>
      <c r="AL72" s="231">
        <f t="shared" si="149"/>
        <v>-27</v>
      </c>
      <c r="AM72" s="662">
        <f t="shared" si="150"/>
        <v>1275</v>
      </c>
      <c r="AN72" s="662">
        <f t="shared" si="151"/>
        <v>1414</v>
      </c>
      <c r="AO72" s="651">
        <f t="shared" si="152"/>
        <v>10.9</v>
      </c>
      <c r="AP72" s="818">
        <v>7973</v>
      </c>
      <c r="AQ72" s="818">
        <v>6304</v>
      </c>
      <c r="AR72" s="651">
        <f t="shared" si="128"/>
        <v>-20.9</v>
      </c>
      <c r="AS72" s="818">
        <f t="shared" si="153"/>
        <v>663</v>
      </c>
      <c r="AT72" s="818">
        <f t="shared" si="153"/>
        <v>1425</v>
      </c>
      <c r="AU72" s="651">
        <f>ROUND(((AT72/AS72-1)*100), 1)</f>
        <v>114.9</v>
      </c>
      <c r="AV72" s="973">
        <v>8636</v>
      </c>
      <c r="AW72" s="973">
        <v>7729</v>
      </c>
      <c r="AX72" s="651">
        <f t="shared" si="129"/>
        <v>-10.5</v>
      </c>
      <c r="AY72" s="818">
        <f t="shared" si="154"/>
        <v>917</v>
      </c>
      <c r="AZ72" s="818">
        <f t="shared" si="155"/>
        <v>412</v>
      </c>
      <c r="BA72" s="651">
        <f>ROUND(((AZ72/AY72-1)*100), 1)</f>
        <v>-55.1</v>
      </c>
      <c r="BB72" s="818">
        <v>9553</v>
      </c>
      <c r="BC72" s="818">
        <v>8141</v>
      </c>
      <c r="BD72" s="651">
        <f t="shared" si="130"/>
        <v>-14.8</v>
      </c>
      <c r="BE72" s="818">
        <f t="shared" si="156"/>
        <v>1777</v>
      </c>
      <c r="BF72" s="818">
        <f t="shared" si="156"/>
        <v>736</v>
      </c>
      <c r="BG72" s="651">
        <f>ROUND(((BF72/BE72-1)*100), 1)</f>
        <v>-58.6</v>
      </c>
      <c r="BH72" s="818">
        <v>11330</v>
      </c>
      <c r="BI72" s="818">
        <v>8877</v>
      </c>
      <c r="BJ72" s="651">
        <f t="shared" si="131"/>
        <v>-21.7</v>
      </c>
      <c r="BK72" s="818">
        <f t="shared" si="157"/>
        <v>1326</v>
      </c>
      <c r="BL72" s="818">
        <f t="shared" si="157"/>
        <v>329</v>
      </c>
      <c r="BM72" s="651">
        <f>ROUND(((BL72/BK72-1)*100), 1)</f>
        <v>-75.2</v>
      </c>
      <c r="BN72" s="818">
        <v>12656</v>
      </c>
      <c r="BO72" s="818">
        <v>9206</v>
      </c>
      <c r="BP72" s="651">
        <f t="shared" si="132"/>
        <v>-27.3</v>
      </c>
      <c r="BQ72" s="818">
        <f t="shared" si="158"/>
        <v>1664</v>
      </c>
      <c r="BR72" s="818">
        <f t="shared" si="158"/>
        <v>339</v>
      </c>
      <c r="BS72" s="651">
        <f>ROUND(((BR72/BQ72-1)*100), 1)</f>
        <v>-79.599999999999994</v>
      </c>
      <c r="BT72" s="818">
        <v>14320</v>
      </c>
      <c r="BU72" s="818">
        <v>9545</v>
      </c>
      <c r="BV72" s="651">
        <f t="shared" si="134"/>
        <v>-33.299999999999997</v>
      </c>
    </row>
    <row r="73" spans="1:74" ht="15" customHeight="1">
      <c r="A73" s="96"/>
      <c r="B73" s="1164"/>
      <c r="C73" s="43" t="s">
        <v>169</v>
      </c>
      <c r="D73" s="44">
        <v>1700</v>
      </c>
      <c r="E73" s="44">
        <v>1164</v>
      </c>
      <c r="F73" s="44">
        <v>2258</v>
      </c>
      <c r="G73" s="44">
        <v>1910</v>
      </c>
      <c r="H73" s="44">
        <v>1845</v>
      </c>
      <c r="I73" s="44">
        <v>2590</v>
      </c>
      <c r="J73" s="44">
        <v>3908</v>
      </c>
      <c r="K73" s="44">
        <v>7541</v>
      </c>
      <c r="L73" s="383">
        <v>884</v>
      </c>
      <c r="M73" s="383">
        <v>0</v>
      </c>
      <c r="N73" s="242">
        <f t="shared" si="135"/>
        <v>-100</v>
      </c>
      <c r="O73" s="383">
        <f t="shared" si="136"/>
        <v>122</v>
      </c>
      <c r="P73" s="383">
        <f t="shared" si="136"/>
        <v>0</v>
      </c>
      <c r="Q73" s="242">
        <f t="shared" si="137"/>
        <v>-100</v>
      </c>
      <c r="R73" s="383">
        <v>1006</v>
      </c>
      <c r="S73" s="383">
        <v>0</v>
      </c>
      <c r="T73" s="242">
        <f t="shared" si="138"/>
        <v>-100</v>
      </c>
      <c r="U73" s="383">
        <f t="shared" si="139"/>
        <v>24</v>
      </c>
      <c r="V73" s="383">
        <f t="shared" si="140"/>
        <v>96</v>
      </c>
      <c r="W73" s="242">
        <f t="shared" si="141"/>
        <v>300</v>
      </c>
      <c r="X73" s="383">
        <v>1030</v>
      </c>
      <c r="Y73" s="383">
        <v>96</v>
      </c>
      <c r="Z73" s="242">
        <f t="shared" si="142"/>
        <v>-90.7</v>
      </c>
      <c r="AA73" s="527">
        <f t="shared" si="143"/>
        <v>447</v>
      </c>
      <c r="AB73" s="527">
        <f t="shared" si="144"/>
        <v>0</v>
      </c>
      <c r="AC73" s="242">
        <f t="shared" si="145"/>
        <v>-100</v>
      </c>
      <c r="AD73" s="527">
        <v>1477</v>
      </c>
      <c r="AE73" s="527">
        <v>96</v>
      </c>
      <c r="AF73" s="242">
        <f t="shared" si="146"/>
        <v>-93.5</v>
      </c>
      <c r="AG73" s="527">
        <f t="shared" si="147"/>
        <v>644</v>
      </c>
      <c r="AH73" s="527">
        <f t="shared" si="147"/>
        <v>0</v>
      </c>
      <c r="AI73" s="242">
        <f t="shared" si="148"/>
        <v>-100</v>
      </c>
      <c r="AJ73" s="527">
        <v>2121</v>
      </c>
      <c r="AK73" s="527">
        <v>96</v>
      </c>
      <c r="AL73" s="242">
        <f t="shared" si="149"/>
        <v>-95.5</v>
      </c>
      <c r="AM73" s="661">
        <f t="shared" si="150"/>
        <v>0</v>
      </c>
      <c r="AN73" s="661">
        <f t="shared" si="151"/>
        <v>0</v>
      </c>
      <c r="AO73" s="799">
        <v>0</v>
      </c>
      <c r="AP73" s="817">
        <v>2121</v>
      </c>
      <c r="AQ73" s="817">
        <v>96</v>
      </c>
      <c r="AR73" s="652">
        <f t="shared" si="128"/>
        <v>-95.5</v>
      </c>
      <c r="AS73" s="817">
        <f t="shared" si="153"/>
        <v>119</v>
      </c>
      <c r="AT73" s="817">
        <f t="shared" si="153"/>
        <v>304</v>
      </c>
      <c r="AU73" s="753">
        <f>ROUND(((AT73/AS73-1)*100), 1)</f>
        <v>155.5</v>
      </c>
      <c r="AV73" s="969">
        <v>2240</v>
      </c>
      <c r="AW73" s="969">
        <v>400</v>
      </c>
      <c r="AX73" s="753">
        <f t="shared" si="129"/>
        <v>-82.1</v>
      </c>
      <c r="AY73" s="817">
        <f t="shared" si="154"/>
        <v>480</v>
      </c>
      <c r="AZ73" s="817">
        <f t="shared" si="155"/>
        <v>141</v>
      </c>
      <c r="BA73" s="753">
        <f>ROUND(((AZ73/AY73-1)*100), 1)</f>
        <v>-70.599999999999994</v>
      </c>
      <c r="BB73" s="817">
        <v>2720</v>
      </c>
      <c r="BC73" s="817">
        <v>541</v>
      </c>
      <c r="BD73" s="753">
        <f t="shared" si="130"/>
        <v>-80.099999999999994</v>
      </c>
      <c r="BE73" s="817">
        <f t="shared" si="156"/>
        <v>485</v>
      </c>
      <c r="BF73" s="817">
        <f t="shared" si="156"/>
        <v>0</v>
      </c>
      <c r="BG73" s="753">
        <f>ROUND(((BF73/BE73-1)*100), 1)</f>
        <v>-100</v>
      </c>
      <c r="BH73" s="817">
        <v>3205</v>
      </c>
      <c r="BI73" s="817">
        <v>541</v>
      </c>
      <c r="BJ73" s="753">
        <f t="shared" si="131"/>
        <v>-83.1</v>
      </c>
      <c r="BK73" s="817">
        <f t="shared" si="157"/>
        <v>1862</v>
      </c>
      <c r="BL73" s="817">
        <f t="shared" si="157"/>
        <v>0</v>
      </c>
      <c r="BM73" s="753">
        <f>ROUND(((BL73/BK73-1)*100), 1)</f>
        <v>-100</v>
      </c>
      <c r="BN73" s="817">
        <v>5067</v>
      </c>
      <c r="BO73" s="817">
        <v>541</v>
      </c>
      <c r="BP73" s="753">
        <f t="shared" si="132"/>
        <v>-89.3</v>
      </c>
      <c r="BQ73" s="817">
        <f t="shared" si="158"/>
        <v>1170</v>
      </c>
      <c r="BR73" s="817">
        <f t="shared" si="158"/>
        <v>0</v>
      </c>
      <c r="BS73" s="753">
        <f>ROUND(((BR73/BQ73-1)*100), 1)</f>
        <v>-100</v>
      </c>
      <c r="BT73" s="817">
        <v>6237</v>
      </c>
      <c r="BU73" s="817">
        <v>541</v>
      </c>
      <c r="BV73" s="753">
        <f t="shared" si="134"/>
        <v>-91.3</v>
      </c>
    </row>
    <row r="74" spans="1:74" ht="15" customHeight="1">
      <c r="A74" s="96"/>
      <c r="B74" s="1164"/>
      <c r="C74" s="43" t="s">
        <v>186</v>
      </c>
      <c r="D74" s="44">
        <v>252</v>
      </c>
      <c r="E74" s="44">
        <v>1497</v>
      </c>
      <c r="F74" s="44">
        <v>3698</v>
      </c>
      <c r="G74" s="44">
        <v>4488</v>
      </c>
      <c r="H74" s="44">
        <v>3771</v>
      </c>
      <c r="I74" s="44">
        <v>2233</v>
      </c>
      <c r="J74" s="44">
        <v>2875</v>
      </c>
      <c r="K74" s="44">
        <v>4190</v>
      </c>
      <c r="L74" s="383">
        <v>288</v>
      </c>
      <c r="M74" s="383">
        <v>356</v>
      </c>
      <c r="N74" s="242">
        <f t="shared" si="135"/>
        <v>23.6</v>
      </c>
      <c r="O74" s="383">
        <f t="shared" si="136"/>
        <v>198</v>
      </c>
      <c r="P74" s="383">
        <f t="shared" si="136"/>
        <v>120</v>
      </c>
      <c r="Q74" s="242">
        <f t="shared" si="137"/>
        <v>-39.4</v>
      </c>
      <c r="R74" s="383">
        <v>486</v>
      </c>
      <c r="S74" s="383">
        <v>476</v>
      </c>
      <c r="T74" s="242">
        <f t="shared" si="138"/>
        <v>-2.1</v>
      </c>
      <c r="U74" s="383">
        <f t="shared" si="139"/>
        <v>354</v>
      </c>
      <c r="V74" s="383">
        <f t="shared" si="140"/>
        <v>851</v>
      </c>
      <c r="W74" s="242">
        <f t="shared" si="141"/>
        <v>140.4</v>
      </c>
      <c r="X74" s="383">
        <v>840</v>
      </c>
      <c r="Y74" s="383">
        <v>1327</v>
      </c>
      <c r="Z74" s="242">
        <f t="shared" si="142"/>
        <v>58</v>
      </c>
      <c r="AA74" s="527">
        <f t="shared" si="143"/>
        <v>688</v>
      </c>
      <c r="AB74" s="527">
        <f t="shared" si="144"/>
        <v>889</v>
      </c>
      <c r="AC74" s="242">
        <f t="shared" si="145"/>
        <v>29.2</v>
      </c>
      <c r="AD74" s="527">
        <v>1528</v>
      </c>
      <c r="AE74" s="527">
        <v>2216</v>
      </c>
      <c r="AF74" s="242">
        <f t="shared" si="146"/>
        <v>45</v>
      </c>
      <c r="AG74" s="527">
        <f t="shared" si="147"/>
        <v>121</v>
      </c>
      <c r="AH74" s="527">
        <f t="shared" si="147"/>
        <v>414</v>
      </c>
      <c r="AI74" s="242">
        <f t="shared" si="148"/>
        <v>242.1</v>
      </c>
      <c r="AJ74" s="527">
        <v>1649</v>
      </c>
      <c r="AK74" s="527">
        <v>2630</v>
      </c>
      <c r="AL74" s="242">
        <f t="shared" si="149"/>
        <v>59.5</v>
      </c>
      <c r="AM74" s="661">
        <f t="shared" si="150"/>
        <v>476</v>
      </c>
      <c r="AN74" s="661">
        <f t="shared" si="151"/>
        <v>667</v>
      </c>
      <c r="AO74" s="652">
        <f t="shared" si="152"/>
        <v>40.1</v>
      </c>
      <c r="AP74" s="817">
        <v>2125</v>
      </c>
      <c r="AQ74" s="817">
        <v>3297</v>
      </c>
      <c r="AR74" s="652">
        <f t="shared" si="128"/>
        <v>55.2</v>
      </c>
      <c r="AS74" s="817">
        <f t="shared" si="153"/>
        <v>214</v>
      </c>
      <c r="AT74" s="817">
        <f t="shared" si="153"/>
        <v>541</v>
      </c>
      <c r="AU74" s="753">
        <f t="shared" ref="AU74:AU80" si="159">ROUND(((AT74/AS74-1)*100), 1)</f>
        <v>152.80000000000001</v>
      </c>
      <c r="AV74" s="969">
        <v>2339</v>
      </c>
      <c r="AW74" s="969">
        <v>3838</v>
      </c>
      <c r="AX74" s="753">
        <f t="shared" si="129"/>
        <v>64.099999999999994</v>
      </c>
      <c r="AY74" s="817">
        <f t="shared" si="154"/>
        <v>296</v>
      </c>
      <c r="AZ74" s="817">
        <f t="shared" si="155"/>
        <v>627</v>
      </c>
      <c r="BA74" s="753">
        <f t="shared" ref="BA74:BA76" si="160">ROUND(((AZ74/AY74-1)*100), 1)</f>
        <v>111.8</v>
      </c>
      <c r="BB74" s="817">
        <v>2635</v>
      </c>
      <c r="BC74" s="817">
        <v>4465</v>
      </c>
      <c r="BD74" s="753">
        <f t="shared" si="130"/>
        <v>69.400000000000006</v>
      </c>
      <c r="BE74" s="817">
        <f t="shared" si="156"/>
        <v>421</v>
      </c>
      <c r="BF74" s="817">
        <f t="shared" si="156"/>
        <v>790</v>
      </c>
      <c r="BG74" s="753">
        <f t="shared" ref="BG74:BG82" si="161">ROUND(((BF74/BE74-1)*100), 1)</f>
        <v>87.6</v>
      </c>
      <c r="BH74" s="817">
        <v>3056</v>
      </c>
      <c r="BI74" s="817">
        <v>5255</v>
      </c>
      <c r="BJ74" s="753">
        <f t="shared" si="131"/>
        <v>72</v>
      </c>
      <c r="BK74" s="817">
        <f t="shared" si="157"/>
        <v>431</v>
      </c>
      <c r="BL74" s="817">
        <f t="shared" si="157"/>
        <v>1076</v>
      </c>
      <c r="BM74" s="753">
        <f t="shared" ref="BM74:BM79" si="162">ROUND(((BL74/BK74-1)*100), 1)</f>
        <v>149.69999999999999</v>
      </c>
      <c r="BN74" s="817">
        <v>3487</v>
      </c>
      <c r="BO74" s="817">
        <v>6331</v>
      </c>
      <c r="BP74" s="753">
        <f t="shared" si="132"/>
        <v>81.599999999999994</v>
      </c>
      <c r="BQ74" s="817">
        <f t="shared" si="158"/>
        <v>551</v>
      </c>
      <c r="BR74" s="817">
        <f t="shared" si="158"/>
        <v>885</v>
      </c>
      <c r="BS74" s="753">
        <f t="shared" ref="BS74:BS86" si="163">ROUND(((BR74/BQ74-1)*100), 1)</f>
        <v>60.6</v>
      </c>
      <c r="BT74" s="817">
        <v>4038</v>
      </c>
      <c r="BU74" s="817">
        <v>7216</v>
      </c>
      <c r="BV74" s="753">
        <f t="shared" si="134"/>
        <v>78.7</v>
      </c>
    </row>
    <row r="75" spans="1:74" ht="15" customHeight="1">
      <c r="A75" s="96"/>
      <c r="B75" s="1164"/>
      <c r="C75" s="43" t="s">
        <v>163</v>
      </c>
      <c r="D75" s="44">
        <v>0</v>
      </c>
      <c r="E75" s="44">
        <v>208</v>
      </c>
      <c r="F75" s="44">
        <v>3191</v>
      </c>
      <c r="G75" s="44">
        <v>313</v>
      </c>
      <c r="H75" s="44">
        <v>365</v>
      </c>
      <c r="I75" s="44">
        <v>2742</v>
      </c>
      <c r="J75" s="44">
        <v>3275</v>
      </c>
      <c r="K75" s="44">
        <v>3235</v>
      </c>
      <c r="L75" s="383">
        <v>333</v>
      </c>
      <c r="M75" s="383">
        <v>169</v>
      </c>
      <c r="N75" s="242">
        <f t="shared" si="135"/>
        <v>-49.2</v>
      </c>
      <c r="O75" s="383">
        <f t="shared" si="136"/>
        <v>78</v>
      </c>
      <c r="P75" s="383">
        <f t="shared" si="136"/>
        <v>319</v>
      </c>
      <c r="Q75" s="242">
        <f t="shared" si="137"/>
        <v>309</v>
      </c>
      <c r="R75" s="383">
        <v>411</v>
      </c>
      <c r="S75" s="383">
        <v>488</v>
      </c>
      <c r="T75" s="242">
        <f t="shared" si="138"/>
        <v>18.7</v>
      </c>
      <c r="U75" s="383">
        <f t="shared" si="139"/>
        <v>141</v>
      </c>
      <c r="V75" s="383">
        <f t="shared" si="140"/>
        <v>109</v>
      </c>
      <c r="W75" s="242">
        <f t="shared" si="141"/>
        <v>-22.7</v>
      </c>
      <c r="X75" s="383">
        <v>552</v>
      </c>
      <c r="Y75" s="383">
        <v>597</v>
      </c>
      <c r="Z75" s="242">
        <f t="shared" si="142"/>
        <v>8.1999999999999993</v>
      </c>
      <c r="AA75" s="527">
        <f t="shared" si="143"/>
        <v>297</v>
      </c>
      <c r="AB75" s="527">
        <f t="shared" si="144"/>
        <v>423</v>
      </c>
      <c r="AC75" s="242">
        <f t="shared" si="145"/>
        <v>42.4</v>
      </c>
      <c r="AD75" s="527">
        <v>849</v>
      </c>
      <c r="AE75" s="527">
        <v>1020</v>
      </c>
      <c r="AF75" s="242">
        <f t="shared" si="146"/>
        <v>20.100000000000001</v>
      </c>
      <c r="AG75" s="527">
        <f t="shared" si="147"/>
        <v>271</v>
      </c>
      <c r="AH75" s="527">
        <f t="shared" si="147"/>
        <v>0</v>
      </c>
      <c r="AI75" s="242">
        <f t="shared" si="148"/>
        <v>-100</v>
      </c>
      <c r="AJ75" s="527">
        <v>1120</v>
      </c>
      <c r="AK75" s="527">
        <v>1020</v>
      </c>
      <c r="AL75" s="242">
        <f t="shared" si="149"/>
        <v>-8.9</v>
      </c>
      <c r="AM75" s="661">
        <f t="shared" si="150"/>
        <v>282</v>
      </c>
      <c r="AN75" s="661">
        <f t="shared" si="151"/>
        <v>0</v>
      </c>
      <c r="AO75" s="652">
        <f t="shared" si="152"/>
        <v>-100</v>
      </c>
      <c r="AP75" s="817">
        <v>1402</v>
      </c>
      <c r="AQ75" s="817">
        <v>1020</v>
      </c>
      <c r="AR75" s="652">
        <f t="shared" si="128"/>
        <v>-27.2</v>
      </c>
      <c r="AS75" s="817">
        <f t="shared" si="153"/>
        <v>364</v>
      </c>
      <c r="AT75" s="817">
        <f t="shared" si="153"/>
        <v>0</v>
      </c>
      <c r="AU75" s="753">
        <f t="shared" si="159"/>
        <v>-100</v>
      </c>
      <c r="AV75" s="969">
        <v>1766</v>
      </c>
      <c r="AW75" s="969">
        <v>1020</v>
      </c>
      <c r="AX75" s="753">
        <f t="shared" si="129"/>
        <v>-42.2</v>
      </c>
      <c r="AY75" s="817">
        <f t="shared" si="154"/>
        <v>176</v>
      </c>
      <c r="AZ75" s="817">
        <f t="shared" si="155"/>
        <v>0</v>
      </c>
      <c r="BA75" s="753">
        <f t="shared" si="160"/>
        <v>-100</v>
      </c>
      <c r="BB75" s="817">
        <v>1942</v>
      </c>
      <c r="BC75" s="817">
        <v>1020</v>
      </c>
      <c r="BD75" s="753">
        <f t="shared" si="130"/>
        <v>-47.5</v>
      </c>
      <c r="BE75" s="817">
        <f t="shared" si="156"/>
        <v>288</v>
      </c>
      <c r="BF75" s="817">
        <f t="shared" si="156"/>
        <v>0</v>
      </c>
      <c r="BG75" s="753">
        <f t="shared" si="161"/>
        <v>-100</v>
      </c>
      <c r="BH75" s="817">
        <v>2230</v>
      </c>
      <c r="BI75" s="817">
        <v>1020</v>
      </c>
      <c r="BJ75" s="753">
        <f t="shared" si="131"/>
        <v>-54.3</v>
      </c>
      <c r="BK75" s="817">
        <f t="shared" si="157"/>
        <v>359</v>
      </c>
      <c r="BL75" s="817">
        <f t="shared" si="157"/>
        <v>0</v>
      </c>
      <c r="BM75" s="753">
        <f t="shared" si="162"/>
        <v>-100</v>
      </c>
      <c r="BN75" s="817">
        <v>2589</v>
      </c>
      <c r="BO75" s="817">
        <v>1020</v>
      </c>
      <c r="BP75" s="753">
        <f t="shared" si="132"/>
        <v>-60.6</v>
      </c>
      <c r="BQ75" s="817">
        <f t="shared" si="158"/>
        <v>411</v>
      </c>
      <c r="BR75" s="817">
        <f t="shared" si="158"/>
        <v>0</v>
      </c>
      <c r="BS75" s="753">
        <f t="shared" si="163"/>
        <v>-100</v>
      </c>
      <c r="BT75" s="817">
        <v>3000</v>
      </c>
      <c r="BU75" s="817">
        <v>1020</v>
      </c>
      <c r="BV75" s="753">
        <f t="shared" si="134"/>
        <v>-66</v>
      </c>
    </row>
    <row r="76" spans="1:74" ht="15" customHeight="1">
      <c r="A76" s="96"/>
      <c r="B76" s="1164"/>
      <c r="C76" s="43" t="s">
        <v>158</v>
      </c>
      <c r="D76" s="44">
        <v>529</v>
      </c>
      <c r="E76" s="44">
        <v>353</v>
      </c>
      <c r="F76" s="44">
        <v>62</v>
      </c>
      <c r="G76" s="44">
        <v>489</v>
      </c>
      <c r="H76" s="44">
        <v>1012</v>
      </c>
      <c r="I76" s="44">
        <v>944</v>
      </c>
      <c r="J76" s="44">
        <v>1694</v>
      </c>
      <c r="K76" s="44">
        <v>3110</v>
      </c>
      <c r="L76" s="383">
        <v>243</v>
      </c>
      <c r="M76" s="383">
        <v>313</v>
      </c>
      <c r="N76" s="242">
        <f t="shared" si="135"/>
        <v>28.8</v>
      </c>
      <c r="O76" s="383">
        <f t="shared" si="136"/>
        <v>139</v>
      </c>
      <c r="P76" s="383">
        <f t="shared" si="136"/>
        <v>497</v>
      </c>
      <c r="Q76" s="242">
        <f t="shared" si="137"/>
        <v>257.60000000000002</v>
      </c>
      <c r="R76" s="383">
        <v>382</v>
      </c>
      <c r="S76" s="383">
        <v>810</v>
      </c>
      <c r="T76" s="242">
        <f t="shared" si="138"/>
        <v>112</v>
      </c>
      <c r="U76" s="383">
        <f t="shared" si="139"/>
        <v>181</v>
      </c>
      <c r="V76" s="383">
        <f t="shared" si="140"/>
        <v>451</v>
      </c>
      <c r="W76" s="242">
        <f t="shared" si="141"/>
        <v>149.19999999999999</v>
      </c>
      <c r="X76" s="383">
        <v>563</v>
      </c>
      <c r="Y76" s="383">
        <v>1261</v>
      </c>
      <c r="Z76" s="242">
        <f t="shared" si="142"/>
        <v>124</v>
      </c>
      <c r="AA76" s="527">
        <f t="shared" si="143"/>
        <v>180</v>
      </c>
      <c r="AB76" s="527">
        <f t="shared" si="144"/>
        <v>447</v>
      </c>
      <c r="AC76" s="242">
        <f t="shared" si="145"/>
        <v>148.30000000000001</v>
      </c>
      <c r="AD76" s="527">
        <v>743</v>
      </c>
      <c r="AE76" s="527">
        <v>1708</v>
      </c>
      <c r="AF76" s="242">
        <f t="shared" si="146"/>
        <v>129.9</v>
      </c>
      <c r="AG76" s="527">
        <f t="shared" si="147"/>
        <v>286</v>
      </c>
      <c r="AH76" s="527">
        <f t="shared" si="147"/>
        <v>569</v>
      </c>
      <c r="AI76" s="242">
        <f t="shared" si="148"/>
        <v>99</v>
      </c>
      <c r="AJ76" s="527">
        <v>1029</v>
      </c>
      <c r="AK76" s="527">
        <v>2277</v>
      </c>
      <c r="AL76" s="242">
        <f t="shared" si="149"/>
        <v>121.3</v>
      </c>
      <c r="AM76" s="661">
        <f t="shared" si="150"/>
        <v>263</v>
      </c>
      <c r="AN76" s="661">
        <f t="shared" si="151"/>
        <v>1079</v>
      </c>
      <c r="AO76" s="652">
        <f t="shared" si="152"/>
        <v>310.3</v>
      </c>
      <c r="AP76" s="817">
        <v>1292</v>
      </c>
      <c r="AQ76" s="817">
        <v>3356</v>
      </c>
      <c r="AR76" s="652">
        <f t="shared" si="128"/>
        <v>159.80000000000001</v>
      </c>
      <c r="AS76" s="817">
        <f t="shared" si="153"/>
        <v>241</v>
      </c>
      <c r="AT76" s="817">
        <f t="shared" si="153"/>
        <v>921</v>
      </c>
      <c r="AU76" s="753">
        <f t="shared" si="159"/>
        <v>282.2</v>
      </c>
      <c r="AV76" s="969">
        <v>1533</v>
      </c>
      <c r="AW76" s="969">
        <v>4277</v>
      </c>
      <c r="AX76" s="753">
        <f t="shared" si="129"/>
        <v>179</v>
      </c>
      <c r="AY76" s="817">
        <f t="shared" si="154"/>
        <v>425</v>
      </c>
      <c r="AZ76" s="817">
        <f t="shared" si="155"/>
        <v>1338</v>
      </c>
      <c r="BA76" s="753">
        <f t="shared" si="160"/>
        <v>214.8</v>
      </c>
      <c r="BB76" s="817">
        <v>1958</v>
      </c>
      <c r="BC76" s="817">
        <v>5615</v>
      </c>
      <c r="BD76" s="753">
        <f t="shared" si="130"/>
        <v>186.8</v>
      </c>
      <c r="BE76" s="817">
        <f t="shared" si="156"/>
        <v>504</v>
      </c>
      <c r="BF76" s="817">
        <f t="shared" si="156"/>
        <v>808</v>
      </c>
      <c r="BG76" s="753">
        <f t="shared" si="161"/>
        <v>60.3</v>
      </c>
      <c r="BH76" s="817">
        <v>2462</v>
      </c>
      <c r="BI76" s="817">
        <v>6423</v>
      </c>
      <c r="BJ76" s="753">
        <f t="shared" si="131"/>
        <v>160.9</v>
      </c>
      <c r="BK76" s="817">
        <f t="shared" si="157"/>
        <v>443</v>
      </c>
      <c r="BL76" s="817">
        <f t="shared" si="157"/>
        <v>706</v>
      </c>
      <c r="BM76" s="753">
        <f t="shared" si="162"/>
        <v>59.4</v>
      </c>
      <c r="BN76" s="817">
        <v>2905</v>
      </c>
      <c r="BO76" s="817">
        <v>7129</v>
      </c>
      <c r="BP76" s="753">
        <f t="shared" si="132"/>
        <v>145.4</v>
      </c>
      <c r="BQ76" s="817">
        <f t="shared" si="158"/>
        <v>144</v>
      </c>
      <c r="BR76" s="817">
        <f t="shared" si="158"/>
        <v>551</v>
      </c>
      <c r="BS76" s="753">
        <f t="shared" si="163"/>
        <v>282.60000000000002</v>
      </c>
      <c r="BT76" s="817">
        <v>3049</v>
      </c>
      <c r="BU76" s="817">
        <v>7680</v>
      </c>
      <c r="BV76" s="753">
        <f t="shared" si="134"/>
        <v>151.9</v>
      </c>
    </row>
    <row r="77" spans="1:74" ht="15" customHeight="1">
      <c r="A77" s="96"/>
      <c r="B77" s="1164"/>
      <c r="C77" s="43" t="s">
        <v>191</v>
      </c>
      <c r="D77" s="44">
        <v>0</v>
      </c>
      <c r="E77" s="44">
        <v>0</v>
      </c>
      <c r="F77" s="44">
        <v>100</v>
      </c>
      <c r="G77" s="44">
        <v>859</v>
      </c>
      <c r="H77" s="44">
        <v>435</v>
      </c>
      <c r="I77" s="44">
        <v>3243</v>
      </c>
      <c r="J77" s="44">
        <v>1022</v>
      </c>
      <c r="K77" s="44">
        <v>2814</v>
      </c>
      <c r="L77" s="383">
        <v>0</v>
      </c>
      <c r="M77" s="383">
        <v>845</v>
      </c>
      <c r="N77" s="177">
        <v>0</v>
      </c>
      <c r="O77" s="383">
        <f t="shared" si="136"/>
        <v>0</v>
      </c>
      <c r="P77" s="383">
        <f t="shared" si="136"/>
        <v>401</v>
      </c>
      <c r="Q77" s="177">
        <v>0</v>
      </c>
      <c r="R77" s="383">
        <v>0</v>
      </c>
      <c r="S77" s="383">
        <v>1246</v>
      </c>
      <c r="T77" s="177">
        <v>0</v>
      </c>
      <c r="U77" s="383">
        <f t="shared" si="139"/>
        <v>200</v>
      </c>
      <c r="V77" s="383">
        <f t="shared" si="140"/>
        <v>249</v>
      </c>
      <c r="W77" s="242">
        <f t="shared" ref="W77:W78" si="164">ROUND(((V77/U77-1)*100), 1)</f>
        <v>24.5</v>
      </c>
      <c r="X77" s="383">
        <v>200</v>
      </c>
      <c r="Y77" s="383">
        <v>1495</v>
      </c>
      <c r="Z77" s="242">
        <f t="shared" ref="Z77" si="165">ROUND(((Y77/X77-1)*100), 1)</f>
        <v>647.5</v>
      </c>
      <c r="AA77" s="527">
        <f t="shared" si="143"/>
        <v>1099</v>
      </c>
      <c r="AB77" s="527">
        <f t="shared" si="144"/>
        <v>246</v>
      </c>
      <c r="AC77" s="242">
        <f t="shared" ref="AC77:AC78" si="166">ROUND(((AB77/AA77-1)*100), 1)</f>
        <v>-77.599999999999994</v>
      </c>
      <c r="AD77" s="527">
        <v>1299</v>
      </c>
      <c r="AE77" s="527">
        <v>1741</v>
      </c>
      <c r="AF77" s="242">
        <f t="shared" ref="AF77" si="167">ROUND(((AE77/AD77-1)*100), 1)</f>
        <v>34</v>
      </c>
      <c r="AG77" s="527">
        <f t="shared" si="147"/>
        <v>400</v>
      </c>
      <c r="AH77" s="527">
        <f t="shared" si="147"/>
        <v>150</v>
      </c>
      <c r="AI77" s="242">
        <f t="shared" ref="AI77" si="168">ROUND(((AH77/AG77-1)*100), 1)</f>
        <v>-62.5</v>
      </c>
      <c r="AJ77" s="527">
        <v>1699</v>
      </c>
      <c r="AK77" s="527">
        <v>1891</v>
      </c>
      <c r="AL77" s="242">
        <f t="shared" ref="AL77" si="169">ROUND(((AK77/AJ77-1)*100), 1)</f>
        <v>11.3</v>
      </c>
      <c r="AM77" s="661">
        <f t="shared" si="150"/>
        <v>246</v>
      </c>
      <c r="AN77" s="661">
        <f t="shared" si="151"/>
        <v>294</v>
      </c>
      <c r="AO77" s="652">
        <f t="shared" si="152"/>
        <v>19.5</v>
      </c>
      <c r="AP77" s="817">
        <v>1945</v>
      </c>
      <c r="AQ77" s="817">
        <v>2185</v>
      </c>
      <c r="AR77" s="652">
        <f t="shared" si="128"/>
        <v>12.3</v>
      </c>
      <c r="AS77" s="817">
        <f t="shared" si="153"/>
        <v>0</v>
      </c>
      <c r="AT77" s="817">
        <f t="shared" si="153"/>
        <v>288</v>
      </c>
      <c r="AU77" s="799">
        <v>0</v>
      </c>
      <c r="AV77" s="969">
        <v>1945</v>
      </c>
      <c r="AW77" s="969">
        <v>2473</v>
      </c>
      <c r="AX77" s="753">
        <f t="shared" si="129"/>
        <v>27.1</v>
      </c>
      <c r="AY77" s="817">
        <f t="shared" si="154"/>
        <v>99</v>
      </c>
      <c r="AZ77" s="817">
        <f t="shared" si="155"/>
        <v>0</v>
      </c>
      <c r="BA77" s="799">
        <v>0</v>
      </c>
      <c r="BB77" s="817">
        <v>2044</v>
      </c>
      <c r="BC77" s="817">
        <v>2473</v>
      </c>
      <c r="BD77" s="753">
        <f t="shared" si="130"/>
        <v>21</v>
      </c>
      <c r="BE77" s="817">
        <f t="shared" si="156"/>
        <v>100</v>
      </c>
      <c r="BF77" s="817">
        <f t="shared" si="156"/>
        <v>191</v>
      </c>
      <c r="BG77" s="753">
        <f t="shared" si="161"/>
        <v>91</v>
      </c>
      <c r="BH77" s="817">
        <v>2144</v>
      </c>
      <c r="BI77" s="817">
        <v>2664</v>
      </c>
      <c r="BJ77" s="753">
        <f t="shared" si="131"/>
        <v>24.3</v>
      </c>
      <c r="BK77" s="817">
        <f t="shared" si="157"/>
        <v>196</v>
      </c>
      <c r="BL77" s="817">
        <f t="shared" si="157"/>
        <v>1026</v>
      </c>
      <c r="BM77" s="753">
        <f t="shared" si="162"/>
        <v>423.5</v>
      </c>
      <c r="BN77" s="817">
        <v>2340</v>
      </c>
      <c r="BO77" s="817">
        <v>3690</v>
      </c>
      <c r="BP77" s="753">
        <f t="shared" si="132"/>
        <v>57.7</v>
      </c>
      <c r="BQ77" s="817">
        <f t="shared" si="158"/>
        <v>254</v>
      </c>
      <c r="BR77" s="817">
        <f t="shared" si="158"/>
        <v>0</v>
      </c>
      <c r="BS77" s="753">
        <f t="shared" si="163"/>
        <v>-100</v>
      </c>
      <c r="BT77" s="817">
        <v>2594</v>
      </c>
      <c r="BU77" s="817">
        <v>3690</v>
      </c>
      <c r="BV77" s="753">
        <f t="shared" si="134"/>
        <v>42.3</v>
      </c>
    </row>
    <row r="78" spans="1:74" ht="15" customHeight="1">
      <c r="A78" s="96"/>
      <c r="B78" s="1164"/>
      <c r="C78" s="43" t="s">
        <v>198</v>
      </c>
      <c r="D78" s="44">
        <v>0</v>
      </c>
      <c r="E78" s="44">
        <v>0</v>
      </c>
      <c r="F78" s="44">
        <v>45</v>
      </c>
      <c r="G78" s="44">
        <v>274</v>
      </c>
      <c r="H78" s="44">
        <v>0</v>
      </c>
      <c r="I78" s="44">
        <v>728</v>
      </c>
      <c r="J78" s="44">
        <v>1926</v>
      </c>
      <c r="K78" s="44">
        <v>2510</v>
      </c>
      <c r="L78" s="383">
        <v>0</v>
      </c>
      <c r="M78" s="383">
        <v>442</v>
      </c>
      <c r="N78" s="177">
        <v>0</v>
      </c>
      <c r="O78" s="383">
        <f t="shared" si="136"/>
        <v>198</v>
      </c>
      <c r="P78" s="383">
        <f t="shared" si="136"/>
        <v>201</v>
      </c>
      <c r="Q78" s="177">
        <v>0</v>
      </c>
      <c r="R78" s="383">
        <v>198</v>
      </c>
      <c r="S78" s="383">
        <v>643</v>
      </c>
      <c r="T78" s="242">
        <f>ROUND(((S78/R78-1)*100), 1)</f>
        <v>224.7</v>
      </c>
      <c r="U78" s="383">
        <f t="shared" si="139"/>
        <v>301</v>
      </c>
      <c r="V78" s="383">
        <f t="shared" si="140"/>
        <v>397</v>
      </c>
      <c r="W78" s="242">
        <f t="shared" si="164"/>
        <v>31.9</v>
      </c>
      <c r="X78" s="383">
        <v>499</v>
      </c>
      <c r="Y78" s="383">
        <v>1040</v>
      </c>
      <c r="Z78" s="242">
        <f>ROUND(((Y78/X78-1)*100), 1)</f>
        <v>108.4</v>
      </c>
      <c r="AA78" s="527">
        <f t="shared" si="143"/>
        <v>353</v>
      </c>
      <c r="AB78" s="527">
        <f t="shared" si="144"/>
        <v>200</v>
      </c>
      <c r="AC78" s="242">
        <f t="shared" si="166"/>
        <v>-43.3</v>
      </c>
      <c r="AD78" s="527">
        <v>852</v>
      </c>
      <c r="AE78" s="527">
        <v>1240</v>
      </c>
      <c r="AF78" s="242">
        <f>ROUND(((AE78/AD78-1)*100), 1)</f>
        <v>45.5</v>
      </c>
      <c r="AG78" s="527">
        <f t="shared" si="147"/>
        <v>0</v>
      </c>
      <c r="AH78" s="527">
        <f t="shared" si="147"/>
        <v>0</v>
      </c>
      <c r="AI78" s="521">
        <v>0</v>
      </c>
      <c r="AJ78" s="527">
        <v>852</v>
      </c>
      <c r="AK78" s="527">
        <v>1240</v>
      </c>
      <c r="AL78" s="242">
        <f>ROUND(((AK78/AJ78-1)*100), 1)</f>
        <v>45.5</v>
      </c>
      <c r="AM78" s="661">
        <f t="shared" si="150"/>
        <v>195</v>
      </c>
      <c r="AN78" s="661">
        <f t="shared" si="151"/>
        <v>0</v>
      </c>
      <c r="AO78" s="753">
        <f t="shared" si="152"/>
        <v>-100</v>
      </c>
      <c r="AP78" s="817">
        <v>1047</v>
      </c>
      <c r="AQ78" s="817">
        <v>1240</v>
      </c>
      <c r="AR78" s="652">
        <f>ROUND(((AQ78/AP78-1)*100), 1)</f>
        <v>18.399999999999999</v>
      </c>
      <c r="AS78" s="817">
        <f t="shared" si="153"/>
        <v>86</v>
      </c>
      <c r="AT78" s="817">
        <f t="shared" si="153"/>
        <v>0</v>
      </c>
      <c r="AU78" s="753">
        <f t="shared" si="159"/>
        <v>-100</v>
      </c>
      <c r="AV78" s="969">
        <v>1133</v>
      </c>
      <c r="AW78" s="969">
        <v>1240</v>
      </c>
      <c r="AX78" s="753">
        <f t="shared" si="129"/>
        <v>9.4</v>
      </c>
      <c r="AY78" s="817">
        <f t="shared" si="154"/>
        <v>0</v>
      </c>
      <c r="AZ78" s="817">
        <f t="shared" si="155"/>
        <v>201</v>
      </c>
      <c r="BA78" s="799">
        <v>0</v>
      </c>
      <c r="BB78" s="817">
        <v>1133</v>
      </c>
      <c r="BC78" s="817">
        <v>1441</v>
      </c>
      <c r="BD78" s="753">
        <f t="shared" si="130"/>
        <v>27.2</v>
      </c>
      <c r="BE78" s="817">
        <f t="shared" si="156"/>
        <v>100</v>
      </c>
      <c r="BF78" s="817">
        <f t="shared" si="156"/>
        <v>200</v>
      </c>
      <c r="BG78" s="753">
        <f t="shared" si="161"/>
        <v>100</v>
      </c>
      <c r="BH78" s="817">
        <v>1233</v>
      </c>
      <c r="BI78" s="817">
        <v>1641</v>
      </c>
      <c r="BJ78" s="753">
        <f t="shared" si="131"/>
        <v>33.1</v>
      </c>
      <c r="BK78" s="817">
        <f t="shared" si="157"/>
        <v>196</v>
      </c>
      <c r="BL78" s="817">
        <f t="shared" si="157"/>
        <v>497</v>
      </c>
      <c r="BM78" s="753">
        <f t="shared" si="162"/>
        <v>153.6</v>
      </c>
      <c r="BN78" s="817">
        <v>1429</v>
      </c>
      <c r="BO78" s="817">
        <v>2138</v>
      </c>
      <c r="BP78" s="753">
        <f t="shared" si="132"/>
        <v>49.6</v>
      </c>
      <c r="BQ78" s="817">
        <f t="shared" si="158"/>
        <v>488</v>
      </c>
      <c r="BR78" s="817">
        <f t="shared" si="158"/>
        <v>401</v>
      </c>
      <c r="BS78" s="753">
        <f t="shared" si="163"/>
        <v>-17.8</v>
      </c>
      <c r="BT78" s="817">
        <v>1917</v>
      </c>
      <c r="BU78" s="817">
        <v>2539</v>
      </c>
      <c r="BV78" s="753">
        <f t="shared" si="134"/>
        <v>32.4</v>
      </c>
    </row>
    <row r="79" spans="1:74" ht="15" customHeight="1">
      <c r="A79" s="96"/>
      <c r="B79" s="1164"/>
      <c r="C79" s="43" t="s">
        <v>184</v>
      </c>
      <c r="D79" s="44">
        <v>13731</v>
      </c>
      <c r="E79" s="44">
        <v>6420</v>
      </c>
      <c r="F79" s="44">
        <v>12056</v>
      </c>
      <c r="G79" s="44">
        <v>10702</v>
      </c>
      <c r="H79" s="44">
        <v>3204</v>
      </c>
      <c r="I79" s="44">
        <v>1437</v>
      </c>
      <c r="J79" s="44">
        <v>1309</v>
      </c>
      <c r="K79" s="44">
        <v>2433</v>
      </c>
      <c r="L79" s="383">
        <v>343</v>
      </c>
      <c r="M79" s="383">
        <v>95</v>
      </c>
      <c r="N79" s="242">
        <f>ROUND(((M79/L79-1)*100), 1)</f>
        <v>-72.3</v>
      </c>
      <c r="O79" s="383">
        <f t="shared" si="136"/>
        <v>97</v>
      </c>
      <c r="P79" s="383">
        <f t="shared" si="136"/>
        <v>147</v>
      </c>
      <c r="Q79" s="242">
        <f>ROUND(((P79/O79-1)*100), 1)</f>
        <v>51.5</v>
      </c>
      <c r="R79" s="383">
        <v>440</v>
      </c>
      <c r="S79" s="383">
        <v>242</v>
      </c>
      <c r="T79" s="242">
        <f>ROUND(((S79/R79-1)*100), 1)</f>
        <v>-45</v>
      </c>
      <c r="U79" s="383">
        <f t="shared" si="139"/>
        <v>255</v>
      </c>
      <c r="V79" s="383">
        <f t="shared" si="140"/>
        <v>96</v>
      </c>
      <c r="W79" s="242">
        <f>ROUND(((V79/U79-1)*100), 1)</f>
        <v>-62.4</v>
      </c>
      <c r="X79" s="383">
        <v>695</v>
      </c>
      <c r="Y79" s="383">
        <v>338</v>
      </c>
      <c r="Z79" s="242">
        <f>ROUND(((Y79/X79-1)*100), 1)</f>
        <v>-51.4</v>
      </c>
      <c r="AA79" s="527">
        <f t="shared" si="143"/>
        <v>185</v>
      </c>
      <c r="AB79" s="527">
        <f t="shared" si="144"/>
        <v>193</v>
      </c>
      <c r="AC79" s="242">
        <f>ROUND(((AB79/AA79-1)*100), 1)</f>
        <v>4.3</v>
      </c>
      <c r="AD79" s="527">
        <v>880</v>
      </c>
      <c r="AE79" s="527">
        <v>531</v>
      </c>
      <c r="AF79" s="242">
        <f>ROUND(((AE79/AD79-1)*100), 1)</f>
        <v>-39.700000000000003</v>
      </c>
      <c r="AG79" s="527">
        <f t="shared" si="147"/>
        <v>93</v>
      </c>
      <c r="AH79" s="527">
        <f t="shared" si="147"/>
        <v>223</v>
      </c>
      <c r="AI79" s="242">
        <f>ROUND(((AH79/AG79-1)*100), 1)</f>
        <v>139.80000000000001</v>
      </c>
      <c r="AJ79" s="527">
        <v>973</v>
      </c>
      <c r="AK79" s="527">
        <v>754</v>
      </c>
      <c r="AL79" s="242">
        <f>ROUND(((AK79/AJ79-1)*100), 1)</f>
        <v>-22.5</v>
      </c>
      <c r="AM79" s="661">
        <f t="shared" si="150"/>
        <v>342</v>
      </c>
      <c r="AN79" s="661">
        <f t="shared" si="151"/>
        <v>125</v>
      </c>
      <c r="AO79" s="652">
        <f>ROUND(((AN79/AM79-1)*100), 1)</f>
        <v>-63.5</v>
      </c>
      <c r="AP79" s="817">
        <v>1315</v>
      </c>
      <c r="AQ79" s="817">
        <v>879</v>
      </c>
      <c r="AR79" s="652">
        <f>ROUND(((AQ79/AP79-1)*100), 1)</f>
        <v>-33.200000000000003</v>
      </c>
      <c r="AS79" s="817">
        <f t="shared" si="153"/>
        <v>188</v>
      </c>
      <c r="AT79" s="817">
        <f t="shared" si="153"/>
        <v>173</v>
      </c>
      <c r="AU79" s="753">
        <f t="shared" si="159"/>
        <v>-8</v>
      </c>
      <c r="AV79" s="969">
        <v>1503</v>
      </c>
      <c r="AW79" s="969">
        <v>1052</v>
      </c>
      <c r="AX79" s="753">
        <f t="shared" si="129"/>
        <v>-30</v>
      </c>
      <c r="AY79" s="817">
        <f t="shared" si="154"/>
        <v>443</v>
      </c>
      <c r="AZ79" s="817">
        <f t="shared" si="155"/>
        <v>98</v>
      </c>
      <c r="BA79" s="753">
        <f t="shared" ref="BA79:BA80" si="170">ROUND(((AZ79/AY79-1)*100), 1)</f>
        <v>-77.900000000000006</v>
      </c>
      <c r="BB79" s="817">
        <v>1946</v>
      </c>
      <c r="BC79" s="817">
        <v>1150</v>
      </c>
      <c r="BD79" s="753">
        <f t="shared" si="130"/>
        <v>-40.9</v>
      </c>
      <c r="BE79" s="817">
        <f t="shared" si="156"/>
        <v>200</v>
      </c>
      <c r="BF79" s="817">
        <f t="shared" si="156"/>
        <v>304</v>
      </c>
      <c r="BG79" s="753">
        <f t="shared" si="161"/>
        <v>52</v>
      </c>
      <c r="BH79" s="817">
        <v>2146</v>
      </c>
      <c r="BI79" s="817">
        <v>1454</v>
      </c>
      <c r="BJ79" s="753">
        <f t="shared" si="131"/>
        <v>-32.200000000000003</v>
      </c>
      <c r="BK79" s="817">
        <f t="shared" si="157"/>
        <v>96</v>
      </c>
      <c r="BL79" s="817">
        <f t="shared" si="157"/>
        <v>195</v>
      </c>
      <c r="BM79" s="753">
        <f t="shared" si="162"/>
        <v>103.1</v>
      </c>
      <c r="BN79" s="817">
        <v>2242</v>
      </c>
      <c r="BO79" s="817">
        <v>1649</v>
      </c>
      <c r="BP79" s="753">
        <f t="shared" si="132"/>
        <v>-26.4</v>
      </c>
      <c r="BQ79" s="817">
        <f t="shared" si="158"/>
        <v>95</v>
      </c>
      <c r="BR79" s="817">
        <f t="shared" si="158"/>
        <v>181</v>
      </c>
      <c r="BS79" s="753">
        <f t="shared" si="163"/>
        <v>90.5</v>
      </c>
      <c r="BT79" s="817">
        <v>2337</v>
      </c>
      <c r="BU79" s="817">
        <v>1830</v>
      </c>
      <c r="BV79" s="753">
        <f t="shared" si="134"/>
        <v>-21.7</v>
      </c>
    </row>
    <row r="80" spans="1:74" ht="15" customHeight="1">
      <c r="A80" s="96"/>
      <c r="B80" s="1164"/>
      <c r="C80" s="43" t="s">
        <v>183</v>
      </c>
      <c r="D80" s="44">
        <v>2155</v>
      </c>
      <c r="E80" s="44">
        <v>4024</v>
      </c>
      <c r="F80" s="44">
        <v>8159</v>
      </c>
      <c r="G80" s="44">
        <v>9873</v>
      </c>
      <c r="H80" s="44">
        <v>6835</v>
      </c>
      <c r="I80" s="44">
        <v>3156</v>
      </c>
      <c r="J80" s="44">
        <v>3240</v>
      </c>
      <c r="K80" s="44">
        <v>1796</v>
      </c>
      <c r="L80" s="383">
        <v>289</v>
      </c>
      <c r="M80" s="383">
        <v>0</v>
      </c>
      <c r="N80" s="242">
        <f>ROUND(((M80/L80-1)*100), 1)</f>
        <v>-100</v>
      </c>
      <c r="O80" s="383">
        <f t="shared" si="136"/>
        <v>251</v>
      </c>
      <c r="P80" s="383">
        <f t="shared" si="136"/>
        <v>0</v>
      </c>
      <c r="Q80" s="242">
        <f>ROUND(((P80/O80-1)*100), 1)</f>
        <v>-100</v>
      </c>
      <c r="R80" s="383">
        <v>540</v>
      </c>
      <c r="S80" s="383">
        <v>0</v>
      </c>
      <c r="T80" s="242">
        <f>ROUND(((S80/R80-1)*100), 1)</f>
        <v>-100</v>
      </c>
      <c r="U80" s="383">
        <f t="shared" si="139"/>
        <v>0</v>
      </c>
      <c r="V80" s="383">
        <f t="shared" si="140"/>
        <v>0</v>
      </c>
      <c r="W80" s="177">
        <v>0</v>
      </c>
      <c r="X80" s="383">
        <v>540</v>
      </c>
      <c r="Y80" s="383">
        <v>0</v>
      </c>
      <c r="Z80" s="242">
        <f>ROUND(((Y80/X80-1)*100), 1)</f>
        <v>-100</v>
      </c>
      <c r="AA80" s="527">
        <f t="shared" si="143"/>
        <v>343</v>
      </c>
      <c r="AB80" s="527">
        <f t="shared" si="144"/>
        <v>0</v>
      </c>
      <c r="AC80" s="242">
        <f t="shared" ref="AC80:AC81" si="171">ROUND(((AB80/AA80-1)*100), 1)</f>
        <v>-100</v>
      </c>
      <c r="AD80" s="527">
        <v>883</v>
      </c>
      <c r="AE80" s="527">
        <v>0</v>
      </c>
      <c r="AF80" s="242">
        <f>ROUND(((AE80/AD80-1)*100), 1)</f>
        <v>-100</v>
      </c>
      <c r="AG80" s="527">
        <f t="shared" si="147"/>
        <v>150</v>
      </c>
      <c r="AH80" s="527">
        <f t="shared" si="147"/>
        <v>0</v>
      </c>
      <c r="AI80" s="242">
        <f t="shared" ref="AI80:AI84" si="172">ROUND(((AH80/AG80-1)*100), 1)</f>
        <v>-100</v>
      </c>
      <c r="AJ80" s="527">
        <v>1033</v>
      </c>
      <c r="AK80" s="527">
        <v>0</v>
      </c>
      <c r="AL80" s="242">
        <f>ROUND(((AK80/AJ80-1)*100), 1)</f>
        <v>-100</v>
      </c>
      <c r="AM80" s="661">
        <f t="shared" si="150"/>
        <v>145</v>
      </c>
      <c r="AN80" s="661">
        <f t="shared" si="151"/>
        <v>0</v>
      </c>
      <c r="AO80" s="652">
        <f t="shared" ref="AO80" si="173">ROUND(((AN80/AM80-1)*100), 1)</f>
        <v>-100</v>
      </c>
      <c r="AP80" s="817">
        <v>1178</v>
      </c>
      <c r="AQ80" s="817">
        <v>0</v>
      </c>
      <c r="AR80" s="652">
        <f>ROUND(((AQ80/AP80-1)*100), 1)</f>
        <v>-100</v>
      </c>
      <c r="AS80" s="817">
        <f t="shared" si="153"/>
        <v>171</v>
      </c>
      <c r="AT80" s="817">
        <f t="shared" si="153"/>
        <v>0</v>
      </c>
      <c r="AU80" s="753">
        <f t="shared" si="159"/>
        <v>-100</v>
      </c>
      <c r="AV80" s="969">
        <v>1349</v>
      </c>
      <c r="AW80" s="969">
        <v>0</v>
      </c>
      <c r="AX80" s="753">
        <f t="shared" si="129"/>
        <v>-100</v>
      </c>
      <c r="AY80" s="817">
        <f t="shared" si="154"/>
        <v>126</v>
      </c>
      <c r="AZ80" s="817">
        <f t="shared" si="155"/>
        <v>100</v>
      </c>
      <c r="BA80" s="753">
        <f t="shared" si="170"/>
        <v>-20.6</v>
      </c>
      <c r="BB80" s="817">
        <v>1475</v>
      </c>
      <c r="BC80" s="817">
        <v>100</v>
      </c>
      <c r="BD80" s="753">
        <f t="shared" si="130"/>
        <v>-93.2</v>
      </c>
      <c r="BE80" s="817">
        <f t="shared" si="156"/>
        <v>0</v>
      </c>
      <c r="BF80" s="817">
        <f t="shared" si="156"/>
        <v>0</v>
      </c>
      <c r="BG80" s="799">
        <v>0</v>
      </c>
      <c r="BH80" s="817">
        <v>1475</v>
      </c>
      <c r="BI80" s="817">
        <v>100</v>
      </c>
      <c r="BJ80" s="753">
        <f t="shared" si="131"/>
        <v>-93.2</v>
      </c>
      <c r="BK80" s="817">
        <f t="shared" si="157"/>
        <v>74</v>
      </c>
      <c r="BL80" s="817">
        <f t="shared" si="157"/>
        <v>0</v>
      </c>
      <c r="BM80" s="753">
        <f>ROUND(((BL80/BK80-1)*100), 1)</f>
        <v>-100</v>
      </c>
      <c r="BN80" s="817">
        <v>1549</v>
      </c>
      <c r="BO80" s="817">
        <v>100</v>
      </c>
      <c r="BP80" s="753">
        <f t="shared" si="132"/>
        <v>-93.5</v>
      </c>
      <c r="BQ80" s="817">
        <f t="shared" si="158"/>
        <v>0</v>
      </c>
      <c r="BR80" s="817">
        <f t="shared" si="158"/>
        <v>0</v>
      </c>
      <c r="BS80" s="799">
        <v>0</v>
      </c>
      <c r="BT80" s="817">
        <v>1549</v>
      </c>
      <c r="BU80" s="817">
        <v>100</v>
      </c>
      <c r="BV80" s="753">
        <f t="shared" si="134"/>
        <v>-93.5</v>
      </c>
    </row>
    <row r="81" spans="1:74" ht="15" customHeight="1">
      <c r="A81" s="96"/>
      <c r="B81" s="1164"/>
      <c r="C81" s="43" t="s">
        <v>195</v>
      </c>
      <c r="D81" s="44">
        <v>1112</v>
      </c>
      <c r="E81" s="44">
        <v>1778</v>
      </c>
      <c r="F81" s="44">
        <v>3700</v>
      </c>
      <c r="G81" s="44">
        <v>3851</v>
      </c>
      <c r="H81" s="44">
        <v>650</v>
      </c>
      <c r="I81" s="44">
        <v>1622</v>
      </c>
      <c r="J81" s="44">
        <v>197</v>
      </c>
      <c r="K81" s="44">
        <v>934</v>
      </c>
      <c r="L81" s="383">
        <v>0</v>
      </c>
      <c r="M81" s="383">
        <v>99</v>
      </c>
      <c r="N81" s="177">
        <v>0</v>
      </c>
      <c r="O81" s="383">
        <f t="shared" si="136"/>
        <v>0</v>
      </c>
      <c r="P81" s="383">
        <f t="shared" si="136"/>
        <v>123</v>
      </c>
      <c r="Q81" s="177">
        <v>0</v>
      </c>
      <c r="R81" s="383">
        <v>0</v>
      </c>
      <c r="S81" s="383">
        <v>222</v>
      </c>
      <c r="T81" s="177">
        <v>0</v>
      </c>
      <c r="U81" s="383">
        <f t="shared" si="139"/>
        <v>0</v>
      </c>
      <c r="V81" s="383">
        <f t="shared" si="140"/>
        <v>516</v>
      </c>
      <c r="W81" s="177">
        <v>0</v>
      </c>
      <c r="X81" s="383">
        <v>0</v>
      </c>
      <c r="Y81" s="383">
        <v>738</v>
      </c>
      <c r="Z81" s="177">
        <v>0</v>
      </c>
      <c r="AA81" s="527">
        <f t="shared" si="143"/>
        <v>99</v>
      </c>
      <c r="AB81" s="527">
        <f t="shared" si="144"/>
        <v>266</v>
      </c>
      <c r="AC81" s="242">
        <f t="shared" si="171"/>
        <v>168.7</v>
      </c>
      <c r="AD81" s="527">
        <v>99</v>
      </c>
      <c r="AE81" s="527">
        <v>1004</v>
      </c>
      <c r="AF81" s="242">
        <f t="shared" ref="AF81" si="174">ROUND(((AE81/AD81-1)*100), 1)</f>
        <v>914.1</v>
      </c>
      <c r="AG81" s="527">
        <f t="shared" si="147"/>
        <v>0</v>
      </c>
      <c r="AH81" s="527">
        <f t="shared" si="147"/>
        <v>0</v>
      </c>
      <c r="AI81" s="521">
        <v>0</v>
      </c>
      <c r="AJ81" s="527">
        <v>99</v>
      </c>
      <c r="AK81" s="527">
        <v>1004</v>
      </c>
      <c r="AL81" s="242">
        <f t="shared" ref="AL81:AL84" si="175">ROUND(((AK81/AJ81-1)*100), 1)</f>
        <v>914.1</v>
      </c>
      <c r="AM81" s="661">
        <f t="shared" si="150"/>
        <v>0</v>
      </c>
      <c r="AN81" s="661">
        <f t="shared" si="151"/>
        <v>0</v>
      </c>
      <c r="AO81" s="647">
        <v>0</v>
      </c>
      <c r="AP81" s="817">
        <v>99</v>
      </c>
      <c r="AQ81" s="817">
        <v>1004</v>
      </c>
      <c r="AR81" s="652">
        <f t="shared" ref="AR81:AR84" si="176">ROUND(((AQ81/AP81-1)*100), 1)</f>
        <v>914.1</v>
      </c>
      <c r="AS81" s="817">
        <f t="shared" si="153"/>
        <v>98</v>
      </c>
      <c r="AT81" s="817">
        <f t="shared" si="153"/>
        <v>99</v>
      </c>
      <c r="AU81" s="753">
        <f>ROUND(((AT81/AS81-1)*100), 1)</f>
        <v>1</v>
      </c>
      <c r="AV81" s="969">
        <v>197</v>
      </c>
      <c r="AW81" s="969">
        <v>1103</v>
      </c>
      <c r="AX81" s="753">
        <f t="shared" si="129"/>
        <v>459.9</v>
      </c>
      <c r="AY81" s="817">
        <f t="shared" si="154"/>
        <v>0</v>
      </c>
      <c r="AZ81" s="817">
        <f t="shared" si="155"/>
        <v>0</v>
      </c>
      <c r="BA81" s="799">
        <v>0</v>
      </c>
      <c r="BB81" s="817">
        <v>197</v>
      </c>
      <c r="BC81" s="817">
        <v>1103</v>
      </c>
      <c r="BD81" s="753">
        <f t="shared" si="130"/>
        <v>459.9</v>
      </c>
      <c r="BE81" s="817">
        <f t="shared" si="156"/>
        <v>98</v>
      </c>
      <c r="BF81" s="817">
        <f t="shared" si="156"/>
        <v>0</v>
      </c>
      <c r="BG81" s="753">
        <f t="shared" si="161"/>
        <v>-100</v>
      </c>
      <c r="BH81" s="817">
        <v>295</v>
      </c>
      <c r="BI81" s="817">
        <v>1103</v>
      </c>
      <c r="BJ81" s="753">
        <f t="shared" si="131"/>
        <v>273.89999999999998</v>
      </c>
      <c r="BK81" s="817">
        <f t="shared" si="157"/>
        <v>467</v>
      </c>
      <c r="BL81" s="817">
        <f t="shared" si="157"/>
        <v>0</v>
      </c>
      <c r="BM81" s="753">
        <f t="shared" ref="BM81:BM82" si="177">ROUND(((BL81/BK81-1)*100), 1)</f>
        <v>-100</v>
      </c>
      <c r="BN81" s="817">
        <v>762</v>
      </c>
      <c r="BO81" s="817">
        <v>1103</v>
      </c>
      <c r="BP81" s="753">
        <f t="shared" si="132"/>
        <v>44.8</v>
      </c>
      <c r="BQ81" s="817">
        <f t="shared" si="158"/>
        <v>172</v>
      </c>
      <c r="BR81" s="817">
        <f t="shared" si="158"/>
        <v>0</v>
      </c>
      <c r="BS81" s="753">
        <f t="shared" si="163"/>
        <v>-100</v>
      </c>
      <c r="BT81" s="817">
        <v>934</v>
      </c>
      <c r="BU81" s="817">
        <v>1103</v>
      </c>
      <c r="BV81" s="753">
        <f t="shared" si="134"/>
        <v>18.100000000000001</v>
      </c>
    </row>
    <row r="82" spans="1:74" ht="15" customHeight="1">
      <c r="A82" s="96"/>
      <c r="B82" s="1164"/>
      <c r="C82" s="43" t="s">
        <v>192</v>
      </c>
      <c r="D82" s="44">
        <v>370</v>
      </c>
      <c r="E82" s="44">
        <v>865</v>
      </c>
      <c r="F82" s="44">
        <v>596</v>
      </c>
      <c r="G82" s="44">
        <v>709</v>
      </c>
      <c r="H82" s="44">
        <v>1117</v>
      </c>
      <c r="I82" s="44">
        <v>3432</v>
      </c>
      <c r="J82" s="44">
        <v>2575</v>
      </c>
      <c r="K82" s="44">
        <v>868</v>
      </c>
      <c r="L82" s="383">
        <v>0</v>
      </c>
      <c r="M82" s="383">
        <v>0</v>
      </c>
      <c r="N82" s="177">
        <v>0</v>
      </c>
      <c r="O82" s="383">
        <f t="shared" si="136"/>
        <v>0</v>
      </c>
      <c r="P82" s="383">
        <f t="shared" si="136"/>
        <v>0</v>
      </c>
      <c r="Q82" s="177">
        <v>0</v>
      </c>
      <c r="R82" s="383">
        <v>0</v>
      </c>
      <c r="S82" s="383">
        <v>0</v>
      </c>
      <c r="T82" s="177">
        <v>0</v>
      </c>
      <c r="U82" s="383">
        <f t="shared" si="139"/>
        <v>140</v>
      </c>
      <c r="V82" s="383">
        <f t="shared" si="140"/>
        <v>0</v>
      </c>
      <c r="W82" s="242">
        <f t="shared" ref="W82:W84" si="178">ROUND(((V82/U82-1)*100), 1)</f>
        <v>-100</v>
      </c>
      <c r="X82" s="383">
        <v>140</v>
      </c>
      <c r="Y82" s="383">
        <v>0</v>
      </c>
      <c r="Z82" s="242">
        <f t="shared" ref="Z82:Z84" si="179">ROUND(((Y82/X82-1)*100), 1)</f>
        <v>-100</v>
      </c>
      <c r="AA82" s="527">
        <f t="shared" si="143"/>
        <v>263</v>
      </c>
      <c r="AB82" s="527">
        <f t="shared" si="144"/>
        <v>0</v>
      </c>
      <c r="AC82" s="242">
        <f t="shared" ref="AC82:AC84" si="180">ROUND(((AB82/AA82-1)*100), 1)</f>
        <v>-100</v>
      </c>
      <c r="AD82" s="527">
        <v>403</v>
      </c>
      <c r="AE82" s="527">
        <v>0</v>
      </c>
      <c r="AF82" s="242">
        <f t="shared" ref="AF82:AF84" si="181">ROUND(((AE82/AD82-1)*100), 1)</f>
        <v>-100</v>
      </c>
      <c r="AG82" s="527">
        <f t="shared" si="147"/>
        <v>124</v>
      </c>
      <c r="AH82" s="527">
        <f t="shared" si="147"/>
        <v>0</v>
      </c>
      <c r="AI82" s="242">
        <f t="shared" si="172"/>
        <v>-100</v>
      </c>
      <c r="AJ82" s="527">
        <v>527</v>
      </c>
      <c r="AK82" s="527">
        <v>0</v>
      </c>
      <c r="AL82" s="242">
        <f t="shared" si="175"/>
        <v>-100</v>
      </c>
      <c r="AM82" s="661">
        <f t="shared" si="150"/>
        <v>0</v>
      </c>
      <c r="AN82" s="661">
        <f t="shared" si="151"/>
        <v>0</v>
      </c>
      <c r="AO82" s="799">
        <v>0</v>
      </c>
      <c r="AP82" s="817">
        <v>527</v>
      </c>
      <c r="AQ82" s="817">
        <v>0</v>
      </c>
      <c r="AR82" s="652">
        <f t="shared" si="176"/>
        <v>-100</v>
      </c>
      <c r="AS82" s="817">
        <f t="shared" si="153"/>
        <v>99</v>
      </c>
      <c r="AT82" s="817">
        <f t="shared" si="153"/>
        <v>47</v>
      </c>
      <c r="AU82" s="753">
        <f>ROUND(((AT82/AS82-1)*100), 1)</f>
        <v>-52.5</v>
      </c>
      <c r="AV82" s="969">
        <v>626</v>
      </c>
      <c r="AW82" s="969">
        <v>47</v>
      </c>
      <c r="AX82" s="753">
        <f t="shared" si="129"/>
        <v>-92.5</v>
      </c>
      <c r="AY82" s="817">
        <f t="shared" si="154"/>
        <v>0</v>
      </c>
      <c r="AZ82" s="817">
        <f t="shared" si="155"/>
        <v>0</v>
      </c>
      <c r="BA82" s="799">
        <v>0</v>
      </c>
      <c r="BB82" s="817">
        <v>626</v>
      </c>
      <c r="BC82" s="817">
        <v>47</v>
      </c>
      <c r="BD82" s="753">
        <f t="shared" si="130"/>
        <v>-92.5</v>
      </c>
      <c r="BE82" s="817">
        <f t="shared" si="156"/>
        <v>143</v>
      </c>
      <c r="BF82" s="817">
        <f t="shared" si="156"/>
        <v>0</v>
      </c>
      <c r="BG82" s="753">
        <f t="shared" si="161"/>
        <v>-100</v>
      </c>
      <c r="BH82" s="817">
        <v>769</v>
      </c>
      <c r="BI82" s="817">
        <v>47</v>
      </c>
      <c r="BJ82" s="753">
        <f t="shared" si="131"/>
        <v>-93.9</v>
      </c>
      <c r="BK82" s="817">
        <f t="shared" si="157"/>
        <v>99</v>
      </c>
      <c r="BL82" s="817">
        <f t="shared" si="157"/>
        <v>0</v>
      </c>
      <c r="BM82" s="753">
        <f t="shared" si="177"/>
        <v>-100</v>
      </c>
      <c r="BN82" s="817">
        <v>868</v>
      </c>
      <c r="BO82" s="817">
        <v>47</v>
      </c>
      <c r="BP82" s="753">
        <f t="shared" si="132"/>
        <v>-94.6</v>
      </c>
      <c r="BQ82" s="817">
        <f t="shared" si="158"/>
        <v>0</v>
      </c>
      <c r="BR82" s="817">
        <f t="shared" si="158"/>
        <v>50</v>
      </c>
      <c r="BS82" s="799">
        <v>0</v>
      </c>
      <c r="BT82" s="817">
        <v>868</v>
      </c>
      <c r="BU82" s="817">
        <v>97</v>
      </c>
      <c r="BV82" s="753">
        <f t="shared" si="134"/>
        <v>-88.8</v>
      </c>
    </row>
    <row r="83" spans="1:74" ht="15" customHeight="1">
      <c r="A83" s="96"/>
      <c r="B83" s="1164"/>
      <c r="C83" s="43" t="s">
        <v>166</v>
      </c>
      <c r="D83" s="44">
        <v>0</v>
      </c>
      <c r="E83" s="44">
        <v>3420</v>
      </c>
      <c r="F83" s="44">
        <v>1345</v>
      </c>
      <c r="G83" s="44">
        <v>2188</v>
      </c>
      <c r="H83" s="44">
        <v>681</v>
      </c>
      <c r="I83" s="44">
        <v>1168</v>
      </c>
      <c r="J83" s="44">
        <v>100</v>
      </c>
      <c r="K83" s="44">
        <v>814</v>
      </c>
      <c r="L83" s="383">
        <v>0</v>
      </c>
      <c r="M83" s="383">
        <v>0</v>
      </c>
      <c r="N83" s="177">
        <v>0</v>
      </c>
      <c r="O83" s="383">
        <f t="shared" si="136"/>
        <v>0</v>
      </c>
      <c r="P83" s="383">
        <f t="shared" si="136"/>
        <v>0</v>
      </c>
      <c r="Q83" s="177">
        <v>0</v>
      </c>
      <c r="R83" s="383">
        <v>0</v>
      </c>
      <c r="S83" s="383">
        <v>0</v>
      </c>
      <c r="T83" s="177">
        <v>0</v>
      </c>
      <c r="U83" s="383">
        <f t="shared" si="139"/>
        <v>97</v>
      </c>
      <c r="V83" s="383">
        <f t="shared" si="140"/>
        <v>0</v>
      </c>
      <c r="W83" s="242">
        <f t="shared" si="178"/>
        <v>-100</v>
      </c>
      <c r="X83" s="383">
        <v>97</v>
      </c>
      <c r="Y83" s="383">
        <v>0</v>
      </c>
      <c r="Z83" s="242">
        <f t="shared" si="179"/>
        <v>-100</v>
      </c>
      <c r="AA83" s="527">
        <f t="shared" si="143"/>
        <v>0</v>
      </c>
      <c r="AB83" s="527">
        <f t="shared" si="144"/>
        <v>0</v>
      </c>
      <c r="AC83" s="521">
        <v>0</v>
      </c>
      <c r="AD83" s="527">
        <v>97</v>
      </c>
      <c r="AE83" s="527">
        <v>0</v>
      </c>
      <c r="AF83" s="242">
        <f t="shared" si="181"/>
        <v>-100</v>
      </c>
      <c r="AG83" s="527">
        <f t="shared" si="147"/>
        <v>43</v>
      </c>
      <c r="AH83" s="527">
        <f t="shared" si="147"/>
        <v>0</v>
      </c>
      <c r="AI83" s="242">
        <f t="shared" si="172"/>
        <v>-100</v>
      </c>
      <c r="AJ83" s="527">
        <v>140</v>
      </c>
      <c r="AK83" s="527">
        <v>0</v>
      </c>
      <c r="AL83" s="242">
        <f t="shared" si="175"/>
        <v>-100</v>
      </c>
      <c r="AM83" s="661">
        <f t="shared" si="150"/>
        <v>261</v>
      </c>
      <c r="AN83" s="661">
        <f t="shared" si="151"/>
        <v>0</v>
      </c>
      <c r="AO83" s="652">
        <f t="shared" ref="AO83:AO84" si="182">ROUND(((AN83/AM83-1)*100), 1)</f>
        <v>-100</v>
      </c>
      <c r="AP83" s="817">
        <v>401</v>
      </c>
      <c r="AQ83" s="817">
        <v>0</v>
      </c>
      <c r="AR83" s="652">
        <f t="shared" si="176"/>
        <v>-100</v>
      </c>
      <c r="AS83" s="817">
        <f t="shared" si="153"/>
        <v>99</v>
      </c>
      <c r="AT83" s="817">
        <f t="shared" si="153"/>
        <v>0</v>
      </c>
      <c r="AU83" s="753">
        <f>ROUND(((AT83/AS83-1)*100), 1)</f>
        <v>-100</v>
      </c>
      <c r="AV83" s="969">
        <v>500</v>
      </c>
      <c r="AW83" s="969">
        <v>0</v>
      </c>
      <c r="AX83" s="753">
        <f t="shared" si="129"/>
        <v>-100</v>
      </c>
      <c r="AY83" s="817">
        <f t="shared" si="154"/>
        <v>172</v>
      </c>
      <c r="AZ83" s="817">
        <f t="shared" si="155"/>
        <v>0</v>
      </c>
      <c r="BA83" s="753">
        <f>ROUND(((AZ83/AY83-1)*100), 1)</f>
        <v>-100</v>
      </c>
      <c r="BB83" s="817">
        <v>672</v>
      </c>
      <c r="BC83" s="817">
        <v>0</v>
      </c>
      <c r="BD83" s="753">
        <f t="shared" si="130"/>
        <v>-100</v>
      </c>
      <c r="BE83" s="817">
        <f t="shared" si="156"/>
        <v>48</v>
      </c>
      <c r="BF83" s="817">
        <f t="shared" si="156"/>
        <v>99</v>
      </c>
      <c r="BG83" s="753">
        <f>ROUND(((BF83/BE83-1)*100), 1)</f>
        <v>106.3</v>
      </c>
      <c r="BH83" s="817">
        <v>720</v>
      </c>
      <c r="BI83" s="817">
        <v>99</v>
      </c>
      <c r="BJ83" s="753">
        <f t="shared" si="131"/>
        <v>-86.3</v>
      </c>
      <c r="BK83" s="817">
        <f t="shared" si="157"/>
        <v>47</v>
      </c>
      <c r="BL83" s="817">
        <f t="shared" si="157"/>
        <v>0</v>
      </c>
      <c r="BM83" s="753">
        <f>ROUND(((BL83/BK83-1)*100), 1)</f>
        <v>-100</v>
      </c>
      <c r="BN83" s="817">
        <v>767</v>
      </c>
      <c r="BO83" s="817">
        <v>99</v>
      </c>
      <c r="BP83" s="753">
        <f t="shared" si="132"/>
        <v>-87.1</v>
      </c>
      <c r="BQ83" s="817">
        <f t="shared" si="158"/>
        <v>0</v>
      </c>
      <c r="BR83" s="817">
        <f t="shared" si="158"/>
        <v>0</v>
      </c>
      <c r="BS83" s="799">
        <v>0</v>
      </c>
      <c r="BT83" s="817">
        <v>767</v>
      </c>
      <c r="BU83" s="817">
        <v>99</v>
      </c>
      <c r="BV83" s="753">
        <f t="shared" si="134"/>
        <v>-87.1</v>
      </c>
    </row>
    <row r="84" spans="1:74" s="291" customFormat="1" ht="15" customHeight="1">
      <c r="A84" s="434"/>
      <c r="B84" s="1164"/>
      <c r="C84" s="43" t="s">
        <v>471</v>
      </c>
      <c r="D84" s="44">
        <v>370</v>
      </c>
      <c r="E84" s="44">
        <v>508</v>
      </c>
      <c r="F84" s="44">
        <v>4938</v>
      </c>
      <c r="G84" s="44">
        <v>0</v>
      </c>
      <c r="H84" s="44">
        <v>149</v>
      </c>
      <c r="I84" s="44">
        <v>214</v>
      </c>
      <c r="J84" s="44">
        <v>1194</v>
      </c>
      <c r="K84" s="44">
        <v>772</v>
      </c>
      <c r="L84" s="383">
        <v>0</v>
      </c>
      <c r="M84" s="383">
        <v>5</v>
      </c>
      <c r="N84" s="177">
        <v>0</v>
      </c>
      <c r="O84" s="383">
        <f t="shared" si="136"/>
        <v>0</v>
      </c>
      <c r="P84" s="383">
        <f t="shared" si="136"/>
        <v>0</v>
      </c>
      <c r="Q84" s="177">
        <v>0</v>
      </c>
      <c r="R84" s="383">
        <v>0</v>
      </c>
      <c r="S84" s="383">
        <v>5</v>
      </c>
      <c r="T84" s="177">
        <v>0</v>
      </c>
      <c r="U84" s="383">
        <f t="shared" si="139"/>
        <v>18</v>
      </c>
      <c r="V84" s="383">
        <f t="shared" si="140"/>
        <v>21</v>
      </c>
      <c r="W84" s="242">
        <f t="shared" si="178"/>
        <v>16.7</v>
      </c>
      <c r="X84" s="383">
        <v>18</v>
      </c>
      <c r="Y84" s="383">
        <v>26</v>
      </c>
      <c r="Z84" s="242">
        <f t="shared" si="179"/>
        <v>44.4</v>
      </c>
      <c r="AA84" s="527">
        <f t="shared" si="143"/>
        <v>21</v>
      </c>
      <c r="AB84" s="527">
        <f t="shared" si="144"/>
        <v>0</v>
      </c>
      <c r="AC84" s="242">
        <f t="shared" si="180"/>
        <v>-100</v>
      </c>
      <c r="AD84" s="527">
        <v>39</v>
      </c>
      <c r="AE84" s="527">
        <v>26</v>
      </c>
      <c r="AF84" s="242">
        <f t="shared" si="181"/>
        <v>-33.299999999999997</v>
      </c>
      <c r="AG84" s="527">
        <f t="shared" si="147"/>
        <v>604</v>
      </c>
      <c r="AH84" s="527">
        <f t="shared" si="147"/>
        <v>22</v>
      </c>
      <c r="AI84" s="242">
        <f t="shared" si="172"/>
        <v>-96.4</v>
      </c>
      <c r="AJ84" s="527">
        <v>643</v>
      </c>
      <c r="AK84" s="527">
        <v>48</v>
      </c>
      <c r="AL84" s="242">
        <f t="shared" si="175"/>
        <v>-92.5</v>
      </c>
      <c r="AM84" s="661">
        <f t="shared" si="150"/>
        <v>53</v>
      </c>
      <c r="AN84" s="661">
        <f t="shared" si="151"/>
        <v>0</v>
      </c>
      <c r="AO84" s="652">
        <f t="shared" si="182"/>
        <v>-100</v>
      </c>
      <c r="AP84" s="817">
        <v>696</v>
      </c>
      <c r="AQ84" s="817">
        <v>48</v>
      </c>
      <c r="AR84" s="652">
        <f t="shared" si="176"/>
        <v>-93.1</v>
      </c>
      <c r="AS84" s="817">
        <f t="shared" si="153"/>
        <v>26</v>
      </c>
      <c r="AT84" s="817">
        <f t="shared" si="153"/>
        <v>19</v>
      </c>
      <c r="AU84" s="753">
        <f>ROUND(((AT84/AS84-1)*100), 1)</f>
        <v>-26.9</v>
      </c>
      <c r="AV84" s="969">
        <v>722</v>
      </c>
      <c r="AW84" s="969">
        <v>67</v>
      </c>
      <c r="AX84" s="753">
        <f t="shared" si="129"/>
        <v>-90.7</v>
      </c>
      <c r="AY84" s="817">
        <f t="shared" si="154"/>
        <v>5</v>
      </c>
      <c r="AZ84" s="817">
        <f t="shared" si="155"/>
        <v>42</v>
      </c>
      <c r="BA84" s="753">
        <f>ROUND(((AZ84/AY84-1)*100), 1)</f>
        <v>740</v>
      </c>
      <c r="BB84" s="817">
        <v>727</v>
      </c>
      <c r="BC84" s="817">
        <v>109</v>
      </c>
      <c r="BD84" s="753">
        <f t="shared" si="130"/>
        <v>-85</v>
      </c>
      <c r="BE84" s="817">
        <f t="shared" si="156"/>
        <v>15</v>
      </c>
      <c r="BF84" s="817">
        <f t="shared" si="156"/>
        <v>0</v>
      </c>
      <c r="BG84" s="753">
        <f>ROUND(((BF84/BE84-1)*100), 1)</f>
        <v>-100</v>
      </c>
      <c r="BH84" s="817">
        <v>742</v>
      </c>
      <c r="BI84" s="817">
        <v>109</v>
      </c>
      <c r="BJ84" s="753">
        <f t="shared" si="131"/>
        <v>-85.3</v>
      </c>
      <c r="BK84" s="817">
        <f t="shared" si="157"/>
        <v>11</v>
      </c>
      <c r="BL84" s="817">
        <f t="shared" si="157"/>
        <v>6</v>
      </c>
      <c r="BM84" s="753">
        <f>ROUND(((BL84/BK84-1)*100), 1)</f>
        <v>-45.5</v>
      </c>
      <c r="BN84" s="817">
        <v>753</v>
      </c>
      <c r="BO84" s="817">
        <v>115</v>
      </c>
      <c r="BP84" s="753">
        <f t="shared" si="132"/>
        <v>-84.7</v>
      </c>
      <c r="BQ84" s="817">
        <f t="shared" si="158"/>
        <v>5</v>
      </c>
      <c r="BR84" s="817">
        <f t="shared" si="158"/>
        <v>0</v>
      </c>
      <c r="BS84" s="753">
        <f t="shared" si="163"/>
        <v>-100</v>
      </c>
      <c r="BT84" s="817">
        <v>758</v>
      </c>
      <c r="BU84" s="817">
        <v>115</v>
      </c>
      <c r="BV84" s="753">
        <f t="shared" si="134"/>
        <v>-84.8</v>
      </c>
    </row>
    <row r="85" spans="1:74" s="291" customFormat="1" ht="15" customHeight="1">
      <c r="A85" s="434"/>
      <c r="B85" s="1164"/>
      <c r="C85" s="43" t="s">
        <v>463</v>
      </c>
      <c r="D85" s="44">
        <v>509</v>
      </c>
      <c r="E85" s="44">
        <v>2598</v>
      </c>
      <c r="F85" s="44">
        <v>2297</v>
      </c>
      <c r="G85" s="44">
        <v>1646</v>
      </c>
      <c r="H85" s="44">
        <v>23</v>
      </c>
      <c r="I85" s="44">
        <v>25</v>
      </c>
      <c r="J85" s="44">
        <v>64</v>
      </c>
      <c r="K85" s="44">
        <v>630</v>
      </c>
      <c r="L85" s="383">
        <v>110</v>
      </c>
      <c r="M85" s="383">
        <v>0</v>
      </c>
      <c r="N85" s="242">
        <f>ROUND(((M85/L85-1)*100), 1)</f>
        <v>-100</v>
      </c>
      <c r="O85" s="383">
        <f t="shared" si="136"/>
        <v>0</v>
      </c>
      <c r="P85" s="383">
        <f t="shared" si="136"/>
        <v>0</v>
      </c>
      <c r="Q85" s="242" t="e">
        <f>ROUND(((P85/O85-1)*100), 1)</f>
        <v>#DIV/0!</v>
      </c>
      <c r="R85" s="383">
        <v>110</v>
      </c>
      <c r="S85" s="383">
        <v>0</v>
      </c>
      <c r="T85" s="242">
        <f>ROUND(((S85/R85-1)*100), 1)</f>
        <v>-100</v>
      </c>
      <c r="U85" s="383">
        <f t="shared" si="139"/>
        <v>138</v>
      </c>
      <c r="V85" s="383">
        <f t="shared" si="140"/>
        <v>0</v>
      </c>
      <c r="W85" s="242">
        <f>ROUND(((V85/U85-1)*100), 1)</f>
        <v>-100</v>
      </c>
      <c r="X85" s="383">
        <v>248</v>
      </c>
      <c r="Y85" s="383">
        <v>0</v>
      </c>
      <c r="Z85" s="242">
        <f>ROUND(((Y85/X85-1)*100), 1)</f>
        <v>-100</v>
      </c>
      <c r="AA85" s="527">
        <f t="shared" si="143"/>
        <v>142</v>
      </c>
      <c r="AB85" s="527">
        <f t="shared" si="144"/>
        <v>0</v>
      </c>
      <c r="AC85" s="242">
        <f>ROUND(((AB85/AA85-1)*100), 1)</f>
        <v>-100</v>
      </c>
      <c r="AD85" s="527">
        <v>390</v>
      </c>
      <c r="AE85" s="527">
        <v>0</v>
      </c>
      <c r="AF85" s="242">
        <f>ROUND(((AE85/AD85-1)*100), 1)</f>
        <v>-100</v>
      </c>
      <c r="AG85" s="527">
        <f t="shared" si="147"/>
        <v>23</v>
      </c>
      <c r="AH85" s="527">
        <f t="shared" si="147"/>
        <v>0</v>
      </c>
      <c r="AI85" s="242">
        <f>ROUND(((AH85/AG85-1)*100), 1)</f>
        <v>-100</v>
      </c>
      <c r="AJ85" s="527">
        <v>413</v>
      </c>
      <c r="AK85" s="527">
        <v>0</v>
      </c>
      <c r="AL85" s="242">
        <f>ROUND(((AK85/AJ85-1)*100), 1)</f>
        <v>-100</v>
      </c>
      <c r="AM85" s="661">
        <f t="shared" si="150"/>
        <v>0</v>
      </c>
      <c r="AN85" s="661">
        <f t="shared" si="151"/>
        <v>0</v>
      </c>
      <c r="AO85" s="799">
        <v>0</v>
      </c>
      <c r="AP85" s="817">
        <v>413</v>
      </c>
      <c r="AQ85" s="817">
        <v>0</v>
      </c>
      <c r="AR85" s="652">
        <f>ROUND(((AQ85/AP85-1)*100), 1)</f>
        <v>-100</v>
      </c>
      <c r="AS85" s="817">
        <f t="shared" si="153"/>
        <v>0</v>
      </c>
      <c r="AT85" s="817">
        <f t="shared" si="153"/>
        <v>249</v>
      </c>
      <c r="AU85" s="799">
        <v>0</v>
      </c>
      <c r="AV85" s="969">
        <v>413</v>
      </c>
      <c r="AW85" s="969">
        <v>249</v>
      </c>
      <c r="AX85" s="753">
        <f t="shared" si="129"/>
        <v>-39.700000000000003</v>
      </c>
      <c r="AY85" s="817">
        <f t="shared" si="154"/>
        <v>0</v>
      </c>
      <c r="AZ85" s="817">
        <f t="shared" si="155"/>
        <v>0</v>
      </c>
      <c r="BA85" s="799">
        <v>0</v>
      </c>
      <c r="BB85" s="817">
        <v>413</v>
      </c>
      <c r="BC85" s="817">
        <v>249</v>
      </c>
      <c r="BD85" s="753">
        <f t="shared" si="130"/>
        <v>-39.700000000000003</v>
      </c>
      <c r="BE85" s="817">
        <f t="shared" si="156"/>
        <v>0</v>
      </c>
      <c r="BF85" s="817">
        <f t="shared" si="156"/>
        <v>0</v>
      </c>
      <c r="BG85" s="799">
        <v>0</v>
      </c>
      <c r="BH85" s="817">
        <v>413</v>
      </c>
      <c r="BI85" s="817">
        <v>249</v>
      </c>
      <c r="BJ85" s="753">
        <f t="shared" si="131"/>
        <v>-39.700000000000003</v>
      </c>
      <c r="BK85" s="817">
        <f t="shared" si="157"/>
        <v>217</v>
      </c>
      <c r="BL85" s="817">
        <f t="shared" si="157"/>
        <v>0</v>
      </c>
      <c r="BM85" s="753">
        <f>ROUND(((BL85/BK85-1)*100), 1)</f>
        <v>-100</v>
      </c>
      <c r="BN85" s="817">
        <v>630</v>
      </c>
      <c r="BO85" s="817">
        <v>249</v>
      </c>
      <c r="BP85" s="753">
        <f t="shared" si="132"/>
        <v>-60.5</v>
      </c>
      <c r="BQ85" s="817">
        <f t="shared" si="158"/>
        <v>0</v>
      </c>
      <c r="BR85" s="817">
        <f t="shared" si="158"/>
        <v>0</v>
      </c>
      <c r="BS85" s="799">
        <v>0</v>
      </c>
      <c r="BT85" s="817">
        <v>630</v>
      </c>
      <c r="BU85" s="817">
        <v>249</v>
      </c>
      <c r="BV85" s="753">
        <f t="shared" si="134"/>
        <v>-60.5</v>
      </c>
    </row>
    <row r="86" spans="1:74" s="291" customFormat="1" ht="15" customHeight="1">
      <c r="A86" s="434"/>
      <c r="B86" s="1164"/>
      <c r="C86" s="43" t="s">
        <v>470</v>
      </c>
      <c r="D86" s="44">
        <v>0</v>
      </c>
      <c r="E86" s="44">
        <v>0</v>
      </c>
      <c r="F86" s="44">
        <v>0</v>
      </c>
      <c r="G86" s="44">
        <v>658</v>
      </c>
      <c r="H86" s="44">
        <v>507</v>
      </c>
      <c r="I86" s="44">
        <v>198</v>
      </c>
      <c r="J86" s="44">
        <v>573</v>
      </c>
      <c r="K86" s="44">
        <v>588</v>
      </c>
      <c r="L86" s="383">
        <v>25</v>
      </c>
      <c r="M86" s="383">
        <v>63</v>
      </c>
      <c r="N86" s="242">
        <f>ROUND(((M86/L86-1)*100), 1)</f>
        <v>152</v>
      </c>
      <c r="O86" s="383">
        <f t="shared" si="136"/>
        <v>25</v>
      </c>
      <c r="P86" s="383">
        <f t="shared" si="136"/>
        <v>79</v>
      </c>
      <c r="Q86" s="242">
        <f>ROUND(((P86/O86-1)*100), 1)</f>
        <v>216</v>
      </c>
      <c r="R86" s="383">
        <v>50</v>
      </c>
      <c r="S86" s="383">
        <v>142</v>
      </c>
      <c r="T86" s="242">
        <f>ROUND(((S86/R86-1)*100), 1)</f>
        <v>184</v>
      </c>
      <c r="U86" s="383">
        <f t="shared" si="139"/>
        <v>0</v>
      </c>
      <c r="V86" s="383">
        <f t="shared" si="140"/>
        <v>50</v>
      </c>
      <c r="W86" s="177">
        <v>0</v>
      </c>
      <c r="X86" s="383">
        <v>50</v>
      </c>
      <c r="Y86" s="383">
        <v>192</v>
      </c>
      <c r="Z86" s="242">
        <f>ROUND(((Y86/X86-1)*100), 1)</f>
        <v>284</v>
      </c>
      <c r="AA86" s="527">
        <f t="shared" si="143"/>
        <v>0</v>
      </c>
      <c r="AB86" s="527">
        <f t="shared" si="144"/>
        <v>142</v>
      </c>
      <c r="AC86" s="521">
        <v>0</v>
      </c>
      <c r="AD86" s="527">
        <v>50</v>
      </c>
      <c r="AE86" s="527">
        <v>334</v>
      </c>
      <c r="AF86" s="242">
        <f>ROUND(((AE86/AD86-1)*100), 1)</f>
        <v>568</v>
      </c>
      <c r="AG86" s="527">
        <f t="shared" si="147"/>
        <v>0</v>
      </c>
      <c r="AH86" s="527">
        <f t="shared" si="147"/>
        <v>46</v>
      </c>
      <c r="AI86" s="521">
        <v>0</v>
      </c>
      <c r="AJ86" s="527">
        <v>50</v>
      </c>
      <c r="AK86" s="527">
        <v>380</v>
      </c>
      <c r="AL86" s="242">
        <f>ROUND(((AK86/AJ86-1)*100), 1)</f>
        <v>660</v>
      </c>
      <c r="AM86" s="661">
        <f t="shared" si="150"/>
        <v>50</v>
      </c>
      <c r="AN86" s="661">
        <f t="shared" si="151"/>
        <v>0</v>
      </c>
      <c r="AO86" s="753">
        <f t="shared" ref="AO86" si="183">ROUND(((AN86/AM86-1)*100), 1)</f>
        <v>-100</v>
      </c>
      <c r="AP86" s="817">
        <v>100</v>
      </c>
      <c r="AQ86" s="817">
        <v>380</v>
      </c>
      <c r="AR86" s="652">
        <f>ROUND(((AQ86/AP86-1)*100), 1)</f>
        <v>280</v>
      </c>
      <c r="AS86" s="817">
        <f t="shared" si="153"/>
        <v>0</v>
      </c>
      <c r="AT86" s="817">
        <f t="shared" si="153"/>
        <v>0</v>
      </c>
      <c r="AU86" s="799">
        <v>0</v>
      </c>
      <c r="AV86" s="969">
        <v>100</v>
      </c>
      <c r="AW86" s="969">
        <v>380</v>
      </c>
      <c r="AX86" s="753">
        <f t="shared" si="129"/>
        <v>280</v>
      </c>
      <c r="AY86" s="817">
        <f t="shared" si="154"/>
        <v>73</v>
      </c>
      <c r="AZ86" s="817">
        <f t="shared" si="155"/>
        <v>46</v>
      </c>
      <c r="BA86" s="753">
        <f>ROUND(((AZ86/AY86-1)*100), 1)</f>
        <v>-37</v>
      </c>
      <c r="BB86" s="817">
        <v>173</v>
      </c>
      <c r="BC86" s="817">
        <v>426</v>
      </c>
      <c r="BD86" s="753">
        <f t="shared" si="130"/>
        <v>146.19999999999999</v>
      </c>
      <c r="BE86" s="817">
        <f t="shared" si="156"/>
        <v>98</v>
      </c>
      <c r="BF86" s="817">
        <f t="shared" si="156"/>
        <v>98</v>
      </c>
      <c r="BG86" s="753">
        <f>ROUND(((BF86/BE86-1)*100), 1)</f>
        <v>0</v>
      </c>
      <c r="BH86" s="817">
        <v>271</v>
      </c>
      <c r="BI86" s="817">
        <v>524</v>
      </c>
      <c r="BJ86" s="753">
        <f t="shared" si="131"/>
        <v>93.4</v>
      </c>
      <c r="BK86" s="817">
        <f t="shared" si="157"/>
        <v>73</v>
      </c>
      <c r="BL86" s="817">
        <f t="shared" si="157"/>
        <v>23</v>
      </c>
      <c r="BM86" s="753">
        <f>ROUND(((BL86/BK86-1)*100), 1)</f>
        <v>-68.5</v>
      </c>
      <c r="BN86" s="817">
        <v>344</v>
      </c>
      <c r="BO86" s="817">
        <v>547</v>
      </c>
      <c r="BP86" s="753">
        <f t="shared" si="132"/>
        <v>59</v>
      </c>
      <c r="BQ86" s="817">
        <f t="shared" si="158"/>
        <v>148</v>
      </c>
      <c r="BR86" s="817">
        <f t="shared" si="158"/>
        <v>50</v>
      </c>
      <c r="BS86" s="753">
        <f t="shared" si="163"/>
        <v>-66.2</v>
      </c>
      <c r="BT86" s="817">
        <v>492</v>
      </c>
      <c r="BU86" s="817">
        <v>597</v>
      </c>
      <c r="BV86" s="753">
        <f t="shared" si="134"/>
        <v>21.3</v>
      </c>
    </row>
    <row r="87" spans="1:74" ht="15" customHeight="1">
      <c r="A87" s="96"/>
      <c r="B87" s="1164"/>
      <c r="C87" s="43" t="s">
        <v>193</v>
      </c>
      <c r="D87" s="44">
        <v>335</v>
      </c>
      <c r="E87" s="44">
        <v>44</v>
      </c>
      <c r="F87" s="44">
        <v>0</v>
      </c>
      <c r="G87" s="44">
        <v>187</v>
      </c>
      <c r="H87" s="44">
        <v>1300</v>
      </c>
      <c r="I87" s="44">
        <v>2426</v>
      </c>
      <c r="J87" s="44">
        <v>2791</v>
      </c>
      <c r="K87" s="44">
        <v>582</v>
      </c>
      <c r="L87" s="383">
        <v>75</v>
      </c>
      <c r="M87" s="383">
        <v>0</v>
      </c>
      <c r="N87" s="242">
        <f>ROUND(((M87/L87-1)*100), 1)</f>
        <v>-100</v>
      </c>
      <c r="O87" s="383">
        <f t="shared" si="136"/>
        <v>174</v>
      </c>
      <c r="P87" s="383">
        <f t="shared" si="136"/>
        <v>0</v>
      </c>
      <c r="Q87" s="242">
        <f>ROUND(((P87/O87-1)*100), 1)</f>
        <v>-100</v>
      </c>
      <c r="R87" s="383">
        <v>249</v>
      </c>
      <c r="S87" s="383">
        <v>0</v>
      </c>
      <c r="T87" s="242">
        <f>ROUND(((S87/R87-1)*100), 1)</f>
        <v>-100</v>
      </c>
      <c r="U87" s="383">
        <f t="shared" si="139"/>
        <v>50</v>
      </c>
      <c r="V87" s="383">
        <f t="shared" si="140"/>
        <v>0</v>
      </c>
      <c r="W87" s="242">
        <f>ROUND(((V87/U87-1)*100), 1)</f>
        <v>-100</v>
      </c>
      <c r="X87" s="383">
        <v>299</v>
      </c>
      <c r="Y87" s="383">
        <v>0</v>
      </c>
      <c r="Z87" s="242">
        <f>ROUND(((Y87/X87-1)*100), 1)</f>
        <v>-100</v>
      </c>
      <c r="AA87" s="527">
        <f t="shared" si="143"/>
        <v>0</v>
      </c>
      <c r="AB87" s="527">
        <f t="shared" si="144"/>
        <v>0</v>
      </c>
      <c r="AC87" s="521">
        <v>0</v>
      </c>
      <c r="AD87" s="527">
        <v>299</v>
      </c>
      <c r="AE87" s="527">
        <v>0</v>
      </c>
      <c r="AF87" s="242">
        <f>ROUND(((AE87/AD87-1)*100), 1)</f>
        <v>-100</v>
      </c>
      <c r="AG87" s="527">
        <f t="shared" si="147"/>
        <v>184</v>
      </c>
      <c r="AH87" s="527">
        <f t="shared" si="147"/>
        <v>0</v>
      </c>
      <c r="AI87" s="242">
        <f>ROUND(((AH87/AG87-1)*100), 1)</f>
        <v>-100</v>
      </c>
      <c r="AJ87" s="527">
        <v>483</v>
      </c>
      <c r="AK87" s="527">
        <v>0</v>
      </c>
      <c r="AL87" s="242">
        <f>ROUND(((AK87/AJ87-1)*100), 1)</f>
        <v>-100</v>
      </c>
      <c r="AM87" s="661">
        <f t="shared" si="150"/>
        <v>0</v>
      </c>
      <c r="AN87" s="661">
        <f t="shared" si="151"/>
        <v>250</v>
      </c>
      <c r="AO87" s="799">
        <v>0</v>
      </c>
      <c r="AP87" s="817">
        <v>483</v>
      </c>
      <c r="AQ87" s="817">
        <v>250</v>
      </c>
      <c r="AR87" s="652">
        <f>ROUND(((AQ87/AP87-1)*100), 1)</f>
        <v>-48.2</v>
      </c>
      <c r="AS87" s="817">
        <f t="shared" si="153"/>
        <v>0</v>
      </c>
      <c r="AT87" s="817">
        <f t="shared" si="153"/>
        <v>0</v>
      </c>
      <c r="AU87" s="799">
        <v>0</v>
      </c>
      <c r="AV87" s="969">
        <v>483</v>
      </c>
      <c r="AW87" s="969">
        <v>250</v>
      </c>
      <c r="AX87" s="753">
        <f t="shared" si="129"/>
        <v>-48.2</v>
      </c>
      <c r="AY87" s="817">
        <f t="shared" si="154"/>
        <v>0</v>
      </c>
      <c r="AZ87" s="817">
        <f t="shared" si="155"/>
        <v>0</v>
      </c>
      <c r="BA87" s="799">
        <v>0</v>
      </c>
      <c r="BB87" s="817">
        <v>483</v>
      </c>
      <c r="BC87" s="817">
        <v>250</v>
      </c>
      <c r="BD87" s="753">
        <f t="shared" si="130"/>
        <v>-48.2</v>
      </c>
      <c r="BE87" s="817">
        <f t="shared" si="156"/>
        <v>0</v>
      </c>
      <c r="BF87" s="817">
        <f t="shared" si="156"/>
        <v>0</v>
      </c>
      <c r="BG87" s="799">
        <v>0</v>
      </c>
      <c r="BH87" s="817">
        <v>483</v>
      </c>
      <c r="BI87" s="817">
        <v>250</v>
      </c>
      <c r="BJ87" s="753">
        <f t="shared" si="131"/>
        <v>-48.2</v>
      </c>
      <c r="BK87" s="817">
        <f t="shared" si="157"/>
        <v>0</v>
      </c>
      <c r="BL87" s="817">
        <f t="shared" si="157"/>
        <v>0</v>
      </c>
      <c r="BM87" s="799">
        <v>0</v>
      </c>
      <c r="BN87" s="817">
        <v>483</v>
      </c>
      <c r="BO87" s="817">
        <v>250</v>
      </c>
      <c r="BP87" s="753">
        <f t="shared" si="132"/>
        <v>-48.2</v>
      </c>
      <c r="BQ87" s="817">
        <f t="shared" si="158"/>
        <v>0</v>
      </c>
      <c r="BR87" s="817">
        <f t="shared" si="158"/>
        <v>0</v>
      </c>
      <c r="BS87" s="799">
        <v>0</v>
      </c>
      <c r="BT87" s="817">
        <v>483</v>
      </c>
      <c r="BU87" s="817">
        <v>250</v>
      </c>
      <c r="BV87" s="753">
        <f t="shared" si="134"/>
        <v>-48.2</v>
      </c>
    </row>
    <row r="88" spans="1:74" ht="15" customHeight="1">
      <c r="A88" s="96"/>
      <c r="B88" s="1164"/>
      <c r="C88" s="43" t="s">
        <v>194</v>
      </c>
      <c r="D88" s="44">
        <v>0</v>
      </c>
      <c r="E88" s="44">
        <v>245</v>
      </c>
      <c r="F88" s="44">
        <v>310</v>
      </c>
      <c r="G88" s="44">
        <v>334</v>
      </c>
      <c r="H88" s="44">
        <v>1002</v>
      </c>
      <c r="I88" s="44">
        <v>1974</v>
      </c>
      <c r="J88" s="44">
        <v>798</v>
      </c>
      <c r="K88" s="44">
        <v>474</v>
      </c>
      <c r="L88" s="383">
        <v>100</v>
      </c>
      <c r="M88" s="383">
        <v>0</v>
      </c>
      <c r="N88" s="242">
        <f>ROUND(((M88/L88-1)*100), 1)</f>
        <v>-100</v>
      </c>
      <c r="O88" s="383">
        <f t="shared" si="136"/>
        <v>99</v>
      </c>
      <c r="P88" s="383">
        <f t="shared" si="136"/>
        <v>0</v>
      </c>
      <c r="Q88" s="242">
        <f>ROUND(((P88/O88-1)*100), 1)</f>
        <v>-100</v>
      </c>
      <c r="R88" s="383">
        <v>199</v>
      </c>
      <c r="S88" s="383">
        <v>0</v>
      </c>
      <c r="T88" s="242">
        <f>ROUND(((S88/R88-1)*100), 1)</f>
        <v>-100</v>
      </c>
      <c r="U88" s="383">
        <f t="shared" si="139"/>
        <v>275</v>
      </c>
      <c r="V88" s="383">
        <f t="shared" si="140"/>
        <v>0</v>
      </c>
      <c r="W88" s="242">
        <f>ROUND(((V88/U88-1)*100), 1)</f>
        <v>-100</v>
      </c>
      <c r="X88" s="383">
        <v>474</v>
      </c>
      <c r="Y88" s="383">
        <v>0</v>
      </c>
      <c r="Z88" s="242">
        <f>ROUND(((Y88/X88-1)*100), 1)</f>
        <v>-100</v>
      </c>
      <c r="AA88" s="527">
        <f t="shared" si="143"/>
        <v>0</v>
      </c>
      <c r="AB88" s="527">
        <f t="shared" si="144"/>
        <v>0</v>
      </c>
      <c r="AC88" s="521">
        <v>0</v>
      </c>
      <c r="AD88" s="527">
        <v>474</v>
      </c>
      <c r="AE88" s="527">
        <v>0</v>
      </c>
      <c r="AF88" s="242">
        <f>ROUND(((AE88/AD88-1)*100), 1)</f>
        <v>-100</v>
      </c>
      <c r="AG88" s="527">
        <f t="shared" si="147"/>
        <v>0</v>
      </c>
      <c r="AH88" s="527">
        <f t="shared" si="147"/>
        <v>0</v>
      </c>
      <c r="AI88" s="521">
        <v>0</v>
      </c>
      <c r="AJ88" s="527">
        <v>474</v>
      </c>
      <c r="AK88" s="527">
        <v>0</v>
      </c>
      <c r="AL88" s="242">
        <f>ROUND(((AK88/AJ88-1)*100), 1)</f>
        <v>-100</v>
      </c>
      <c r="AM88" s="661">
        <f t="shared" si="150"/>
        <v>0</v>
      </c>
      <c r="AN88" s="661">
        <f t="shared" si="151"/>
        <v>0</v>
      </c>
      <c r="AO88" s="647">
        <v>0</v>
      </c>
      <c r="AP88" s="817">
        <v>474</v>
      </c>
      <c r="AQ88" s="817">
        <v>0</v>
      </c>
      <c r="AR88" s="652">
        <f>ROUND(((AQ88/AP88-1)*100), 1)</f>
        <v>-100</v>
      </c>
      <c r="AS88" s="817">
        <f t="shared" si="153"/>
        <v>0</v>
      </c>
      <c r="AT88" s="817">
        <f t="shared" si="153"/>
        <v>0</v>
      </c>
      <c r="AU88" s="799">
        <v>0</v>
      </c>
      <c r="AV88" s="969">
        <v>474</v>
      </c>
      <c r="AW88" s="969">
        <v>0</v>
      </c>
      <c r="AX88" s="753">
        <f t="shared" si="129"/>
        <v>-100</v>
      </c>
      <c r="AY88" s="817">
        <f t="shared" si="154"/>
        <v>0</v>
      </c>
      <c r="AZ88" s="817">
        <f t="shared" si="155"/>
        <v>0</v>
      </c>
      <c r="BA88" s="799">
        <v>0</v>
      </c>
      <c r="BB88" s="817">
        <v>474</v>
      </c>
      <c r="BC88" s="817">
        <v>0</v>
      </c>
      <c r="BD88" s="753">
        <f t="shared" si="130"/>
        <v>-100</v>
      </c>
      <c r="BE88" s="817">
        <f t="shared" si="156"/>
        <v>0</v>
      </c>
      <c r="BF88" s="817">
        <f t="shared" si="156"/>
        <v>0</v>
      </c>
      <c r="BG88" s="799">
        <v>0</v>
      </c>
      <c r="BH88" s="817">
        <v>474</v>
      </c>
      <c r="BI88" s="817">
        <v>0</v>
      </c>
      <c r="BJ88" s="753">
        <f t="shared" si="131"/>
        <v>-100</v>
      </c>
      <c r="BK88" s="817">
        <f t="shared" si="157"/>
        <v>0</v>
      </c>
      <c r="BL88" s="817">
        <f t="shared" si="157"/>
        <v>0</v>
      </c>
      <c r="BM88" s="799">
        <v>0</v>
      </c>
      <c r="BN88" s="817">
        <v>474</v>
      </c>
      <c r="BO88" s="817">
        <v>0</v>
      </c>
      <c r="BP88" s="753">
        <f t="shared" si="132"/>
        <v>-100</v>
      </c>
      <c r="BQ88" s="817">
        <f t="shared" si="158"/>
        <v>0</v>
      </c>
      <c r="BR88" s="817">
        <f t="shared" si="158"/>
        <v>0</v>
      </c>
      <c r="BS88" s="799">
        <v>0</v>
      </c>
      <c r="BT88" s="817">
        <v>474</v>
      </c>
      <c r="BU88" s="817">
        <v>0</v>
      </c>
      <c r="BV88" s="753">
        <f t="shared" si="134"/>
        <v>-100</v>
      </c>
    </row>
    <row r="89" spans="1:74" ht="15" customHeight="1">
      <c r="A89" s="96"/>
      <c r="B89" s="1164"/>
      <c r="C89" s="43" t="s">
        <v>199</v>
      </c>
      <c r="D89" s="44">
        <v>0</v>
      </c>
      <c r="E89" s="44">
        <v>315</v>
      </c>
      <c r="F89" s="44">
        <v>68</v>
      </c>
      <c r="G89" s="44">
        <v>102</v>
      </c>
      <c r="H89" s="44">
        <v>165</v>
      </c>
      <c r="I89" s="44">
        <v>430</v>
      </c>
      <c r="J89" s="44">
        <v>495</v>
      </c>
      <c r="K89" s="44">
        <v>379</v>
      </c>
      <c r="L89" s="383">
        <v>0</v>
      </c>
      <c r="M89" s="383">
        <v>50</v>
      </c>
      <c r="N89" s="177">
        <v>0</v>
      </c>
      <c r="O89" s="383">
        <f t="shared" si="136"/>
        <v>0</v>
      </c>
      <c r="P89" s="383">
        <f t="shared" si="136"/>
        <v>0</v>
      </c>
      <c r="Q89" s="177">
        <v>0</v>
      </c>
      <c r="R89" s="383">
        <v>0</v>
      </c>
      <c r="S89" s="383">
        <v>50</v>
      </c>
      <c r="T89" s="177">
        <v>0</v>
      </c>
      <c r="U89" s="383">
        <f t="shared" si="139"/>
        <v>0</v>
      </c>
      <c r="V89" s="383">
        <f t="shared" si="140"/>
        <v>76</v>
      </c>
      <c r="W89" s="177">
        <v>0</v>
      </c>
      <c r="X89" s="383">
        <v>0</v>
      </c>
      <c r="Y89" s="383">
        <v>126</v>
      </c>
      <c r="Z89" s="177">
        <v>0</v>
      </c>
      <c r="AA89" s="527">
        <f t="shared" si="143"/>
        <v>0</v>
      </c>
      <c r="AB89" s="527">
        <f t="shared" si="144"/>
        <v>0</v>
      </c>
      <c r="AC89" s="521">
        <v>0</v>
      </c>
      <c r="AD89" s="527">
        <v>0</v>
      </c>
      <c r="AE89" s="527">
        <v>126</v>
      </c>
      <c r="AF89" s="521">
        <v>0</v>
      </c>
      <c r="AG89" s="527">
        <f t="shared" si="147"/>
        <v>0</v>
      </c>
      <c r="AH89" s="527">
        <f t="shared" si="147"/>
        <v>0</v>
      </c>
      <c r="AI89" s="521">
        <v>0</v>
      </c>
      <c r="AJ89" s="527">
        <v>0</v>
      </c>
      <c r="AK89" s="527">
        <v>126</v>
      </c>
      <c r="AL89" s="521">
        <v>0</v>
      </c>
      <c r="AM89" s="661">
        <f t="shared" si="150"/>
        <v>0</v>
      </c>
      <c r="AN89" s="661">
        <f t="shared" si="151"/>
        <v>0</v>
      </c>
      <c r="AO89" s="647">
        <v>0</v>
      </c>
      <c r="AP89" s="817">
        <v>0</v>
      </c>
      <c r="AQ89" s="817">
        <v>126</v>
      </c>
      <c r="AR89" s="647">
        <v>0</v>
      </c>
      <c r="AS89" s="817">
        <f t="shared" si="153"/>
        <v>0</v>
      </c>
      <c r="AT89" s="817">
        <f t="shared" si="153"/>
        <v>0</v>
      </c>
      <c r="AU89" s="799">
        <v>0</v>
      </c>
      <c r="AV89" s="969">
        <v>0</v>
      </c>
      <c r="AW89" s="969">
        <v>126</v>
      </c>
      <c r="AX89" s="799">
        <v>0</v>
      </c>
      <c r="AY89" s="817">
        <f t="shared" si="154"/>
        <v>0</v>
      </c>
      <c r="AZ89" s="817">
        <f t="shared" si="155"/>
        <v>0</v>
      </c>
      <c r="BA89" s="799">
        <v>0</v>
      </c>
      <c r="BB89" s="817">
        <v>0</v>
      </c>
      <c r="BC89" s="817">
        <v>126</v>
      </c>
      <c r="BD89" s="799">
        <v>0</v>
      </c>
      <c r="BE89" s="817">
        <f t="shared" si="156"/>
        <v>0</v>
      </c>
      <c r="BF89" s="817">
        <f t="shared" si="156"/>
        <v>0</v>
      </c>
      <c r="BG89" s="799">
        <v>0</v>
      </c>
      <c r="BH89" s="817">
        <v>0</v>
      </c>
      <c r="BI89" s="817">
        <v>126</v>
      </c>
      <c r="BJ89" s="799">
        <v>0</v>
      </c>
      <c r="BK89" s="817">
        <f t="shared" si="157"/>
        <v>125</v>
      </c>
      <c r="BL89" s="817">
        <f t="shared" si="157"/>
        <v>0</v>
      </c>
      <c r="BM89" s="753">
        <f>ROUND(((BL89/BK89-1)*100), 1)</f>
        <v>-100</v>
      </c>
      <c r="BN89" s="817">
        <v>125</v>
      </c>
      <c r="BO89" s="817">
        <v>126</v>
      </c>
      <c r="BP89" s="753">
        <f>ROUND(((BO89/BN89-1)*100), 1)</f>
        <v>0.8</v>
      </c>
      <c r="BQ89" s="817">
        <f t="shared" si="158"/>
        <v>80</v>
      </c>
      <c r="BR89" s="817">
        <f t="shared" si="158"/>
        <v>0</v>
      </c>
      <c r="BS89" s="753">
        <f>ROUND(((BR89/BQ89-1)*100), 1)</f>
        <v>-100</v>
      </c>
      <c r="BT89" s="817">
        <v>205</v>
      </c>
      <c r="BU89" s="817">
        <v>126</v>
      </c>
      <c r="BV89" s="753">
        <f>ROUND(((BU89/BT89-1)*100), 1)</f>
        <v>-38.5</v>
      </c>
    </row>
    <row r="90" spans="1:74" ht="15" customHeight="1">
      <c r="A90" s="96"/>
      <c r="B90" s="1164"/>
      <c r="C90" s="43" t="s">
        <v>197</v>
      </c>
      <c r="D90" s="44">
        <v>0</v>
      </c>
      <c r="E90" s="44">
        <v>0</v>
      </c>
      <c r="F90" s="44">
        <v>231</v>
      </c>
      <c r="G90" s="44">
        <v>1620</v>
      </c>
      <c r="H90" s="44">
        <v>501</v>
      </c>
      <c r="I90" s="44">
        <v>1263</v>
      </c>
      <c r="J90" s="44">
        <v>656</v>
      </c>
      <c r="K90" s="44">
        <v>198</v>
      </c>
      <c r="L90" s="383">
        <v>0</v>
      </c>
      <c r="M90" s="383">
        <v>0</v>
      </c>
      <c r="N90" s="177">
        <v>0</v>
      </c>
      <c r="O90" s="383">
        <f t="shared" si="136"/>
        <v>0</v>
      </c>
      <c r="P90" s="383">
        <f t="shared" si="136"/>
        <v>0</v>
      </c>
      <c r="Q90" s="177">
        <v>0</v>
      </c>
      <c r="R90" s="383">
        <v>0</v>
      </c>
      <c r="S90" s="383">
        <v>0</v>
      </c>
      <c r="T90" s="177">
        <v>0</v>
      </c>
      <c r="U90" s="383">
        <f t="shared" si="139"/>
        <v>0</v>
      </c>
      <c r="V90" s="383">
        <f t="shared" si="140"/>
        <v>0</v>
      </c>
      <c r="W90" s="177">
        <v>0</v>
      </c>
      <c r="X90" s="383">
        <v>0</v>
      </c>
      <c r="Y90" s="383">
        <v>0</v>
      </c>
      <c r="Z90" s="177">
        <v>0</v>
      </c>
      <c r="AA90" s="527">
        <f t="shared" si="143"/>
        <v>0</v>
      </c>
      <c r="AB90" s="527">
        <f t="shared" si="144"/>
        <v>0</v>
      </c>
      <c r="AC90" s="521">
        <v>0</v>
      </c>
      <c r="AD90" s="527">
        <v>0</v>
      </c>
      <c r="AE90" s="527">
        <v>0</v>
      </c>
      <c r="AF90" s="521">
        <v>0</v>
      </c>
      <c r="AG90" s="527">
        <f t="shared" si="147"/>
        <v>0</v>
      </c>
      <c r="AH90" s="527">
        <f t="shared" si="147"/>
        <v>0</v>
      </c>
      <c r="AI90" s="521">
        <v>0</v>
      </c>
      <c r="AJ90" s="527">
        <v>0</v>
      </c>
      <c r="AK90" s="527">
        <v>0</v>
      </c>
      <c r="AL90" s="521">
        <v>0</v>
      </c>
      <c r="AM90" s="661">
        <f t="shared" si="150"/>
        <v>0</v>
      </c>
      <c r="AN90" s="661">
        <f t="shared" si="151"/>
        <v>0</v>
      </c>
      <c r="AO90" s="647">
        <v>0</v>
      </c>
      <c r="AP90" s="817">
        <v>0</v>
      </c>
      <c r="AQ90" s="817">
        <v>0</v>
      </c>
      <c r="AR90" s="647">
        <v>0</v>
      </c>
      <c r="AS90" s="817">
        <f t="shared" si="153"/>
        <v>0</v>
      </c>
      <c r="AT90" s="817">
        <f t="shared" si="153"/>
        <v>199</v>
      </c>
      <c r="AU90" s="799">
        <v>0</v>
      </c>
      <c r="AV90" s="969">
        <v>0</v>
      </c>
      <c r="AW90" s="969">
        <v>199</v>
      </c>
      <c r="AX90" s="799">
        <v>0</v>
      </c>
      <c r="AY90" s="817">
        <f t="shared" si="154"/>
        <v>0</v>
      </c>
      <c r="AZ90" s="817">
        <f t="shared" si="155"/>
        <v>0</v>
      </c>
      <c r="BA90" s="799">
        <v>0</v>
      </c>
      <c r="BB90" s="817">
        <v>0</v>
      </c>
      <c r="BC90" s="817">
        <v>199</v>
      </c>
      <c r="BD90" s="799">
        <v>0</v>
      </c>
      <c r="BE90" s="817">
        <f t="shared" si="156"/>
        <v>0</v>
      </c>
      <c r="BF90" s="817">
        <f t="shared" si="156"/>
        <v>50</v>
      </c>
      <c r="BG90" s="799">
        <v>0</v>
      </c>
      <c r="BH90" s="817">
        <v>0</v>
      </c>
      <c r="BI90" s="817">
        <v>249</v>
      </c>
      <c r="BJ90" s="799">
        <v>0</v>
      </c>
      <c r="BK90" s="817">
        <f t="shared" si="157"/>
        <v>148</v>
      </c>
      <c r="BL90" s="817">
        <f t="shared" si="157"/>
        <v>0</v>
      </c>
      <c r="BM90" s="753">
        <f>ROUND(((BL90/BK90-1)*100), 1)</f>
        <v>-100</v>
      </c>
      <c r="BN90" s="817">
        <v>148</v>
      </c>
      <c r="BO90" s="817">
        <v>249</v>
      </c>
      <c r="BP90" s="753">
        <f>ROUND(((BO90/BN90-1)*100), 1)</f>
        <v>68.2</v>
      </c>
      <c r="BQ90" s="817">
        <f t="shared" si="158"/>
        <v>50</v>
      </c>
      <c r="BR90" s="817">
        <f t="shared" si="158"/>
        <v>97</v>
      </c>
      <c r="BS90" s="753">
        <f>ROUND(((BR90/BQ90-1)*100), 1)</f>
        <v>94</v>
      </c>
      <c r="BT90" s="817">
        <v>198</v>
      </c>
      <c r="BU90" s="817">
        <v>346</v>
      </c>
      <c r="BV90" s="753">
        <f>ROUND(((BU90/BT90-1)*100), 1)</f>
        <v>74.7</v>
      </c>
    </row>
    <row r="91" spans="1:74" ht="15" customHeight="1">
      <c r="A91" s="96"/>
      <c r="B91" s="1164"/>
      <c r="C91" s="43" t="s">
        <v>196</v>
      </c>
      <c r="D91" s="44">
        <v>50</v>
      </c>
      <c r="E91" s="44">
        <v>1307</v>
      </c>
      <c r="F91" s="44">
        <v>149</v>
      </c>
      <c r="G91" s="44">
        <v>438</v>
      </c>
      <c r="H91" s="44">
        <v>450</v>
      </c>
      <c r="I91" s="44">
        <v>1346</v>
      </c>
      <c r="J91" s="44">
        <v>50</v>
      </c>
      <c r="K91" s="44">
        <v>168</v>
      </c>
      <c r="L91" s="383">
        <v>0</v>
      </c>
      <c r="M91" s="383">
        <v>0</v>
      </c>
      <c r="N91" s="177">
        <v>0</v>
      </c>
      <c r="O91" s="383">
        <f t="shared" si="136"/>
        <v>0</v>
      </c>
      <c r="P91" s="383">
        <f t="shared" si="136"/>
        <v>0</v>
      </c>
      <c r="Q91" s="177">
        <v>0</v>
      </c>
      <c r="R91" s="383">
        <v>0</v>
      </c>
      <c r="S91" s="383">
        <v>0</v>
      </c>
      <c r="T91" s="177">
        <v>0</v>
      </c>
      <c r="U91" s="383">
        <f t="shared" si="139"/>
        <v>0</v>
      </c>
      <c r="V91" s="383">
        <f t="shared" si="140"/>
        <v>125</v>
      </c>
      <c r="W91" s="177">
        <v>0</v>
      </c>
      <c r="X91" s="383">
        <v>0</v>
      </c>
      <c r="Y91" s="383">
        <v>125</v>
      </c>
      <c r="Z91" s="177">
        <v>0</v>
      </c>
      <c r="AA91" s="527">
        <f t="shared" si="143"/>
        <v>0</v>
      </c>
      <c r="AB91" s="527">
        <f t="shared" si="144"/>
        <v>0</v>
      </c>
      <c r="AC91" s="521">
        <v>0</v>
      </c>
      <c r="AD91" s="527">
        <v>0</v>
      </c>
      <c r="AE91" s="527">
        <v>125</v>
      </c>
      <c r="AF91" s="521">
        <v>0</v>
      </c>
      <c r="AG91" s="527">
        <f t="shared" si="147"/>
        <v>0</v>
      </c>
      <c r="AH91" s="527">
        <f t="shared" si="147"/>
        <v>0</v>
      </c>
      <c r="AI91" s="521">
        <v>0</v>
      </c>
      <c r="AJ91" s="527">
        <v>0</v>
      </c>
      <c r="AK91" s="527">
        <v>125</v>
      </c>
      <c r="AL91" s="521">
        <v>0</v>
      </c>
      <c r="AM91" s="661">
        <f t="shared" si="150"/>
        <v>68</v>
      </c>
      <c r="AN91" s="661">
        <f t="shared" si="151"/>
        <v>0</v>
      </c>
      <c r="AO91" s="753">
        <f t="shared" ref="AO91" si="184">ROUND(((AN91/AM91-1)*100), 1)</f>
        <v>-100</v>
      </c>
      <c r="AP91" s="817">
        <v>68</v>
      </c>
      <c r="AQ91" s="817">
        <v>125</v>
      </c>
      <c r="AR91" s="753">
        <f>ROUND(((AQ91/AP91-1)*100), 1)</f>
        <v>83.8</v>
      </c>
      <c r="AS91" s="817">
        <f t="shared" si="153"/>
        <v>0</v>
      </c>
      <c r="AT91" s="817">
        <f t="shared" si="153"/>
        <v>0</v>
      </c>
      <c r="AU91" s="799">
        <v>0</v>
      </c>
      <c r="AV91" s="969">
        <v>68</v>
      </c>
      <c r="AW91" s="969">
        <v>125</v>
      </c>
      <c r="AX91" s="753">
        <f>ROUND(((AW91/AV91-1)*100), 1)</f>
        <v>83.8</v>
      </c>
      <c r="AY91" s="817">
        <f t="shared" si="154"/>
        <v>0</v>
      </c>
      <c r="AZ91" s="817">
        <f t="shared" si="155"/>
        <v>0</v>
      </c>
      <c r="BA91" s="799">
        <v>0</v>
      </c>
      <c r="BB91" s="817">
        <v>68</v>
      </c>
      <c r="BC91" s="817">
        <v>125</v>
      </c>
      <c r="BD91" s="753">
        <f>ROUND(((BC91/BB91-1)*100), 1)</f>
        <v>83.8</v>
      </c>
      <c r="BE91" s="817">
        <f t="shared" si="156"/>
        <v>0</v>
      </c>
      <c r="BF91" s="817">
        <f t="shared" si="156"/>
        <v>0</v>
      </c>
      <c r="BG91" s="799">
        <v>0</v>
      </c>
      <c r="BH91" s="817">
        <v>68</v>
      </c>
      <c r="BI91" s="817">
        <v>125</v>
      </c>
      <c r="BJ91" s="753">
        <f>ROUND(((BI91/BH91-1)*100), 1)</f>
        <v>83.8</v>
      </c>
      <c r="BK91" s="817">
        <f t="shared" si="157"/>
        <v>0</v>
      </c>
      <c r="BL91" s="817">
        <f t="shared" si="157"/>
        <v>0</v>
      </c>
      <c r="BM91" s="799">
        <v>0</v>
      </c>
      <c r="BN91" s="817">
        <v>68</v>
      </c>
      <c r="BO91" s="817">
        <v>125</v>
      </c>
      <c r="BP91" s="753">
        <f>ROUND(((BO91/BN91-1)*100), 1)</f>
        <v>83.8</v>
      </c>
      <c r="BQ91" s="817">
        <f t="shared" si="158"/>
        <v>0</v>
      </c>
      <c r="BR91" s="817">
        <f t="shared" si="158"/>
        <v>0</v>
      </c>
      <c r="BS91" s="799">
        <v>0</v>
      </c>
      <c r="BT91" s="817">
        <v>68</v>
      </c>
      <c r="BU91" s="817">
        <v>125</v>
      </c>
      <c r="BV91" s="753">
        <f>ROUND(((BU91/BT91-1)*100), 1)</f>
        <v>83.8</v>
      </c>
    </row>
    <row r="92" spans="1:74" ht="15" customHeight="1">
      <c r="A92" s="96"/>
      <c r="B92" s="1164"/>
      <c r="C92" s="43" t="s">
        <v>189</v>
      </c>
      <c r="D92" s="44">
        <v>986</v>
      </c>
      <c r="E92" s="44">
        <v>989</v>
      </c>
      <c r="F92" s="44">
        <v>604</v>
      </c>
      <c r="G92" s="44">
        <v>2425</v>
      </c>
      <c r="H92" s="44">
        <v>856</v>
      </c>
      <c r="I92" s="44">
        <v>206</v>
      </c>
      <c r="J92" s="44">
        <v>43</v>
      </c>
      <c r="K92" s="44">
        <v>128</v>
      </c>
      <c r="L92" s="383">
        <v>0</v>
      </c>
      <c r="M92" s="383">
        <v>0</v>
      </c>
      <c r="N92" s="177">
        <v>0</v>
      </c>
      <c r="O92" s="383">
        <f t="shared" si="136"/>
        <v>0</v>
      </c>
      <c r="P92" s="383">
        <f t="shared" si="136"/>
        <v>0</v>
      </c>
      <c r="Q92" s="177">
        <v>0</v>
      </c>
      <c r="R92" s="383">
        <v>0</v>
      </c>
      <c r="S92" s="383">
        <v>0</v>
      </c>
      <c r="T92" s="177">
        <v>0</v>
      </c>
      <c r="U92" s="383">
        <f t="shared" si="139"/>
        <v>0</v>
      </c>
      <c r="V92" s="383">
        <f t="shared" si="140"/>
        <v>0</v>
      </c>
      <c r="W92" s="177">
        <v>0</v>
      </c>
      <c r="X92" s="383">
        <v>0</v>
      </c>
      <c r="Y92" s="383">
        <v>0</v>
      </c>
      <c r="Z92" s="177">
        <v>0</v>
      </c>
      <c r="AA92" s="527">
        <f t="shared" si="143"/>
        <v>0</v>
      </c>
      <c r="AB92" s="527">
        <f t="shared" si="144"/>
        <v>64</v>
      </c>
      <c r="AC92" s="521">
        <v>0</v>
      </c>
      <c r="AD92" s="527">
        <v>0</v>
      </c>
      <c r="AE92" s="527">
        <v>64</v>
      </c>
      <c r="AF92" s="521">
        <v>0</v>
      </c>
      <c r="AG92" s="527">
        <f t="shared" si="147"/>
        <v>0</v>
      </c>
      <c r="AH92" s="527">
        <f t="shared" si="147"/>
        <v>0</v>
      </c>
      <c r="AI92" s="521">
        <v>0</v>
      </c>
      <c r="AJ92" s="527">
        <v>0</v>
      </c>
      <c r="AK92" s="527">
        <v>64</v>
      </c>
      <c r="AL92" s="521">
        <v>0</v>
      </c>
      <c r="AM92" s="661">
        <f t="shared" si="150"/>
        <v>0</v>
      </c>
      <c r="AN92" s="661">
        <f t="shared" si="151"/>
        <v>64</v>
      </c>
      <c r="AO92" s="647">
        <v>0</v>
      </c>
      <c r="AP92" s="817">
        <v>0</v>
      </c>
      <c r="AQ92" s="817">
        <v>128</v>
      </c>
      <c r="AR92" s="647">
        <v>0</v>
      </c>
      <c r="AS92" s="817">
        <f t="shared" si="153"/>
        <v>0</v>
      </c>
      <c r="AT92" s="817">
        <f t="shared" si="153"/>
        <v>0</v>
      </c>
      <c r="AU92" s="799">
        <v>0</v>
      </c>
      <c r="AV92" s="969">
        <v>0</v>
      </c>
      <c r="AW92" s="969">
        <v>128</v>
      </c>
      <c r="AX92" s="799">
        <v>0</v>
      </c>
      <c r="AY92" s="817">
        <f t="shared" si="154"/>
        <v>63</v>
      </c>
      <c r="AZ92" s="817">
        <f t="shared" si="155"/>
        <v>0</v>
      </c>
      <c r="BA92" s="753">
        <f>ROUND(((AZ92/AY92-1)*100), 1)</f>
        <v>-100</v>
      </c>
      <c r="BB92" s="817">
        <v>63</v>
      </c>
      <c r="BC92" s="817">
        <v>128</v>
      </c>
      <c r="BD92" s="753">
        <f t="shared" ref="BD92" si="185">ROUND(((BC92/BB92-1)*100), 1)</f>
        <v>103.2</v>
      </c>
      <c r="BE92" s="817">
        <f t="shared" si="156"/>
        <v>0</v>
      </c>
      <c r="BF92" s="817">
        <f t="shared" si="156"/>
        <v>43</v>
      </c>
      <c r="BG92" s="799">
        <v>0</v>
      </c>
      <c r="BH92" s="817">
        <v>63</v>
      </c>
      <c r="BI92" s="817">
        <v>171</v>
      </c>
      <c r="BJ92" s="753">
        <f t="shared" ref="BJ92" si="186">ROUND(((BI92/BH92-1)*100), 1)</f>
        <v>171.4</v>
      </c>
      <c r="BK92" s="817">
        <f t="shared" si="157"/>
        <v>0</v>
      </c>
      <c r="BL92" s="817">
        <f t="shared" si="157"/>
        <v>0</v>
      </c>
      <c r="BM92" s="799">
        <v>0</v>
      </c>
      <c r="BN92" s="817">
        <v>63</v>
      </c>
      <c r="BO92" s="817">
        <v>171</v>
      </c>
      <c r="BP92" s="753">
        <f t="shared" ref="BP92" si="187">ROUND(((BO92/BN92-1)*100), 1)</f>
        <v>171.4</v>
      </c>
      <c r="BQ92" s="817">
        <f t="shared" si="158"/>
        <v>0</v>
      </c>
      <c r="BR92" s="817">
        <f t="shared" si="158"/>
        <v>86</v>
      </c>
      <c r="BS92" s="799">
        <v>0</v>
      </c>
      <c r="BT92" s="817">
        <v>63</v>
      </c>
      <c r="BU92" s="817">
        <v>257</v>
      </c>
      <c r="BV92" s="753">
        <f>ROUND(((BU92/BT92-1)*100), 1)</f>
        <v>307.89999999999998</v>
      </c>
    </row>
    <row r="93" spans="1:74" ht="15" customHeight="1">
      <c r="A93" s="96"/>
      <c r="B93" s="1164"/>
      <c r="C93" s="43" t="s">
        <v>178</v>
      </c>
      <c r="D93" s="44">
        <v>0</v>
      </c>
      <c r="E93" s="44">
        <v>0</v>
      </c>
      <c r="F93" s="44">
        <v>0</v>
      </c>
      <c r="G93" s="44">
        <v>496</v>
      </c>
      <c r="H93" s="44">
        <v>644</v>
      </c>
      <c r="I93" s="44">
        <v>1275</v>
      </c>
      <c r="J93" s="44">
        <v>2353</v>
      </c>
      <c r="K93" s="44">
        <v>0</v>
      </c>
      <c r="L93" s="383">
        <v>0</v>
      </c>
      <c r="M93" s="383">
        <v>0</v>
      </c>
      <c r="N93" s="177">
        <v>0</v>
      </c>
      <c r="O93" s="383">
        <f t="shared" si="136"/>
        <v>0</v>
      </c>
      <c r="P93" s="383">
        <f t="shared" si="136"/>
        <v>0</v>
      </c>
      <c r="Q93" s="177">
        <v>0</v>
      </c>
      <c r="R93" s="383">
        <v>0</v>
      </c>
      <c r="S93" s="383">
        <v>0</v>
      </c>
      <c r="T93" s="177">
        <v>0</v>
      </c>
      <c r="U93" s="383">
        <f t="shared" si="139"/>
        <v>0</v>
      </c>
      <c r="V93" s="383">
        <f t="shared" si="140"/>
        <v>0</v>
      </c>
      <c r="W93" s="177">
        <v>0</v>
      </c>
      <c r="X93" s="383">
        <v>0</v>
      </c>
      <c r="Y93" s="383">
        <v>0</v>
      </c>
      <c r="Z93" s="177">
        <v>0</v>
      </c>
      <c r="AA93" s="527">
        <f t="shared" si="143"/>
        <v>0</v>
      </c>
      <c r="AB93" s="527">
        <f t="shared" si="144"/>
        <v>0</v>
      </c>
      <c r="AC93" s="521">
        <v>0</v>
      </c>
      <c r="AD93" s="527">
        <v>0</v>
      </c>
      <c r="AE93" s="527">
        <v>0</v>
      </c>
      <c r="AF93" s="521">
        <v>0</v>
      </c>
      <c r="AG93" s="527">
        <f t="shared" si="147"/>
        <v>0</v>
      </c>
      <c r="AH93" s="527">
        <f t="shared" si="147"/>
        <v>0</v>
      </c>
      <c r="AI93" s="521">
        <v>0</v>
      </c>
      <c r="AJ93" s="527">
        <v>0</v>
      </c>
      <c r="AK93" s="527">
        <v>0</v>
      </c>
      <c r="AL93" s="521">
        <v>0</v>
      </c>
      <c r="AM93" s="661">
        <f t="shared" si="150"/>
        <v>0</v>
      </c>
      <c r="AN93" s="661">
        <f t="shared" si="151"/>
        <v>0</v>
      </c>
      <c r="AO93" s="647">
        <v>0</v>
      </c>
      <c r="AP93" s="817">
        <v>0</v>
      </c>
      <c r="AQ93" s="817">
        <v>0</v>
      </c>
      <c r="AR93" s="647">
        <v>0</v>
      </c>
      <c r="AS93" s="817">
        <f t="shared" si="153"/>
        <v>0</v>
      </c>
      <c r="AT93" s="817">
        <f t="shared" si="153"/>
        <v>0</v>
      </c>
      <c r="AU93" s="799">
        <v>0</v>
      </c>
      <c r="AV93" s="969">
        <v>0</v>
      </c>
      <c r="AW93" s="969">
        <v>0</v>
      </c>
      <c r="AX93" s="799">
        <v>0</v>
      </c>
      <c r="AY93" s="817">
        <f t="shared" si="154"/>
        <v>0</v>
      </c>
      <c r="AZ93" s="817">
        <f t="shared" si="155"/>
        <v>0</v>
      </c>
      <c r="BA93" s="799">
        <v>0</v>
      </c>
      <c r="BB93" s="817">
        <v>0</v>
      </c>
      <c r="BC93" s="817">
        <v>0</v>
      </c>
      <c r="BD93" s="799">
        <v>0</v>
      </c>
      <c r="BE93" s="817">
        <f t="shared" si="156"/>
        <v>0</v>
      </c>
      <c r="BF93" s="817">
        <f t="shared" si="156"/>
        <v>0</v>
      </c>
      <c r="BG93" s="799">
        <v>0</v>
      </c>
      <c r="BH93" s="817">
        <v>0</v>
      </c>
      <c r="BI93" s="817">
        <v>0</v>
      </c>
      <c r="BJ93" s="799">
        <v>0</v>
      </c>
      <c r="BK93" s="817">
        <f t="shared" si="157"/>
        <v>0</v>
      </c>
      <c r="BL93" s="817">
        <f t="shared" si="157"/>
        <v>0</v>
      </c>
      <c r="BM93" s="799">
        <v>0</v>
      </c>
      <c r="BN93" s="817">
        <v>0</v>
      </c>
      <c r="BO93" s="817">
        <v>0</v>
      </c>
      <c r="BP93" s="799">
        <v>0</v>
      </c>
      <c r="BQ93" s="817">
        <f t="shared" si="158"/>
        <v>0</v>
      </c>
      <c r="BR93" s="817">
        <f t="shared" si="158"/>
        <v>0</v>
      </c>
      <c r="BS93" s="799">
        <v>0</v>
      </c>
      <c r="BT93" s="817">
        <v>0</v>
      </c>
      <c r="BU93" s="817">
        <v>0</v>
      </c>
      <c r="BV93" s="799">
        <v>0</v>
      </c>
    </row>
    <row r="94" spans="1:74" ht="15" customHeight="1">
      <c r="A94" s="96"/>
      <c r="B94" s="1164"/>
      <c r="C94" s="43" t="s">
        <v>56</v>
      </c>
      <c r="D94" s="44">
        <v>100</v>
      </c>
      <c r="E94" s="44">
        <v>3321</v>
      </c>
      <c r="F94" s="44">
        <v>3167</v>
      </c>
      <c r="G94" s="44">
        <v>2711</v>
      </c>
      <c r="H94" s="44">
        <v>1058</v>
      </c>
      <c r="I94" s="44">
        <v>402</v>
      </c>
      <c r="J94" s="44">
        <v>211</v>
      </c>
      <c r="K94" s="44">
        <v>0</v>
      </c>
      <c r="L94" s="383">
        <v>0</v>
      </c>
      <c r="M94" s="383">
        <v>0</v>
      </c>
      <c r="N94" s="177">
        <v>0</v>
      </c>
      <c r="O94" s="383">
        <f t="shared" si="136"/>
        <v>0</v>
      </c>
      <c r="P94" s="383">
        <f t="shared" si="136"/>
        <v>0</v>
      </c>
      <c r="Q94" s="177">
        <v>0</v>
      </c>
      <c r="R94" s="383">
        <v>0</v>
      </c>
      <c r="S94" s="383">
        <v>0</v>
      </c>
      <c r="T94" s="177">
        <v>0</v>
      </c>
      <c r="U94" s="383">
        <f t="shared" si="139"/>
        <v>0</v>
      </c>
      <c r="V94" s="383">
        <f t="shared" si="140"/>
        <v>0</v>
      </c>
      <c r="W94" s="177">
        <v>0</v>
      </c>
      <c r="X94" s="383">
        <v>0</v>
      </c>
      <c r="Y94" s="383">
        <v>0</v>
      </c>
      <c r="Z94" s="177">
        <v>0</v>
      </c>
      <c r="AA94" s="527">
        <f t="shared" si="143"/>
        <v>0</v>
      </c>
      <c r="AB94" s="527">
        <f t="shared" si="144"/>
        <v>0</v>
      </c>
      <c r="AC94" s="521">
        <v>0</v>
      </c>
      <c r="AD94" s="527">
        <v>0</v>
      </c>
      <c r="AE94" s="527">
        <v>0</v>
      </c>
      <c r="AF94" s="521">
        <v>0</v>
      </c>
      <c r="AG94" s="527">
        <f t="shared" si="147"/>
        <v>0</v>
      </c>
      <c r="AH94" s="527">
        <f t="shared" si="147"/>
        <v>148</v>
      </c>
      <c r="AI94" s="521">
        <v>0</v>
      </c>
      <c r="AJ94" s="527">
        <v>0</v>
      </c>
      <c r="AK94" s="527">
        <v>148</v>
      </c>
      <c r="AL94" s="521">
        <v>0</v>
      </c>
      <c r="AM94" s="661">
        <f t="shared" si="150"/>
        <v>0</v>
      </c>
      <c r="AN94" s="661">
        <f t="shared" si="151"/>
        <v>98</v>
      </c>
      <c r="AO94" s="647">
        <v>0</v>
      </c>
      <c r="AP94" s="817">
        <v>0</v>
      </c>
      <c r="AQ94" s="817">
        <v>246</v>
      </c>
      <c r="AR94" s="647">
        <v>0</v>
      </c>
      <c r="AS94" s="817">
        <f t="shared" si="153"/>
        <v>0</v>
      </c>
      <c r="AT94" s="817">
        <f t="shared" si="153"/>
        <v>0</v>
      </c>
      <c r="AU94" s="799">
        <v>0</v>
      </c>
      <c r="AV94" s="969">
        <v>0</v>
      </c>
      <c r="AW94" s="969">
        <v>246</v>
      </c>
      <c r="AX94" s="799">
        <v>0</v>
      </c>
      <c r="AY94" s="817">
        <f t="shared" si="154"/>
        <v>0</v>
      </c>
      <c r="AZ94" s="817">
        <f t="shared" si="155"/>
        <v>0</v>
      </c>
      <c r="BA94" s="799">
        <v>0</v>
      </c>
      <c r="BB94" s="817">
        <v>0</v>
      </c>
      <c r="BC94" s="817">
        <v>246</v>
      </c>
      <c r="BD94" s="799">
        <v>0</v>
      </c>
      <c r="BE94" s="817">
        <f t="shared" si="156"/>
        <v>0</v>
      </c>
      <c r="BF94" s="817">
        <f t="shared" si="156"/>
        <v>0</v>
      </c>
      <c r="BG94" s="799">
        <v>0</v>
      </c>
      <c r="BH94" s="817">
        <v>0</v>
      </c>
      <c r="BI94" s="817">
        <v>246</v>
      </c>
      <c r="BJ94" s="799">
        <v>0</v>
      </c>
      <c r="BK94" s="817">
        <f t="shared" si="157"/>
        <v>0</v>
      </c>
      <c r="BL94" s="817">
        <f t="shared" si="157"/>
        <v>0</v>
      </c>
      <c r="BM94" s="799">
        <v>0</v>
      </c>
      <c r="BN94" s="817">
        <v>0</v>
      </c>
      <c r="BO94" s="817">
        <v>246</v>
      </c>
      <c r="BP94" s="799">
        <v>0</v>
      </c>
      <c r="BQ94" s="817">
        <f t="shared" si="158"/>
        <v>0</v>
      </c>
      <c r="BR94" s="817">
        <f t="shared" si="158"/>
        <v>0</v>
      </c>
      <c r="BS94" s="799">
        <v>0</v>
      </c>
      <c r="BT94" s="817">
        <v>0</v>
      </c>
      <c r="BU94" s="817">
        <v>246</v>
      </c>
      <c r="BV94" s="799">
        <v>0</v>
      </c>
    </row>
    <row r="95" spans="1:74" ht="15" customHeight="1">
      <c r="A95" s="96"/>
      <c r="B95" s="1164"/>
      <c r="C95" s="43" t="s">
        <v>156</v>
      </c>
      <c r="D95" s="44">
        <v>623</v>
      </c>
      <c r="E95" s="44">
        <v>7619</v>
      </c>
      <c r="F95" s="44">
        <v>10691</v>
      </c>
      <c r="G95" s="44">
        <v>2766</v>
      </c>
      <c r="H95" s="44">
        <v>2441</v>
      </c>
      <c r="I95" s="44">
        <v>1231</v>
      </c>
      <c r="J95" s="44">
        <v>101</v>
      </c>
      <c r="K95" s="44">
        <v>0</v>
      </c>
      <c r="L95" s="383">
        <v>0</v>
      </c>
      <c r="M95" s="383">
        <v>0</v>
      </c>
      <c r="N95" s="177">
        <v>0</v>
      </c>
      <c r="O95" s="383">
        <f t="shared" si="136"/>
        <v>0</v>
      </c>
      <c r="P95" s="383">
        <f t="shared" si="136"/>
        <v>0</v>
      </c>
      <c r="Q95" s="177">
        <v>0</v>
      </c>
      <c r="R95" s="383">
        <v>0</v>
      </c>
      <c r="S95" s="383">
        <v>0</v>
      </c>
      <c r="T95" s="177">
        <v>0</v>
      </c>
      <c r="U95" s="383">
        <f t="shared" si="139"/>
        <v>0</v>
      </c>
      <c r="V95" s="383">
        <f t="shared" si="140"/>
        <v>0</v>
      </c>
      <c r="W95" s="177">
        <v>0</v>
      </c>
      <c r="X95" s="383">
        <v>0</v>
      </c>
      <c r="Y95" s="383">
        <v>0</v>
      </c>
      <c r="Z95" s="177">
        <v>0</v>
      </c>
      <c r="AA95" s="527">
        <f t="shared" si="143"/>
        <v>0</v>
      </c>
      <c r="AB95" s="527">
        <f t="shared" si="144"/>
        <v>0</v>
      </c>
      <c r="AC95" s="521">
        <v>0</v>
      </c>
      <c r="AD95" s="527">
        <v>0</v>
      </c>
      <c r="AE95" s="527">
        <v>0</v>
      </c>
      <c r="AF95" s="521">
        <v>0</v>
      </c>
      <c r="AG95" s="527">
        <f t="shared" si="147"/>
        <v>0</v>
      </c>
      <c r="AH95" s="527">
        <f t="shared" si="147"/>
        <v>0</v>
      </c>
      <c r="AI95" s="521">
        <v>0</v>
      </c>
      <c r="AJ95" s="527">
        <v>0</v>
      </c>
      <c r="AK95" s="527">
        <v>0</v>
      </c>
      <c r="AL95" s="521">
        <v>0</v>
      </c>
      <c r="AM95" s="661">
        <f t="shared" si="150"/>
        <v>0</v>
      </c>
      <c r="AN95" s="661">
        <f t="shared" si="151"/>
        <v>0</v>
      </c>
      <c r="AO95" s="647">
        <v>0</v>
      </c>
      <c r="AP95" s="817">
        <v>0</v>
      </c>
      <c r="AQ95" s="817">
        <v>0</v>
      </c>
      <c r="AR95" s="647">
        <v>0</v>
      </c>
      <c r="AS95" s="817">
        <f t="shared" si="153"/>
        <v>0</v>
      </c>
      <c r="AT95" s="817">
        <f t="shared" si="153"/>
        <v>0</v>
      </c>
      <c r="AU95" s="799">
        <v>0</v>
      </c>
      <c r="AV95" s="969">
        <v>0</v>
      </c>
      <c r="AW95" s="969">
        <v>0</v>
      </c>
      <c r="AX95" s="799">
        <v>0</v>
      </c>
      <c r="AY95" s="817">
        <f t="shared" si="154"/>
        <v>0</v>
      </c>
      <c r="AZ95" s="817">
        <f t="shared" si="155"/>
        <v>0</v>
      </c>
      <c r="BA95" s="799">
        <v>0</v>
      </c>
      <c r="BB95" s="817">
        <v>0</v>
      </c>
      <c r="BC95" s="817">
        <v>0</v>
      </c>
      <c r="BD95" s="799">
        <v>0</v>
      </c>
      <c r="BE95" s="817">
        <f t="shared" si="156"/>
        <v>0</v>
      </c>
      <c r="BF95" s="817">
        <f t="shared" si="156"/>
        <v>0</v>
      </c>
      <c r="BG95" s="799">
        <v>0</v>
      </c>
      <c r="BH95" s="817">
        <v>0</v>
      </c>
      <c r="BI95" s="817">
        <v>0</v>
      </c>
      <c r="BJ95" s="799">
        <v>0</v>
      </c>
      <c r="BK95" s="817">
        <f t="shared" si="157"/>
        <v>0</v>
      </c>
      <c r="BL95" s="817">
        <f t="shared" si="157"/>
        <v>0</v>
      </c>
      <c r="BM95" s="799">
        <v>0</v>
      </c>
      <c r="BN95" s="817">
        <v>0</v>
      </c>
      <c r="BO95" s="817">
        <v>0</v>
      </c>
      <c r="BP95" s="799">
        <v>0</v>
      </c>
      <c r="BQ95" s="817">
        <f t="shared" si="158"/>
        <v>0</v>
      </c>
      <c r="BR95" s="817">
        <f t="shared" si="158"/>
        <v>0</v>
      </c>
      <c r="BS95" s="799">
        <v>0</v>
      </c>
      <c r="BT95" s="817">
        <v>0</v>
      </c>
      <c r="BU95" s="817">
        <v>0</v>
      </c>
      <c r="BV95" s="799">
        <v>0</v>
      </c>
    </row>
    <row r="96" spans="1:74" ht="15" customHeight="1">
      <c r="A96" s="96"/>
      <c r="B96" s="1164"/>
      <c r="C96" s="43" t="s">
        <v>173</v>
      </c>
      <c r="D96" s="44">
        <f t="shared" ref="D96:M96" si="188">D97-SUM(D72:D95)</f>
        <v>3561</v>
      </c>
      <c r="E96" s="44">
        <f t="shared" si="188"/>
        <v>5698</v>
      </c>
      <c r="F96" s="44">
        <f t="shared" si="188"/>
        <v>4786</v>
      </c>
      <c r="G96" s="44">
        <f t="shared" si="188"/>
        <v>5810</v>
      </c>
      <c r="H96" s="44">
        <f t="shared" si="188"/>
        <v>3053</v>
      </c>
      <c r="I96" s="44">
        <f t="shared" si="188"/>
        <v>7566</v>
      </c>
      <c r="J96" s="44">
        <f t="shared" si="188"/>
        <v>5372</v>
      </c>
      <c r="K96" s="44">
        <f t="shared" si="188"/>
        <v>4359</v>
      </c>
      <c r="L96" s="383">
        <f t="shared" si="188"/>
        <v>48</v>
      </c>
      <c r="M96" s="390">
        <f t="shared" si="188"/>
        <v>562</v>
      </c>
      <c r="N96" s="89">
        <f>ROUND(((M96/L96-1)*100), 1)</f>
        <v>1070.8</v>
      </c>
      <c r="O96" s="383">
        <f>O97-SUM(O72:O95)</f>
        <v>67</v>
      </c>
      <c r="P96" s="390">
        <f>P97-SUM(P72:P95)</f>
        <v>134</v>
      </c>
      <c r="Q96" s="89">
        <f>ROUND(((P96/O96-1)*100), 1)</f>
        <v>100</v>
      </c>
      <c r="R96" s="383">
        <f>R97-SUM(R72:R95)</f>
        <v>115</v>
      </c>
      <c r="S96" s="390">
        <f>S97-SUM(S72:S95)</f>
        <v>696</v>
      </c>
      <c r="T96" s="89">
        <f>ROUND(((S96/R96-1)*100), 1)</f>
        <v>505.2</v>
      </c>
      <c r="U96" s="383">
        <f>U97-SUM(U72:U95)</f>
        <v>573</v>
      </c>
      <c r="V96" s="390">
        <f>V97-SUM(V72:V95)</f>
        <v>180</v>
      </c>
      <c r="W96" s="89">
        <f>ROUND(((V96/U96-1)*100), 1)</f>
        <v>-68.599999999999994</v>
      </c>
      <c r="X96" s="383">
        <f>X97-SUM(X72:X95)</f>
        <v>688</v>
      </c>
      <c r="Y96" s="390">
        <f>Y97-SUM(Y72:Y95)</f>
        <v>876</v>
      </c>
      <c r="Z96" s="89">
        <f>ROUND(((Y96/X96-1)*100), 1)</f>
        <v>27.3</v>
      </c>
      <c r="AA96" s="527">
        <f>AA97-SUM(AA72:AA95)</f>
        <v>286</v>
      </c>
      <c r="AB96" s="390">
        <f>AB97-SUM(AB72:AB95)</f>
        <v>642</v>
      </c>
      <c r="AC96" s="89">
        <f>ROUND(((AB96/AA96-1)*100), 1)</f>
        <v>124.5</v>
      </c>
      <c r="AD96" s="527">
        <f>AD97-SUM(AD72:AD95)</f>
        <v>974</v>
      </c>
      <c r="AE96" s="390">
        <f>AE97-SUM(AE72:AE95)</f>
        <v>1518</v>
      </c>
      <c r="AF96" s="89">
        <f>ROUND(((AE96/AD96-1)*100), 1)</f>
        <v>55.9</v>
      </c>
      <c r="AG96" s="527">
        <f>AG97-SUM(AG72:AG95)</f>
        <v>92</v>
      </c>
      <c r="AH96" s="390">
        <f>AH97-SUM(AH72:AH95)</f>
        <v>481</v>
      </c>
      <c r="AI96" s="89">
        <f>ROUND(((AH96/AG96-1)*100), 1)</f>
        <v>422.8</v>
      </c>
      <c r="AJ96" s="527">
        <f>AJ97-SUM(AJ72:AJ95)</f>
        <v>1066</v>
      </c>
      <c r="AK96" s="390">
        <f>AK97-SUM(AK72:AK95)</f>
        <v>1999</v>
      </c>
      <c r="AL96" s="89">
        <f>ROUND(((AK96/AJ96-1)*100), 1)</f>
        <v>87.5</v>
      </c>
      <c r="AM96" s="661">
        <f>AM97-SUM(AM72:AM95)</f>
        <v>721</v>
      </c>
      <c r="AN96" s="663">
        <f>AN97-SUM(AN72:AN95)</f>
        <v>176</v>
      </c>
      <c r="AO96" s="646">
        <f>ROUND(((AN96/AM96-1)*100), 1)</f>
        <v>-75.599999999999994</v>
      </c>
      <c r="AP96" s="817">
        <f>AP97-SUM(AP72:AP95)</f>
        <v>1787</v>
      </c>
      <c r="AQ96" s="819">
        <f>AQ97-SUM(AQ72:AQ95)</f>
        <v>2175</v>
      </c>
      <c r="AR96" s="646">
        <f>ROUND(((AQ96/AP96-1)*100), 1)</f>
        <v>21.7</v>
      </c>
      <c r="AS96" s="817">
        <f>AS97-SUM(AS72:AS95)</f>
        <v>543</v>
      </c>
      <c r="AT96" s="819">
        <f>AT97-SUM(AT72:AT95)</f>
        <v>334</v>
      </c>
      <c r="AU96" s="646">
        <f>ROUND(((AT96/AS96-1)*100), 1)</f>
        <v>-38.5</v>
      </c>
      <c r="AV96" s="969">
        <f>AV97-SUM(AV72:AV95)</f>
        <v>2330</v>
      </c>
      <c r="AW96" s="970">
        <f>AW97-SUM(AW72:AW95)</f>
        <v>2509</v>
      </c>
      <c r="AX96" s="646">
        <f>ROUND(((AW96/AV96-1)*100), 1)</f>
        <v>7.7</v>
      </c>
      <c r="AY96" s="817">
        <f>AY97-SUM(AY72:AY95)</f>
        <v>0</v>
      </c>
      <c r="AZ96" s="819">
        <f>AZ97-SUM(AZ72:AZ95)</f>
        <v>342</v>
      </c>
      <c r="BA96" s="800">
        <v>0</v>
      </c>
      <c r="BB96" s="817">
        <f>BB97-SUM(BB72:BB95)</f>
        <v>2330</v>
      </c>
      <c r="BC96" s="819">
        <f>BC97-SUM(BC72:BC95)</f>
        <v>2851</v>
      </c>
      <c r="BD96" s="646">
        <f>ROUND(((BC96/BB96-1)*100), 1)</f>
        <v>22.4</v>
      </c>
      <c r="BE96" s="817">
        <f>BE97-SUM(BE72:BE95)</f>
        <v>396</v>
      </c>
      <c r="BF96" s="819">
        <f>BF97-SUM(BF72:BF95)</f>
        <v>116</v>
      </c>
      <c r="BG96" s="753">
        <f t="shared" ref="BG96" si="189">ROUND(((BF96/BE96-1)*100), 1)</f>
        <v>-70.7</v>
      </c>
      <c r="BH96" s="817">
        <f>BH97-SUM(BH72:BH95)</f>
        <v>2726</v>
      </c>
      <c r="BI96" s="819">
        <f>BI97-SUM(BI72:BI95)</f>
        <v>2967</v>
      </c>
      <c r="BJ96" s="646">
        <f>ROUND(((BI96/BH96-1)*100), 1)</f>
        <v>8.8000000000000007</v>
      </c>
      <c r="BK96" s="817">
        <f>BK97-SUM(BK72:BK95)</f>
        <v>664</v>
      </c>
      <c r="BL96" s="819">
        <f>BL97-SUM(BL72:BL95)</f>
        <v>360</v>
      </c>
      <c r="BM96" s="753">
        <f t="shared" ref="BM96" si="190">ROUND(((BL96/BK96-1)*100), 1)</f>
        <v>-45.8</v>
      </c>
      <c r="BN96" s="817">
        <f>BN97-SUM(BN72:BN95)</f>
        <v>3390</v>
      </c>
      <c r="BO96" s="819">
        <f>BO97-SUM(BO72:BO95)</f>
        <v>3327</v>
      </c>
      <c r="BP96" s="646">
        <f>ROUND(((BO96/BN96-1)*100), 1)</f>
        <v>-1.9</v>
      </c>
      <c r="BQ96" s="817">
        <f>BQ97-SUM(BQ72:BQ95)</f>
        <v>456</v>
      </c>
      <c r="BR96" s="819">
        <f>BR97-SUM(BR72:BR95)</f>
        <v>336</v>
      </c>
      <c r="BS96" s="753">
        <f>ROUND(((BR96/BQ96-1)*100), 1)</f>
        <v>-26.3</v>
      </c>
      <c r="BT96" s="817">
        <f>BT97-SUM(BT72:BT95)</f>
        <v>3846</v>
      </c>
      <c r="BU96" s="819">
        <f>BU97-SUM(BU72:BU95)</f>
        <v>3663</v>
      </c>
      <c r="BV96" s="646">
        <f>ROUND(((BU96/BT96-1)*100), 1)</f>
        <v>-4.8</v>
      </c>
    </row>
    <row r="97" spans="1:74" ht="15" customHeight="1">
      <c r="A97" s="96"/>
      <c r="B97" s="1164"/>
      <c r="C97" s="166" t="s">
        <v>293</v>
      </c>
      <c r="D97" s="46">
        <v>32270</v>
      </c>
      <c r="E97" s="46">
        <v>49489</v>
      </c>
      <c r="F97" s="46">
        <v>76314</v>
      </c>
      <c r="G97" s="46">
        <v>66257</v>
      </c>
      <c r="H97" s="46">
        <v>45058</v>
      </c>
      <c r="I97" s="46">
        <v>55207</v>
      </c>
      <c r="J97" s="46">
        <v>52066</v>
      </c>
      <c r="K97" s="46">
        <v>54431</v>
      </c>
      <c r="L97" s="403">
        <v>3747</v>
      </c>
      <c r="M97" s="403">
        <v>4700</v>
      </c>
      <c r="N97" s="550">
        <f t="shared" ref="N97:N98" si="191">ROUND(((M97/L97-1)*100), 1)</f>
        <v>25.4</v>
      </c>
      <c r="O97" s="403">
        <f>R97-L97</f>
        <v>3054</v>
      </c>
      <c r="P97" s="403">
        <f>S97-M97</f>
        <v>2916</v>
      </c>
      <c r="Q97" s="550">
        <f t="shared" ref="Q97:Q98" si="192">ROUND(((P97/O97-1)*100), 1)</f>
        <v>-4.5</v>
      </c>
      <c r="R97" s="403">
        <v>6801</v>
      </c>
      <c r="S97" s="403">
        <v>7616</v>
      </c>
      <c r="T97" s="550">
        <f t="shared" ref="T97:T98" si="193">ROUND(((S97/R97-1)*100), 1)</f>
        <v>12</v>
      </c>
      <c r="U97" s="403">
        <f>X97-R97</f>
        <v>4051</v>
      </c>
      <c r="V97" s="403">
        <f>Y97-S97</f>
        <v>4516</v>
      </c>
      <c r="W97" s="550">
        <f t="shared" ref="W97:W98" si="194">ROUND(((V97/U97-1)*100), 1)</f>
        <v>11.5</v>
      </c>
      <c r="X97" s="403">
        <v>10852</v>
      </c>
      <c r="Y97" s="403">
        <v>12132</v>
      </c>
      <c r="Z97" s="550">
        <f t="shared" ref="Z97:Z98" si="195">ROUND(((Y97/X97-1)*100), 1)</f>
        <v>11.8</v>
      </c>
      <c r="AA97" s="403">
        <f>AD97-X97</f>
        <v>5578</v>
      </c>
      <c r="AB97" s="403">
        <f>AE97-Y97</f>
        <v>4120</v>
      </c>
      <c r="AC97" s="550">
        <f t="shared" ref="AC97:AC98" si="196">ROUND(((AB97/AA97-1)*100), 1)</f>
        <v>-26.1</v>
      </c>
      <c r="AD97" s="403">
        <v>16430</v>
      </c>
      <c r="AE97" s="403">
        <v>16252</v>
      </c>
      <c r="AF97" s="550">
        <f t="shared" ref="AF97:AF98" si="197">ROUND(((AE97/AD97-1)*100), 1)</f>
        <v>-1.1000000000000001</v>
      </c>
      <c r="AG97" s="403">
        <f>AJ97-AD97</f>
        <v>4639</v>
      </c>
      <c r="AH97" s="403">
        <f>AK97-AE97</f>
        <v>2440</v>
      </c>
      <c r="AI97" s="550">
        <f t="shared" ref="AI97:AI98" si="198">ROUND(((AH97/AG97-1)*100), 1)</f>
        <v>-47.4</v>
      </c>
      <c r="AJ97" s="403">
        <v>21069</v>
      </c>
      <c r="AK97" s="281">
        <v>18692</v>
      </c>
      <c r="AL97" s="550">
        <f t="shared" ref="AL97:AL98" si="199">ROUND(((AK97/AJ97-1)*100), 1)</f>
        <v>-11.3</v>
      </c>
      <c r="AM97" s="664">
        <f>AP97-AJ97</f>
        <v>4377</v>
      </c>
      <c r="AN97" s="664">
        <f>AQ97-AK97</f>
        <v>4167</v>
      </c>
      <c r="AO97" s="667">
        <f t="shared" ref="AO97:AO98" si="200">ROUND(((AN97/AM97-1)*100), 1)</f>
        <v>-4.8</v>
      </c>
      <c r="AP97" s="814">
        <v>25446</v>
      </c>
      <c r="AQ97" s="760">
        <v>22859</v>
      </c>
      <c r="AR97" s="667">
        <f t="shared" ref="AR97:AR98" si="201">ROUND(((AQ97/AP97-1)*100), 1)</f>
        <v>-10.199999999999999</v>
      </c>
      <c r="AS97" s="814">
        <f>AV97-AP97</f>
        <v>2911</v>
      </c>
      <c r="AT97" s="808">
        <f>AW97-AQ97</f>
        <v>4599</v>
      </c>
      <c r="AU97" s="909">
        <f>ROUND(((AT97/AS97-1)*100), 1)</f>
        <v>58</v>
      </c>
      <c r="AV97" s="971">
        <v>28357</v>
      </c>
      <c r="AW97" s="972">
        <v>27458</v>
      </c>
      <c r="AX97" s="909">
        <f>ROUND(((AW97/AV97-1)*100), 1)</f>
        <v>-3.2</v>
      </c>
      <c r="AY97" s="814">
        <f>BB97-AV97</f>
        <v>3275</v>
      </c>
      <c r="AZ97" s="808">
        <f>BC97-AW97</f>
        <v>3347</v>
      </c>
      <c r="BA97" s="909">
        <f>ROUND(((AZ97/AY97-1)*100), 1)</f>
        <v>2.2000000000000002</v>
      </c>
      <c r="BB97" s="814">
        <v>31632</v>
      </c>
      <c r="BC97" s="808">
        <v>30805</v>
      </c>
      <c r="BD97" s="909">
        <f>ROUND(((BC97/BB97-1)*100), 1)</f>
        <v>-2.6</v>
      </c>
      <c r="BE97" s="814">
        <f>BH97-BB97</f>
        <v>4673</v>
      </c>
      <c r="BF97" s="808">
        <f>BI97-BC97</f>
        <v>3435</v>
      </c>
      <c r="BG97" s="909">
        <f>ROUND(((BF97/BE97-1)*100), 1)</f>
        <v>-26.5</v>
      </c>
      <c r="BH97" s="814">
        <v>36305</v>
      </c>
      <c r="BI97" s="808">
        <v>34240</v>
      </c>
      <c r="BJ97" s="909">
        <f>ROUND(((BI97/BH97-1)*100), 1)</f>
        <v>-5.7</v>
      </c>
      <c r="BK97" s="814">
        <f>BN97-BH97</f>
        <v>6834</v>
      </c>
      <c r="BL97" s="808">
        <f>BO97-BI97</f>
        <v>4218</v>
      </c>
      <c r="BM97" s="909">
        <f>ROUND(((BL97/BK97-1)*100), 1)</f>
        <v>-38.299999999999997</v>
      </c>
      <c r="BN97" s="814">
        <v>43139</v>
      </c>
      <c r="BO97" s="808">
        <v>38458</v>
      </c>
      <c r="BP97" s="909">
        <f>ROUND(((BO97/BN97-1)*100), 1)</f>
        <v>-10.9</v>
      </c>
      <c r="BQ97" s="814">
        <f>BT97-BN97</f>
        <v>5688</v>
      </c>
      <c r="BR97" s="808">
        <f>BU97-BO97</f>
        <v>2976</v>
      </c>
      <c r="BS97" s="909">
        <f>ROUND(((BR97/BQ97-1)*100), 1)</f>
        <v>-47.7</v>
      </c>
      <c r="BT97" s="814">
        <v>48827</v>
      </c>
      <c r="BU97" s="808">
        <v>41434</v>
      </c>
      <c r="BV97" s="909">
        <f>ROUND(((BU97/BT97-1)*100), 1)</f>
        <v>-15.1</v>
      </c>
    </row>
    <row r="98" spans="1:74" ht="15" customHeight="1">
      <c r="A98" s="9"/>
      <c r="B98" s="1162" t="s">
        <v>181</v>
      </c>
      <c r="C98" s="1121"/>
      <c r="D98" s="46">
        <f t="shared" ref="D98:M98" si="202">SUM(D71+D97)</f>
        <v>122828</v>
      </c>
      <c r="E98" s="46">
        <f t="shared" si="202"/>
        <v>183728</v>
      </c>
      <c r="F98" s="46">
        <f t="shared" si="202"/>
        <v>181021</v>
      </c>
      <c r="G98" s="46">
        <f t="shared" si="202"/>
        <v>172177</v>
      </c>
      <c r="H98" s="46">
        <f t="shared" si="202"/>
        <v>133252</v>
      </c>
      <c r="I98" s="46">
        <f t="shared" si="202"/>
        <v>129570</v>
      </c>
      <c r="J98" s="46">
        <f t="shared" si="202"/>
        <v>143766</v>
      </c>
      <c r="K98" s="46">
        <f t="shared" si="202"/>
        <v>124960</v>
      </c>
      <c r="L98" s="403">
        <f t="shared" si="202"/>
        <v>10289</v>
      </c>
      <c r="M98" s="295">
        <f t="shared" si="202"/>
        <v>10846</v>
      </c>
      <c r="N98" s="550">
        <f t="shared" si="191"/>
        <v>5.4</v>
      </c>
      <c r="O98" s="403">
        <f>SUM(O71+O97)</f>
        <v>8213</v>
      </c>
      <c r="P98" s="295">
        <f>SUM(P71+P97)</f>
        <v>7508</v>
      </c>
      <c r="Q98" s="550">
        <f t="shared" si="192"/>
        <v>-8.6</v>
      </c>
      <c r="R98" s="403">
        <f>SUM(R71+R97)</f>
        <v>18502</v>
      </c>
      <c r="S98" s="295">
        <f>SUM(S71+S97)</f>
        <v>18354</v>
      </c>
      <c r="T98" s="550">
        <f t="shared" si="193"/>
        <v>-0.8</v>
      </c>
      <c r="U98" s="403">
        <f>SUM(U71+U97)</f>
        <v>8510</v>
      </c>
      <c r="V98" s="295">
        <f>SUM(V71+V97)</f>
        <v>10479</v>
      </c>
      <c r="W98" s="550">
        <f t="shared" si="194"/>
        <v>23.1</v>
      </c>
      <c r="X98" s="403">
        <f>SUM(X71+X97)</f>
        <v>27012</v>
      </c>
      <c r="Y98" s="295">
        <f>SUM(Y71+Y97)</f>
        <v>28833</v>
      </c>
      <c r="Z98" s="550">
        <f t="shared" si="195"/>
        <v>6.7</v>
      </c>
      <c r="AA98" s="403">
        <f>SUM(AA71+AA97)</f>
        <v>11806</v>
      </c>
      <c r="AB98" s="295">
        <f>SUM(AB71+AB97)</f>
        <v>8926</v>
      </c>
      <c r="AC98" s="550">
        <f t="shared" si="196"/>
        <v>-24.4</v>
      </c>
      <c r="AD98" s="403">
        <f>SUM(AD71+AD97)</f>
        <v>38818</v>
      </c>
      <c r="AE98" s="295">
        <f>SUM(AE71+AE97)</f>
        <v>37759</v>
      </c>
      <c r="AF98" s="550">
        <f t="shared" si="197"/>
        <v>-2.7</v>
      </c>
      <c r="AG98" s="403">
        <f>SUM(AG71+AG97)</f>
        <v>11030</v>
      </c>
      <c r="AH98" s="295">
        <f>SUM(AH71+AH97)</f>
        <v>7559</v>
      </c>
      <c r="AI98" s="550">
        <f t="shared" si="198"/>
        <v>-31.5</v>
      </c>
      <c r="AJ98" s="403">
        <f>SUM(AJ71+AJ97)</f>
        <v>49848</v>
      </c>
      <c r="AK98" s="549">
        <f>SUM(AK71+AK97)</f>
        <v>45318</v>
      </c>
      <c r="AL98" s="550">
        <f t="shared" si="199"/>
        <v>-9.1</v>
      </c>
      <c r="AM98" s="664">
        <f>SUM(AM71+AM97)</f>
        <v>9259</v>
      </c>
      <c r="AN98" s="658">
        <f>SUM(AN71+AN97)</f>
        <v>10693</v>
      </c>
      <c r="AO98" s="667">
        <f t="shared" si="200"/>
        <v>15.5</v>
      </c>
      <c r="AP98" s="814">
        <f>SUM(AP71+AP97)</f>
        <v>59107</v>
      </c>
      <c r="AQ98" s="549">
        <f>SUM(AQ71+AQ97)</f>
        <v>56011</v>
      </c>
      <c r="AR98" s="667">
        <f t="shared" si="201"/>
        <v>-5.2</v>
      </c>
      <c r="AS98" s="814">
        <f>SUM(AS71+AS97)</f>
        <v>6592</v>
      </c>
      <c r="AT98" s="808">
        <f>SUM(AT71+AT97)</f>
        <v>15831</v>
      </c>
      <c r="AU98" s="909">
        <f>ROUND(((AT98/AS98-1)*100), 1)</f>
        <v>140.19999999999999</v>
      </c>
      <c r="AV98" s="971">
        <f>SUM(AV71+AV97)</f>
        <v>65699</v>
      </c>
      <c r="AW98" s="972">
        <f>SUM(AW71+AW97)</f>
        <v>71842</v>
      </c>
      <c r="AX98" s="909">
        <f>ROUND(((AW98/AV98-1)*100), 1)</f>
        <v>9.4</v>
      </c>
      <c r="AY98" s="814">
        <f>SUM(AY71+AY97)</f>
        <v>7611</v>
      </c>
      <c r="AZ98" s="808">
        <f>SUM(AZ71+AZ97)</f>
        <v>10617</v>
      </c>
      <c r="BA98" s="909">
        <f>ROUND(((AZ98/AY98-1)*100), 1)</f>
        <v>39.5</v>
      </c>
      <c r="BB98" s="814">
        <f>SUM(BB71+BB97)</f>
        <v>73310</v>
      </c>
      <c r="BC98" s="808">
        <f>SUM(BC71+BC97)</f>
        <v>82459</v>
      </c>
      <c r="BD98" s="909">
        <f>ROUND(((BC98/BB98-1)*100), 1)</f>
        <v>12.5</v>
      </c>
      <c r="BE98" s="814">
        <f>SUM(BE71+BE97)</f>
        <v>10285</v>
      </c>
      <c r="BF98" s="808">
        <f>SUM(BF71+BF97)</f>
        <v>10300</v>
      </c>
      <c r="BG98" s="909">
        <f>ROUND(((BF98/BE98-1)*100), 1)</f>
        <v>0.1</v>
      </c>
      <c r="BH98" s="814">
        <f>SUM(BH71+BH97)</f>
        <v>83595</v>
      </c>
      <c r="BI98" s="808">
        <f>SUM(BI71+BI97)</f>
        <v>92759</v>
      </c>
      <c r="BJ98" s="909">
        <f>ROUND(((BI98/BH98-1)*100), 1)</f>
        <v>11</v>
      </c>
      <c r="BK98" s="814">
        <f>SUM(BK71+BK97)</f>
        <v>12939</v>
      </c>
      <c r="BL98" s="808">
        <f>SUM(BL71+BL97)</f>
        <v>15632</v>
      </c>
      <c r="BM98" s="909">
        <f>ROUND(((BL98/BK98-1)*100), 1)</f>
        <v>20.8</v>
      </c>
      <c r="BN98" s="814">
        <f>SUM(BN71+BN97)</f>
        <v>96534</v>
      </c>
      <c r="BO98" s="808">
        <f>SUM(BO71+BO97)</f>
        <v>108391</v>
      </c>
      <c r="BP98" s="909">
        <f>ROUND(((BO98/BN98-1)*100), 1)</f>
        <v>12.3</v>
      </c>
      <c r="BQ98" s="814">
        <f>SUM(BQ71+BQ97)</f>
        <v>13829</v>
      </c>
      <c r="BR98" s="808">
        <f>SUM(BR71+BR97)</f>
        <v>13750</v>
      </c>
      <c r="BS98" s="909">
        <f>ROUND(((BR98/BQ98-1)*100), 1)</f>
        <v>-0.6</v>
      </c>
      <c r="BT98" s="814">
        <f>SUM(BT71+BT97)</f>
        <v>110363</v>
      </c>
      <c r="BU98" s="808">
        <f>SUM(BU71+BU97)</f>
        <v>122141</v>
      </c>
      <c r="BV98" s="909">
        <f>ROUND(((BU98/BT98-1)*100), 1)</f>
        <v>10.7</v>
      </c>
    </row>
    <row r="99" spans="1:74">
      <c r="A99" s="92" t="s">
        <v>118</v>
      </c>
      <c r="N99" s="240"/>
    </row>
  </sheetData>
  <sortState ref="C74:N95">
    <sortCondition descending="1" ref="K74:K95"/>
  </sortState>
  <mergeCells count="36">
    <mergeCell ref="BQ4:BS4"/>
    <mergeCell ref="BT4:BV4"/>
    <mergeCell ref="BK4:BM4"/>
    <mergeCell ref="BN4:BP4"/>
    <mergeCell ref="BE4:BG4"/>
    <mergeCell ref="BH4:BJ4"/>
    <mergeCell ref="AY4:BA4"/>
    <mergeCell ref="BB4:BD4"/>
    <mergeCell ref="H4:H5"/>
    <mergeCell ref="O4:Q4"/>
    <mergeCell ref="R4:T4"/>
    <mergeCell ref="AD4:AF4"/>
    <mergeCell ref="I4:I5"/>
    <mergeCell ref="J4:J5"/>
    <mergeCell ref="L4:N4"/>
    <mergeCell ref="K4:K5"/>
    <mergeCell ref="AA4:AC4"/>
    <mergeCell ref="U4:W4"/>
    <mergeCell ref="X4:Z4"/>
    <mergeCell ref="A4:C5"/>
    <mergeCell ref="E4:E5"/>
    <mergeCell ref="F4:F5"/>
    <mergeCell ref="G4:G5"/>
    <mergeCell ref="D4:D5"/>
    <mergeCell ref="B98:C98"/>
    <mergeCell ref="B50:B71"/>
    <mergeCell ref="B6:B29"/>
    <mergeCell ref="B30:B48"/>
    <mergeCell ref="B49:C49"/>
    <mergeCell ref="B72:B97"/>
    <mergeCell ref="AV4:AX4"/>
    <mergeCell ref="AM4:AO4"/>
    <mergeCell ref="AP4:AR4"/>
    <mergeCell ref="AG4:AI4"/>
    <mergeCell ref="AJ4:AL4"/>
    <mergeCell ref="AS4:AU4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90" orientation="portrait" r:id="rId1"/>
  <rowBreaks count="1" manualBreakCount="1">
    <brk id="4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64"/>
  <sheetViews>
    <sheetView workbookViewId="0">
      <pane xSplit="10" ySplit="4" topLeftCell="BJ5" activePane="bottomRight" state="frozen"/>
      <selection pane="topRight" activeCell="K1" sqref="K1"/>
      <selection pane="bottomLeft" activeCell="A5" sqref="A5"/>
      <selection pane="bottomRight"/>
    </sheetView>
  </sheetViews>
  <sheetFormatPr defaultRowHeight="16.5"/>
  <cols>
    <col min="1" max="1" width="6" style="55" customWidth="1"/>
    <col min="2" max="2" width="18.875" style="2" customWidth="1"/>
    <col min="3" max="8" width="11" style="2" hidden="1" customWidth="1"/>
    <col min="9" max="9" width="11" style="228" hidden="1" customWidth="1"/>
    <col min="10" max="10" width="11" style="228" customWidth="1"/>
    <col min="11" max="12" width="11" style="320" hidden="1" customWidth="1"/>
    <col min="13" max="13" width="9" hidden="1" customWidth="1"/>
    <col min="14" max="15" width="11" style="320" hidden="1" customWidth="1"/>
    <col min="16" max="16" width="9" style="291" hidden="1" customWidth="1"/>
    <col min="17" max="18" width="11" style="320" hidden="1" customWidth="1"/>
    <col min="19" max="19" width="9" style="291" hidden="1" customWidth="1"/>
    <col min="20" max="21" width="11" style="320" hidden="1" customWidth="1"/>
    <col min="22" max="22" width="9" style="291" hidden="1" customWidth="1"/>
    <col min="23" max="24" width="11" style="320" hidden="1" customWidth="1"/>
    <col min="25" max="25" width="9" style="291" hidden="1" customWidth="1"/>
    <col min="26" max="27" width="11" style="320" hidden="1" customWidth="1"/>
    <col min="28" max="28" width="9" style="291" hidden="1" customWidth="1"/>
    <col min="29" max="30" width="11" style="320" hidden="1" customWidth="1"/>
    <col min="31" max="31" width="9" style="291" hidden="1" customWidth="1"/>
    <col min="32" max="33" width="11" style="320" hidden="1" customWidth="1"/>
    <col min="34" max="34" width="9" style="291" hidden="1" customWidth="1"/>
    <col min="35" max="36" width="11" style="320" hidden="1" customWidth="1"/>
    <col min="37" max="37" width="9" style="291" hidden="1" customWidth="1"/>
    <col min="38" max="39" width="11" style="672" hidden="1" customWidth="1"/>
    <col min="40" max="40" width="9" style="668" hidden="1" customWidth="1"/>
    <col min="41" max="42" width="11" style="833" hidden="1" customWidth="1"/>
    <col min="43" max="43" width="9" style="668" hidden="1" customWidth="1"/>
    <col min="44" max="45" width="11" style="833" hidden="1" customWidth="1"/>
    <col min="46" max="46" width="9" style="846" hidden="1" customWidth="1"/>
    <col min="47" max="48" width="11" style="960" hidden="1" customWidth="1"/>
    <col min="49" max="49" width="9" style="846" hidden="1" customWidth="1"/>
    <col min="50" max="51" width="11" style="833" hidden="1" customWidth="1"/>
    <col min="52" max="52" width="9" style="846" hidden="1" customWidth="1"/>
    <col min="53" max="54" width="11" style="833" hidden="1" customWidth="1"/>
    <col min="55" max="55" width="9" style="846" hidden="1" customWidth="1"/>
    <col min="56" max="57" width="11" style="833" hidden="1" customWidth="1"/>
    <col min="58" max="58" width="9" style="846" hidden="1" customWidth="1"/>
    <col min="59" max="60" width="11" style="833" hidden="1" customWidth="1"/>
    <col min="61" max="61" width="9" style="846" hidden="1" customWidth="1"/>
    <col min="62" max="63" width="11" style="833" hidden="1" customWidth="1"/>
    <col min="64" max="64" width="9" style="846" hidden="1" customWidth="1"/>
    <col min="65" max="66" width="11" style="833" hidden="1" customWidth="1"/>
    <col min="67" max="67" width="9" style="846" hidden="1" customWidth="1"/>
    <col min="68" max="69" width="11" style="833" customWidth="1"/>
    <col min="70" max="70" width="9" style="846" customWidth="1"/>
    <col min="71" max="72" width="11" style="833" customWidth="1"/>
    <col min="73" max="73" width="9" style="846" customWidth="1"/>
  </cols>
  <sheetData>
    <row r="1" spans="1:73" ht="17.25">
      <c r="A1" s="90" t="s">
        <v>200</v>
      </c>
      <c r="J1" s="249" t="s">
        <v>507</v>
      </c>
      <c r="M1" s="248"/>
    </row>
    <row r="2" spans="1:73">
      <c r="A2" s="30"/>
      <c r="B2" s="30"/>
      <c r="C2" s="30"/>
      <c r="D2" s="30"/>
      <c r="E2" s="30"/>
      <c r="F2" s="30"/>
      <c r="G2" s="30"/>
      <c r="H2" s="30"/>
      <c r="I2" s="279"/>
      <c r="J2" s="279"/>
      <c r="K2" s="279"/>
      <c r="L2" s="279"/>
      <c r="M2" s="251" t="s">
        <v>94</v>
      </c>
      <c r="N2" s="279"/>
      <c r="O2" s="279"/>
      <c r="P2" s="251"/>
      <c r="Q2" s="279"/>
      <c r="R2" s="279"/>
      <c r="S2" s="251" t="s">
        <v>94</v>
      </c>
      <c r="T2" s="279"/>
      <c r="U2" s="279"/>
      <c r="V2" s="251"/>
      <c r="W2" s="279"/>
      <c r="X2" s="279"/>
      <c r="Y2" s="251" t="s">
        <v>94</v>
      </c>
      <c r="Z2" s="279"/>
      <c r="AA2" s="279"/>
      <c r="AB2" s="251"/>
      <c r="AC2" s="279"/>
      <c r="AD2" s="279"/>
      <c r="AE2" s="251" t="s">
        <v>94</v>
      </c>
      <c r="AF2" s="279"/>
      <c r="AG2" s="279"/>
      <c r="AH2" s="251"/>
      <c r="AI2" s="279"/>
      <c r="AJ2" s="279"/>
      <c r="AK2" s="251" t="s">
        <v>94</v>
      </c>
      <c r="AL2" s="669"/>
      <c r="AM2" s="669"/>
      <c r="AN2" s="675"/>
      <c r="AO2" s="746"/>
      <c r="AP2" s="746"/>
      <c r="AQ2" s="675" t="s">
        <v>94</v>
      </c>
      <c r="AR2" s="746"/>
      <c r="AS2" s="746"/>
      <c r="AT2" s="675"/>
      <c r="AU2" s="961"/>
      <c r="AV2" s="961"/>
      <c r="AW2" s="675" t="s">
        <v>94</v>
      </c>
      <c r="AX2" s="746"/>
      <c r="AY2" s="746"/>
      <c r="AZ2" s="675"/>
      <c r="BA2" s="746"/>
      <c r="BB2" s="746"/>
      <c r="BC2" s="675" t="s">
        <v>94</v>
      </c>
      <c r="BD2" s="746"/>
      <c r="BE2" s="746"/>
      <c r="BF2" s="675"/>
      <c r="BG2" s="746"/>
      <c r="BH2" s="746"/>
      <c r="BI2" s="675" t="s">
        <v>94</v>
      </c>
      <c r="BJ2" s="746"/>
      <c r="BK2" s="746"/>
      <c r="BL2" s="675"/>
      <c r="BM2" s="746"/>
      <c r="BN2" s="746"/>
      <c r="BO2" s="675" t="s">
        <v>94</v>
      </c>
      <c r="BP2" s="746"/>
      <c r="BQ2" s="746"/>
      <c r="BR2" s="675"/>
      <c r="BS2" s="746"/>
      <c r="BT2" s="746"/>
      <c r="BU2" s="675" t="s">
        <v>94</v>
      </c>
    </row>
    <row r="3" spans="1:73" ht="18" customHeight="1">
      <c r="A3" s="1157" t="s">
        <v>95</v>
      </c>
      <c r="B3" s="1157"/>
      <c r="C3" s="1157" t="s">
        <v>3</v>
      </c>
      <c r="D3" s="1157" t="s">
        <v>4</v>
      </c>
      <c r="E3" s="1157" t="s">
        <v>5</v>
      </c>
      <c r="F3" s="1157" t="s">
        <v>6</v>
      </c>
      <c r="G3" s="1157" t="s">
        <v>7</v>
      </c>
      <c r="H3" s="1157" t="s">
        <v>8</v>
      </c>
      <c r="I3" s="1157" t="s">
        <v>83</v>
      </c>
      <c r="J3" s="1168" t="s">
        <v>315</v>
      </c>
      <c r="K3" s="1166" t="s">
        <v>40</v>
      </c>
      <c r="L3" s="1157"/>
      <c r="M3" s="1157"/>
      <c r="N3" s="1155" t="s">
        <v>505</v>
      </c>
      <c r="O3" s="1156"/>
      <c r="P3" s="1157"/>
      <c r="Q3" s="1155" t="s">
        <v>506</v>
      </c>
      <c r="R3" s="1156"/>
      <c r="S3" s="1157"/>
      <c r="T3" s="1155" t="s">
        <v>513</v>
      </c>
      <c r="U3" s="1156"/>
      <c r="V3" s="1157"/>
      <c r="W3" s="1155" t="s">
        <v>514</v>
      </c>
      <c r="X3" s="1156"/>
      <c r="Y3" s="1157"/>
      <c r="Z3" s="1155" t="s">
        <v>531</v>
      </c>
      <c r="AA3" s="1156"/>
      <c r="AB3" s="1157"/>
      <c r="AC3" s="1155" t="s">
        <v>533</v>
      </c>
      <c r="AD3" s="1156"/>
      <c r="AE3" s="1157"/>
      <c r="AF3" s="1155" t="s">
        <v>575</v>
      </c>
      <c r="AG3" s="1156"/>
      <c r="AH3" s="1157"/>
      <c r="AI3" s="1155" t="s">
        <v>576</v>
      </c>
      <c r="AJ3" s="1156"/>
      <c r="AK3" s="1157"/>
      <c r="AL3" s="1155" t="s">
        <v>589</v>
      </c>
      <c r="AM3" s="1156"/>
      <c r="AN3" s="1157"/>
      <c r="AO3" s="1155" t="s">
        <v>588</v>
      </c>
      <c r="AP3" s="1156"/>
      <c r="AQ3" s="1157"/>
      <c r="AR3" s="1155" t="s">
        <v>605</v>
      </c>
      <c r="AS3" s="1156"/>
      <c r="AT3" s="1157"/>
      <c r="AU3" s="1155" t="s">
        <v>607</v>
      </c>
      <c r="AV3" s="1156"/>
      <c r="AW3" s="1157"/>
      <c r="AX3" s="1155" t="s">
        <v>626</v>
      </c>
      <c r="AY3" s="1156"/>
      <c r="AZ3" s="1157"/>
      <c r="BA3" s="1155" t="s">
        <v>628</v>
      </c>
      <c r="BB3" s="1156"/>
      <c r="BC3" s="1157"/>
      <c r="BD3" s="1155" t="s">
        <v>650</v>
      </c>
      <c r="BE3" s="1156"/>
      <c r="BF3" s="1157"/>
      <c r="BG3" s="1155" t="s">
        <v>649</v>
      </c>
      <c r="BH3" s="1156"/>
      <c r="BI3" s="1157"/>
      <c r="BJ3" s="1155" t="s">
        <v>676</v>
      </c>
      <c r="BK3" s="1156"/>
      <c r="BL3" s="1157"/>
      <c r="BM3" s="1155" t="s">
        <v>677</v>
      </c>
      <c r="BN3" s="1156"/>
      <c r="BO3" s="1157"/>
      <c r="BP3" s="1155" t="s">
        <v>746</v>
      </c>
      <c r="BQ3" s="1156"/>
      <c r="BR3" s="1157"/>
      <c r="BS3" s="1155" t="s">
        <v>711</v>
      </c>
      <c r="BT3" s="1156"/>
      <c r="BU3" s="1157"/>
    </row>
    <row r="4" spans="1:73" ht="18" customHeight="1">
      <c r="A4" s="1157"/>
      <c r="B4" s="1157"/>
      <c r="C4" s="1157"/>
      <c r="D4" s="1157"/>
      <c r="E4" s="1157"/>
      <c r="F4" s="1157"/>
      <c r="G4" s="1157"/>
      <c r="H4" s="1157"/>
      <c r="I4" s="1157"/>
      <c r="J4" s="1169"/>
      <c r="K4" s="413" t="s">
        <v>445</v>
      </c>
      <c r="L4" s="294" t="s">
        <v>446</v>
      </c>
      <c r="M4" s="250" t="s">
        <v>10</v>
      </c>
      <c r="N4" s="413" t="s">
        <v>445</v>
      </c>
      <c r="O4" s="294" t="s">
        <v>446</v>
      </c>
      <c r="P4" s="250" t="s">
        <v>10</v>
      </c>
      <c r="Q4" s="413" t="s">
        <v>445</v>
      </c>
      <c r="R4" s="294" t="s">
        <v>446</v>
      </c>
      <c r="S4" s="250" t="s">
        <v>10</v>
      </c>
      <c r="T4" s="413" t="s">
        <v>445</v>
      </c>
      <c r="U4" s="294" t="s">
        <v>446</v>
      </c>
      <c r="V4" s="250" t="s">
        <v>10</v>
      </c>
      <c r="W4" s="413" t="s">
        <v>445</v>
      </c>
      <c r="X4" s="294" t="s">
        <v>446</v>
      </c>
      <c r="Y4" s="250" t="s">
        <v>10</v>
      </c>
      <c r="Z4" s="413" t="s">
        <v>445</v>
      </c>
      <c r="AA4" s="294" t="s">
        <v>446</v>
      </c>
      <c r="AB4" s="250" t="s">
        <v>10</v>
      </c>
      <c r="AC4" s="413" t="s">
        <v>445</v>
      </c>
      <c r="AD4" s="294" t="s">
        <v>446</v>
      </c>
      <c r="AE4" s="250" t="s">
        <v>10</v>
      </c>
      <c r="AF4" s="413" t="s">
        <v>577</v>
      </c>
      <c r="AG4" s="294" t="s">
        <v>578</v>
      </c>
      <c r="AH4" s="250" t="s">
        <v>10</v>
      </c>
      <c r="AI4" s="413" t="s">
        <v>577</v>
      </c>
      <c r="AJ4" s="294" t="s">
        <v>578</v>
      </c>
      <c r="AK4" s="250" t="s">
        <v>10</v>
      </c>
      <c r="AL4" s="685" t="s">
        <v>445</v>
      </c>
      <c r="AM4" s="680" t="s">
        <v>446</v>
      </c>
      <c r="AN4" s="674" t="s">
        <v>10</v>
      </c>
      <c r="AO4" s="685" t="s">
        <v>445</v>
      </c>
      <c r="AP4" s="680" t="s">
        <v>446</v>
      </c>
      <c r="AQ4" s="674" t="s">
        <v>10</v>
      </c>
      <c r="AR4" s="685" t="s">
        <v>624</v>
      </c>
      <c r="AS4" s="680" t="s">
        <v>625</v>
      </c>
      <c r="AT4" s="674" t="s">
        <v>10</v>
      </c>
      <c r="AU4" s="949" t="s">
        <v>624</v>
      </c>
      <c r="AV4" s="950" t="s">
        <v>625</v>
      </c>
      <c r="AW4" s="674" t="s">
        <v>10</v>
      </c>
      <c r="AX4" s="685" t="s">
        <v>445</v>
      </c>
      <c r="AY4" s="680" t="s">
        <v>446</v>
      </c>
      <c r="AZ4" s="674" t="s">
        <v>10</v>
      </c>
      <c r="BA4" s="685" t="s">
        <v>646</v>
      </c>
      <c r="BB4" s="680" t="s">
        <v>446</v>
      </c>
      <c r="BC4" s="674" t="s">
        <v>10</v>
      </c>
      <c r="BD4" s="685" t="s">
        <v>670</v>
      </c>
      <c r="BE4" s="680" t="s">
        <v>673</v>
      </c>
      <c r="BF4" s="674" t="s">
        <v>10</v>
      </c>
      <c r="BG4" s="685" t="s">
        <v>670</v>
      </c>
      <c r="BH4" s="680" t="s">
        <v>673</v>
      </c>
      <c r="BI4" s="674" t="s">
        <v>10</v>
      </c>
      <c r="BJ4" s="685" t="s">
        <v>698</v>
      </c>
      <c r="BK4" s="680" t="s">
        <v>697</v>
      </c>
      <c r="BL4" s="674" t="s">
        <v>10</v>
      </c>
      <c r="BM4" s="685" t="s">
        <v>696</v>
      </c>
      <c r="BN4" s="680" t="s">
        <v>697</v>
      </c>
      <c r="BO4" s="674" t="s">
        <v>10</v>
      </c>
      <c r="BP4" s="685" t="s">
        <v>445</v>
      </c>
      <c r="BQ4" s="680" t="s">
        <v>446</v>
      </c>
      <c r="BR4" s="674" t="s">
        <v>10</v>
      </c>
      <c r="BS4" s="685" t="s">
        <v>445</v>
      </c>
      <c r="BT4" s="680" t="s">
        <v>446</v>
      </c>
      <c r="BU4" s="674" t="s">
        <v>10</v>
      </c>
    </row>
    <row r="5" spans="1:73">
      <c r="A5" s="8"/>
      <c r="B5" s="85" t="s">
        <v>50</v>
      </c>
      <c r="C5" s="98">
        <v>73895</v>
      </c>
      <c r="D5" s="98">
        <v>57402</v>
      </c>
      <c r="E5" s="98">
        <v>26845</v>
      </c>
      <c r="F5" s="98">
        <v>111049</v>
      </c>
      <c r="G5" s="98">
        <v>67332</v>
      </c>
      <c r="H5" s="98">
        <v>54957</v>
      </c>
      <c r="I5" s="104">
        <v>137266</v>
      </c>
      <c r="J5" s="385">
        <v>130183</v>
      </c>
      <c r="K5" s="252">
        <v>7006</v>
      </c>
      <c r="L5" s="385">
        <v>2423</v>
      </c>
      <c r="M5" s="255">
        <f t="shared" ref="M5:M17" si="0">ROUND(((L5/K5-1)*100), 1)</f>
        <v>-65.400000000000006</v>
      </c>
      <c r="N5" s="252">
        <f t="shared" ref="N5:O31" si="1">Q5-K5</f>
        <v>3780</v>
      </c>
      <c r="O5" s="385">
        <f t="shared" si="1"/>
        <v>1875</v>
      </c>
      <c r="P5" s="255">
        <f t="shared" ref="P5:P17" si="2">ROUND(((O5/N5-1)*100), 1)</f>
        <v>-50.4</v>
      </c>
      <c r="Q5" s="252">
        <v>10786</v>
      </c>
      <c r="R5" s="385">
        <v>4298</v>
      </c>
      <c r="S5" s="255">
        <f t="shared" ref="S5:S17" si="3">ROUND(((R5/Q5-1)*100), 1)</f>
        <v>-60.2</v>
      </c>
      <c r="T5" s="252">
        <f t="shared" ref="T5:T31" si="4">W5-Q5</f>
        <v>3974</v>
      </c>
      <c r="U5" s="385">
        <f t="shared" ref="U5:U31" si="5">X5-R5</f>
        <v>4948</v>
      </c>
      <c r="V5" s="255">
        <f t="shared" ref="V5:V17" si="6">ROUND(((U5/T5-1)*100), 1)</f>
        <v>24.5</v>
      </c>
      <c r="W5" s="252">
        <v>14760</v>
      </c>
      <c r="X5" s="385">
        <v>9246</v>
      </c>
      <c r="Y5" s="255">
        <f t="shared" ref="Y5:Y17" si="7">ROUND(((X5/W5-1)*100), 1)</f>
        <v>-37.4</v>
      </c>
      <c r="Z5" s="252">
        <f t="shared" ref="Z5:Z31" si="8">AC5-W5</f>
        <v>12660</v>
      </c>
      <c r="AA5" s="385">
        <f t="shared" ref="AA5:AA31" si="9">AD5-X5</f>
        <v>10704</v>
      </c>
      <c r="AB5" s="255">
        <f t="shared" ref="AB5:AB17" si="10">ROUND(((AA5/Z5-1)*100), 1)</f>
        <v>-15.5</v>
      </c>
      <c r="AC5" s="252">
        <v>27420</v>
      </c>
      <c r="AD5" s="385">
        <v>19950</v>
      </c>
      <c r="AE5" s="255">
        <f t="shared" ref="AE5:AE17" si="11">ROUND(((AD5/AC5-1)*100), 1)</f>
        <v>-27.2</v>
      </c>
      <c r="AF5" s="252">
        <f t="shared" ref="AF5:AG31" si="12">AI5-AC5</f>
        <v>13675</v>
      </c>
      <c r="AG5" s="385">
        <f t="shared" si="12"/>
        <v>27598</v>
      </c>
      <c r="AH5" s="255">
        <f t="shared" ref="AH5:AH17" si="13">ROUND(((AG5/AF5-1)*100), 1)</f>
        <v>101.8</v>
      </c>
      <c r="AI5" s="252">
        <v>41095</v>
      </c>
      <c r="AJ5" s="385">
        <v>47548</v>
      </c>
      <c r="AK5" s="255">
        <f t="shared" ref="AK5:AK17" si="14">ROUND(((AJ5/AI5-1)*100), 1)</f>
        <v>15.7</v>
      </c>
      <c r="AL5" s="676">
        <f t="shared" ref="AL5:AL31" si="15">AO5-AI5</f>
        <v>16230</v>
      </c>
      <c r="AM5" s="681">
        <f t="shared" ref="AM5:AM31" si="16">AP5-AJ5</f>
        <v>18917</v>
      </c>
      <c r="AN5" s="679">
        <f t="shared" ref="AN5:AN17" si="17">ROUND(((AM5/AL5-1)*100), 1)</f>
        <v>16.600000000000001</v>
      </c>
      <c r="AO5" s="687">
        <v>57325</v>
      </c>
      <c r="AP5" s="713">
        <v>66465</v>
      </c>
      <c r="AQ5" s="679">
        <f t="shared" ref="AQ5:AQ17" si="18">ROUND(((AP5/AO5-1)*100), 1)</f>
        <v>15.9</v>
      </c>
      <c r="AR5" s="687">
        <f t="shared" ref="AR5:AS31" si="19">AU5-AO5</f>
        <v>9869</v>
      </c>
      <c r="AS5" s="713">
        <f t="shared" si="19"/>
        <v>9241</v>
      </c>
      <c r="AT5" s="679">
        <f t="shared" ref="AT5:AT17" si="20">ROUND(((AS5/AR5-1)*100), 1)</f>
        <v>-6.4</v>
      </c>
      <c r="AU5" s="987">
        <v>67194</v>
      </c>
      <c r="AV5" s="988">
        <v>75706</v>
      </c>
      <c r="AW5" s="679">
        <f t="shared" ref="AW5:AW17" si="21">ROUND(((AV5/AU5-1)*100), 1)</f>
        <v>12.7</v>
      </c>
      <c r="AX5" s="687">
        <f t="shared" ref="AX5:AX31" si="22">BA5-AU5</f>
        <v>11520</v>
      </c>
      <c r="AY5" s="713">
        <f t="shared" ref="AY5:AY31" si="23">BB5-AV5</f>
        <v>11429</v>
      </c>
      <c r="AZ5" s="679">
        <f t="shared" ref="AZ5:AZ17" si="24">ROUND(((AY5/AX5-1)*100), 1)</f>
        <v>-0.8</v>
      </c>
      <c r="BA5" s="687">
        <v>78714</v>
      </c>
      <c r="BB5" s="713">
        <v>87135</v>
      </c>
      <c r="BC5" s="679">
        <f t="shared" ref="BC5:BC17" si="25">ROUND(((BB5/BA5-1)*100), 1)</f>
        <v>10.7</v>
      </c>
      <c r="BD5" s="687">
        <f t="shared" ref="BD5:BE31" si="26">BG5-BA5</f>
        <v>11177</v>
      </c>
      <c r="BE5" s="713">
        <f t="shared" si="26"/>
        <v>19630</v>
      </c>
      <c r="BF5" s="679">
        <f t="shared" ref="BF5:BF17" si="27">ROUND(((BE5/BD5-1)*100), 1)</f>
        <v>75.599999999999994</v>
      </c>
      <c r="BG5" s="687">
        <v>89891</v>
      </c>
      <c r="BH5" s="713">
        <v>106765</v>
      </c>
      <c r="BI5" s="679">
        <f t="shared" ref="BI5:BI17" si="28">ROUND(((BH5/BG5-1)*100), 1)</f>
        <v>18.8</v>
      </c>
      <c r="BJ5" s="687">
        <f t="shared" ref="BJ5:BK31" si="29">BM5-BG5</f>
        <v>22061</v>
      </c>
      <c r="BK5" s="713">
        <f t="shared" si="29"/>
        <v>18518</v>
      </c>
      <c r="BL5" s="679">
        <f t="shared" ref="BL5:BL17" si="30">ROUND(((BK5/BJ5-1)*100), 1)</f>
        <v>-16.100000000000001</v>
      </c>
      <c r="BM5" s="687">
        <v>111952</v>
      </c>
      <c r="BN5" s="713">
        <v>125283</v>
      </c>
      <c r="BO5" s="679">
        <f t="shared" ref="BO5:BO17" si="31">ROUND(((BN5/BM5-1)*100), 1)</f>
        <v>11.9</v>
      </c>
      <c r="BP5" s="687">
        <f t="shared" ref="BP5:BQ31" si="32">BS5-BM5</f>
        <v>8356</v>
      </c>
      <c r="BQ5" s="713">
        <f t="shared" si="32"/>
        <v>20105</v>
      </c>
      <c r="BR5" s="679">
        <f t="shared" ref="BR5:BR17" si="33">ROUND(((BQ5/BP5-1)*100), 1)</f>
        <v>140.6</v>
      </c>
      <c r="BS5" s="687">
        <v>120308</v>
      </c>
      <c r="BT5" s="713">
        <v>145388</v>
      </c>
      <c r="BU5" s="679">
        <f t="shared" ref="BU5:BU17" si="34">ROUND(((BT5/BS5-1)*100), 1)</f>
        <v>20.8</v>
      </c>
    </row>
    <row r="6" spans="1:73">
      <c r="A6" s="4" t="s">
        <v>154</v>
      </c>
      <c r="B6" s="43" t="s">
        <v>52</v>
      </c>
      <c r="C6" s="98">
        <v>33865</v>
      </c>
      <c r="D6" s="98">
        <v>36741</v>
      </c>
      <c r="E6" s="98">
        <v>53385</v>
      </c>
      <c r="F6" s="98">
        <v>71811</v>
      </c>
      <c r="G6" s="98">
        <v>158833</v>
      </c>
      <c r="H6" s="98">
        <v>122064</v>
      </c>
      <c r="I6" s="98">
        <v>126708</v>
      </c>
      <c r="J6" s="386">
        <v>102728</v>
      </c>
      <c r="K6" s="253">
        <v>8789</v>
      </c>
      <c r="L6" s="386">
        <v>11997</v>
      </c>
      <c r="M6" s="255">
        <f t="shared" si="0"/>
        <v>36.5</v>
      </c>
      <c r="N6" s="253">
        <f t="shared" si="1"/>
        <v>7723</v>
      </c>
      <c r="O6" s="386">
        <f t="shared" si="1"/>
        <v>11724</v>
      </c>
      <c r="P6" s="255">
        <f t="shared" si="2"/>
        <v>51.8</v>
      </c>
      <c r="Q6" s="253">
        <v>16512</v>
      </c>
      <c r="R6" s="386">
        <v>23721</v>
      </c>
      <c r="S6" s="255">
        <f t="shared" si="3"/>
        <v>43.7</v>
      </c>
      <c r="T6" s="253">
        <f t="shared" si="4"/>
        <v>9937</v>
      </c>
      <c r="U6" s="386">
        <f t="shared" si="5"/>
        <v>7246</v>
      </c>
      <c r="V6" s="255">
        <f t="shared" si="6"/>
        <v>-27.1</v>
      </c>
      <c r="W6" s="253">
        <v>26449</v>
      </c>
      <c r="X6" s="386">
        <v>30967</v>
      </c>
      <c r="Y6" s="255">
        <f t="shared" si="7"/>
        <v>17.100000000000001</v>
      </c>
      <c r="Z6" s="253">
        <f t="shared" si="8"/>
        <v>9011</v>
      </c>
      <c r="AA6" s="386">
        <f t="shared" si="9"/>
        <v>1539</v>
      </c>
      <c r="AB6" s="255">
        <f t="shared" si="10"/>
        <v>-82.9</v>
      </c>
      <c r="AC6" s="253">
        <v>35460</v>
      </c>
      <c r="AD6" s="386">
        <v>32506</v>
      </c>
      <c r="AE6" s="255">
        <f t="shared" si="11"/>
        <v>-8.3000000000000007</v>
      </c>
      <c r="AF6" s="253">
        <f t="shared" si="12"/>
        <v>8513</v>
      </c>
      <c r="AG6" s="386">
        <f t="shared" si="12"/>
        <v>195</v>
      </c>
      <c r="AH6" s="255">
        <f t="shared" si="13"/>
        <v>-97.7</v>
      </c>
      <c r="AI6" s="253">
        <v>43973</v>
      </c>
      <c r="AJ6" s="386">
        <v>32701</v>
      </c>
      <c r="AK6" s="255">
        <f t="shared" si="14"/>
        <v>-25.6</v>
      </c>
      <c r="AL6" s="677">
        <f t="shared" si="15"/>
        <v>8334</v>
      </c>
      <c r="AM6" s="682">
        <f t="shared" si="16"/>
        <v>3920</v>
      </c>
      <c r="AN6" s="679">
        <f t="shared" si="17"/>
        <v>-53</v>
      </c>
      <c r="AO6" s="689">
        <v>52307</v>
      </c>
      <c r="AP6" s="714">
        <v>36621</v>
      </c>
      <c r="AQ6" s="679">
        <f t="shared" si="18"/>
        <v>-30</v>
      </c>
      <c r="AR6" s="689">
        <f t="shared" si="19"/>
        <v>9402</v>
      </c>
      <c r="AS6" s="714">
        <f t="shared" si="19"/>
        <v>7454</v>
      </c>
      <c r="AT6" s="679">
        <f t="shared" si="20"/>
        <v>-20.7</v>
      </c>
      <c r="AU6" s="989">
        <v>61709</v>
      </c>
      <c r="AV6" s="990">
        <v>44075</v>
      </c>
      <c r="AW6" s="679">
        <f t="shared" si="21"/>
        <v>-28.6</v>
      </c>
      <c r="AX6" s="689">
        <f t="shared" si="22"/>
        <v>6224</v>
      </c>
      <c r="AY6" s="714">
        <f t="shared" si="23"/>
        <v>7804</v>
      </c>
      <c r="AZ6" s="679">
        <f t="shared" si="24"/>
        <v>25.4</v>
      </c>
      <c r="BA6" s="689">
        <v>67933</v>
      </c>
      <c r="BB6" s="714">
        <v>51879</v>
      </c>
      <c r="BC6" s="679">
        <f t="shared" si="25"/>
        <v>-23.6</v>
      </c>
      <c r="BD6" s="689">
        <f t="shared" si="26"/>
        <v>7765</v>
      </c>
      <c r="BE6" s="714">
        <f t="shared" si="26"/>
        <v>10421</v>
      </c>
      <c r="BF6" s="679">
        <f t="shared" si="27"/>
        <v>34.200000000000003</v>
      </c>
      <c r="BG6" s="689">
        <v>75698</v>
      </c>
      <c r="BH6" s="714">
        <v>62300</v>
      </c>
      <c r="BI6" s="679">
        <f t="shared" si="28"/>
        <v>-17.7</v>
      </c>
      <c r="BJ6" s="689">
        <f t="shared" si="29"/>
        <v>5156</v>
      </c>
      <c r="BK6" s="714">
        <f t="shared" si="29"/>
        <v>10342</v>
      </c>
      <c r="BL6" s="679">
        <f t="shared" si="30"/>
        <v>100.6</v>
      </c>
      <c r="BM6" s="689">
        <v>80854</v>
      </c>
      <c r="BN6" s="714">
        <v>72642</v>
      </c>
      <c r="BO6" s="679">
        <f t="shared" si="31"/>
        <v>-10.199999999999999</v>
      </c>
      <c r="BP6" s="689">
        <f t="shared" si="32"/>
        <v>6702</v>
      </c>
      <c r="BQ6" s="714">
        <f t="shared" si="32"/>
        <v>7564</v>
      </c>
      <c r="BR6" s="679">
        <f t="shared" si="33"/>
        <v>12.9</v>
      </c>
      <c r="BS6" s="689">
        <v>87556</v>
      </c>
      <c r="BT6" s="714">
        <v>80206</v>
      </c>
      <c r="BU6" s="679">
        <f t="shared" si="34"/>
        <v>-8.4</v>
      </c>
    </row>
    <row r="7" spans="1:73">
      <c r="A7" s="4"/>
      <c r="B7" s="43" t="s">
        <v>51</v>
      </c>
      <c r="C7" s="98">
        <v>30765</v>
      </c>
      <c r="D7" s="98">
        <v>36693</v>
      </c>
      <c r="E7" s="98">
        <v>44758</v>
      </c>
      <c r="F7" s="98">
        <v>53759</v>
      </c>
      <c r="G7" s="98">
        <v>69147</v>
      </c>
      <c r="H7" s="98">
        <v>72373</v>
      </c>
      <c r="I7" s="98">
        <v>67021</v>
      </c>
      <c r="J7" s="386">
        <v>71247</v>
      </c>
      <c r="K7" s="253">
        <v>4128</v>
      </c>
      <c r="L7" s="386">
        <v>6304</v>
      </c>
      <c r="M7" s="255">
        <f t="shared" si="0"/>
        <v>52.7</v>
      </c>
      <c r="N7" s="253">
        <f t="shared" si="1"/>
        <v>3985</v>
      </c>
      <c r="O7" s="386">
        <f t="shared" si="1"/>
        <v>6326</v>
      </c>
      <c r="P7" s="255">
        <f t="shared" si="2"/>
        <v>58.7</v>
      </c>
      <c r="Q7" s="253">
        <v>8113</v>
      </c>
      <c r="R7" s="386">
        <v>12630</v>
      </c>
      <c r="S7" s="255">
        <f t="shared" si="3"/>
        <v>55.7</v>
      </c>
      <c r="T7" s="253">
        <f t="shared" si="4"/>
        <v>4665</v>
      </c>
      <c r="U7" s="386">
        <f t="shared" si="5"/>
        <v>7127</v>
      </c>
      <c r="V7" s="255">
        <f t="shared" si="6"/>
        <v>52.8</v>
      </c>
      <c r="W7" s="253">
        <v>12778</v>
      </c>
      <c r="X7" s="386">
        <v>19757</v>
      </c>
      <c r="Y7" s="255">
        <f t="shared" si="7"/>
        <v>54.6</v>
      </c>
      <c r="Z7" s="253">
        <f t="shared" si="8"/>
        <v>6742</v>
      </c>
      <c r="AA7" s="386">
        <f t="shared" si="9"/>
        <v>8339</v>
      </c>
      <c r="AB7" s="255">
        <f t="shared" si="10"/>
        <v>23.7</v>
      </c>
      <c r="AC7" s="253">
        <v>19520</v>
      </c>
      <c r="AD7" s="386">
        <v>28096</v>
      </c>
      <c r="AE7" s="255">
        <f t="shared" si="11"/>
        <v>43.9</v>
      </c>
      <c r="AF7" s="253">
        <f t="shared" si="12"/>
        <v>8050</v>
      </c>
      <c r="AG7" s="386">
        <f t="shared" si="12"/>
        <v>4733</v>
      </c>
      <c r="AH7" s="255">
        <f t="shared" si="13"/>
        <v>-41.2</v>
      </c>
      <c r="AI7" s="253">
        <v>27570</v>
      </c>
      <c r="AJ7" s="386">
        <v>32829</v>
      </c>
      <c r="AK7" s="255">
        <f t="shared" si="14"/>
        <v>19.100000000000001</v>
      </c>
      <c r="AL7" s="677">
        <f t="shared" si="15"/>
        <v>7432</v>
      </c>
      <c r="AM7" s="682">
        <f t="shared" si="16"/>
        <v>5664</v>
      </c>
      <c r="AN7" s="679">
        <f t="shared" si="17"/>
        <v>-23.8</v>
      </c>
      <c r="AO7" s="689">
        <v>35002</v>
      </c>
      <c r="AP7" s="714">
        <v>38493</v>
      </c>
      <c r="AQ7" s="679">
        <f t="shared" si="18"/>
        <v>10</v>
      </c>
      <c r="AR7" s="689">
        <f t="shared" si="19"/>
        <v>5668</v>
      </c>
      <c r="AS7" s="714">
        <f t="shared" si="19"/>
        <v>7065</v>
      </c>
      <c r="AT7" s="679">
        <f t="shared" si="20"/>
        <v>24.6</v>
      </c>
      <c r="AU7" s="989">
        <v>40670</v>
      </c>
      <c r="AV7" s="990">
        <v>45558</v>
      </c>
      <c r="AW7" s="679">
        <f t="shared" si="21"/>
        <v>12</v>
      </c>
      <c r="AX7" s="689">
        <f t="shared" si="22"/>
        <v>6328</v>
      </c>
      <c r="AY7" s="714">
        <f t="shared" si="23"/>
        <v>6078</v>
      </c>
      <c r="AZ7" s="679">
        <f t="shared" si="24"/>
        <v>-4</v>
      </c>
      <c r="BA7" s="689">
        <v>46998</v>
      </c>
      <c r="BB7" s="714">
        <v>51636</v>
      </c>
      <c r="BC7" s="679">
        <f t="shared" si="25"/>
        <v>9.9</v>
      </c>
      <c r="BD7" s="689">
        <f t="shared" si="26"/>
        <v>5890</v>
      </c>
      <c r="BE7" s="714">
        <f t="shared" si="26"/>
        <v>8534</v>
      </c>
      <c r="BF7" s="679">
        <f t="shared" si="27"/>
        <v>44.9</v>
      </c>
      <c r="BG7" s="689">
        <v>52888</v>
      </c>
      <c r="BH7" s="714">
        <v>60170</v>
      </c>
      <c r="BI7" s="679">
        <f t="shared" si="28"/>
        <v>13.8</v>
      </c>
      <c r="BJ7" s="689">
        <f t="shared" si="29"/>
        <v>5005</v>
      </c>
      <c r="BK7" s="714">
        <f t="shared" si="29"/>
        <v>7424</v>
      </c>
      <c r="BL7" s="679">
        <f t="shared" si="30"/>
        <v>48.3</v>
      </c>
      <c r="BM7" s="689">
        <v>57893</v>
      </c>
      <c r="BN7" s="714">
        <v>67594</v>
      </c>
      <c r="BO7" s="679">
        <f t="shared" si="31"/>
        <v>16.8</v>
      </c>
      <c r="BP7" s="689">
        <f t="shared" si="32"/>
        <v>6114</v>
      </c>
      <c r="BQ7" s="714">
        <f t="shared" si="32"/>
        <v>8039</v>
      </c>
      <c r="BR7" s="679">
        <f t="shared" si="33"/>
        <v>31.5</v>
      </c>
      <c r="BS7" s="689">
        <v>64007</v>
      </c>
      <c r="BT7" s="714">
        <v>75633</v>
      </c>
      <c r="BU7" s="679">
        <f t="shared" si="34"/>
        <v>18.2</v>
      </c>
    </row>
    <row r="8" spans="1:73">
      <c r="A8" s="4"/>
      <c r="B8" s="43" t="s">
        <v>57</v>
      </c>
      <c r="C8" s="98">
        <v>70277</v>
      </c>
      <c r="D8" s="98">
        <v>66355</v>
      </c>
      <c r="E8" s="98">
        <v>54751</v>
      </c>
      <c r="F8" s="98">
        <v>46209</v>
      </c>
      <c r="G8" s="98">
        <v>44143</v>
      </c>
      <c r="H8" s="98">
        <v>39123</v>
      </c>
      <c r="I8" s="98">
        <v>32785</v>
      </c>
      <c r="J8" s="386">
        <v>36626</v>
      </c>
      <c r="K8" s="253">
        <v>2166</v>
      </c>
      <c r="L8" s="386">
        <v>2408</v>
      </c>
      <c r="M8" s="255">
        <f t="shared" si="0"/>
        <v>11.2</v>
      </c>
      <c r="N8" s="253">
        <f t="shared" si="1"/>
        <v>3327</v>
      </c>
      <c r="O8" s="386">
        <f t="shared" si="1"/>
        <v>3112</v>
      </c>
      <c r="P8" s="255">
        <f t="shared" si="2"/>
        <v>-6.5</v>
      </c>
      <c r="Q8" s="253">
        <v>5493</v>
      </c>
      <c r="R8" s="386">
        <v>5520</v>
      </c>
      <c r="S8" s="255">
        <f t="shared" si="3"/>
        <v>0.5</v>
      </c>
      <c r="T8" s="253">
        <f t="shared" si="4"/>
        <v>2833</v>
      </c>
      <c r="U8" s="386">
        <f t="shared" si="5"/>
        <v>3277</v>
      </c>
      <c r="V8" s="255">
        <f t="shared" si="6"/>
        <v>15.7</v>
      </c>
      <c r="W8" s="253">
        <v>8326</v>
      </c>
      <c r="X8" s="386">
        <v>8797</v>
      </c>
      <c r="Y8" s="255">
        <f t="shared" si="7"/>
        <v>5.7</v>
      </c>
      <c r="Z8" s="253">
        <f t="shared" si="8"/>
        <v>3643</v>
      </c>
      <c r="AA8" s="386">
        <f t="shared" si="9"/>
        <v>5830</v>
      </c>
      <c r="AB8" s="255">
        <f t="shared" si="10"/>
        <v>60</v>
      </c>
      <c r="AC8" s="253">
        <v>11969</v>
      </c>
      <c r="AD8" s="386">
        <v>14627</v>
      </c>
      <c r="AE8" s="255">
        <f t="shared" si="11"/>
        <v>22.2</v>
      </c>
      <c r="AF8" s="253">
        <f t="shared" si="12"/>
        <v>3432</v>
      </c>
      <c r="AG8" s="386">
        <f t="shared" si="12"/>
        <v>3743</v>
      </c>
      <c r="AH8" s="255">
        <f t="shared" si="13"/>
        <v>9.1</v>
      </c>
      <c r="AI8" s="253">
        <v>15401</v>
      </c>
      <c r="AJ8" s="386">
        <v>18370</v>
      </c>
      <c r="AK8" s="255">
        <f t="shared" si="14"/>
        <v>19.3</v>
      </c>
      <c r="AL8" s="677">
        <f t="shared" si="15"/>
        <v>3167</v>
      </c>
      <c r="AM8" s="682">
        <f t="shared" si="16"/>
        <v>3091</v>
      </c>
      <c r="AN8" s="679">
        <f t="shared" si="17"/>
        <v>-2.4</v>
      </c>
      <c r="AO8" s="689">
        <v>18568</v>
      </c>
      <c r="AP8" s="714">
        <v>21461</v>
      </c>
      <c r="AQ8" s="679">
        <f t="shared" si="18"/>
        <v>15.6</v>
      </c>
      <c r="AR8" s="689">
        <f t="shared" si="19"/>
        <v>3107</v>
      </c>
      <c r="AS8" s="714">
        <f t="shared" si="19"/>
        <v>3304</v>
      </c>
      <c r="AT8" s="679">
        <f t="shared" si="20"/>
        <v>6.3</v>
      </c>
      <c r="AU8" s="989">
        <v>21675</v>
      </c>
      <c r="AV8" s="990">
        <v>24765</v>
      </c>
      <c r="AW8" s="679">
        <f t="shared" si="21"/>
        <v>14.3</v>
      </c>
      <c r="AX8" s="689">
        <f t="shared" si="22"/>
        <v>2723</v>
      </c>
      <c r="AY8" s="714">
        <f t="shared" si="23"/>
        <v>2439</v>
      </c>
      <c r="AZ8" s="679">
        <f t="shared" si="24"/>
        <v>-10.4</v>
      </c>
      <c r="BA8" s="689">
        <v>24398</v>
      </c>
      <c r="BB8" s="714">
        <v>27204</v>
      </c>
      <c r="BC8" s="679">
        <f t="shared" si="25"/>
        <v>11.5</v>
      </c>
      <c r="BD8" s="689">
        <f t="shared" si="26"/>
        <v>3085</v>
      </c>
      <c r="BE8" s="714">
        <f t="shared" si="26"/>
        <v>2851</v>
      </c>
      <c r="BF8" s="679">
        <f t="shared" si="27"/>
        <v>-7.6</v>
      </c>
      <c r="BG8" s="689">
        <v>27483</v>
      </c>
      <c r="BH8" s="714">
        <v>30055</v>
      </c>
      <c r="BI8" s="679">
        <f t="shared" si="28"/>
        <v>9.4</v>
      </c>
      <c r="BJ8" s="689">
        <f t="shared" si="29"/>
        <v>2857</v>
      </c>
      <c r="BK8" s="714">
        <f t="shared" si="29"/>
        <v>3373</v>
      </c>
      <c r="BL8" s="679">
        <f t="shared" si="30"/>
        <v>18.100000000000001</v>
      </c>
      <c r="BM8" s="689">
        <v>30340</v>
      </c>
      <c r="BN8" s="714">
        <v>33428</v>
      </c>
      <c r="BO8" s="679">
        <f t="shared" si="31"/>
        <v>10.199999999999999</v>
      </c>
      <c r="BP8" s="689">
        <f t="shared" si="32"/>
        <v>3176</v>
      </c>
      <c r="BQ8" s="714">
        <f t="shared" si="32"/>
        <v>3229</v>
      </c>
      <c r="BR8" s="679">
        <f t="shared" si="33"/>
        <v>1.7</v>
      </c>
      <c r="BS8" s="689">
        <v>33516</v>
      </c>
      <c r="BT8" s="714">
        <v>36657</v>
      </c>
      <c r="BU8" s="679">
        <f t="shared" si="34"/>
        <v>9.4</v>
      </c>
    </row>
    <row r="9" spans="1:73">
      <c r="A9" s="4"/>
      <c r="B9" s="43" t="s">
        <v>58</v>
      </c>
      <c r="C9" s="98">
        <v>55073</v>
      </c>
      <c r="D9" s="98">
        <v>53854</v>
      </c>
      <c r="E9" s="98">
        <v>44785</v>
      </c>
      <c r="F9" s="98">
        <v>39308</v>
      </c>
      <c r="G9" s="98">
        <v>43089</v>
      </c>
      <c r="H9" s="98">
        <v>43399</v>
      </c>
      <c r="I9" s="98">
        <v>43119</v>
      </c>
      <c r="J9" s="386">
        <v>36369</v>
      </c>
      <c r="K9" s="253">
        <v>3954</v>
      </c>
      <c r="L9" s="386">
        <v>3967</v>
      </c>
      <c r="M9" s="255">
        <f t="shared" si="0"/>
        <v>0.3</v>
      </c>
      <c r="N9" s="253">
        <f t="shared" si="1"/>
        <v>3083</v>
      </c>
      <c r="O9" s="386">
        <f t="shared" si="1"/>
        <v>2603</v>
      </c>
      <c r="P9" s="255">
        <f t="shared" si="2"/>
        <v>-15.6</v>
      </c>
      <c r="Q9" s="253">
        <v>7037</v>
      </c>
      <c r="R9" s="386">
        <v>6570</v>
      </c>
      <c r="S9" s="255">
        <f t="shared" si="3"/>
        <v>-6.6</v>
      </c>
      <c r="T9" s="253">
        <f t="shared" si="4"/>
        <v>1872</v>
      </c>
      <c r="U9" s="386">
        <f t="shared" si="5"/>
        <v>3529</v>
      </c>
      <c r="V9" s="255">
        <f t="shared" si="6"/>
        <v>88.5</v>
      </c>
      <c r="W9" s="253">
        <v>8909</v>
      </c>
      <c r="X9" s="386">
        <v>10099</v>
      </c>
      <c r="Y9" s="255">
        <f t="shared" si="7"/>
        <v>13.4</v>
      </c>
      <c r="Z9" s="253">
        <f t="shared" si="8"/>
        <v>3207</v>
      </c>
      <c r="AA9" s="386">
        <f t="shared" si="9"/>
        <v>3860</v>
      </c>
      <c r="AB9" s="255">
        <f t="shared" si="10"/>
        <v>20.399999999999999</v>
      </c>
      <c r="AC9" s="253">
        <v>12116</v>
      </c>
      <c r="AD9" s="386">
        <v>13959</v>
      </c>
      <c r="AE9" s="255">
        <f t="shared" si="11"/>
        <v>15.2</v>
      </c>
      <c r="AF9" s="253">
        <f t="shared" si="12"/>
        <v>1165</v>
      </c>
      <c r="AG9" s="386">
        <f t="shared" si="12"/>
        <v>1009</v>
      </c>
      <c r="AH9" s="255">
        <f t="shared" si="13"/>
        <v>-13.4</v>
      </c>
      <c r="AI9" s="253">
        <v>13281</v>
      </c>
      <c r="AJ9" s="386">
        <v>14968</v>
      </c>
      <c r="AK9" s="255">
        <f t="shared" si="14"/>
        <v>12.7</v>
      </c>
      <c r="AL9" s="677">
        <f t="shared" si="15"/>
        <v>2199</v>
      </c>
      <c r="AM9" s="682">
        <f t="shared" si="16"/>
        <v>1630</v>
      </c>
      <c r="AN9" s="679">
        <f t="shared" si="17"/>
        <v>-25.9</v>
      </c>
      <c r="AO9" s="689">
        <v>15480</v>
      </c>
      <c r="AP9" s="714">
        <v>16598</v>
      </c>
      <c r="AQ9" s="679">
        <f t="shared" si="18"/>
        <v>7.2</v>
      </c>
      <c r="AR9" s="689">
        <f t="shared" si="19"/>
        <v>2648</v>
      </c>
      <c r="AS9" s="714">
        <f t="shared" si="19"/>
        <v>2274</v>
      </c>
      <c r="AT9" s="679">
        <f t="shared" si="20"/>
        <v>-14.1</v>
      </c>
      <c r="AU9" s="989">
        <v>18128</v>
      </c>
      <c r="AV9" s="990">
        <v>18872</v>
      </c>
      <c r="AW9" s="679">
        <f t="shared" si="21"/>
        <v>4.0999999999999996</v>
      </c>
      <c r="AX9" s="689">
        <f t="shared" si="22"/>
        <v>3676</v>
      </c>
      <c r="AY9" s="714">
        <f t="shared" si="23"/>
        <v>2451</v>
      </c>
      <c r="AZ9" s="679">
        <f t="shared" si="24"/>
        <v>-33.299999999999997</v>
      </c>
      <c r="BA9" s="689">
        <v>21804</v>
      </c>
      <c r="BB9" s="714">
        <v>21323</v>
      </c>
      <c r="BC9" s="679">
        <f t="shared" si="25"/>
        <v>-2.2000000000000002</v>
      </c>
      <c r="BD9" s="689">
        <f t="shared" si="26"/>
        <v>3761</v>
      </c>
      <c r="BE9" s="714">
        <f t="shared" si="26"/>
        <v>3801</v>
      </c>
      <c r="BF9" s="679">
        <f t="shared" si="27"/>
        <v>1.1000000000000001</v>
      </c>
      <c r="BG9" s="689">
        <v>25565</v>
      </c>
      <c r="BH9" s="714">
        <v>25124</v>
      </c>
      <c r="BI9" s="679">
        <f t="shared" si="28"/>
        <v>-1.7</v>
      </c>
      <c r="BJ9" s="689">
        <f t="shared" si="29"/>
        <v>4474</v>
      </c>
      <c r="BK9" s="714">
        <f t="shared" si="29"/>
        <v>3935</v>
      </c>
      <c r="BL9" s="679">
        <f t="shared" si="30"/>
        <v>-12</v>
      </c>
      <c r="BM9" s="689">
        <v>30039</v>
      </c>
      <c r="BN9" s="714">
        <v>29059</v>
      </c>
      <c r="BO9" s="679">
        <f t="shared" si="31"/>
        <v>-3.3</v>
      </c>
      <c r="BP9" s="689">
        <f t="shared" si="32"/>
        <v>2910</v>
      </c>
      <c r="BQ9" s="714">
        <f t="shared" si="32"/>
        <v>3287</v>
      </c>
      <c r="BR9" s="679">
        <f t="shared" si="33"/>
        <v>13</v>
      </c>
      <c r="BS9" s="689">
        <v>32949</v>
      </c>
      <c r="BT9" s="714">
        <v>32346</v>
      </c>
      <c r="BU9" s="679">
        <f t="shared" si="34"/>
        <v>-1.8</v>
      </c>
    </row>
    <row r="10" spans="1:73">
      <c r="A10" s="4"/>
      <c r="B10" s="43" t="s">
        <v>60</v>
      </c>
      <c r="C10" s="98">
        <v>41517</v>
      </c>
      <c r="D10" s="98">
        <v>36450</v>
      </c>
      <c r="E10" s="98">
        <v>31930</v>
      </c>
      <c r="F10" s="98">
        <v>49403</v>
      </c>
      <c r="G10" s="98">
        <v>39839</v>
      </c>
      <c r="H10" s="98">
        <v>41374</v>
      </c>
      <c r="I10" s="98">
        <v>36455</v>
      </c>
      <c r="J10" s="386">
        <v>27925</v>
      </c>
      <c r="K10" s="253">
        <v>1483</v>
      </c>
      <c r="L10" s="386">
        <v>2589</v>
      </c>
      <c r="M10" s="255">
        <f t="shared" si="0"/>
        <v>74.599999999999994</v>
      </c>
      <c r="N10" s="253">
        <f t="shared" si="1"/>
        <v>4295</v>
      </c>
      <c r="O10" s="386">
        <f t="shared" si="1"/>
        <v>1305</v>
      </c>
      <c r="P10" s="255">
        <f t="shared" si="2"/>
        <v>-69.599999999999994</v>
      </c>
      <c r="Q10" s="253">
        <v>5778</v>
      </c>
      <c r="R10" s="386">
        <v>3894</v>
      </c>
      <c r="S10" s="255">
        <f t="shared" si="3"/>
        <v>-32.6</v>
      </c>
      <c r="T10" s="253">
        <f t="shared" si="4"/>
        <v>2655</v>
      </c>
      <c r="U10" s="386">
        <f t="shared" si="5"/>
        <v>1786</v>
      </c>
      <c r="V10" s="255">
        <f t="shared" si="6"/>
        <v>-32.700000000000003</v>
      </c>
      <c r="W10" s="253">
        <v>8433</v>
      </c>
      <c r="X10" s="386">
        <v>5680</v>
      </c>
      <c r="Y10" s="255">
        <f t="shared" si="7"/>
        <v>-32.6</v>
      </c>
      <c r="Z10" s="253">
        <f t="shared" si="8"/>
        <v>2217</v>
      </c>
      <c r="AA10" s="386">
        <f t="shared" si="9"/>
        <v>613</v>
      </c>
      <c r="AB10" s="255">
        <f t="shared" si="10"/>
        <v>-72.400000000000006</v>
      </c>
      <c r="AC10" s="253">
        <v>10650</v>
      </c>
      <c r="AD10" s="386">
        <v>6293</v>
      </c>
      <c r="AE10" s="255">
        <f t="shared" si="11"/>
        <v>-40.9</v>
      </c>
      <c r="AF10" s="253">
        <f t="shared" si="12"/>
        <v>2778</v>
      </c>
      <c r="AG10" s="386">
        <f t="shared" si="12"/>
        <v>862</v>
      </c>
      <c r="AH10" s="255">
        <f t="shared" si="13"/>
        <v>-69</v>
      </c>
      <c r="AI10" s="253">
        <v>13428</v>
      </c>
      <c r="AJ10" s="386">
        <v>7155</v>
      </c>
      <c r="AK10" s="255">
        <f t="shared" si="14"/>
        <v>-46.7</v>
      </c>
      <c r="AL10" s="677">
        <f t="shared" si="15"/>
        <v>2003</v>
      </c>
      <c r="AM10" s="682">
        <f t="shared" si="16"/>
        <v>60</v>
      </c>
      <c r="AN10" s="679">
        <f t="shared" si="17"/>
        <v>-97</v>
      </c>
      <c r="AO10" s="689">
        <v>15431</v>
      </c>
      <c r="AP10" s="714">
        <v>7215</v>
      </c>
      <c r="AQ10" s="679">
        <f t="shared" si="18"/>
        <v>-53.2</v>
      </c>
      <c r="AR10" s="689">
        <f t="shared" si="19"/>
        <v>3274</v>
      </c>
      <c r="AS10" s="714">
        <f t="shared" si="19"/>
        <v>460</v>
      </c>
      <c r="AT10" s="679">
        <f t="shared" si="20"/>
        <v>-85.9</v>
      </c>
      <c r="AU10" s="989">
        <v>18705</v>
      </c>
      <c r="AV10" s="990">
        <v>7675</v>
      </c>
      <c r="AW10" s="679">
        <f t="shared" si="21"/>
        <v>-59</v>
      </c>
      <c r="AX10" s="689">
        <f t="shared" si="22"/>
        <v>2205</v>
      </c>
      <c r="AY10" s="714">
        <f t="shared" si="23"/>
        <v>502</v>
      </c>
      <c r="AZ10" s="679">
        <f t="shared" si="24"/>
        <v>-77.2</v>
      </c>
      <c r="BA10" s="689">
        <v>20910</v>
      </c>
      <c r="BB10" s="714">
        <v>8177</v>
      </c>
      <c r="BC10" s="679">
        <f t="shared" si="25"/>
        <v>-60.9</v>
      </c>
      <c r="BD10" s="689">
        <f t="shared" si="26"/>
        <v>2201</v>
      </c>
      <c r="BE10" s="714">
        <f t="shared" si="26"/>
        <v>1460</v>
      </c>
      <c r="BF10" s="679">
        <f t="shared" si="27"/>
        <v>-33.700000000000003</v>
      </c>
      <c r="BG10" s="689">
        <v>23111</v>
      </c>
      <c r="BH10" s="714">
        <v>9637</v>
      </c>
      <c r="BI10" s="679">
        <f t="shared" si="28"/>
        <v>-58.3</v>
      </c>
      <c r="BJ10" s="689">
        <f t="shared" si="29"/>
        <v>1680</v>
      </c>
      <c r="BK10" s="714">
        <f t="shared" si="29"/>
        <v>2103</v>
      </c>
      <c r="BL10" s="679">
        <f t="shared" si="30"/>
        <v>25.2</v>
      </c>
      <c r="BM10" s="689">
        <v>24791</v>
      </c>
      <c r="BN10" s="714">
        <v>11740</v>
      </c>
      <c r="BO10" s="679">
        <f t="shared" si="31"/>
        <v>-52.6</v>
      </c>
      <c r="BP10" s="689">
        <f t="shared" si="32"/>
        <v>1496</v>
      </c>
      <c r="BQ10" s="714">
        <f t="shared" si="32"/>
        <v>2666</v>
      </c>
      <c r="BR10" s="679">
        <f t="shared" si="33"/>
        <v>78.2</v>
      </c>
      <c r="BS10" s="689">
        <v>26287</v>
      </c>
      <c r="BT10" s="714">
        <v>14406</v>
      </c>
      <c r="BU10" s="679">
        <f t="shared" si="34"/>
        <v>-45.2</v>
      </c>
    </row>
    <row r="11" spans="1:73">
      <c r="A11" s="4"/>
      <c r="B11" s="43" t="s">
        <v>55</v>
      </c>
      <c r="C11" s="98">
        <v>15919</v>
      </c>
      <c r="D11" s="98">
        <v>27060</v>
      </c>
      <c r="E11" s="98">
        <v>24618</v>
      </c>
      <c r="F11" s="98">
        <v>15933</v>
      </c>
      <c r="G11" s="98">
        <v>17877</v>
      </c>
      <c r="H11" s="98">
        <v>22165</v>
      </c>
      <c r="I11" s="98">
        <v>32977</v>
      </c>
      <c r="J11" s="386">
        <v>25312</v>
      </c>
      <c r="K11" s="253">
        <v>1876</v>
      </c>
      <c r="L11" s="386">
        <v>2328</v>
      </c>
      <c r="M11" s="255">
        <f t="shared" si="0"/>
        <v>24.1</v>
      </c>
      <c r="N11" s="253">
        <f t="shared" si="1"/>
        <v>1449</v>
      </c>
      <c r="O11" s="386">
        <f t="shared" si="1"/>
        <v>3069</v>
      </c>
      <c r="P11" s="255">
        <f t="shared" si="2"/>
        <v>111.8</v>
      </c>
      <c r="Q11" s="253">
        <v>3325</v>
      </c>
      <c r="R11" s="386">
        <v>5397</v>
      </c>
      <c r="S11" s="255">
        <f t="shared" si="3"/>
        <v>62.3</v>
      </c>
      <c r="T11" s="253">
        <f t="shared" si="4"/>
        <v>1700</v>
      </c>
      <c r="U11" s="386">
        <f t="shared" si="5"/>
        <v>2325</v>
      </c>
      <c r="V11" s="255">
        <f t="shared" si="6"/>
        <v>36.799999999999997</v>
      </c>
      <c r="W11" s="253">
        <v>5025</v>
      </c>
      <c r="X11" s="386">
        <v>7722</v>
      </c>
      <c r="Y11" s="255">
        <f t="shared" si="7"/>
        <v>53.7</v>
      </c>
      <c r="Z11" s="253">
        <f t="shared" si="8"/>
        <v>1797</v>
      </c>
      <c r="AA11" s="386">
        <f t="shared" si="9"/>
        <v>2248</v>
      </c>
      <c r="AB11" s="255">
        <f t="shared" si="10"/>
        <v>25.1</v>
      </c>
      <c r="AC11" s="253">
        <v>6822</v>
      </c>
      <c r="AD11" s="386">
        <v>9970</v>
      </c>
      <c r="AE11" s="255">
        <f t="shared" si="11"/>
        <v>46.1</v>
      </c>
      <c r="AF11" s="253">
        <f t="shared" si="12"/>
        <v>2296</v>
      </c>
      <c r="AG11" s="386">
        <f t="shared" si="12"/>
        <v>1400</v>
      </c>
      <c r="AH11" s="255">
        <f t="shared" si="13"/>
        <v>-39</v>
      </c>
      <c r="AI11" s="253">
        <v>9118</v>
      </c>
      <c r="AJ11" s="386">
        <v>11370</v>
      </c>
      <c r="AK11" s="255">
        <f t="shared" si="14"/>
        <v>24.7</v>
      </c>
      <c r="AL11" s="677">
        <f t="shared" si="15"/>
        <v>2171</v>
      </c>
      <c r="AM11" s="682">
        <f t="shared" si="16"/>
        <v>1828</v>
      </c>
      <c r="AN11" s="679">
        <f t="shared" si="17"/>
        <v>-15.8</v>
      </c>
      <c r="AO11" s="689">
        <v>11289</v>
      </c>
      <c r="AP11" s="714">
        <v>13198</v>
      </c>
      <c r="AQ11" s="679">
        <f t="shared" si="18"/>
        <v>16.899999999999999</v>
      </c>
      <c r="AR11" s="689">
        <f t="shared" si="19"/>
        <v>2765</v>
      </c>
      <c r="AS11" s="714">
        <f t="shared" si="19"/>
        <v>1737</v>
      </c>
      <c r="AT11" s="679">
        <f t="shared" si="20"/>
        <v>-37.200000000000003</v>
      </c>
      <c r="AU11" s="989">
        <v>14054</v>
      </c>
      <c r="AV11" s="990">
        <v>14935</v>
      </c>
      <c r="AW11" s="679">
        <f t="shared" si="21"/>
        <v>6.3</v>
      </c>
      <c r="AX11" s="689">
        <f t="shared" si="22"/>
        <v>2537</v>
      </c>
      <c r="AY11" s="714">
        <f t="shared" si="23"/>
        <v>2978</v>
      </c>
      <c r="AZ11" s="679">
        <f t="shared" si="24"/>
        <v>17.399999999999999</v>
      </c>
      <c r="BA11" s="689">
        <v>16591</v>
      </c>
      <c r="BB11" s="714">
        <v>17913</v>
      </c>
      <c r="BC11" s="679">
        <f t="shared" si="25"/>
        <v>8</v>
      </c>
      <c r="BD11" s="689">
        <f t="shared" si="26"/>
        <v>2193</v>
      </c>
      <c r="BE11" s="714">
        <f t="shared" si="26"/>
        <v>2835</v>
      </c>
      <c r="BF11" s="679">
        <f t="shared" si="27"/>
        <v>29.3</v>
      </c>
      <c r="BG11" s="689">
        <v>18784</v>
      </c>
      <c r="BH11" s="714">
        <v>20748</v>
      </c>
      <c r="BI11" s="679">
        <f t="shared" si="28"/>
        <v>10.5</v>
      </c>
      <c r="BJ11" s="689">
        <f t="shared" si="29"/>
        <v>2146</v>
      </c>
      <c r="BK11" s="714">
        <f t="shared" si="29"/>
        <v>1220</v>
      </c>
      <c r="BL11" s="679">
        <f t="shared" si="30"/>
        <v>-43.2</v>
      </c>
      <c r="BM11" s="689">
        <v>20930</v>
      </c>
      <c r="BN11" s="714">
        <v>21968</v>
      </c>
      <c r="BO11" s="679">
        <f t="shared" si="31"/>
        <v>5</v>
      </c>
      <c r="BP11" s="689">
        <f t="shared" si="32"/>
        <v>2250</v>
      </c>
      <c r="BQ11" s="714">
        <f t="shared" si="32"/>
        <v>2542</v>
      </c>
      <c r="BR11" s="679">
        <f t="shared" si="33"/>
        <v>13</v>
      </c>
      <c r="BS11" s="689">
        <v>23180</v>
      </c>
      <c r="BT11" s="714">
        <v>24510</v>
      </c>
      <c r="BU11" s="679">
        <f t="shared" si="34"/>
        <v>5.7</v>
      </c>
    </row>
    <row r="12" spans="1:73">
      <c r="A12" s="4"/>
      <c r="B12" s="43" t="s">
        <v>64</v>
      </c>
      <c r="C12" s="98">
        <v>10506</v>
      </c>
      <c r="D12" s="98">
        <v>5722</v>
      </c>
      <c r="E12" s="98">
        <v>4025</v>
      </c>
      <c r="F12" s="98">
        <v>3751</v>
      </c>
      <c r="G12" s="98">
        <v>8582</v>
      </c>
      <c r="H12" s="98">
        <v>14070</v>
      </c>
      <c r="I12" s="98">
        <v>10882</v>
      </c>
      <c r="J12" s="386">
        <v>22247</v>
      </c>
      <c r="K12" s="253">
        <v>1395</v>
      </c>
      <c r="L12" s="386">
        <v>1108</v>
      </c>
      <c r="M12" s="255">
        <f t="shared" si="0"/>
        <v>-20.6</v>
      </c>
      <c r="N12" s="253">
        <f t="shared" si="1"/>
        <v>1435</v>
      </c>
      <c r="O12" s="386">
        <f t="shared" si="1"/>
        <v>1047</v>
      </c>
      <c r="P12" s="255">
        <f t="shared" si="2"/>
        <v>-27</v>
      </c>
      <c r="Q12" s="253">
        <v>2830</v>
      </c>
      <c r="R12" s="386">
        <v>2155</v>
      </c>
      <c r="S12" s="255">
        <f t="shared" si="3"/>
        <v>-23.9</v>
      </c>
      <c r="T12" s="253">
        <f t="shared" si="4"/>
        <v>1284</v>
      </c>
      <c r="U12" s="386">
        <f t="shared" si="5"/>
        <v>776</v>
      </c>
      <c r="V12" s="255">
        <f t="shared" si="6"/>
        <v>-39.6</v>
      </c>
      <c r="W12" s="253">
        <v>4114</v>
      </c>
      <c r="X12" s="386">
        <v>2931</v>
      </c>
      <c r="Y12" s="255">
        <f t="shared" si="7"/>
        <v>-28.8</v>
      </c>
      <c r="Z12" s="253">
        <f t="shared" si="8"/>
        <v>1231</v>
      </c>
      <c r="AA12" s="386">
        <f t="shared" si="9"/>
        <v>2665</v>
      </c>
      <c r="AB12" s="255">
        <f t="shared" si="10"/>
        <v>116.5</v>
      </c>
      <c r="AC12" s="253">
        <v>5345</v>
      </c>
      <c r="AD12" s="386">
        <v>5596</v>
      </c>
      <c r="AE12" s="255">
        <f t="shared" si="11"/>
        <v>4.7</v>
      </c>
      <c r="AF12" s="253">
        <f t="shared" si="12"/>
        <v>4069</v>
      </c>
      <c r="AG12" s="386">
        <f t="shared" si="12"/>
        <v>1082</v>
      </c>
      <c r="AH12" s="255">
        <f t="shared" si="13"/>
        <v>-73.400000000000006</v>
      </c>
      <c r="AI12" s="253">
        <v>9414</v>
      </c>
      <c r="AJ12" s="386">
        <v>6678</v>
      </c>
      <c r="AK12" s="255">
        <f t="shared" si="14"/>
        <v>-29.1</v>
      </c>
      <c r="AL12" s="677">
        <f t="shared" si="15"/>
        <v>958</v>
      </c>
      <c r="AM12" s="682">
        <f t="shared" si="16"/>
        <v>756</v>
      </c>
      <c r="AN12" s="679">
        <f t="shared" si="17"/>
        <v>-21.1</v>
      </c>
      <c r="AO12" s="689">
        <v>10372</v>
      </c>
      <c r="AP12" s="714">
        <v>7434</v>
      </c>
      <c r="AQ12" s="679">
        <f t="shared" si="18"/>
        <v>-28.3</v>
      </c>
      <c r="AR12" s="689">
        <f t="shared" si="19"/>
        <v>1702</v>
      </c>
      <c r="AS12" s="714">
        <f t="shared" si="19"/>
        <v>178</v>
      </c>
      <c r="AT12" s="679">
        <f t="shared" si="20"/>
        <v>-89.5</v>
      </c>
      <c r="AU12" s="989">
        <v>12074</v>
      </c>
      <c r="AV12" s="990">
        <v>7612</v>
      </c>
      <c r="AW12" s="679">
        <f t="shared" si="21"/>
        <v>-37</v>
      </c>
      <c r="AX12" s="689">
        <f t="shared" si="22"/>
        <v>852</v>
      </c>
      <c r="AY12" s="714">
        <f t="shared" si="23"/>
        <v>827</v>
      </c>
      <c r="AZ12" s="679">
        <f t="shared" si="24"/>
        <v>-2.9</v>
      </c>
      <c r="BA12" s="689">
        <v>12926</v>
      </c>
      <c r="BB12" s="714">
        <v>8439</v>
      </c>
      <c r="BC12" s="679">
        <f t="shared" si="25"/>
        <v>-34.700000000000003</v>
      </c>
      <c r="BD12" s="689">
        <f t="shared" si="26"/>
        <v>1129</v>
      </c>
      <c r="BE12" s="714">
        <f t="shared" si="26"/>
        <v>401</v>
      </c>
      <c r="BF12" s="679">
        <f t="shared" si="27"/>
        <v>-64.5</v>
      </c>
      <c r="BG12" s="689">
        <v>14055</v>
      </c>
      <c r="BH12" s="714">
        <v>8840</v>
      </c>
      <c r="BI12" s="679">
        <f t="shared" si="28"/>
        <v>-37.1</v>
      </c>
      <c r="BJ12" s="689">
        <f t="shared" si="29"/>
        <v>576</v>
      </c>
      <c r="BK12" s="714">
        <f t="shared" si="29"/>
        <v>626</v>
      </c>
      <c r="BL12" s="679">
        <f t="shared" si="30"/>
        <v>8.6999999999999993</v>
      </c>
      <c r="BM12" s="689">
        <v>14631</v>
      </c>
      <c r="BN12" s="714">
        <v>9466</v>
      </c>
      <c r="BO12" s="679">
        <f t="shared" si="31"/>
        <v>-35.299999999999997</v>
      </c>
      <c r="BP12" s="689">
        <f t="shared" si="32"/>
        <v>2681</v>
      </c>
      <c r="BQ12" s="714">
        <f t="shared" si="32"/>
        <v>1325</v>
      </c>
      <c r="BR12" s="679">
        <f t="shared" si="33"/>
        <v>-50.6</v>
      </c>
      <c r="BS12" s="689">
        <v>17312</v>
      </c>
      <c r="BT12" s="714">
        <v>10791</v>
      </c>
      <c r="BU12" s="679">
        <f t="shared" si="34"/>
        <v>-37.700000000000003</v>
      </c>
    </row>
    <row r="13" spans="1:73">
      <c r="A13" s="4"/>
      <c r="B13" s="43" t="s">
        <v>162</v>
      </c>
      <c r="C13" s="98">
        <v>30894</v>
      </c>
      <c r="D13" s="98">
        <v>36085</v>
      </c>
      <c r="E13" s="98">
        <v>33243</v>
      </c>
      <c r="F13" s="98">
        <v>20758</v>
      </c>
      <c r="G13" s="98">
        <v>16727</v>
      </c>
      <c r="H13" s="98">
        <v>21222</v>
      </c>
      <c r="I13" s="98">
        <v>13679</v>
      </c>
      <c r="J13" s="386">
        <v>17081</v>
      </c>
      <c r="K13" s="253">
        <v>1305</v>
      </c>
      <c r="L13" s="386">
        <v>1624</v>
      </c>
      <c r="M13" s="255">
        <f t="shared" si="0"/>
        <v>24.4</v>
      </c>
      <c r="N13" s="253">
        <f t="shared" si="1"/>
        <v>1435</v>
      </c>
      <c r="O13" s="386">
        <f t="shared" si="1"/>
        <v>964</v>
      </c>
      <c r="P13" s="255">
        <f t="shared" si="2"/>
        <v>-32.799999999999997</v>
      </c>
      <c r="Q13" s="253">
        <v>2740</v>
      </c>
      <c r="R13" s="386">
        <v>2588</v>
      </c>
      <c r="S13" s="255">
        <f t="shared" si="3"/>
        <v>-5.5</v>
      </c>
      <c r="T13" s="253">
        <f t="shared" si="4"/>
        <v>1705</v>
      </c>
      <c r="U13" s="386">
        <f t="shared" si="5"/>
        <v>1094</v>
      </c>
      <c r="V13" s="255">
        <f t="shared" si="6"/>
        <v>-35.799999999999997</v>
      </c>
      <c r="W13" s="253">
        <v>4445</v>
      </c>
      <c r="X13" s="386">
        <v>3682</v>
      </c>
      <c r="Y13" s="255">
        <f t="shared" si="7"/>
        <v>-17.2</v>
      </c>
      <c r="Z13" s="253">
        <f t="shared" si="8"/>
        <v>826</v>
      </c>
      <c r="AA13" s="386">
        <f t="shared" si="9"/>
        <v>1469</v>
      </c>
      <c r="AB13" s="255">
        <f t="shared" si="10"/>
        <v>77.8</v>
      </c>
      <c r="AC13" s="253">
        <v>5271</v>
      </c>
      <c r="AD13" s="386">
        <v>5151</v>
      </c>
      <c r="AE13" s="255">
        <f t="shared" si="11"/>
        <v>-2.2999999999999998</v>
      </c>
      <c r="AF13" s="253">
        <f t="shared" si="12"/>
        <v>1487</v>
      </c>
      <c r="AG13" s="386">
        <f t="shared" si="12"/>
        <v>946</v>
      </c>
      <c r="AH13" s="255">
        <f t="shared" si="13"/>
        <v>-36.4</v>
      </c>
      <c r="AI13" s="253">
        <v>6758</v>
      </c>
      <c r="AJ13" s="386">
        <v>6097</v>
      </c>
      <c r="AK13" s="255">
        <f t="shared" si="14"/>
        <v>-9.8000000000000007</v>
      </c>
      <c r="AL13" s="677">
        <f t="shared" si="15"/>
        <v>1192</v>
      </c>
      <c r="AM13" s="682">
        <f t="shared" si="16"/>
        <v>1485</v>
      </c>
      <c r="AN13" s="679">
        <f t="shared" si="17"/>
        <v>24.6</v>
      </c>
      <c r="AO13" s="689">
        <v>7950</v>
      </c>
      <c r="AP13" s="714">
        <v>7582</v>
      </c>
      <c r="AQ13" s="679">
        <f t="shared" si="18"/>
        <v>-4.5999999999999996</v>
      </c>
      <c r="AR13" s="689">
        <f t="shared" si="19"/>
        <v>1539</v>
      </c>
      <c r="AS13" s="714">
        <f t="shared" si="19"/>
        <v>1080</v>
      </c>
      <c r="AT13" s="679">
        <f t="shared" si="20"/>
        <v>-29.8</v>
      </c>
      <c r="AU13" s="989">
        <v>9489</v>
      </c>
      <c r="AV13" s="990">
        <v>8662</v>
      </c>
      <c r="AW13" s="679">
        <f t="shared" si="21"/>
        <v>-8.6999999999999993</v>
      </c>
      <c r="AX13" s="689">
        <f t="shared" si="22"/>
        <v>1248</v>
      </c>
      <c r="AY13" s="714">
        <f t="shared" si="23"/>
        <v>259</v>
      </c>
      <c r="AZ13" s="679">
        <f t="shared" si="24"/>
        <v>-79.2</v>
      </c>
      <c r="BA13" s="689">
        <v>10737</v>
      </c>
      <c r="BB13" s="714">
        <v>8921</v>
      </c>
      <c r="BC13" s="679">
        <f t="shared" si="25"/>
        <v>-16.899999999999999</v>
      </c>
      <c r="BD13" s="689">
        <f t="shared" si="26"/>
        <v>1649</v>
      </c>
      <c r="BE13" s="714">
        <f t="shared" si="26"/>
        <v>230</v>
      </c>
      <c r="BF13" s="679">
        <f t="shared" si="27"/>
        <v>-86.1</v>
      </c>
      <c r="BG13" s="689">
        <v>12386</v>
      </c>
      <c r="BH13" s="714">
        <v>9151</v>
      </c>
      <c r="BI13" s="679">
        <f t="shared" si="28"/>
        <v>-26.1</v>
      </c>
      <c r="BJ13" s="689">
        <f t="shared" si="29"/>
        <v>1475</v>
      </c>
      <c r="BK13" s="714">
        <f t="shared" si="29"/>
        <v>220</v>
      </c>
      <c r="BL13" s="679">
        <f t="shared" si="30"/>
        <v>-85.1</v>
      </c>
      <c r="BM13" s="689">
        <v>13861</v>
      </c>
      <c r="BN13" s="714">
        <v>9371</v>
      </c>
      <c r="BO13" s="679">
        <f t="shared" si="31"/>
        <v>-32.4</v>
      </c>
      <c r="BP13" s="689">
        <f t="shared" si="32"/>
        <v>1102</v>
      </c>
      <c r="BQ13" s="714">
        <f t="shared" si="32"/>
        <v>244</v>
      </c>
      <c r="BR13" s="679">
        <f t="shared" si="33"/>
        <v>-77.900000000000006</v>
      </c>
      <c r="BS13" s="689">
        <v>14963</v>
      </c>
      <c r="BT13" s="714">
        <v>9615</v>
      </c>
      <c r="BU13" s="679">
        <f t="shared" si="34"/>
        <v>-35.700000000000003</v>
      </c>
    </row>
    <row r="14" spans="1:73">
      <c r="A14" s="4"/>
      <c r="B14" s="43" t="s">
        <v>56</v>
      </c>
      <c r="C14" s="98">
        <v>34311</v>
      </c>
      <c r="D14" s="98">
        <v>33230</v>
      </c>
      <c r="E14" s="98">
        <v>26442</v>
      </c>
      <c r="F14" s="98">
        <v>23867</v>
      </c>
      <c r="G14" s="98">
        <v>25121</v>
      </c>
      <c r="H14" s="98">
        <v>21600</v>
      </c>
      <c r="I14" s="98">
        <v>20087</v>
      </c>
      <c r="J14" s="386">
        <v>15972</v>
      </c>
      <c r="K14" s="253">
        <v>915</v>
      </c>
      <c r="L14" s="386">
        <v>1996</v>
      </c>
      <c r="M14" s="255">
        <f t="shared" si="0"/>
        <v>118.1</v>
      </c>
      <c r="N14" s="253">
        <f t="shared" si="1"/>
        <v>1066</v>
      </c>
      <c r="O14" s="386">
        <f t="shared" si="1"/>
        <v>1726</v>
      </c>
      <c r="P14" s="255">
        <f t="shared" si="2"/>
        <v>61.9</v>
      </c>
      <c r="Q14" s="253">
        <v>1981</v>
      </c>
      <c r="R14" s="386">
        <v>3722</v>
      </c>
      <c r="S14" s="255">
        <f t="shared" si="3"/>
        <v>87.9</v>
      </c>
      <c r="T14" s="253">
        <f t="shared" si="4"/>
        <v>1079</v>
      </c>
      <c r="U14" s="386">
        <f t="shared" si="5"/>
        <v>2631</v>
      </c>
      <c r="V14" s="255">
        <f t="shared" si="6"/>
        <v>143.80000000000001</v>
      </c>
      <c r="W14" s="253">
        <v>3060</v>
      </c>
      <c r="X14" s="386">
        <v>6353</v>
      </c>
      <c r="Y14" s="255">
        <f t="shared" si="7"/>
        <v>107.6</v>
      </c>
      <c r="Z14" s="253">
        <f t="shared" si="8"/>
        <v>1151</v>
      </c>
      <c r="AA14" s="386">
        <f t="shared" si="9"/>
        <v>411</v>
      </c>
      <c r="AB14" s="255">
        <f t="shared" si="10"/>
        <v>-64.3</v>
      </c>
      <c r="AC14" s="253">
        <v>4211</v>
      </c>
      <c r="AD14" s="386">
        <v>6764</v>
      </c>
      <c r="AE14" s="255">
        <f t="shared" si="11"/>
        <v>60.6</v>
      </c>
      <c r="AF14" s="253">
        <f t="shared" si="12"/>
        <v>1141</v>
      </c>
      <c r="AG14" s="386">
        <f t="shared" si="12"/>
        <v>161</v>
      </c>
      <c r="AH14" s="255">
        <f t="shared" si="13"/>
        <v>-85.9</v>
      </c>
      <c r="AI14" s="253">
        <v>5352</v>
      </c>
      <c r="AJ14" s="386">
        <v>6925</v>
      </c>
      <c r="AK14" s="255">
        <f t="shared" si="14"/>
        <v>29.4</v>
      </c>
      <c r="AL14" s="677">
        <f t="shared" si="15"/>
        <v>1059</v>
      </c>
      <c r="AM14" s="682">
        <f t="shared" si="16"/>
        <v>810</v>
      </c>
      <c r="AN14" s="679">
        <f t="shared" si="17"/>
        <v>-23.5</v>
      </c>
      <c r="AO14" s="689">
        <v>6411</v>
      </c>
      <c r="AP14" s="714">
        <v>7735</v>
      </c>
      <c r="AQ14" s="679">
        <f t="shared" si="18"/>
        <v>20.7</v>
      </c>
      <c r="AR14" s="689">
        <f t="shared" si="19"/>
        <v>1426</v>
      </c>
      <c r="AS14" s="714">
        <f t="shared" si="19"/>
        <v>1242</v>
      </c>
      <c r="AT14" s="679">
        <f t="shared" si="20"/>
        <v>-12.9</v>
      </c>
      <c r="AU14" s="989">
        <v>7837</v>
      </c>
      <c r="AV14" s="990">
        <v>8977</v>
      </c>
      <c r="AW14" s="679">
        <f t="shared" si="21"/>
        <v>14.5</v>
      </c>
      <c r="AX14" s="689">
        <f t="shared" si="22"/>
        <v>1877</v>
      </c>
      <c r="AY14" s="714">
        <f t="shared" si="23"/>
        <v>780</v>
      </c>
      <c r="AZ14" s="679">
        <f t="shared" si="24"/>
        <v>-58.4</v>
      </c>
      <c r="BA14" s="689">
        <v>9714</v>
      </c>
      <c r="BB14" s="714">
        <v>9757</v>
      </c>
      <c r="BC14" s="679">
        <f t="shared" si="25"/>
        <v>0.4</v>
      </c>
      <c r="BD14" s="689">
        <f t="shared" si="26"/>
        <v>1393</v>
      </c>
      <c r="BE14" s="714">
        <f t="shared" si="26"/>
        <v>2032</v>
      </c>
      <c r="BF14" s="679">
        <f t="shared" si="27"/>
        <v>45.9</v>
      </c>
      <c r="BG14" s="689">
        <v>11107</v>
      </c>
      <c r="BH14" s="714">
        <v>11789</v>
      </c>
      <c r="BI14" s="679">
        <f t="shared" si="28"/>
        <v>6.1</v>
      </c>
      <c r="BJ14" s="689">
        <f t="shared" si="29"/>
        <v>1408</v>
      </c>
      <c r="BK14" s="714">
        <f t="shared" si="29"/>
        <v>1746</v>
      </c>
      <c r="BL14" s="679">
        <f t="shared" si="30"/>
        <v>24</v>
      </c>
      <c r="BM14" s="689">
        <v>12515</v>
      </c>
      <c r="BN14" s="714">
        <v>13535</v>
      </c>
      <c r="BO14" s="679">
        <f t="shared" si="31"/>
        <v>8.1999999999999993</v>
      </c>
      <c r="BP14" s="689">
        <f t="shared" si="32"/>
        <v>1533</v>
      </c>
      <c r="BQ14" s="714">
        <f t="shared" si="32"/>
        <v>1454</v>
      </c>
      <c r="BR14" s="679">
        <f t="shared" si="33"/>
        <v>-5.2</v>
      </c>
      <c r="BS14" s="689">
        <v>14048</v>
      </c>
      <c r="BT14" s="714">
        <v>14989</v>
      </c>
      <c r="BU14" s="679">
        <f t="shared" si="34"/>
        <v>6.7</v>
      </c>
    </row>
    <row r="15" spans="1:73">
      <c r="A15" s="4"/>
      <c r="B15" s="43" t="s">
        <v>169</v>
      </c>
      <c r="C15" s="98">
        <v>30317</v>
      </c>
      <c r="D15" s="98">
        <v>34465</v>
      </c>
      <c r="E15" s="98">
        <v>27545</v>
      </c>
      <c r="F15" s="98">
        <v>29503</v>
      </c>
      <c r="G15" s="98">
        <v>26630</v>
      </c>
      <c r="H15" s="98">
        <v>19969</v>
      </c>
      <c r="I15" s="98">
        <v>16014</v>
      </c>
      <c r="J15" s="386">
        <v>15180</v>
      </c>
      <c r="K15" s="253">
        <v>1302</v>
      </c>
      <c r="L15" s="386">
        <v>728</v>
      </c>
      <c r="M15" s="255">
        <f t="shared" si="0"/>
        <v>-44.1</v>
      </c>
      <c r="N15" s="253">
        <f t="shared" si="1"/>
        <v>1129</v>
      </c>
      <c r="O15" s="386">
        <f t="shared" si="1"/>
        <v>1897</v>
      </c>
      <c r="P15" s="255">
        <f t="shared" si="2"/>
        <v>68</v>
      </c>
      <c r="Q15" s="253">
        <v>2431</v>
      </c>
      <c r="R15" s="386">
        <v>2625</v>
      </c>
      <c r="S15" s="255">
        <f t="shared" si="3"/>
        <v>8</v>
      </c>
      <c r="T15" s="253">
        <f t="shared" si="4"/>
        <v>827</v>
      </c>
      <c r="U15" s="386">
        <f t="shared" si="5"/>
        <v>1516</v>
      </c>
      <c r="V15" s="255">
        <f t="shared" si="6"/>
        <v>83.3</v>
      </c>
      <c r="W15" s="253">
        <v>3258</v>
      </c>
      <c r="X15" s="386">
        <v>4141</v>
      </c>
      <c r="Y15" s="255">
        <f t="shared" si="7"/>
        <v>27.1</v>
      </c>
      <c r="Z15" s="253">
        <f t="shared" si="8"/>
        <v>800</v>
      </c>
      <c r="AA15" s="386">
        <f t="shared" si="9"/>
        <v>1653</v>
      </c>
      <c r="AB15" s="255">
        <f t="shared" si="10"/>
        <v>106.6</v>
      </c>
      <c r="AC15" s="253">
        <v>4058</v>
      </c>
      <c r="AD15" s="386">
        <v>5794</v>
      </c>
      <c r="AE15" s="255">
        <f t="shared" si="11"/>
        <v>42.8</v>
      </c>
      <c r="AF15" s="253">
        <f t="shared" si="12"/>
        <v>1319</v>
      </c>
      <c r="AG15" s="386">
        <f t="shared" si="12"/>
        <v>651</v>
      </c>
      <c r="AH15" s="255">
        <f t="shared" si="13"/>
        <v>-50.6</v>
      </c>
      <c r="AI15" s="253">
        <v>5377</v>
      </c>
      <c r="AJ15" s="386">
        <v>6445</v>
      </c>
      <c r="AK15" s="255">
        <f t="shared" si="14"/>
        <v>19.899999999999999</v>
      </c>
      <c r="AL15" s="677">
        <f t="shared" si="15"/>
        <v>451</v>
      </c>
      <c r="AM15" s="682">
        <f t="shared" si="16"/>
        <v>1724</v>
      </c>
      <c r="AN15" s="679">
        <f t="shared" si="17"/>
        <v>282.3</v>
      </c>
      <c r="AO15" s="689">
        <v>5828</v>
      </c>
      <c r="AP15" s="714">
        <v>8169</v>
      </c>
      <c r="AQ15" s="679">
        <f t="shared" si="18"/>
        <v>40.200000000000003</v>
      </c>
      <c r="AR15" s="989">
        <f t="shared" si="19"/>
        <v>2526</v>
      </c>
      <c r="AS15" s="714">
        <f t="shared" si="19"/>
        <v>301</v>
      </c>
      <c r="AT15" s="679">
        <f t="shared" si="20"/>
        <v>-88.1</v>
      </c>
      <c r="AU15" s="989">
        <v>8354</v>
      </c>
      <c r="AV15" s="990">
        <v>8470</v>
      </c>
      <c r="AW15" s="679">
        <f t="shared" si="21"/>
        <v>1.4</v>
      </c>
      <c r="AX15" s="989">
        <f t="shared" si="22"/>
        <v>1050</v>
      </c>
      <c r="AY15" s="714">
        <f t="shared" si="23"/>
        <v>1396</v>
      </c>
      <c r="AZ15" s="679">
        <f t="shared" si="24"/>
        <v>33</v>
      </c>
      <c r="BA15" s="689">
        <v>9404</v>
      </c>
      <c r="BB15" s="714">
        <v>9866</v>
      </c>
      <c r="BC15" s="679">
        <f t="shared" si="25"/>
        <v>4.9000000000000004</v>
      </c>
      <c r="BD15" s="989">
        <f t="shared" si="26"/>
        <v>725</v>
      </c>
      <c r="BE15" s="714">
        <f t="shared" si="26"/>
        <v>1001</v>
      </c>
      <c r="BF15" s="679">
        <f t="shared" si="27"/>
        <v>38.1</v>
      </c>
      <c r="BG15" s="689">
        <v>10129</v>
      </c>
      <c r="BH15" s="714">
        <v>10867</v>
      </c>
      <c r="BI15" s="679">
        <f t="shared" si="28"/>
        <v>7.3</v>
      </c>
      <c r="BJ15" s="989">
        <f t="shared" si="29"/>
        <v>2223</v>
      </c>
      <c r="BK15" s="714">
        <f t="shared" si="29"/>
        <v>774</v>
      </c>
      <c r="BL15" s="679">
        <f t="shared" si="30"/>
        <v>-65.2</v>
      </c>
      <c r="BM15" s="689">
        <v>12352</v>
      </c>
      <c r="BN15" s="714">
        <v>11641</v>
      </c>
      <c r="BO15" s="679">
        <f t="shared" si="31"/>
        <v>-5.8</v>
      </c>
      <c r="BP15" s="989">
        <f t="shared" si="32"/>
        <v>751</v>
      </c>
      <c r="BQ15" s="714">
        <f t="shared" si="32"/>
        <v>1450</v>
      </c>
      <c r="BR15" s="679">
        <f t="shared" si="33"/>
        <v>93.1</v>
      </c>
      <c r="BS15" s="689">
        <v>13103</v>
      </c>
      <c r="BT15" s="714">
        <v>13091</v>
      </c>
      <c r="BU15" s="679">
        <f t="shared" si="34"/>
        <v>-0.1</v>
      </c>
    </row>
    <row r="16" spans="1:73">
      <c r="A16" s="4"/>
      <c r="B16" s="43" t="s">
        <v>184</v>
      </c>
      <c r="C16" s="98">
        <v>1017</v>
      </c>
      <c r="D16" s="98">
        <v>2122</v>
      </c>
      <c r="E16" s="98">
        <v>9260</v>
      </c>
      <c r="F16" s="98">
        <v>10527</v>
      </c>
      <c r="G16" s="98">
        <v>11306</v>
      </c>
      <c r="H16" s="98">
        <v>14480</v>
      </c>
      <c r="I16" s="98">
        <v>13143</v>
      </c>
      <c r="J16" s="386">
        <v>11610</v>
      </c>
      <c r="K16" s="253">
        <v>873</v>
      </c>
      <c r="L16" s="386">
        <v>602</v>
      </c>
      <c r="M16" s="255">
        <f t="shared" si="0"/>
        <v>-31</v>
      </c>
      <c r="N16" s="253">
        <f t="shared" si="1"/>
        <v>1165</v>
      </c>
      <c r="O16" s="386">
        <f t="shared" si="1"/>
        <v>21</v>
      </c>
      <c r="P16" s="255">
        <f t="shared" si="2"/>
        <v>-98.2</v>
      </c>
      <c r="Q16" s="253">
        <v>2038</v>
      </c>
      <c r="R16" s="386">
        <v>623</v>
      </c>
      <c r="S16" s="255">
        <f t="shared" si="3"/>
        <v>-69.400000000000006</v>
      </c>
      <c r="T16" s="253">
        <f t="shared" si="4"/>
        <v>818</v>
      </c>
      <c r="U16" s="386">
        <f t="shared" si="5"/>
        <v>388</v>
      </c>
      <c r="V16" s="255">
        <f t="shared" si="6"/>
        <v>-52.6</v>
      </c>
      <c r="W16" s="253">
        <v>2856</v>
      </c>
      <c r="X16" s="386">
        <v>1011</v>
      </c>
      <c r="Y16" s="255">
        <f t="shared" si="7"/>
        <v>-64.599999999999994</v>
      </c>
      <c r="Z16" s="253">
        <f t="shared" si="8"/>
        <v>583</v>
      </c>
      <c r="AA16" s="386">
        <f t="shared" si="9"/>
        <v>1776</v>
      </c>
      <c r="AB16" s="255">
        <f t="shared" si="10"/>
        <v>204.6</v>
      </c>
      <c r="AC16" s="253">
        <v>3439</v>
      </c>
      <c r="AD16" s="386">
        <v>2787</v>
      </c>
      <c r="AE16" s="255">
        <f t="shared" si="11"/>
        <v>-19</v>
      </c>
      <c r="AF16" s="253">
        <f t="shared" si="12"/>
        <v>753</v>
      </c>
      <c r="AG16" s="386">
        <f t="shared" si="12"/>
        <v>1602</v>
      </c>
      <c r="AH16" s="255">
        <f t="shared" si="13"/>
        <v>112.7</v>
      </c>
      <c r="AI16" s="253">
        <v>4192</v>
      </c>
      <c r="AJ16" s="386">
        <v>4389</v>
      </c>
      <c r="AK16" s="255">
        <f t="shared" si="14"/>
        <v>4.7</v>
      </c>
      <c r="AL16" s="677">
        <f t="shared" si="15"/>
        <v>939</v>
      </c>
      <c r="AM16" s="682">
        <f t="shared" si="16"/>
        <v>1818</v>
      </c>
      <c r="AN16" s="679">
        <f t="shared" si="17"/>
        <v>93.6</v>
      </c>
      <c r="AO16" s="689">
        <v>5131</v>
      </c>
      <c r="AP16" s="714">
        <v>6207</v>
      </c>
      <c r="AQ16" s="679">
        <f t="shared" si="18"/>
        <v>21</v>
      </c>
      <c r="AR16" s="689">
        <f t="shared" si="19"/>
        <v>1164</v>
      </c>
      <c r="AS16" s="714">
        <f t="shared" si="19"/>
        <v>777</v>
      </c>
      <c r="AT16" s="679">
        <f t="shared" si="20"/>
        <v>-33.200000000000003</v>
      </c>
      <c r="AU16" s="989">
        <v>6295</v>
      </c>
      <c r="AV16" s="990">
        <v>6984</v>
      </c>
      <c r="AW16" s="679">
        <f t="shared" si="21"/>
        <v>10.9</v>
      </c>
      <c r="AX16" s="689">
        <f t="shared" si="22"/>
        <v>940</v>
      </c>
      <c r="AY16" s="714">
        <f t="shared" si="23"/>
        <v>1300</v>
      </c>
      <c r="AZ16" s="679">
        <f t="shared" si="24"/>
        <v>38.299999999999997</v>
      </c>
      <c r="BA16" s="689">
        <v>7235</v>
      </c>
      <c r="BB16" s="714">
        <v>8284</v>
      </c>
      <c r="BC16" s="679">
        <f t="shared" si="25"/>
        <v>14.5</v>
      </c>
      <c r="BD16" s="689">
        <f t="shared" si="26"/>
        <v>1063</v>
      </c>
      <c r="BE16" s="714">
        <f t="shared" si="26"/>
        <v>686</v>
      </c>
      <c r="BF16" s="679">
        <f t="shared" si="27"/>
        <v>-35.5</v>
      </c>
      <c r="BG16" s="689">
        <v>8298</v>
      </c>
      <c r="BH16" s="714">
        <v>8970</v>
      </c>
      <c r="BI16" s="679">
        <f t="shared" si="28"/>
        <v>8.1</v>
      </c>
      <c r="BJ16" s="689">
        <f t="shared" si="29"/>
        <v>1109</v>
      </c>
      <c r="BK16" s="714">
        <f t="shared" si="29"/>
        <v>841</v>
      </c>
      <c r="BL16" s="679">
        <f t="shared" si="30"/>
        <v>-24.2</v>
      </c>
      <c r="BM16" s="689">
        <v>9407</v>
      </c>
      <c r="BN16" s="714">
        <v>9811</v>
      </c>
      <c r="BO16" s="679">
        <f t="shared" si="31"/>
        <v>4.3</v>
      </c>
      <c r="BP16" s="689">
        <f t="shared" si="32"/>
        <v>905</v>
      </c>
      <c r="BQ16" s="714">
        <f t="shared" si="32"/>
        <v>549</v>
      </c>
      <c r="BR16" s="679">
        <f t="shared" si="33"/>
        <v>-39.299999999999997</v>
      </c>
      <c r="BS16" s="689">
        <v>10312</v>
      </c>
      <c r="BT16" s="714">
        <v>10360</v>
      </c>
      <c r="BU16" s="679">
        <f t="shared" si="34"/>
        <v>0.5</v>
      </c>
    </row>
    <row r="17" spans="1:73">
      <c r="A17" s="4"/>
      <c r="B17" s="43" t="s">
        <v>70</v>
      </c>
      <c r="C17" s="98">
        <v>1263</v>
      </c>
      <c r="D17" s="98">
        <v>3711</v>
      </c>
      <c r="E17" s="98">
        <v>3169</v>
      </c>
      <c r="F17" s="98">
        <v>5750</v>
      </c>
      <c r="G17" s="98">
        <v>7897</v>
      </c>
      <c r="H17" s="98">
        <v>12687</v>
      </c>
      <c r="I17" s="98">
        <v>13217</v>
      </c>
      <c r="J17" s="386">
        <v>9432</v>
      </c>
      <c r="K17" s="253">
        <v>1320</v>
      </c>
      <c r="L17" s="386">
        <v>100</v>
      </c>
      <c r="M17" s="255">
        <f t="shared" si="0"/>
        <v>-92.4</v>
      </c>
      <c r="N17" s="253">
        <f t="shared" si="1"/>
        <v>321</v>
      </c>
      <c r="O17" s="386">
        <f t="shared" si="1"/>
        <v>462</v>
      </c>
      <c r="P17" s="255">
        <f t="shared" si="2"/>
        <v>43.9</v>
      </c>
      <c r="Q17" s="253">
        <v>1641</v>
      </c>
      <c r="R17" s="386">
        <v>562</v>
      </c>
      <c r="S17" s="255">
        <f t="shared" si="3"/>
        <v>-65.8</v>
      </c>
      <c r="T17" s="253">
        <f t="shared" si="4"/>
        <v>640</v>
      </c>
      <c r="U17" s="386">
        <f t="shared" si="5"/>
        <v>600</v>
      </c>
      <c r="V17" s="255">
        <f t="shared" si="6"/>
        <v>-6.3</v>
      </c>
      <c r="W17" s="253">
        <v>2281</v>
      </c>
      <c r="X17" s="386">
        <v>1162</v>
      </c>
      <c r="Y17" s="255">
        <f t="shared" si="7"/>
        <v>-49.1</v>
      </c>
      <c r="Z17" s="253">
        <f t="shared" si="8"/>
        <v>640</v>
      </c>
      <c r="AA17" s="386">
        <f t="shared" si="9"/>
        <v>79</v>
      </c>
      <c r="AB17" s="255">
        <f t="shared" si="10"/>
        <v>-87.7</v>
      </c>
      <c r="AC17" s="253">
        <v>2921</v>
      </c>
      <c r="AD17" s="386">
        <v>1241</v>
      </c>
      <c r="AE17" s="255">
        <f t="shared" si="11"/>
        <v>-57.5</v>
      </c>
      <c r="AF17" s="253">
        <f t="shared" si="12"/>
        <v>1746</v>
      </c>
      <c r="AG17" s="386">
        <f t="shared" si="12"/>
        <v>40</v>
      </c>
      <c r="AH17" s="255">
        <f t="shared" si="13"/>
        <v>-97.7</v>
      </c>
      <c r="AI17" s="253">
        <v>4667</v>
      </c>
      <c r="AJ17" s="386">
        <v>1281</v>
      </c>
      <c r="AK17" s="255">
        <f t="shared" si="14"/>
        <v>-72.599999999999994</v>
      </c>
      <c r="AL17" s="677">
        <f t="shared" si="15"/>
        <v>800</v>
      </c>
      <c r="AM17" s="682">
        <f t="shared" si="16"/>
        <v>239</v>
      </c>
      <c r="AN17" s="679">
        <f t="shared" si="17"/>
        <v>-70.099999999999994</v>
      </c>
      <c r="AO17" s="689">
        <v>5467</v>
      </c>
      <c r="AP17" s="714">
        <v>1520</v>
      </c>
      <c r="AQ17" s="679">
        <f t="shared" si="18"/>
        <v>-72.2</v>
      </c>
      <c r="AR17" s="689">
        <f t="shared" si="19"/>
        <v>1934</v>
      </c>
      <c r="AS17" s="714">
        <f t="shared" si="19"/>
        <v>1177</v>
      </c>
      <c r="AT17" s="679">
        <f t="shared" si="20"/>
        <v>-39.1</v>
      </c>
      <c r="AU17" s="989">
        <v>7401</v>
      </c>
      <c r="AV17" s="990">
        <v>2697</v>
      </c>
      <c r="AW17" s="679">
        <f t="shared" si="21"/>
        <v>-63.6</v>
      </c>
      <c r="AX17" s="689">
        <f t="shared" si="22"/>
        <v>180</v>
      </c>
      <c r="AY17" s="714">
        <f t="shared" si="23"/>
        <v>559</v>
      </c>
      <c r="AZ17" s="679">
        <f t="shared" si="24"/>
        <v>210.6</v>
      </c>
      <c r="BA17" s="689">
        <v>7581</v>
      </c>
      <c r="BB17" s="714">
        <v>3256</v>
      </c>
      <c r="BC17" s="679">
        <f t="shared" si="25"/>
        <v>-57.1</v>
      </c>
      <c r="BD17" s="689">
        <f t="shared" si="26"/>
        <v>619</v>
      </c>
      <c r="BE17" s="714">
        <f t="shared" si="26"/>
        <v>463</v>
      </c>
      <c r="BF17" s="679">
        <f t="shared" si="27"/>
        <v>-25.2</v>
      </c>
      <c r="BG17" s="689">
        <v>8200</v>
      </c>
      <c r="BH17" s="714">
        <v>3719</v>
      </c>
      <c r="BI17" s="679">
        <f t="shared" si="28"/>
        <v>-54.6</v>
      </c>
      <c r="BJ17" s="689">
        <f t="shared" si="29"/>
        <v>458</v>
      </c>
      <c r="BK17" s="714">
        <f t="shared" si="29"/>
        <v>362</v>
      </c>
      <c r="BL17" s="679">
        <f t="shared" si="30"/>
        <v>-21</v>
      </c>
      <c r="BM17" s="689">
        <v>8658</v>
      </c>
      <c r="BN17" s="714">
        <v>4081</v>
      </c>
      <c r="BO17" s="679">
        <f t="shared" si="31"/>
        <v>-52.9</v>
      </c>
      <c r="BP17" s="689">
        <f t="shared" si="32"/>
        <v>319</v>
      </c>
      <c r="BQ17" s="714">
        <f t="shared" si="32"/>
        <v>584</v>
      </c>
      <c r="BR17" s="679">
        <f t="shared" si="33"/>
        <v>83.1</v>
      </c>
      <c r="BS17" s="689">
        <v>8977</v>
      </c>
      <c r="BT17" s="714">
        <v>4665</v>
      </c>
      <c r="BU17" s="679">
        <f t="shared" si="34"/>
        <v>-48</v>
      </c>
    </row>
    <row r="18" spans="1:73" s="291" customFormat="1">
      <c r="A18" s="433"/>
      <c r="B18" s="43" t="s">
        <v>471</v>
      </c>
      <c r="C18" s="98">
        <v>0</v>
      </c>
      <c r="D18" s="98">
        <v>0</v>
      </c>
      <c r="E18" s="98">
        <v>12</v>
      </c>
      <c r="F18" s="98">
        <v>1504</v>
      </c>
      <c r="G18" s="98">
        <v>0</v>
      </c>
      <c r="H18" s="98">
        <v>2010</v>
      </c>
      <c r="I18" s="98">
        <v>0</v>
      </c>
      <c r="J18" s="386">
        <v>8112</v>
      </c>
      <c r="K18" s="253">
        <v>0</v>
      </c>
      <c r="L18" s="386">
        <v>5495</v>
      </c>
      <c r="M18" s="212">
        <v>0</v>
      </c>
      <c r="N18" s="253">
        <f t="shared" si="1"/>
        <v>0</v>
      </c>
      <c r="O18" s="386">
        <f t="shared" si="1"/>
        <v>4004</v>
      </c>
      <c r="P18" s="212">
        <v>0</v>
      </c>
      <c r="Q18" s="253">
        <v>0</v>
      </c>
      <c r="R18" s="386">
        <v>9499</v>
      </c>
      <c r="S18" s="212">
        <v>0</v>
      </c>
      <c r="T18" s="253">
        <f t="shared" si="4"/>
        <v>0</v>
      </c>
      <c r="U18" s="386">
        <f t="shared" si="5"/>
        <v>20538</v>
      </c>
      <c r="V18" s="212">
        <v>0</v>
      </c>
      <c r="W18" s="253">
        <v>0</v>
      </c>
      <c r="X18" s="386">
        <v>30037</v>
      </c>
      <c r="Y18" s="212">
        <v>0</v>
      </c>
      <c r="Z18" s="253">
        <f t="shared" si="8"/>
        <v>0</v>
      </c>
      <c r="AA18" s="386">
        <f t="shared" si="9"/>
        <v>9159</v>
      </c>
      <c r="AB18" s="524">
        <v>0</v>
      </c>
      <c r="AC18" s="253">
        <v>0</v>
      </c>
      <c r="AD18" s="386">
        <v>39196</v>
      </c>
      <c r="AE18" s="524">
        <v>0</v>
      </c>
      <c r="AF18" s="253">
        <f t="shared" si="12"/>
        <v>0</v>
      </c>
      <c r="AG18" s="386">
        <f t="shared" si="12"/>
        <v>0</v>
      </c>
      <c r="AH18" s="524">
        <v>0</v>
      </c>
      <c r="AI18" s="253">
        <v>0</v>
      </c>
      <c r="AJ18" s="386">
        <v>39196</v>
      </c>
      <c r="AK18" s="524">
        <v>0</v>
      </c>
      <c r="AL18" s="677">
        <f t="shared" si="15"/>
        <v>0</v>
      </c>
      <c r="AM18" s="682">
        <f t="shared" si="16"/>
        <v>0</v>
      </c>
      <c r="AN18" s="671">
        <v>0</v>
      </c>
      <c r="AO18" s="689">
        <v>0</v>
      </c>
      <c r="AP18" s="714">
        <v>39196</v>
      </c>
      <c r="AQ18" s="671">
        <v>0</v>
      </c>
      <c r="AR18" s="689">
        <f t="shared" si="19"/>
        <v>0</v>
      </c>
      <c r="AS18" s="714">
        <f t="shared" si="19"/>
        <v>9054</v>
      </c>
      <c r="AT18" s="671">
        <v>0</v>
      </c>
      <c r="AU18" s="989">
        <v>0</v>
      </c>
      <c r="AV18" s="990">
        <v>48250</v>
      </c>
      <c r="AW18" s="671">
        <v>0</v>
      </c>
      <c r="AX18" s="689">
        <f t="shared" si="22"/>
        <v>0</v>
      </c>
      <c r="AY18" s="714">
        <f t="shared" si="23"/>
        <v>0</v>
      </c>
      <c r="AZ18" s="671">
        <v>0</v>
      </c>
      <c r="BA18" s="689">
        <v>0</v>
      </c>
      <c r="BB18" s="714">
        <v>48250</v>
      </c>
      <c r="BC18" s="671">
        <v>0</v>
      </c>
      <c r="BD18" s="689">
        <f t="shared" si="26"/>
        <v>0</v>
      </c>
      <c r="BE18" s="714">
        <f t="shared" si="26"/>
        <v>0</v>
      </c>
      <c r="BF18" s="671">
        <v>0</v>
      </c>
      <c r="BG18" s="689">
        <v>0</v>
      </c>
      <c r="BH18" s="714">
        <v>48250</v>
      </c>
      <c r="BI18" s="671">
        <v>0</v>
      </c>
      <c r="BJ18" s="689">
        <f t="shared" si="29"/>
        <v>0</v>
      </c>
      <c r="BK18" s="714">
        <f t="shared" si="29"/>
        <v>4055</v>
      </c>
      <c r="BL18" s="671">
        <v>0</v>
      </c>
      <c r="BM18" s="689">
        <v>0</v>
      </c>
      <c r="BN18" s="714">
        <v>52305</v>
      </c>
      <c r="BO18" s="671">
        <v>0</v>
      </c>
      <c r="BP18" s="689">
        <f t="shared" si="32"/>
        <v>8112</v>
      </c>
      <c r="BQ18" s="714">
        <f t="shared" si="32"/>
        <v>0</v>
      </c>
      <c r="BR18" s="753">
        <f>ROUND(((BQ18/BP18-1)*100), 1)</f>
        <v>-100</v>
      </c>
      <c r="BS18" s="689">
        <v>8112</v>
      </c>
      <c r="BT18" s="714">
        <v>52305</v>
      </c>
      <c r="BU18" s="753">
        <f>ROUND(((BT18/BS18-1)*100), 1)</f>
        <v>544.79999999999995</v>
      </c>
    </row>
    <row r="19" spans="1:73">
      <c r="A19" s="4"/>
      <c r="B19" s="43" t="s">
        <v>59</v>
      </c>
      <c r="C19" s="98">
        <v>8919</v>
      </c>
      <c r="D19" s="98">
        <v>6114</v>
      </c>
      <c r="E19" s="98">
        <v>7402</v>
      </c>
      <c r="F19" s="98">
        <v>7914</v>
      </c>
      <c r="G19" s="98">
        <v>7295</v>
      </c>
      <c r="H19" s="98">
        <v>3791</v>
      </c>
      <c r="I19" s="98">
        <v>4149</v>
      </c>
      <c r="J19" s="386">
        <v>3679</v>
      </c>
      <c r="K19" s="253">
        <v>377</v>
      </c>
      <c r="L19" s="386">
        <v>482</v>
      </c>
      <c r="M19" s="255">
        <f>ROUND(((L19/K19-1)*100), 1)</f>
        <v>27.9</v>
      </c>
      <c r="N19" s="253">
        <f t="shared" si="1"/>
        <v>199</v>
      </c>
      <c r="O19" s="386">
        <f t="shared" si="1"/>
        <v>77</v>
      </c>
      <c r="P19" s="255">
        <f>ROUND(((O19/N19-1)*100), 1)</f>
        <v>-61.3</v>
      </c>
      <c r="Q19" s="253">
        <v>576</v>
      </c>
      <c r="R19" s="386">
        <v>559</v>
      </c>
      <c r="S19" s="255">
        <f>ROUND(((R19/Q19-1)*100), 1)</f>
        <v>-3</v>
      </c>
      <c r="T19" s="253">
        <f t="shared" si="4"/>
        <v>485</v>
      </c>
      <c r="U19" s="386">
        <f t="shared" si="5"/>
        <v>263</v>
      </c>
      <c r="V19" s="255">
        <f>ROUND(((U19/T19-1)*100), 1)</f>
        <v>-45.8</v>
      </c>
      <c r="W19" s="253">
        <v>1061</v>
      </c>
      <c r="X19" s="386">
        <v>822</v>
      </c>
      <c r="Y19" s="255">
        <f>ROUND(((X19/W19-1)*100), 1)</f>
        <v>-22.5</v>
      </c>
      <c r="Z19" s="253">
        <f t="shared" si="8"/>
        <v>437</v>
      </c>
      <c r="AA19" s="386">
        <f t="shared" si="9"/>
        <v>185</v>
      </c>
      <c r="AB19" s="255">
        <f>ROUND(((AA19/Z19-1)*100), 1)</f>
        <v>-57.7</v>
      </c>
      <c r="AC19" s="253">
        <v>1498</v>
      </c>
      <c r="AD19" s="386">
        <v>1007</v>
      </c>
      <c r="AE19" s="255">
        <f>ROUND(((AD19/AC19-1)*100), 1)</f>
        <v>-32.799999999999997</v>
      </c>
      <c r="AF19" s="253">
        <f t="shared" si="12"/>
        <v>277</v>
      </c>
      <c r="AG19" s="386">
        <f t="shared" si="12"/>
        <v>40</v>
      </c>
      <c r="AH19" s="255">
        <f>ROUND(((AG19/AF19-1)*100), 1)</f>
        <v>-85.6</v>
      </c>
      <c r="AI19" s="253">
        <v>1775</v>
      </c>
      <c r="AJ19" s="386">
        <v>1047</v>
      </c>
      <c r="AK19" s="255">
        <f>ROUND(((AJ19/AI19-1)*100), 1)</f>
        <v>-41</v>
      </c>
      <c r="AL19" s="677">
        <f t="shared" si="15"/>
        <v>293</v>
      </c>
      <c r="AM19" s="682">
        <f t="shared" si="16"/>
        <v>151</v>
      </c>
      <c r="AN19" s="679">
        <f>ROUND(((AM19/AL19-1)*100), 1)</f>
        <v>-48.5</v>
      </c>
      <c r="AO19" s="689">
        <v>2068</v>
      </c>
      <c r="AP19" s="714">
        <v>1198</v>
      </c>
      <c r="AQ19" s="679">
        <f>ROUND(((AP19/AO19-1)*100), 1)</f>
        <v>-42.1</v>
      </c>
      <c r="AR19" s="689">
        <f t="shared" si="19"/>
        <v>268</v>
      </c>
      <c r="AS19" s="714">
        <f t="shared" si="19"/>
        <v>111</v>
      </c>
      <c r="AT19" s="679">
        <f>ROUND(((AS19/AR19-1)*100), 1)</f>
        <v>-58.6</v>
      </c>
      <c r="AU19" s="989">
        <v>2336</v>
      </c>
      <c r="AV19" s="990">
        <v>1309</v>
      </c>
      <c r="AW19" s="679">
        <f>ROUND(((AV19/AU19-1)*100), 1)</f>
        <v>-44</v>
      </c>
      <c r="AX19" s="689">
        <f t="shared" si="22"/>
        <v>388</v>
      </c>
      <c r="AY19" s="714">
        <f t="shared" si="23"/>
        <v>223</v>
      </c>
      <c r="AZ19" s="679">
        <f>ROUND(((AY19/AX19-1)*100), 1)</f>
        <v>-42.5</v>
      </c>
      <c r="BA19" s="689">
        <v>2724</v>
      </c>
      <c r="BB19" s="714">
        <v>1532</v>
      </c>
      <c r="BC19" s="679">
        <f>ROUND(((BB19/BA19-1)*100), 1)</f>
        <v>-43.8</v>
      </c>
      <c r="BD19" s="689">
        <f t="shared" si="26"/>
        <v>207</v>
      </c>
      <c r="BE19" s="714">
        <f t="shared" si="26"/>
        <v>281</v>
      </c>
      <c r="BF19" s="679">
        <f>ROUND(((BE19/BD19-1)*100), 1)</f>
        <v>35.700000000000003</v>
      </c>
      <c r="BG19" s="689">
        <v>2931</v>
      </c>
      <c r="BH19" s="714">
        <v>1813</v>
      </c>
      <c r="BI19" s="679">
        <f>ROUND(((BH19/BG19-1)*100), 1)</f>
        <v>-38.1</v>
      </c>
      <c r="BJ19" s="689">
        <f t="shared" si="29"/>
        <v>97</v>
      </c>
      <c r="BK19" s="714">
        <f t="shared" si="29"/>
        <v>223</v>
      </c>
      <c r="BL19" s="679">
        <f>ROUND(((BK19/BJ19-1)*100), 1)</f>
        <v>129.9</v>
      </c>
      <c r="BM19" s="689">
        <v>3028</v>
      </c>
      <c r="BN19" s="714">
        <v>2036</v>
      </c>
      <c r="BO19" s="679">
        <f>ROUND(((BN19/BM19-1)*100), 1)</f>
        <v>-32.799999999999997</v>
      </c>
      <c r="BP19" s="689">
        <f t="shared" si="32"/>
        <v>626</v>
      </c>
      <c r="BQ19" s="714">
        <f t="shared" si="32"/>
        <v>242</v>
      </c>
      <c r="BR19" s="679">
        <f>ROUND(((BQ19/BP19-1)*100), 1)</f>
        <v>-61.3</v>
      </c>
      <c r="BS19" s="689">
        <v>3654</v>
      </c>
      <c r="BT19" s="714">
        <v>2278</v>
      </c>
      <c r="BU19" s="679">
        <f>ROUND(((BT19/BS19-1)*100), 1)</f>
        <v>-37.700000000000003</v>
      </c>
    </row>
    <row r="20" spans="1:73">
      <c r="A20" s="4"/>
      <c r="B20" s="43" t="s">
        <v>201</v>
      </c>
      <c r="C20" s="98">
        <v>2683</v>
      </c>
      <c r="D20" s="98">
        <v>2826</v>
      </c>
      <c r="E20" s="98">
        <v>6216</v>
      </c>
      <c r="F20" s="98">
        <v>4056</v>
      </c>
      <c r="G20" s="98">
        <v>1990</v>
      </c>
      <c r="H20" s="98">
        <v>5676</v>
      </c>
      <c r="I20" s="98">
        <v>3639</v>
      </c>
      <c r="J20" s="386">
        <v>2672</v>
      </c>
      <c r="K20" s="253">
        <v>0</v>
      </c>
      <c r="L20" s="386">
        <v>101</v>
      </c>
      <c r="M20" s="212">
        <v>0</v>
      </c>
      <c r="N20" s="253">
        <f t="shared" si="1"/>
        <v>0</v>
      </c>
      <c r="O20" s="386">
        <f t="shared" si="1"/>
        <v>50</v>
      </c>
      <c r="P20" s="212">
        <v>0</v>
      </c>
      <c r="Q20" s="253">
        <v>0</v>
      </c>
      <c r="R20" s="386">
        <v>151</v>
      </c>
      <c r="S20" s="212">
        <v>0</v>
      </c>
      <c r="T20" s="253">
        <f t="shared" si="4"/>
        <v>152</v>
      </c>
      <c r="U20" s="386">
        <f t="shared" si="5"/>
        <v>326</v>
      </c>
      <c r="V20" s="242">
        <f t="shared" ref="V20" si="35">ROUND(((U20/T20-1)*100), 1)</f>
        <v>114.5</v>
      </c>
      <c r="W20" s="253">
        <v>152</v>
      </c>
      <c r="X20" s="386">
        <v>477</v>
      </c>
      <c r="Y20" s="242">
        <f t="shared" ref="Y20" si="36">ROUND(((X20/W20-1)*100), 1)</f>
        <v>213.8</v>
      </c>
      <c r="Z20" s="253">
        <f t="shared" si="8"/>
        <v>350</v>
      </c>
      <c r="AA20" s="386">
        <f t="shared" si="9"/>
        <v>529</v>
      </c>
      <c r="AB20" s="242">
        <f t="shared" ref="AB20:AB22" si="37">ROUND(((AA20/Z20-1)*100), 1)</f>
        <v>51.1</v>
      </c>
      <c r="AC20" s="253">
        <v>502</v>
      </c>
      <c r="AD20" s="386">
        <v>1006</v>
      </c>
      <c r="AE20" s="242">
        <f t="shared" ref="AE20:AE30" si="38">ROUND(((AD20/AC20-1)*100), 1)</f>
        <v>100.4</v>
      </c>
      <c r="AF20" s="253">
        <f t="shared" si="12"/>
        <v>249</v>
      </c>
      <c r="AG20" s="386">
        <f t="shared" si="12"/>
        <v>125</v>
      </c>
      <c r="AH20" s="242">
        <f t="shared" ref="AH20:AH28" si="39">ROUND(((AG20/AF20-1)*100), 1)</f>
        <v>-49.8</v>
      </c>
      <c r="AI20" s="253">
        <v>751</v>
      </c>
      <c r="AJ20" s="386">
        <v>1131</v>
      </c>
      <c r="AK20" s="242">
        <f t="shared" ref="AK20:AK30" si="40">ROUND(((AJ20/AI20-1)*100), 1)</f>
        <v>50.6</v>
      </c>
      <c r="AL20" s="677">
        <f t="shared" si="15"/>
        <v>350</v>
      </c>
      <c r="AM20" s="682">
        <f t="shared" si="16"/>
        <v>352</v>
      </c>
      <c r="AN20" s="673">
        <f t="shared" ref="AN20:AN24" si="41">ROUND(((AM20/AL20-1)*100), 1)</f>
        <v>0.6</v>
      </c>
      <c r="AO20" s="689">
        <v>1101</v>
      </c>
      <c r="AP20" s="714">
        <v>1483</v>
      </c>
      <c r="AQ20" s="673">
        <f t="shared" ref="AQ20:AQ31" si="42">ROUND(((AP20/AO20-1)*100), 1)</f>
        <v>34.700000000000003</v>
      </c>
      <c r="AR20" s="689">
        <f t="shared" si="19"/>
        <v>351</v>
      </c>
      <c r="AS20" s="714">
        <f t="shared" si="19"/>
        <v>851</v>
      </c>
      <c r="AT20" s="753">
        <f t="shared" ref="AT20:AT26" si="43">ROUND(((AS20/AR20-1)*100), 1)</f>
        <v>142.5</v>
      </c>
      <c r="AU20" s="989">
        <v>1452</v>
      </c>
      <c r="AV20" s="990">
        <v>2334</v>
      </c>
      <c r="AW20" s="753">
        <f t="shared" ref="AW20:AW40" si="44">ROUND(((AV20/AU20-1)*100), 1)</f>
        <v>60.7</v>
      </c>
      <c r="AX20" s="689">
        <f t="shared" si="22"/>
        <v>323</v>
      </c>
      <c r="AY20" s="714">
        <f t="shared" si="23"/>
        <v>199</v>
      </c>
      <c r="AZ20" s="753">
        <f t="shared" ref="AZ20:AZ24" si="45">ROUND(((AY20/AX20-1)*100), 1)</f>
        <v>-38.4</v>
      </c>
      <c r="BA20" s="689">
        <v>1775</v>
      </c>
      <c r="BB20" s="714">
        <v>2533</v>
      </c>
      <c r="BC20" s="753">
        <f t="shared" ref="BC20:BC40" si="46">ROUND(((BB20/BA20-1)*100), 1)</f>
        <v>42.7</v>
      </c>
      <c r="BD20" s="689">
        <f t="shared" si="26"/>
        <v>300</v>
      </c>
      <c r="BE20" s="714">
        <f t="shared" si="26"/>
        <v>199</v>
      </c>
      <c r="BF20" s="753">
        <f t="shared" ref="BF20:BF24" si="47">ROUND(((BE20/BD20-1)*100), 1)</f>
        <v>-33.700000000000003</v>
      </c>
      <c r="BG20" s="689">
        <v>2075</v>
      </c>
      <c r="BH20" s="714">
        <v>2732</v>
      </c>
      <c r="BI20" s="753">
        <f t="shared" ref="BI20:BI40" si="48">ROUND(((BH20/BG20-1)*100), 1)</f>
        <v>31.7</v>
      </c>
      <c r="BJ20" s="689">
        <f t="shared" si="29"/>
        <v>25</v>
      </c>
      <c r="BK20" s="714">
        <f t="shared" si="29"/>
        <v>0</v>
      </c>
      <c r="BL20" s="753">
        <f t="shared" ref="BL20" si="49">ROUND(((BK20/BJ20-1)*100), 1)</f>
        <v>-100</v>
      </c>
      <c r="BM20" s="689">
        <v>2100</v>
      </c>
      <c r="BN20" s="714">
        <v>2732</v>
      </c>
      <c r="BO20" s="753">
        <f t="shared" ref="BO20:BO40" si="50">ROUND(((BN20/BM20-1)*100), 1)</f>
        <v>30.1</v>
      </c>
      <c r="BP20" s="689">
        <f t="shared" si="32"/>
        <v>348</v>
      </c>
      <c r="BQ20" s="714">
        <f t="shared" si="32"/>
        <v>0</v>
      </c>
      <c r="BR20" s="753">
        <f>ROUND(((BQ20/BP20-1)*100), 1)</f>
        <v>-100</v>
      </c>
      <c r="BS20" s="689">
        <v>2448</v>
      </c>
      <c r="BT20" s="714">
        <v>2732</v>
      </c>
      <c r="BU20" s="753">
        <f t="shared" ref="BU20:BU40" si="51">ROUND(((BT20/BS20-1)*100), 1)</f>
        <v>11.6</v>
      </c>
    </row>
    <row r="21" spans="1:73">
      <c r="A21" s="4"/>
      <c r="B21" s="43" t="s">
        <v>170</v>
      </c>
      <c r="C21" s="98">
        <v>3956</v>
      </c>
      <c r="D21" s="98">
        <v>4026</v>
      </c>
      <c r="E21" s="98">
        <v>4179</v>
      </c>
      <c r="F21" s="98">
        <v>2113</v>
      </c>
      <c r="G21" s="98">
        <v>2416</v>
      </c>
      <c r="H21" s="98">
        <v>247</v>
      </c>
      <c r="I21" s="98">
        <v>1835</v>
      </c>
      <c r="J21" s="386">
        <v>2581</v>
      </c>
      <c r="K21" s="253">
        <v>0</v>
      </c>
      <c r="L21" s="386">
        <v>379</v>
      </c>
      <c r="M21" s="212">
        <v>0</v>
      </c>
      <c r="N21" s="253">
        <f t="shared" si="1"/>
        <v>252</v>
      </c>
      <c r="O21" s="386">
        <f t="shared" si="1"/>
        <v>884</v>
      </c>
      <c r="P21" s="255">
        <f t="shared" ref="P21:P27" si="52">ROUND(((O21/N21-1)*100), 1)</f>
        <v>250.8</v>
      </c>
      <c r="Q21" s="253">
        <v>252</v>
      </c>
      <c r="R21" s="386">
        <v>1263</v>
      </c>
      <c r="S21" s="255">
        <f t="shared" ref="S21:S29" si="53">ROUND(((R21/Q21-1)*100), 1)</f>
        <v>401.2</v>
      </c>
      <c r="T21" s="253">
        <f t="shared" si="4"/>
        <v>276</v>
      </c>
      <c r="U21" s="386">
        <f t="shared" si="5"/>
        <v>67</v>
      </c>
      <c r="V21" s="255">
        <f t="shared" ref="V21:V26" si="54">ROUND(((U21/T21-1)*100), 1)</f>
        <v>-75.7</v>
      </c>
      <c r="W21" s="253">
        <v>528</v>
      </c>
      <c r="X21" s="386">
        <v>1330</v>
      </c>
      <c r="Y21" s="255">
        <f t="shared" ref="Y21:Y29" si="55">ROUND(((X21/W21-1)*100), 1)</f>
        <v>151.9</v>
      </c>
      <c r="Z21" s="253">
        <f t="shared" si="8"/>
        <v>294</v>
      </c>
      <c r="AA21" s="386">
        <f t="shared" si="9"/>
        <v>125</v>
      </c>
      <c r="AB21" s="255">
        <f t="shared" si="37"/>
        <v>-57.5</v>
      </c>
      <c r="AC21" s="253">
        <v>822</v>
      </c>
      <c r="AD21" s="386">
        <v>1455</v>
      </c>
      <c r="AE21" s="255">
        <f t="shared" si="38"/>
        <v>77</v>
      </c>
      <c r="AF21" s="253">
        <f t="shared" si="12"/>
        <v>167</v>
      </c>
      <c r="AG21" s="386">
        <f t="shared" si="12"/>
        <v>0</v>
      </c>
      <c r="AH21" s="255">
        <f t="shared" si="39"/>
        <v>-100</v>
      </c>
      <c r="AI21" s="253">
        <v>989</v>
      </c>
      <c r="AJ21" s="386">
        <v>1455</v>
      </c>
      <c r="AK21" s="255">
        <f t="shared" si="40"/>
        <v>47.1</v>
      </c>
      <c r="AL21" s="677">
        <f t="shared" si="15"/>
        <v>319</v>
      </c>
      <c r="AM21" s="682">
        <f t="shared" si="16"/>
        <v>0</v>
      </c>
      <c r="AN21" s="679">
        <f t="shared" si="41"/>
        <v>-100</v>
      </c>
      <c r="AO21" s="689">
        <v>1308</v>
      </c>
      <c r="AP21" s="714">
        <v>1455</v>
      </c>
      <c r="AQ21" s="679">
        <f t="shared" si="42"/>
        <v>11.2</v>
      </c>
      <c r="AR21" s="689">
        <f t="shared" si="19"/>
        <v>356</v>
      </c>
      <c r="AS21" s="714">
        <f t="shared" si="19"/>
        <v>0</v>
      </c>
      <c r="AT21" s="679">
        <f t="shared" si="43"/>
        <v>-100</v>
      </c>
      <c r="AU21" s="989">
        <v>1664</v>
      </c>
      <c r="AV21" s="990">
        <v>1455</v>
      </c>
      <c r="AW21" s="679">
        <f t="shared" si="44"/>
        <v>-12.6</v>
      </c>
      <c r="AX21" s="689">
        <f t="shared" si="22"/>
        <v>611</v>
      </c>
      <c r="AY21" s="714">
        <f t="shared" si="23"/>
        <v>398</v>
      </c>
      <c r="AZ21" s="679">
        <f t="shared" si="45"/>
        <v>-34.9</v>
      </c>
      <c r="BA21" s="689">
        <v>2275</v>
      </c>
      <c r="BB21" s="714">
        <v>1853</v>
      </c>
      <c r="BC21" s="679">
        <f t="shared" si="46"/>
        <v>-18.5</v>
      </c>
      <c r="BD21" s="689">
        <f t="shared" si="26"/>
        <v>0</v>
      </c>
      <c r="BE21" s="714">
        <f t="shared" si="26"/>
        <v>460</v>
      </c>
      <c r="BF21" s="671">
        <v>0</v>
      </c>
      <c r="BG21" s="689">
        <v>2275</v>
      </c>
      <c r="BH21" s="714">
        <v>2313</v>
      </c>
      <c r="BI21" s="679">
        <f t="shared" si="48"/>
        <v>1.7</v>
      </c>
      <c r="BJ21" s="689">
        <f t="shared" si="29"/>
        <v>0</v>
      </c>
      <c r="BK21" s="714">
        <f t="shared" si="29"/>
        <v>0</v>
      </c>
      <c r="BL21" s="671">
        <v>0</v>
      </c>
      <c r="BM21" s="689">
        <v>2275</v>
      </c>
      <c r="BN21" s="714">
        <v>2313</v>
      </c>
      <c r="BO21" s="679">
        <f t="shared" si="50"/>
        <v>1.7</v>
      </c>
      <c r="BP21" s="689">
        <f t="shared" si="32"/>
        <v>0</v>
      </c>
      <c r="BQ21" s="714">
        <f t="shared" si="32"/>
        <v>341</v>
      </c>
      <c r="BR21" s="671">
        <v>0</v>
      </c>
      <c r="BS21" s="689">
        <v>2275</v>
      </c>
      <c r="BT21" s="714">
        <v>2654</v>
      </c>
      <c r="BU21" s="679">
        <f t="shared" si="51"/>
        <v>16.7</v>
      </c>
    </row>
    <row r="22" spans="1:73">
      <c r="A22" s="4"/>
      <c r="B22" s="43" t="s">
        <v>180</v>
      </c>
      <c r="C22" s="98">
        <v>4829</v>
      </c>
      <c r="D22" s="98">
        <v>3345</v>
      </c>
      <c r="E22" s="98">
        <v>1806</v>
      </c>
      <c r="F22" s="98">
        <v>1314</v>
      </c>
      <c r="G22" s="98">
        <v>1801</v>
      </c>
      <c r="H22" s="98">
        <v>2245</v>
      </c>
      <c r="I22" s="98">
        <v>2149</v>
      </c>
      <c r="J22" s="386">
        <v>1836</v>
      </c>
      <c r="K22" s="253">
        <v>181</v>
      </c>
      <c r="L22" s="386">
        <v>101</v>
      </c>
      <c r="M22" s="255">
        <f>ROUND(((L22/K22-1)*100), 1)</f>
        <v>-44.2</v>
      </c>
      <c r="N22" s="253">
        <f t="shared" si="1"/>
        <v>222</v>
      </c>
      <c r="O22" s="386">
        <f t="shared" si="1"/>
        <v>181</v>
      </c>
      <c r="P22" s="255">
        <f t="shared" si="52"/>
        <v>-18.5</v>
      </c>
      <c r="Q22" s="253">
        <v>403</v>
      </c>
      <c r="R22" s="386">
        <v>282</v>
      </c>
      <c r="S22" s="255">
        <f t="shared" si="53"/>
        <v>-30</v>
      </c>
      <c r="T22" s="253">
        <f t="shared" si="4"/>
        <v>140</v>
      </c>
      <c r="U22" s="386">
        <f t="shared" si="5"/>
        <v>203</v>
      </c>
      <c r="V22" s="255">
        <f t="shared" si="54"/>
        <v>45</v>
      </c>
      <c r="W22" s="253">
        <v>543</v>
      </c>
      <c r="X22" s="386">
        <v>485</v>
      </c>
      <c r="Y22" s="255">
        <f t="shared" si="55"/>
        <v>-10.7</v>
      </c>
      <c r="Z22" s="253">
        <f t="shared" si="8"/>
        <v>163</v>
      </c>
      <c r="AA22" s="386">
        <f t="shared" si="9"/>
        <v>140</v>
      </c>
      <c r="AB22" s="255">
        <f t="shared" si="37"/>
        <v>-14.1</v>
      </c>
      <c r="AC22" s="253">
        <v>706</v>
      </c>
      <c r="AD22" s="386">
        <v>625</v>
      </c>
      <c r="AE22" s="255">
        <f t="shared" si="38"/>
        <v>-11.5</v>
      </c>
      <c r="AF22" s="253">
        <f t="shared" si="12"/>
        <v>182</v>
      </c>
      <c r="AG22" s="386">
        <f t="shared" si="12"/>
        <v>80</v>
      </c>
      <c r="AH22" s="255">
        <f t="shared" si="39"/>
        <v>-56</v>
      </c>
      <c r="AI22" s="253">
        <v>888</v>
      </c>
      <c r="AJ22" s="386">
        <v>705</v>
      </c>
      <c r="AK22" s="255">
        <f t="shared" si="40"/>
        <v>-20.6</v>
      </c>
      <c r="AL22" s="677">
        <f t="shared" si="15"/>
        <v>220</v>
      </c>
      <c r="AM22" s="682">
        <f t="shared" si="16"/>
        <v>60</v>
      </c>
      <c r="AN22" s="679">
        <f t="shared" si="41"/>
        <v>-72.7</v>
      </c>
      <c r="AO22" s="689">
        <v>1108</v>
      </c>
      <c r="AP22" s="714">
        <v>765</v>
      </c>
      <c r="AQ22" s="679">
        <f t="shared" si="42"/>
        <v>-31</v>
      </c>
      <c r="AR22" s="689">
        <f t="shared" si="19"/>
        <v>203</v>
      </c>
      <c r="AS22" s="714">
        <f t="shared" si="19"/>
        <v>141</v>
      </c>
      <c r="AT22" s="679">
        <f t="shared" si="43"/>
        <v>-30.5</v>
      </c>
      <c r="AU22" s="989">
        <v>1311</v>
      </c>
      <c r="AV22" s="990">
        <v>906</v>
      </c>
      <c r="AW22" s="679">
        <f t="shared" si="44"/>
        <v>-30.9</v>
      </c>
      <c r="AX22" s="689">
        <f t="shared" si="22"/>
        <v>120</v>
      </c>
      <c r="AY22" s="714">
        <f t="shared" si="23"/>
        <v>121</v>
      </c>
      <c r="AZ22" s="679">
        <f t="shared" si="45"/>
        <v>0.8</v>
      </c>
      <c r="BA22" s="689">
        <v>1431</v>
      </c>
      <c r="BB22" s="714">
        <v>1027</v>
      </c>
      <c r="BC22" s="679">
        <f t="shared" si="46"/>
        <v>-28.2</v>
      </c>
      <c r="BD22" s="689">
        <f t="shared" si="26"/>
        <v>163</v>
      </c>
      <c r="BE22" s="714">
        <f t="shared" si="26"/>
        <v>202</v>
      </c>
      <c r="BF22" s="679">
        <f t="shared" si="47"/>
        <v>23.9</v>
      </c>
      <c r="BG22" s="689">
        <v>1594</v>
      </c>
      <c r="BH22" s="714">
        <v>1229</v>
      </c>
      <c r="BI22" s="679">
        <f t="shared" si="48"/>
        <v>-22.9</v>
      </c>
      <c r="BJ22" s="689">
        <f t="shared" si="29"/>
        <v>120</v>
      </c>
      <c r="BK22" s="714">
        <f t="shared" si="29"/>
        <v>140</v>
      </c>
      <c r="BL22" s="679">
        <f t="shared" ref="BL22:BL24" si="56">ROUND(((BK22/BJ22-1)*100), 1)</f>
        <v>16.7</v>
      </c>
      <c r="BM22" s="689">
        <v>1714</v>
      </c>
      <c r="BN22" s="714">
        <v>1369</v>
      </c>
      <c r="BO22" s="679">
        <f t="shared" si="50"/>
        <v>-20.100000000000001</v>
      </c>
      <c r="BP22" s="689">
        <f t="shared" si="32"/>
        <v>61</v>
      </c>
      <c r="BQ22" s="714">
        <f t="shared" si="32"/>
        <v>101</v>
      </c>
      <c r="BR22" s="679">
        <f>ROUND(((BQ22/BP22-1)*100), 1)</f>
        <v>65.599999999999994</v>
      </c>
      <c r="BS22" s="689">
        <v>1775</v>
      </c>
      <c r="BT22" s="714">
        <v>1470</v>
      </c>
      <c r="BU22" s="679">
        <f t="shared" si="51"/>
        <v>-17.2</v>
      </c>
    </row>
    <row r="23" spans="1:73">
      <c r="A23" s="4"/>
      <c r="B23" s="43" t="s">
        <v>203</v>
      </c>
      <c r="C23" s="98">
        <v>108</v>
      </c>
      <c r="D23" s="98">
        <v>213</v>
      </c>
      <c r="E23" s="98">
        <v>124</v>
      </c>
      <c r="F23" s="98">
        <v>894</v>
      </c>
      <c r="G23" s="98">
        <v>1868</v>
      </c>
      <c r="H23" s="98">
        <v>1448</v>
      </c>
      <c r="I23" s="98">
        <v>1830</v>
      </c>
      <c r="J23" s="386">
        <v>1654</v>
      </c>
      <c r="K23" s="253">
        <v>152</v>
      </c>
      <c r="L23" s="386">
        <v>76</v>
      </c>
      <c r="M23" s="255">
        <f>ROUND(((L23/K23-1)*100), 1)</f>
        <v>-50</v>
      </c>
      <c r="N23" s="253">
        <f t="shared" si="1"/>
        <v>51</v>
      </c>
      <c r="O23" s="386">
        <f t="shared" si="1"/>
        <v>149</v>
      </c>
      <c r="P23" s="255">
        <f t="shared" si="52"/>
        <v>192.2</v>
      </c>
      <c r="Q23" s="253">
        <v>203</v>
      </c>
      <c r="R23" s="386">
        <v>225</v>
      </c>
      <c r="S23" s="255">
        <f t="shared" si="53"/>
        <v>10.8</v>
      </c>
      <c r="T23" s="253">
        <f t="shared" si="4"/>
        <v>0</v>
      </c>
      <c r="U23" s="386">
        <f t="shared" si="5"/>
        <v>75</v>
      </c>
      <c r="V23" s="212">
        <v>0</v>
      </c>
      <c r="W23" s="253">
        <v>203</v>
      </c>
      <c r="X23" s="386">
        <v>300</v>
      </c>
      <c r="Y23" s="255">
        <f t="shared" si="55"/>
        <v>47.8</v>
      </c>
      <c r="Z23" s="253">
        <f t="shared" si="8"/>
        <v>324</v>
      </c>
      <c r="AA23" s="386">
        <f t="shared" si="9"/>
        <v>126</v>
      </c>
      <c r="AB23" s="524">
        <v>0</v>
      </c>
      <c r="AC23" s="253">
        <v>527</v>
      </c>
      <c r="AD23" s="386">
        <v>426</v>
      </c>
      <c r="AE23" s="255">
        <f t="shared" si="38"/>
        <v>-19.2</v>
      </c>
      <c r="AF23" s="253">
        <f t="shared" si="12"/>
        <v>75</v>
      </c>
      <c r="AG23" s="386">
        <f t="shared" si="12"/>
        <v>125</v>
      </c>
      <c r="AH23" s="255">
        <f t="shared" si="39"/>
        <v>66.7</v>
      </c>
      <c r="AI23" s="253">
        <v>602</v>
      </c>
      <c r="AJ23" s="386">
        <v>551</v>
      </c>
      <c r="AK23" s="255">
        <f t="shared" si="40"/>
        <v>-8.5</v>
      </c>
      <c r="AL23" s="677">
        <f t="shared" si="15"/>
        <v>102</v>
      </c>
      <c r="AM23" s="682">
        <f t="shared" si="16"/>
        <v>76</v>
      </c>
      <c r="AN23" s="679">
        <f t="shared" si="41"/>
        <v>-25.5</v>
      </c>
      <c r="AO23" s="689">
        <v>704</v>
      </c>
      <c r="AP23" s="714">
        <v>627</v>
      </c>
      <c r="AQ23" s="679">
        <f t="shared" si="42"/>
        <v>-10.9</v>
      </c>
      <c r="AR23" s="689">
        <f t="shared" si="19"/>
        <v>100</v>
      </c>
      <c r="AS23" s="714">
        <f t="shared" si="19"/>
        <v>74</v>
      </c>
      <c r="AT23" s="679">
        <f t="shared" si="43"/>
        <v>-26</v>
      </c>
      <c r="AU23" s="989">
        <v>804</v>
      </c>
      <c r="AV23" s="990">
        <v>701</v>
      </c>
      <c r="AW23" s="679">
        <f t="shared" si="44"/>
        <v>-12.8</v>
      </c>
      <c r="AX23" s="689">
        <f t="shared" si="22"/>
        <v>251</v>
      </c>
      <c r="AY23" s="714">
        <f t="shared" si="23"/>
        <v>75</v>
      </c>
      <c r="AZ23" s="679">
        <f t="shared" si="45"/>
        <v>-70.099999999999994</v>
      </c>
      <c r="BA23" s="689">
        <v>1055</v>
      </c>
      <c r="BB23" s="714">
        <v>776</v>
      </c>
      <c r="BC23" s="679">
        <f t="shared" si="46"/>
        <v>-26.4</v>
      </c>
      <c r="BD23" s="689">
        <f t="shared" si="26"/>
        <v>175</v>
      </c>
      <c r="BE23" s="714">
        <f t="shared" si="26"/>
        <v>125</v>
      </c>
      <c r="BF23" s="679">
        <f t="shared" si="47"/>
        <v>-28.6</v>
      </c>
      <c r="BG23" s="689">
        <v>1230</v>
      </c>
      <c r="BH23" s="714">
        <v>901</v>
      </c>
      <c r="BI23" s="679">
        <f t="shared" si="48"/>
        <v>-26.7</v>
      </c>
      <c r="BJ23" s="689">
        <f t="shared" si="29"/>
        <v>75</v>
      </c>
      <c r="BK23" s="714">
        <f t="shared" si="29"/>
        <v>430</v>
      </c>
      <c r="BL23" s="679">
        <f t="shared" si="56"/>
        <v>473.3</v>
      </c>
      <c r="BM23" s="689">
        <v>1305</v>
      </c>
      <c r="BN23" s="714">
        <v>1331</v>
      </c>
      <c r="BO23" s="679">
        <f t="shared" si="50"/>
        <v>2</v>
      </c>
      <c r="BP23" s="689">
        <f t="shared" si="32"/>
        <v>74</v>
      </c>
      <c r="BQ23" s="714">
        <f t="shared" si="32"/>
        <v>100</v>
      </c>
      <c r="BR23" s="679">
        <f>ROUND(((BQ23/BP23-1)*100), 1)</f>
        <v>35.1</v>
      </c>
      <c r="BS23" s="689">
        <v>1379</v>
      </c>
      <c r="BT23" s="714">
        <v>1431</v>
      </c>
      <c r="BU23" s="679">
        <f t="shared" si="51"/>
        <v>3.8</v>
      </c>
    </row>
    <row r="24" spans="1:73">
      <c r="A24" s="4"/>
      <c r="B24" s="43" t="s">
        <v>202</v>
      </c>
      <c r="C24" s="98">
        <v>1359</v>
      </c>
      <c r="D24" s="98">
        <v>1381</v>
      </c>
      <c r="E24" s="98">
        <v>2214</v>
      </c>
      <c r="F24" s="98">
        <v>1789</v>
      </c>
      <c r="G24" s="98">
        <v>889</v>
      </c>
      <c r="H24" s="98">
        <v>1669</v>
      </c>
      <c r="I24" s="98">
        <v>1881</v>
      </c>
      <c r="J24" s="386">
        <v>1516</v>
      </c>
      <c r="K24" s="253">
        <v>54</v>
      </c>
      <c r="L24" s="386">
        <v>154</v>
      </c>
      <c r="M24" s="255">
        <f>ROUND(((L24/K24-1)*100), 1)</f>
        <v>185.2</v>
      </c>
      <c r="N24" s="253">
        <f t="shared" si="1"/>
        <v>154</v>
      </c>
      <c r="O24" s="386">
        <f t="shared" si="1"/>
        <v>258</v>
      </c>
      <c r="P24" s="255">
        <f t="shared" si="52"/>
        <v>67.5</v>
      </c>
      <c r="Q24" s="253">
        <v>208</v>
      </c>
      <c r="R24" s="386">
        <v>412</v>
      </c>
      <c r="S24" s="255">
        <f t="shared" si="53"/>
        <v>98.1</v>
      </c>
      <c r="T24" s="253">
        <f t="shared" si="4"/>
        <v>155</v>
      </c>
      <c r="U24" s="386">
        <f t="shared" si="5"/>
        <v>54</v>
      </c>
      <c r="V24" s="255">
        <f t="shared" si="54"/>
        <v>-65.2</v>
      </c>
      <c r="W24" s="253">
        <v>363</v>
      </c>
      <c r="X24" s="386">
        <v>466</v>
      </c>
      <c r="Y24" s="255">
        <f t="shared" si="55"/>
        <v>28.4</v>
      </c>
      <c r="Z24" s="253">
        <f t="shared" si="8"/>
        <v>54</v>
      </c>
      <c r="AA24" s="386">
        <f t="shared" si="9"/>
        <v>50</v>
      </c>
      <c r="AB24" s="255">
        <f t="shared" ref="AB24:AB25" si="57">ROUND(((AA24/Z24-1)*100), 1)</f>
        <v>-7.4</v>
      </c>
      <c r="AC24" s="253">
        <v>417</v>
      </c>
      <c r="AD24" s="386">
        <v>516</v>
      </c>
      <c r="AE24" s="255">
        <f t="shared" si="38"/>
        <v>23.7</v>
      </c>
      <c r="AF24" s="253">
        <f t="shared" si="12"/>
        <v>208</v>
      </c>
      <c r="AG24" s="386">
        <f t="shared" si="12"/>
        <v>0</v>
      </c>
      <c r="AH24" s="255">
        <f t="shared" si="39"/>
        <v>-100</v>
      </c>
      <c r="AI24" s="253">
        <v>625</v>
      </c>
      <c r="AJ24" s="386">
        <v>516</v>
      </c>
      <c r="AK24" s="255">
        <f t="shared" si="40"/>
        <v>-17.399999999999999</v>
      </c>
      <c r="AL24" s="677">
        <f t="shared" si="15"/>
        <v>153</v>
      </c>
      <c r="AM24" s="682">
        <f t="shared" si="16"/>
        <v>0</v>
      </c>
      <c r="AN24" s="679">
        <f t="shared" si="41"/>
        <v>-100</v>
      </c>
      <c r="AO24" s="689">
        <v>778</v>
      </c>
      <c r="AP24" s="714">
        <v>516</v>
      </c>
      <c r="AQ24" s="679">
        <f t="shared" si="42"/>
        <v>-33.700000000000003</v>
      </c>
      <c r="AR24" s="689">
        <f t="shared" si="19"/>
        <v>259</v>
      </c>
      <c r="AS24" s="714">
        <f t="shared" si="19"/>
        <v>49</v>
      </c>
      <c r="AT24" s="679">
        <f t="shared" si="43"/>
        <v>-81.099999999999994</v>
      </c>
      <c r="AU24" s="989">
        <v>1037</v>
      </c>
      <c r="AV24" s="990">
        <v>565</v>
      </c>
      <c r="AW24" s="679">
        <f t="shared" si="44"/>
        <v>-45.5</v>
      </c>
      <c r="AX24" s="689">
        <f t="shared" si="22"/>
        <v>154</v>
      </c>
      <c r="AY24" s="714">
        <f t="shared" si="23"/>
        <v>352</v>
      </c>
      <c r="AZ24" s="679">
        <f t="shared" si="45"/>
        <v>128.6</v>
      </c>
      <c r="BA24" s="689">
        <v>1191</v>
      </c>
      <c r="BB24" s="714">
        <v>917</v>
      </c>
      <c r="BC24" s="679">
        <f t="shared" si="46"/>
        <v>-23</v>
      </c>
      <c r="BD24" s="689">
        <f t="shared" si="26"/>
        <v>109</v>
      </c>
      <c r="BE24" s="714">
        <f t="shared" si="26"/>
        <v>0</v>
      </c>
      <c r="BF24" s="679">
        <f t="shared" si="47"/>
        <v>-100</v>
      </c>
      <c r="BG24" s="689">
        <v>1300</v>
      </c>
      <c r="BH24" s="714">
        <v>917</v>
      </c>
      <c r="BI24" s="679">
        <f t="shared" si="48"/>
        <v>-29.5</v>
      </c>
      <c r="BJ24" s="689">
        <f t="shared" si="29"/>
        <v>54</v>
      </c>
      <c r="BK24" s="714">
        <f t="shared" si="29"/>
        <v>75</v>
      </c>
      <c r="BL24" s="679">
        <f t="shared" si="56"/>
        <v>38.9</v>
      </c>
      <c r="BM24" s="689">
        <v>1354</v>
      </c>
      <c r="BN24" s="714">
        <v>992</v>
      </c>
      <c r="BO24" s="679">
        <f t="shared" si="50"/>
        <v>-26.7</v>
      </c>
      <c r="BP24" s="689">
        <f t="shared" si="32"/>
        <v>54</v>
      </c>
      <c r="BQ24" s="714">
        <f t="shared" si="32"/>
        <v>50</v>
      </c>
      <c r="BR24" s="679">
        <f>ROUND(((BQ24/BP24-1)*100), 1)</f>
        <v>-7.4</v>
      </c>
      <c r="BS24" s="689">
        <v>1408</v>
      </c>
      <c r="BT24" s="714">
        <v>1042</v>
      </c>
      <c r="BU24" s="679">
        <f t="shared" si="51"/>
        <v>-26</v>
      </c>
    </row>
    <row r="25" spans="1:73">
      <c r="A25" s="4"/>
      <c r="B25" s="43" t="s">
        <v>177</v>
      </c>
      <c r="C25" s="98">
        <v>755</v>
      </c>
      <c r="D25" s="98">
        <v>957</v>
      </c>
      <c r="E25" s="98">
        <v>283</v>
      </c>
      <c r="F25" s="98">
        <v>1151</v>
      </c>
      <c r="G25" s="98">
        <v>398</v>
      </c>
      <c r="H25" s="98">
        <v>472</v>
      </c>
      <c r="I25" s="98">
        <v>184</v>
      </c>
      <c r="J25" s="386">
        <v>876</v>
      </c>
      <c r="K25" s="253">
        <v>0</v>
      </c>
      <c r="L25" s="386">
        <v>0</v>
      </c>
      <c r="M25" s="212">
        <v>0</v>
      </c>
      <c r="N25" s="253">
        <f t="shared" si="1"/>
        <v>250</v>
      </c>
      <c r="O25" s="386">
        <f t="shared" si="1"/>
        <v>463</v>
      </c>
      <c r="P25" s="255">
        <f t="shared" si="52"/>
        <v>85.2</v>
      </c>
      <c r="Q25" s="253">
        <v>250</v>
      </c>
      <c r="R25" s="386">
        <v>463</v>
      </c>
      <c r="S25" s="255">
        <f t="shared" si="53"/>
        <v>85.2</v>
      </c>
      <c r="T25" s="253">
        <f t="shared" si="4"/>
        <v>0</v>
      </c>
      <c r="U25" s="386">
        <f t="shared" si="5"/>
        <v>25</v>
      </c>
      <c r="V25" s="212">
        <v>0</v>
      </c>
      <c r="W25" s="253">
        <v>250</v>
      </c>
      <c r="X25" s="386">
        <v>488</v>
      </c>
      <c r="Y25" s="255">
        <f t="shared" si="55"/>
        <v>95.2</v>
      </c>
      <c r="Z25" s="253">
        <f t="shared" si="8"/>
        <v>600</v>
      </c>
      <c r="AA25" s="386">
        <f t="shared" si="9"/>
        <v>0</v>
      </c>
      <c r="AB25" s="255">
        <f t="shared" si="57"/>
        <v>-100</v>
      </c>
      <c r="AC25" s="253">
        <v>850</v>
      </c>
      <c r="AD25" s="386">
        <v>488</v>
      </c>
      <c r="AE25" s="255">
        <f t="shared" si="38"/>
        <v>-42.6</v>
      </c>
      <c r="AF25" s="253">
        <f t="shared" si="12"/>
        <v>0</v>
      </c>
      <c r="AG25" s="386">
        <f t="shared" si="12"/>
        <v>24</v>
      </c>
      <c r="AH25" s="524">
        <v>0</v>
      </c>
      <c r="AI25" s="253">
        <v>850</v>
      </c>
      <c r="AJ25" s="386">
        <v>512</v>
      </c>
      <c r="AK25" s="255">
        <f t="shared" si="40"/>
        <v>-39.799999999999997</v>
      </c>
      <c r="AL25" s="677">
        <f t="shared" si="15"/>
        <v>2</v>
      </c>
      <c r="AM25" s="682">
        <f t="shared" si="16"/>
        <v>1</v>
      </c>
      <c r="AN25" s="679">
        <f t="shared" ref="AN25:AN31" si="58">ROUND(((AM25/AL25-1)*100), 1)</f>
        <v>-50</v>
      </c>
      <c r="AO25" s="689">
        <v>852</v>
      </c>
      <c r="AP25" s="714">
        <v>513</v>
      </c>
      <c r="AQ25" s="679">
        <f t="shared" si="42"/>
        <v>-39.799999999999997</v>
      </c>
      <c r="AR25" s="689">
        <f t="shared" si="19"/>
        <v>0</v>
      </c>
      <c r="AS25" s="714">
        <f t="shared" si="19"/>
        <v>50</v>
      </c>
      <c r="AT25" s="671">
        <v>0</v>
      </c>
      <c r="AU25" s="989">
        <v>852</v>
      </c>
      <c r="AV25" s="990">
        <v>563</v>
      </c>
      <c r="AW25" s="679">
        <f t="shared" si="44"/>
        <v>-33.9</v>
      </c>
      <c r="AX25" s="689">
        <f t="shared" si="22"/>
        <v>0</v>
      </c>
      <c r="AY25" s="714">
        <f t="shared" si="23"/>
        <v>3</v>
      </c>
      <c r="AZ25" s="671">
        <v>0</v>
      </c>
      <c r="BA25" s="689">
        <v>852</v>
      </c>
      <c r="BB25" s="714">
        <v>566</v>
      </c>
      <c r="BC25" s="679">
        <f t="shared" si="46"/>
        <v>-33.6</v>
      </c>
      <c r="BD25" s="689">
        <f t="shared" si="26"/>
        <v>0</v>
      </c>
      <c r="BE25" s="714">
        <f t="shared" si="26"/>
        <v>50</v>
      </c>
      <c r="BF25" s="671">
        <v>0</v>
      </c>
      <c r="BG25" s="689">
        <v>852</v>
      </c>
      <c r="BH25" s="714">
        <v>616</v>
      </c>
      <c r="BI25" s="679">
        <f t="shared" si="48"/>
        <v>-27.7</v>
      </c>
      <c r="BJ25" s="689">
        <f t="shared" si="29"/>
        <v>0</v>
      </c>
      <c r="BK25" s="714">
        <f t="shared" si="29"/>
        <v>0</v>
      </c>
      <c r="BL25" s="671">
        <v>0</v>
      </c>
      <c r="BM25" s="689">
        <v>852</v>
      </c>
      <c r="BN25" s="714">
        <v>616</v>
      </c>
      <c r="BO25" s="679">
        <f t="shared" si="50"/>
        <v>-27.7</v>
      </c>
      <c r="BP25" s="689">
        <f t="shared" si="32"/>
        <v>24</v>
      </c>
      <c r="BQ25" s="714">
        <f t="shared" si="32"/>
        <v>0</v>
      </c>
      <c r="BR25" s="753">
        <f>ROUND(((BQ25/BP25-1)*100), 1)</f>
        <v>-100</v>
      </c>
      <c r="BS25" s="689">
        <v>876</v>
      </c>
      <c r="BT25" s="714">
        <v>616</v>
      </c>
      <c r="BU25" s="679">
        <f t="shared" si="51"/>
        <v>-29.7</v>
      </c>
    </row>
    <row r="26" spans="1:73">
      <c r="A26" s="4"/>
      <c r="B26" s="43" t="s">
        <v>158</v>
      </c>
      <c r="C26" s="98">
        <v>611</v>
      </c>
      <c r="D26" s="98">
        <v>595</v>
      </c>
      <c r="E26" s="98">
        <v>742</v>
      </c>
      <c r="F26" s="98">
        <v>4444</v>
      </c>
      <c r="G26" s="98">
        <v>2275</v>
      </c>
      <c r="H26" s="98">
        <v>4181</v>
      </c>
      <c r="I26" s="98">
        <v>339</v>
      </c>
      <c r="J26" s="386">
        <v>564</v>
      </c>
      <c r="K26" s="253">
        <v>19</v>
      </c>
      <c r="L26" s="386">
        <v>53</v>
      </c>
      <c r="M26" s="255">
        <f>ROUND(((L26/K26-1)*100), 1)</f>
        <v>178.9</v>
      </c>
      <c r="N26" s="253">
        <f t="shared" si="1"/>
        <v>97</v>
      </c>
      <c r="O26" s="386">
        <f t="shared" si="1"/>
        <v>53</v>
      </c>
      <c r="P26" s="255">
        <f t="shared" si="52"/>
        <v>-45.4</v>
      </c>
      <c r="Q26" s="492">
        <v>116</v>
      </c>
      <c r="R26" s="386">
        <v>106</v>
      </c>
      <c r="S26" s="255">
        <f t="shared" si="53"/>
        <v>-8.6</v>
      </c>
      <c r="T26" s="253">
        <f t="shared" si="4"/>
        <v>39</v>
      </c>
      <c r="U26" s="386">
        <f t="shared" si="5"/>
        <v>53</v>
      </c>
      <c r="V26" s="255">
        <f t="shared" si="54"/>
        <v>35.9</v>
      </c>
      <c r="W26" s="492">
        <v>155</v>
      </c>
      <c r="X26" s="386">
        <v>159</v>
      </c>
      <c r="Y26" s="255">
        <f t="shared" si="55"/>
        <v>2.6</v>
      </c>
      <c r="Z26" s="253">
        <f t="shared" si="8"/>
        <v>19</v>
      </c>
      <c r="AA26" s="386">
        <f t="shared" si="9"/>
        <v>37</v>
      </c>
      <c r="AB26" s="255">
        <f t="shared" ref="AB26" si="59">ROUND(((AA26/Z26-1)*100), 1)</f>
        <v>94.7</v>
      </c>
      <c r="AC26" s="492">
        <v>174</v>
      </c>
      <c r="AD26" s="386">
        <v>196</v>
      </c>
      <c r="AE26" s="255">
        <f t="shared" si="38"/>
        <v>12.6</v>
      </c>
      <c r="AF26" s="253">
        <f t="shared" si="12"/>
        <v>64</v>
      </c>
      <c r="AG26" s="386">
        <f t="shared" si="12"/>
        <v>41</v>
      </c>
      <c r="AH26" s="255">
        <f t="shared" si="39"/>
        <v>-35.9</v>
      </c>
      <c r="AI26" s="492">
        <v>238</v>
      </c>
      <c r="AJ26" s="386">
        <v>237</v>
      </c>
      <c r="AK26" s="255">
        <f t="shared" si="40"/>
        <v>-0.4</v>
      </c>
      <c r="AL26" s="677">
        <f t="shared" si="15"/>
        <v>60</v>
      </c>
      <c r="AM26" s="682">
        <f t="shared" si="16"/>
        <v>42</v>
      </c>
      <c r="AN26" s="679">
        <f t="shared" si="58"/>
        <v>-30</v>
      </c>
      <c r="AO26" s="688">
        <v>298</v>
      </c>
      <c r="AP26" s="714">
        <v>279</v>
      </c>
      <c r="AQ26" s="679">
        <f t="shared" si="42"/>
        <v>-6.4</v>
      </c>
      <c r="AR26" s="689">
        <f t="shared" si="19"/>
        <v>54</v>
      </c>
      <c r="AS26" s="714">
        <f t="shared" si="19"/>
        <v>37</v>
      </c>
      <c r="AT26" s="679">
        <f t="shared" si="43"/>
        <v>-31.5</v>
      </c>
      <c r="AU26" s="991">
        <v>352</v>
      </c>
      <c r="AV26" s="990">
        <v>316</v>
      </c>
      <c r="AW26" s="679">
        <f t="shared" si="44"/>
        <v>-10.199999999999999</v>
      </c>
      <c r="AX26" s="689">
        <f t="shared" si="22"/>
        <v>50</v>
      </c>
      <c r="AY26" s="714">
        <f t="shared" si="23"/>
        <v>21</v>
      </c>
      <c r="AZ26" s="679">
        <f t="shared" ref="AZ26:AZ27" si="60">ROUND(((AY26/AX26-1)*100), 1)</f>
        <v>-58</v>
      </c>
      <c r="BA26" s="688">
        <v>402</v>
      </c>
      <c r="BB26" s="714">
        <v>337</v>
      </c>
      <c r="BC26" s="679">
        <f t="shared" si="46"/>
        <v>-16.2</v>
      </c>
      <c r="BD26" s="689">
        <f t="shared" si="26"/>
        <v>31</v>
      </c>
      <c r="BE26" s="714">
        <f t="shared" si="26"/>
        <v>52</v>
      </c>
      <c r="BF26" s="679">
        <f t="shared" ref="BF26:BF28" si="61">ROUND(((BE26/BD26-1)*100), 1)</f>
        <v>67.7</v>
      </c>
      <c r="BG26" s="688">
        <v>433</v>
      </c>
      <c r="BH26" s="714">
        <v>389</v>
      </c>
      <c r="BI26" s="679">
        <f t="shared" si="48"/>
        <v>-10.199999999999999</v>
      </c>
      <c r="BJ26" s="689">
        <f t="shared" si="29"/>
        <v>40</v>
      </c>
      <c r="BK26" s="714">
        <f t="shared" si="29"/>
        <v>0</v>
      </c>
      <c r="BL26" s="679">
        <f t="shared" ref="BL26" si="62">ROUND(((BK26/BJ26-1)*100), 1)</f>
        <v>-100</v>
      </c>
      <c r="BM26" s="688">
        <v>473</v>
      </c>
      <c r="BN26" s="714">
        <v>389</v>
      </c>
      <c r="BO26" s="679">
        <f t="shared" si="50"/>
        <v>-17.8</v>
      </c>
      <c r="BP26" s="689">
        <f t="shared" si="32"/>
        <v>48</v>
      </c>
      <c r="BQ26" s="714">
        <f t="shared" si="32"/>
        <v>0</v>
      </c>
      <c r="BR26" s="679">
        <f>ROUND(((BQ26/BP26-1)*100), 1)</f>
        <v>-100</v>
      </c>
      <c r="BS26" s="688">
        <v>521</v>
      </c>
      <c r="BT26" s="714">
        <v>389</v>
      </c>
      <c r="BU26" s="679">
        <f t="shared" si="51"/>
        <v>-25.3</v>
      </c>
    </row>
    <row r="27" spans="1:73">
      <c r="A27" s="4"/>
      <c r="B27" s="43" t="s">
        <v>204</v>
      </c>
      <c r="C27" s="98">
        <v>1402</v>
      </c>
      <c r="D27" s="98">
        <v>0</v>
      </c>
      <c r="E27" s="98">
        <v>0</v>
      </c>
      <c r="F27" s="98">
        <v>27</v>
      </c>
      <c r="G27" s="98">
        <v>926</v>
      </c>
      <c r="H27" s="98">
        <v>930</v>
      </c>
      <c r="I27" s="98">
        <v>1761</v>
      </c>
      <c r="J27" s="386">
        <v>481</v>
      </c>
      <c r="K27" s="253">
        <v>101</v>
      </c>
      <c r="L27" s="386">
        <v>101</v>
      </c>
      <c r="M27" s="255">
        <f>ROUND(((L27/K27-1)*100), 1)</f>
        <v>0</v>
      </c>
      <c r="N27" s="253">
        <f t="shared" si="1"/>
        <v>101</v>
      </c>
      <c r="O27" s="386">
        <f t="shared" si="1"/>
        <v>126</v>
      </c>
      <c r="P27" s="255">
        <f t="shared" si="52"/>
        <v>24.8</v>
      </c>
      <c r="Q27" s="253">
        <v>202</v>
      </c>
      <c r="R27" s="386">
        <v>227</v>
      </c>
      <c r="S27" s="255">
        <f t="shared" si="53"/>
        <v>12.4</v>
      </c>
      <c r="T27" s="253">
        <f t="shared" si="4"/>
        <v>0</v>
      </c>
      <c r="U27" s="386">
        <f t="shared" si="5"/>
        <v>176</v>
      </c>
      <c r="V27" s="212">
        <v>0</v>
      </c>
      <c r="W27" s="253">
        <v>202</v>
      </c>
      <c r="X27" s="386">
        <v>403</v>
      </c>
      <c r="Y27" s="255">
        <f t="shared" si="55"/>
        <v>99.5</v>
      </c>
      <c r="Z27" s="253">
        <f t="shared" si="8"/>
        <v>0</v>
      </c>
      <c r="AA27" s="386">
        <f t="shared" si="9"/>
        <v>177</v>
      </c>
      <c r="AB27" s="524">
        <v>0</v>
      </c>
      <c r="AC27" s="253">
        <v>202</v>
      </c>
      <c r="AD27" s="386">
        <v>580</v>
      </c>
      <c r="AE27" s="255">
        <f t="shared" si="38"/>
        <v>187.1</v>
      </c>
      <c r="AF27" s="253">
        <f t="shared" si="12"/>
        <v>26</v>
      </c>
      <c r="AG27" s="386">
        <f t="shared" si="12"/>
        <v>177</v>
      </c>
      <c r="AH27" s="255">
        <f t="shared" si="39"/>
        <v>580.79999999999995</v>
      </c>
      <c r="AI27" s="253">
        <v>228</v>
      </c>
      <c r="AJ27" s="386">
        <v>757</v>
      </c>
      <c r="AK27" s="255">
        <f t="shared" si="40"/>
        <v>232</v>
      </c>
      <c r="AL27" s="677">
        <f t="shared" si="15"/>
        <v>0</v>
      </c>
      <c r="AM27" s="682">
        <f t="shared" si="16"/>
        <v>50</v>
      </c>
      <c r="AN27" s="671">
        <v>0</v>
      </c>
      <c r="AO27" s="689">
        <v>228</v>
      </c>
      <c r="AP27" s="714">
        <v>807</v>
      </c>
      <c r="AQ27" s="679">
        <f t="shared" si="42"/>
        <v>253.9</v>
      </c>
      <c r="AR27" s="689">
        <f t="shared" si="19"/>
        <v>0</v>
      </c>
      <c r="AS27" s="714">
        <f t="shared" si="19"/>
        <v>0</v>
      </c>
      <c r="AT27" s="671">
        <v>0</v>
      </c>
      <c r="AU27" s="989">
        <v>228</v>
      </c>
      <c r="AV27" s="990">
        <v>807</v>
      </c>
      <c r="AW27" s="679">
        <f t="shared" si="44"/>
        <v>253.9</v>
      </c>
      <c r="AX27" s="689">
        <f t="shared" si="22"/>
        <v>101</v>
      </c>
      <c r="AY27" s="714">
        <f t="shared" si="23"/>
        <v>0</v>
      </c>
      <c r="AZ27" s="679">
        <f t="shared" si="60"/>
        <v>-100</v>
      </c>
      <c r="BA27" s="689">
        <v>329</v>
      </c>
      <c r="BB27" s="714">
        <v>807</v>
      </c>
      <c r="BC27" s="679">
        <f t="shared" si="46"/>
        <v>145.30000000000001</v>
      </c>
      <c r="BD27" s="689">
        <f t="shared" si="26"/>
        <v>152</v>
      </c>
      <c r="BE27" s="714">
        <f t="shared" si="26"/>
        <v>0</v>
      </c>
      <c r="BF27" s="679">
        <f t="shared" si="61"/>
        <v>-100</v>
      </c>
      <c r="BG27" s="689">
        <v>481</v>
      </c>
      <c r="BH27" s="714">
        <v>807</v>
      </c>
      <c r="BI27" s="679">
        <f t="shared" si="48"/>
        <v>67.8</v>
      </c>
      <c r="BJ27" s="689">
        <f t="shared" si="29"/>
        <v>0</v>
      </c>
      <c r="BK27" s="714">
        <f t="shared" si="29"/>
        <v>0</v>
      </c>
      <c r="BL27" s="671">
        <v>0</v>
      </c>
      <c r="BM27" s="689">
        <v>481</v>
      </c>
      <c r="BN27" s="714">
        <v>807</v>
      </c>
      <c r="BO27" s="679">
        <f t="shared" si="50"/>
        <v>67.8</v>
      </c>
      <c r="BP27" s="689">
        <f t="shared" si="32"/>
        <v>0</v>
      </c>
      <c r="BQ27" s="714">
        <f t="shared" si="32"/>
        <v>0</v>
      </c>
      <c r="BR27" s="671">
        <v>0</v>
      </c>
      <c r="BS27" s="689">
        <v>481</v>
      </c>
      <c r="BT27" s="714">
        <v>807</v>
      </c>
      <c r="BU27" s="679">
        <f t="shared" si="51"/>
        <v>67.8</v>
      </c>
    </row>
    <row r="28" spans="1:73">
      <c r="A28" s="4"/>
      <c r="B28" s="43" t="s">
        <v>205</v>
      </c>
      <c r="C28" s="98">
        <v>82</v>
      </c>
      <c r="D28" s="98">
        <v>487</v>
      </c>
      <c r="E28" s="98">
        <v>756</v>
      </c>
      <c r="F28" s="98">
        <v>750</v>
      </c>
      <c r="G28" s="98">
        <v>550</v>
      </c>
      <c r="H28" s="98">
        <v>607</v>
      </c>
      <c r="I28" s="98">
        <v>568</v>
      </c>
      <c r="J28" s="386">
        <v>426</v>
      </c>
      <c r="K28" s="253">
        <v>51</v>
      </c>
      <c r="L28" s="386">
        <v>101</v>
      </c>
      <c r="M28" s="255">
        <f>ROUND(((L28/K28-1)*100), 1)</f>
        <v>98</v>
      </c>
      <c r="N28" s="253">
        <f t="shared" si="1"/>
        <v>0</v>
      </c>
      <c r="O28" s="386">
        <f t="shared" si="1"/>
        <v>0</v>
      </c>
      <c r="P28" s="524">
        <v>0</v>
      </c>
      <c r="Q28" s="253">
        <v>51</v>
      </c>
      <c r="R28" s="386">
        <v>101</v>
      </c>
      <c r="S28" s="255">
        <f t="shared" si="53"/>
        <v>98</v>
      </c>
      <c r="T28" s="253">
        <f t="shared" si="4"/>
        <v>0</v>
      </c>
      <c r="U28" s="386">
        <f t="shared" si="5"/>
        <v>50</v>
      </c>
      <c r="V28" s="212">
        <v>0</v>
      </c>
      <c r="W28" s="253">
        <v>51</v>
      </c>
      <c r="X28" s="386">
        <v>151</v>
      </c>
      <c r="Y28" s="255">
        <f t="shared" si="55"/>
        <v>196.1</v>
      </c>
      <c r="Z28" s="253">
        <f t="shared" si="8"/>
        <v>49</v>
      </c>
      <c r="AA28" s="386">
        <f t="shared" si="9"/>
        <v>50</v>
      </c>
      <c r="AB28" s="255">
        <f t="shared" ref="AB28" si="63">ROUND(((AA28/Z28-1)*100), 1)</f>
        <v>2</v>
      </c>
      <c r="AC28" s="253">
        <v>100</v>
      </c>
      <c r="AD28" s="386">
        <v>201</v>
      </c>
      <c r="AE28" s="255">
        <f t="shared" si="38"/>
        <v>101</v>
      </c>
      <c r="AF28" s="253">
        <f t="shared" si="12"/>
        <v>50</v>
      </c>
      <c r="AG28" s="386">
        <f t="shared" si="12"/>
        <v>50</v>
      </c>
      <c r="AH28" s="255">
        <f t="shared" si="39"/>
        <v>0</v>
      </c>
      <c r="AI28" s="253">
        <v>150</v>
      </c>
      <c r="AJ28" s="386">
        <v>251</v>
      </c>
      <c r="AK28" s="255">
        <f t="shared" si="40"/>
        <v>67.3</v>
      </c>
      <c r="AL28" s="677">
        <f t="shared" si="15"/>
        <v>50</v>
      </c>
      <c r="AM28" s="682">
        <f t="shared" si="16"/>
        <v>50</v>
      </c>
      <c r="AN28" s="679">
        <f t="shared" si="58"/>
        <v>0</v>
      </c>
      <c r="AO28" s="689">
        <v>200</v>
      </c>
      <c r="AP28" s="714">
        <v>301</v>
      </c>
      <c r="AQ28" s="679">
        <f t="shared" si="42"/>
        <v>50.5</v>
      </c>
      <c r="AR28" s="689">
        <f t="shared" si="19"/>
        <v>50</v>
      </c>
      <c r="AS28" s="714">
        <f t="shared" si="19"/>
        <v>50</v>
      </c>
      <c r="AT28" s="679">
        <f t="shared" ref="AT28:AT36" si="64">ROUND(((AS28/AR28-1)*100), 1)</f>
        <v>0</v>
      </c>
      <c r="AU28" s="989">
        <v>250</v>
      </c>
      <c r="AV28" s="990">
        <v>351</v>
      </c>
      <c r="AW28" s="679">
        <f t="shared" si="44"/>
        <v>40.4</v>
      </c>
      <c r="AX28" s="689">
        <f t="shared" si="22"/>
        <v>75</v>
      </c>
      <c r="AY28" s="714">
        <f t="shared" si="23"/>
        <v>51</v>
      </c>
      <c r="AZ28" s="679">
        <f t="shared" ref="AZ28" si="65">ROUND(((AY28/AX28-1)*100), 1)</f>
        <v>-32</v>
      </c>
      <c r="BA28" s="689">
        <v>325</v>
      </c>
      <c r="BB28" s="714">
        <v>402</v>
      </c>
      <c r="BC28" s="679">
        <f t="shared" si="46"/>
        <v>23.7</v>
      </c>
      <c r="BD28" s="689">
        <f t="shared" si="26"/>
        <v>50</v>
      </c>
      <c r="BE28" s="714">
        <f t="shared" si="26"/>
        <v>50</v>
      </c>
      <c r="BF28" s="679">
        <f t="shared" si="61"/>
        <v>0</v>
      </c>
      <c r="BG28" s="689">
        <v>375</v>
      </c>
      <c r="BH28" s="714">
        <v>452</v>
      </c>
      <c r="BI28" s="679">
        <f t="shared" si="48"/>
        <v>20.5</v>
      </c>
      <c r="BJ28" s="689">
        <f t="shared" si="29"/>
        <v>0</v>
      </c>
      <c r="BK28" s="714">
        <f t="shared" si="29"/>
        <v>49</v>
      </c>
      <c r="BL28" s="671">
        <v>0</v>
      </c>
      <c r="BM28" s="689">
        <v>375</v>
      </c>
      <c r="BN28" s="714">
        <v>501</v>
      </c>
      <c r="BO28" s="679">
        <f t="shared" si="50"/>
        <v>33.6</v>
      </c>
      <c r="BP28" s="689">
        <f t="shared" si="32"/>
        <v>51</v>
      </c>
      <c r="BQ28" s="714">
        <f t="shared" si="32"/>
        <v>0</v>
      </c>
      <c r="BR28" s="753">
        <f>ROUND(((BQ28/BP28-1)*100), 1)</f>
        <v>-100</v>
      </c>
      <c r="BS28" s="689">
        <v>426</v>
      </c>
      <c r="BT28" s="714">
        <v>501</v>
      </c>
      <c r="BU28" s="679">
        <f t="shared" si="51"/>
        <v>17.600000000000001</v>
      </c>
    </row>
    <row r="29" spans="1:73">
      <c r="A29" s="4"/>
      <c r="B29" s="43" t="s">
        <v>198</v>
      </c>
      <c r="C29" s="98">
        <v>5368</v>
      </c>
      <c r="D29" s="98">
        <v>7771</v>
      </c>
      <c r="E29" s="98">
        <v>2890</v>
      </c>
      <c r="F29" s="98">
        <v>2867</v>
      </c>
      <c r="G29" s="98">
        <v>1162</v>
      </c>
      <c r="H29" s="98">
        <v>262</v>
      </c>
      <c r="I29" s="98">
        <v>385</v>
      </c>
      <c r="J29" s="386">
        <v>352</v>
      </c>
      <c r="K29" s="253">
        <v>102</v>
      </c>
      <c r="L29" s="386">
        <v>0</v>
      </c>
      <c r="M29" s="255">
        <f>ROUND(((L29/K29-1)*100), 1)</f>
        <v>-100</v>
      </c>
      <c r="N29" s="253">
        <f t="shared" si="1"/>
        <v>0</v>
      </c>
      <c r="O29" s="386">
        <f t="shared" si="1"/>
        <v>100</v>
      </c>
      <c r="P29" s="524">
        <v>0</v>
      </c>
      <c r="Q29" s="253">
        <v>102</v>
      </c>
      <c r="R29" s="386">
        <v>100</v>
      </c>
      <c r="S29" s="255">
        <f t="shared" si="53"/>
        <v>-2</v>
      </c>
      <c r="T29" s="253">
        <f t="shared" si="4"/>
        <v>0</v>
      </c>
      <c r="U29" s="386">
        <f t="shared" si="5"/>
        <v>200</v>
      </c>
      <c r="V29" s="212">
        <v>0</v>
      </c>
      <c r="W29" s="253">
        <v>102</v>
      </c>
      <c r="X29" s="386">
        <v>300</v>
      </c>
      <c r="Y29" s="255">
        <f t="shared" si="55"/>
        <v>194.1</v>
      </c>
      <c r="Z29" s="253">
        <f t="shared" si="8"/>
        <v>0</v>
      </c>
      <c r="AA29" s="386">
        <f t="shared" si="9"/>
        <v>201</v>
      </c>
      <c r="AB29" s="524">
        <v>0</v>
      </c>
      <c r="AC29" s="253">
        <v>102</v>
      </c>
      <c r="AD29" s="386">
        <v>501</v>
      </c>
      <c r="AE29" s="255">
        <f t="shared" si="38"/>
        <v>391.2</v>
      </c>
      <c r="AF29" s="253">
        <f t="shared" si="12"/>
        <v>0</v>
      </c>
      <c r="AG29" s="386">
        <f t="shared" si="12"/>
        <v>100</v>
      </c>
      <c r="AH29" s="524">
        <v>0</v>
      </c>
      <c r="AI29" s="253">
        <v>102</v>
      </c>
      <c r="AJ29" s="386">
        <v>601</v>
      </c>
      <c r="AK29" s="255">
        <f t="shared" si="40"/>
        <v>489.2</v>
      </c>
      <c r="AL29" s="677">
        <f t="shared" si="15"/>
        <v>150</v>
      </c>
      <c r="AM29" s="682">
        <f t="shared" si="16"/>
        <v>200</v>
      </c>
      <c r="AN29" s="679">
        <f t="shared" si="58"/>
        <v>33.299999999999997</v>
      </c>
      <c r="AO29" s="689">
        <v>252</v>
      </c>
      <c r="AP29" s="714">
        <v>801</v>
      </c>
      <c r="AQ29" s="679">
        <f t="shared" si="42"/>
        <v>217.9</v>
      </c>
      <c r="AR29" s="689">
        <f t="shared" si="19"/>
        <v>0</v>
      </c>
      <c r="AS29" s="714">
        <f t="shared" si="19"/>
        <v>100</v>
      </c>
      <c r="AT29" s="671">
        <v>0</v>
      </c>
      <c r="AU29" s="989">
        <v>252</v>
      </c>
      <c r="AV29" s="990">
        <v>901</v>
      </c>
      <c r="AW29" s="679">
        <f t="shared" si="44"/>
        <v>257.5</v>
      </c>
      <c r="AX29" s="689">
        <f t="shared" si="22"/>
        <v>100</v>
      </c>
      <c r="AY29" s="714">
        <f t="shared" si="23"/>
        <v>0</v>
      </c>
      <c r="AZ29" s="671">
        <v>0</v>
      </c>
      <c r="BA29" s="689">
        <v>352</v>
      </c>
      <c r="BB29" s="714">
        <v>901</v>
      </c>
      <c r="BC29" s="679">
        <f t="shared" si="46"/>
        <v>156</v>
      </c>
      <c r="BD29" s="689">
        <f t="shared" si="26"/>
        <v>0</v>
      </c>
      <c r="BE29" s="714">
        <f t="shared" si="26"/>
        <v>100</v>
      </c>
      <c r="BF29" s="671">
        <v>0</v>
      </c>
      <c r="BG29" s="689">
        <v>352</v>
      </c>
      <c r="BH29" s="714">
        <v>1001</v>
      </c>
      <c r="BI29" s="679">
        <f t="shared" si="48"/>
        <v>184.4</v>
      </c>
      <c r="BJ29" s="689">
        <f t="shared" si="29"/>
        <v>0</v>
      </c>
      <c r="BK29" s="714">
        <f t="shared" si="29"/>
        <v>100</v>
      </c>
      <c r="BL29" s="671">
        <v>0</v>
      </c>
      <c r="BM29" s="689">
        <v>352</v>
      </c>
      <c r="BN29" s="714">
        <v>1101</v>
      </c>
      <c r="BO29" s="679">
        <f t="shared" si="50"/>
        <v>212.8</v>
      </c>
      <c r="BP29" s="689">
        <f t="shared" si="32"/>
        <v>0</v>
      </c>
      <c r="BQ29" s="714">
        <f t="shared" si="32"/>
        <v>0</v>
      </c>
      <c r="BR29" s="671">
        <v>0</v>
      </c>
      <c r="BS29" s="689">
        <v>352</v>
      </c>
      <c r="BT29" s="714">
        <v>1101</v>
      </c>
      <c r="BU29" s="679">
        <f t="shared" si="51"/>
        <v>212.8</v>
      </c>
    </row>
    <row r="30" spans="1:73">
      <c r="A30" s="4"/>
      <c r="B30" s="43" t="s">
        <v>197</v>
      </c>
      <c r="C30" s="98">
        <v>541</v>
      </c>
      <c r="D30" s="98">
        <v>890</v>
      </c>
      <c r="E30" s="98">
        <v>216</v>
      </c>
      <c r="F30" s="98">
        <v>375</v>
      </c>
      <c r="G30" s="98">
        <v>100</v>
      </c>
      <c r="H30" s="98">
        <v>902</v>
      </c>
      <c r="I30" s="98">
        <v>524</v>
      </c>
      <c r="J30" s="386">
        <v>301</v>
      </c>
      <c r="K30" s="253">
        <v>0</v>
      </c>
      <c r="L30" s="386">
        <v>50</v>
      </c>
      <c r="M30" s="212">
        <v>0</v>
      </c>
      <c r="N30" s="253">
        <f t="shared" si="1"/>
        <v>0</v>
      </c>
      <c r="O30" s="386">
        <f t="shared" si="1"/>
        <v>0</v>
      </c>
      <c r="P30" s="212">
        <v>0</v>
      </c>
      <c r="Q30" s="253">
        <v>0</v>
      </c>
      <c r="R30" s="386">
        <v>50</v>
      </c>
      <c r="S30" s="212">
        <v>0</v>
      </c>
      <c r="T30" s="253">
        <f t="shared" si="4"/>
        <v>0</v>
      </c>
      <c r="U30" s="386">
        <f t="shared" si="5"/>
        <v>0</v>
      </c>
      <c r="V30" s="212">
        <v>0</v>
      </c>
      <c r="W30" s="253">
        <v>0</v>
      </c>
      <c r="X30" s="386">
        <v>50</v>
      </c>
      <c r="Y30" s="212">
        <v>0</v>
      </c>
      <c r="Z30" s="253">
        <f t="shared" si="8"/>
        <v>101</v>
      </c>
      <c r="AA30" s="386">
        <f t="shared" si="9"/>
        <v>0</v>
      </c>
      <c r="AB30" s="255">
        <f t="shared" ref="AB30" si="66">ROUND(((AA30/Z30-1)*100), 1)</f>
        <v>-100</v>
      </c>
      <c r="AC30" s="253">
        <v>101</v>
      </c>
      <c r="AD30" s="386">
        <v>50</v>
      </c>
      <c r="AE30" s="255">
        <f t="shared" si="38"/>
        <v>-50.5</v>
      </c>
      <c r="AF30" s="253">
        <f t="shared" si="12"/>
        <v>0</v>
      </c>
      <c r="AG30" s="386">
        <f t="shared" si="12"/>
        <v>0</v>
      </c>
      <c r="AH30" s="524">
        <v>0</v>
      </c>
      <c r="AI30" s="253">
        <v>101</v>
      </c>
      <c r="AJ30" s="386">
        <v>50</v>
      </c>
      <c r="AK30" s="255">
        <f t="shared" si="40"/>
        <v>-50.5</v>
      </c>
      <c r="AL30" s="677">
        <f t="shared" si="15"/>
        <v>150</v>
      </c>
      <c r="AM30" s="682">
        <f t="shared" si="16"/>
        <v>25</v>
      </c>
      <c r="AN30" s="679">
        <f t="shared" si="58"/>
        <v>-83.3</v>
      </c>
      <c r="AO30" s="689">
        <v>251</v>
      </c>
      <c r="AP30" s="714">
        <v>75</v>
      </c>
      <c r="AQ30" s="679">
        <f t="shared" si="42"/>
        <v>-70.099999999999994</v>
      </c>
      <c r="AR30" s="689">
        <f t="shared" si="19"/>
        <v>0</v>
      </c>
      <c r="AS30" s="714">
        <f t="shared" si="19"/>
        <v>51</v>
      </c>
      <c r="AT30" s="671">
        <v>0</v>
      </c>
      <c r="AU30" s="989">
        <v>251</v>
      </c>
      <c r="AV30" s="990">
        <v>126</v>
      </c>
      <c r="AW30" s="679">
        <f t="shared" si="44"/>
        <v>-49.8</v>
      </c>
      <c r="AX30" s="689">
        <f t="shared" si="22"/>
        <v>0</v>
      </c>
      <c r="AY30" s="714">
        <f t="shared" si="23"/>
        <v>0</v>
      </c>
      <c r="AZ30" s="671">
        <v>0</v>
      </c>
      <c r="BA30" s="689">
        <v>251</v>
      </c>
      <c r="BB30" s="714">
        <v>126</v>
      </c>
      <c r="BC30" s="679">
        <f t="shared" si="46"/>
        <v>-49.8</v>
      </c>
      <c r="BD30" s="689">
        <f t="shared" si="26"/>
        <v>0</v>
      </c>
      <c r="BE30" s="714">
        <f t="shared" si="26"/>
        <v>0</v>
      </c>
      <c r="BF30" s="671">
        <v>0</v>
      </c>
      <c r="BG30" s="689">
        <v>251</v>
      </c>
      <c r="BH30" s="714">
        <v>126</v>
      </c>
      <c r="BI30" s="679">
        <f t="shared" si="48"/>
        <v>-49.8</v>
      </c>
      <c r="BJ30" s="689">
        <f t="shared" si="29"/>
        <v>0</v>
      </c>
      <c r="BK30" s="714">
        <f t="shared" si="29"/>
        <v>0</v>
      </c>
      <c r="BL30" s="671">
        <v>0</v>
      </c>
      <c r="BM30" s="689">
        <v>251</v>
      </c>
      <c r="BN30" s="714">
        <v>126</v>
      </c>
      <c r="BO30" s="679">
        <f t="shared" si="50"/>
        <v>-49.8</v>
      </c>
      <c r="BP30" s="689">
        <f t="shared" si="32"/>
        <v>0</v>
      </c>
      <c r="BQ30" s="714">
        <f t="shared" si="32"/>
        <v>0</v>
      </c>
      <c r="BR30" s="671">
        <v>0</v>
      </c>
      <c r="BS30" s="689">
        <v>251</v>
      </c>
      <c r="BT30" s="714">
        <v>126</v>
      </c>
      <c r="BU30" s="679">
        <f t="shared" si="51"/>
        <v>-49.8</v>
      </c>
    </row>
    <row r="31" spans="1:73">
      <c r="A31" s="4"/>
      <c r="B31" s="43" t="s">
        <v>194</v>
      </c>
      <c r="C31" s="98">
        <v>750</v>
      </c>
      <c r="D31" s="98">
        <v>4745</v>
      </c>
      <c r="E31" s="98">
        <v>899</v>
      </c>
      <c r="F31" s="98">
        <v>2087</v>
      </c>
      <c r="G31" s="98">
        <v>590</v>
      </c>
      <c r="H31" s="98">
        <v>2953</v>
      </c>
      <c r="I31" s="98">
        <v>202</v>
      </c>
      <c r="J31" s="386">
        <v>202</v>
      </c>
      <c r="K31" s="253">
        <v>0</v>
      </c>
      <c r="L31" s="386">
        <v>0</v>
      </c>
      <c r="M31" s="212">
        <v>0</v>
      </c>
      <c r="N31" s="253">
        <f t="shared" si="1"/>
        <v>0</v>
      </c>
      <c r="O31" s="386">
        <f t="shared" si="1"/>
        <v>0</v>
      </c>
      <c r="P31" s="212">
        <v>0</v>
      </c>
      <c r="Q31" s="253">
        <v>0</v>
      </c>
      <c r="R31" s="386">
        <v>0</v>
      </c>
      <c r="S31" s="212">
        <v>0</v>
      </c>
      <c r="T31" s="253">
        <f t="shared" si="4"/>
        <v>0</v>
      </c>
      <c r="U31" s="386">
        <f t="shared" si="5"/>
        <v>0</v>
      </c>
      <c r="V31" s="212">
        <v>0</v>
      </c>
      <c r="W31" s="253">
        <v>0</v>
      </c>
      <c r="X31" s="386">
        <v>0</v>
      </c>
      <c r="Y31" s="212">
        <v>0</v>
      </c>
      <c r="Z31" s="253">
        <f t="shared" si="8"/>
        <v>0</v>
      </c>
      <c r="AA31" s="386">
        <f t="shared" si="9"/>
        <v>0</v>
      </c>
      <c r="AB31" s="524">
        <v>0</v>
      </c>
      <c r="AC31" s="253">
        <v>0</v>
      </c>
      <c r="AD31" s="386">
        <v>0</v>
      </c>
      <c r="AE31" s="524">
        <v>0</v>
      </c>
      <c r="AF31" s="253">
        <f t="shared" si="12"/>
        <v>0</v>
      </c>
      <c r="AG31" s="386">
        <f t="shared" si="12"/>
        <v>0</v>
      </c>
      <c r="AH31" s="524">
        <v>0</v>
      </c>
      <c r="AI31" s="253">
        <v>0</v>
      </c>
      <c r="AJ31" s="386">
        <v>0</v>
      </c>
      <c r="AK31" s="524">
        <v>0</v>
      </c>
      <c r="AL31" s="677">
        <f t="shared" si="15"/>
        <v>202</v>
      </c>
      <c r="AM31" s="682">
        <f t="shared" si="16"/>
        <v>152</v>
      </c>
      <c r="AN31" s="679">
        <f t="shared" si="58"/>
        <v>-24.8</v>
      </c>
      <c r="AO31" s="689">
        <v>202</v>
      </c>
      <c r="AP31" s="714">
        <v>152</v>
      </c>
      <c r="AQ31" s="679">
        <f t="shared" si="42"/>
        <v>-24.8</v>
      </c>
      <c r="AR31" s="689">
        <f t="shared" si="19"/>
        <v>0</v>
      </c>
      <c r="AS31" s="714">
        <f t="shared" si="19"/>
        <v>207</v>
      </c>
      <c r="AT31" s="671">
        <v>0</v>
      </c>
      <c r="AU31" s="989">
        <v>202</v>
      </c>
      <c r="AV31" s="990">
        <v>359</v>
      </c>
      <c r="AW31" s="679">
        <f t="shared" si="44"/>
        <v>77.7</v>
      </c>
      <c r="AX31" s="689">
        <f t="shared" si="22"/>
        <v>0</v>
      </c>
      <c r="AY31" s="714">
        <f t="shared" si="23"/>
        <v>0</v>
      </c>
      <c r="AZ31" s="671">
        <v>0</v>
      </c>
      <c r="BA31" s="689">
        <v>202</v>
      </c>
      <c r="BB31" s="714">
        <v>359</v>
      </c>
      <c r="BC31" s="679">
        <f t="shared" si="46"/>
        <v>77.7</v>
      </c>
      <c r="BD31" s="689">
        <f t="shared" si="26"/>
        <v>0</v>
      </c>
      <c r="BE31" s="714">
        <f t="shared" si="26"/>
        <v>0</v>
      </c>
      <c r="BF31" s="671">
        <v>0</v>
      </c>
      <c r="BG31" s="689">
        <v>202</v>
      </c>
      <c r="BH31" s="714">
        <v>359</v>
      </c>
      <c r="BI31" s="679">
        <f t="shared" si="48"/>
        <v>77.7</v>
      </c>
      <c r="BJ31" s="689">
        <f t="shared" si="29"/>
        <v>0</v>
      </c>
      <c r="BK31" s="714">
        <f t="shared" si="29"/>
        <v>0</v>
      </c>
      <c r="BL31" s="671">
        <v>0</v>
      </c>
      <c r="BM31" s="689">
        <v>202</v>
      </c>
      <c r="BN31" s="714">
        <v>359</v>
      </c>
      <c r="BO31" s="679">
        <f t="shared" si="50"/>
        <v>77.7</v>
      </c>
      <c r="BP31" s="689">
        <f t="shared" si="32"/>
        <v>0</v>
      </c>
      <c r="BQ31" s="714">
        <f t="shared" si="32"/>
        <v>0</v>
      </c>
      <c r="BR31" s="671">
        <v>0</v>
      </c>
      <c r="BS31" s="689">
        <v>202</v>
      </c>
      <c r="BT31" s="714">
        <v>359</v>
      </c>
      <c r="BU31" s="679">
        <f t="shared" si="51"/>
        <v>77.7</v>
      </c>
    </row>
    <row r="32" spans="1:73">
      <c r="A32" s="4"/>
      <c r="B32" s="43" t="s">
        <v>24</v>
      </c>
      <c r="C32" s="98">
        <f t="shared" ref="C32:L32" si="67">C33-SUM(C5:C31)</f>
        <v>27858</v>
      </c>
      <c r="D32" s="98">
        <f t="shared" si="67"/>
        <v>17794</v>
      </c>
      <c r="E32" s="98">
        <f t="shared" si="67"/>
        <v>11611</v>
      </c>
      <c r="F32" s="98">
        <f t="shared" si="67"/>
        <v>15453</v>
      </c>
      <c r="G32" s="98">
        <f t="shared" si="67"/>
        <v>14045</v>
      </c>
      <c r="H32" s="98">
        <f t="shared" si="67"/>
        <v>7150</v>
      </c>
      <c r="I32" s="98">
        <f t="shared" si="67"/>
        <v>6992</v>
      </c>
      <c r="J32" s="107">
        <f t="shared" si="67"/>
        <v>3684</v>
      </c>
      <c r="K32" s="417">
        <f t="shared" si="67"/>
        <v>694</v>
      </c>
      <c r="L32" s="417">
        <f t="shared" si="67"/>
        <v>957</v>
      </c>
      <c r="M32" s="255">
        <f>ROUND(((L32/K32-1)*100), 1)</f>
        <v>37.9</v>
      </c>
      <c r="N32" s="417">
        <f>N33-SUM(N5:N31)</f>
        <v>281</v>
      </c>
      <c r="O32" s="417">
        <f>O33-SUM(O5:O31)</f>
        <v>1399</v>
      </c>
      <c r="P32" s="255">
        <f>ROUND(((O32/N32-1)*100), 1)</f>
        <v>397.9</v>
      </c>
      <c r="Q32" s="417">
        <f>Q33-SUM(Q5:Q31)</f>
        <v>975</v>
      </c>
      <c r="R32" s="417">
        <f>R33-SUM(R5:R31)</f>
        <v>2356</v>
      </c>
      <c r="S32" s="255">
        <f>ROUND(((R32/Q32-1)*100), 1)</f>
        <v>141.6</v>
      </c>
      <c r="T32" s="417">
        <f>T33-SUM(T5:T31)</f>
        <v>515</v>
      </c>
      <c r="U32" s="417">
        <f>U33-SUM(U5:U31)</f>
        <v>2441</v>
      </c>
      <c r="V32" s="255">
        <f>ROUND(((U32/T32-1)*100), 1)</f>
        <v>374</v>
      </c>
      <c r="W32" s="417">
        <f>W33-SUM(W5:W31)</f>
        <v>1490</v>
      </c>
      <c r="X32" s="417">
        <f>X33-SUM(X5:X31)</f>
        <v>4797</v>
      </c>
      <c r="Y32" s="255">
        <f>ROUND(((X32/W32-1)*100), 1)</f>
        <v>221.9</v>
      </c>
      <c r="Z32" s="417">
        <f>Z33-SUM(Z5:Z31)</f>
        <v>413</v>
      </c>
      <c r="AA32" s="417">
        <f>AA33-SUM(AA5:AA31)</f>
        <v>532</v>
      </c>
      <c r="AB32" s="255">
        <f>ROUND(((AA32/Z32-1)*100), 1)</f>
        <v>28.8</v>
      </c>
      <c r="AC32" s="417">
        <f>AC33-SUM(AC5:AC31)</f>
        <v>1903</v>
      </c>
      <c r="AD32" s="417">
        <f>AD33-SUM(AD5:AD31)</f>
        <v>5329</v>
      </c>
      <c r="AE32" s="255">
        <f>ROUND(((AD32/AC32-1)*100), 1)</f>
        <v>180</v>
      </c>
      <c r="AF32" s="417">
        <f>AF33-SUM(AF5:AF31)</f>
        <v>334</v>
      </c>
      <c r="AG32" s="417">
        <f>AG33-SUM(AG5:AG31)</f>
        <v>227</v>
      </c>
      <c r="AH32" s="255">
        <f>ROUND(((AG32/AF32-1)*100), 1)</f>
        <v>-32</v>
      </c>
      <c r="AI32" s="417">
        <f>AI33-SUM(AI5:AI31)</f>
        <v>2237</v>
      </c>
      <c r="AJ32" s="417">
        <f>AJ33-SUM(AJ5:AJ31)</f>
        <v>5556</v>
      </c>
      <c r="AK32" s="255">
        <f>ROUND(((AJ32/AI32-1)*100), 1)</f>
        <v>148.4</v>
      </c>
      <c r="AL32" s="686">
        <f>AL33-SUM(AL5:AL31)</f>
        <v>231</v>
      </c>
      <c r="AM32" s="686">
        <f>AM33-SUM(AM5:AM31)</f>
        <v>608</v>
      </c>
      <c r="AN32" s="679">
        <f>ROUND(((AM32/AL32-1)*100), 1)</f>
        <v>163.19999999999999</v>
      </c>
      <c r="AO32" s="770">
        <f>AO33-SUM(AO5:AO31)</f>
        <v>2468</v>
      </c>
      <c r="AP32" s="770">
        <f>AP33-SUM(AP5:AP31)</f>
        <v>6164</v>
      </c>
      <c r="AQ32" s="679">
        <f>ROUND(((AP32/AO32-1)*100), 1)</f>
        <v>149.80000000000001</v>
      </c>
      <c r="AR32" s="770">
        <f>AR33-SUM(AR5:AR31)</f>
        <v>389</v>
      </c>
      <c r="AS32" s="770">
        <f>AS33-SUM(AS5:AS31)</f>
        <v>581</v>
      </c>
      <c r="AT32" s="679">
        <f t="shared" si="64"/>
        <v>49.4</v>
      </c>
      <c r="AU32" s="992">
        <f>AU33-SUM(AU5:AU31)</f>
        <v>2857</v>
      </c>
      <c r="AV32" s="992">
        <f>AV33-SUM(AV5:AV31)</f>
        <v>6745</v>
      </c>
      <c r="AW32" s="679">
        <f t="shared" si="44"/>
        <v>136.1</v>
      </c>
      <c r="AX32" s="770">
        <f>AX33-SUM(AX5:AX31)</f>
        <v>183</v>
      </c>
      <c r="AY32" s="770">
        <f>AY33-SUM(AY5:AY31)</f>
        <v>156</v>
      </c>
      <c r="AZ32" s="679">
        <f t="shared" ref="AZ32:AZ36" si="68">ROUND(((AY32/AX32-1)*100), 1)</f>
        <v>-14.8</v>
      </c>
      <c r="BA32" s="770">
        <f>BA33-SUM(BA5:BA31)</f>
        <v>3040</v>
      </c>
      <c r="BB32" s="770">
        <f>BB33-SUM(BB5:BB31)</f>
        <v>6901</v>
      </c>
      <c r="BC32" s="679">
        <f t="shared" si="46"/>
        <v>127</v>
      </c>
      <c r="BD32" s="770">
        <f>BD33-SUM(BD5:BD31)</f>
        <v>280</v>
      </c>
      <c r="BE32" s="770">
        <f>BE33-SUM(BE5:BE31)</f>
        <v>217</v>
      </c>
      <c r="BF32" s="679">
        <f t="shared" ref="BF32:BF35" si="69">ROUND(((BE32/BD32-1)*100), 1)</f>
        <v>-22.5</v>
      </c>
      <c r="BG32" s="770">
        <f>BG33-SUM(BG5:BG31)</f>
        <v>3320</v>
      </c>
      <c r="BH32" s="770">
        <f>BH33-SUM(BH5:BH31)</f>
        <v>7118</v>
      </c>
      <c r="BI32" s="679">
        <f t="shared" si="48"/>
        <v>114.4</v>
      </c>
      <c r="BJ32" s="770">
        <f>BJ33-SUM(BJ5:BJ31)</f>
        <v>134</v>
      </c>
      <c r="BK32" s="770">
        <f>BK33-SUM(BK5:BK31)</f>
        <v>339</v>
      </c>
      <c r="BL32" s="679">
        <f t="shared" ref="BL32:BL35" si="70">ROUND(((BK32/BJ32-1)*100), 1)</f>
        <v>153</v>
      </c>
      <c r="BM32" s="770">
        <f>BM33-SUM(BM5:BM31)</f>
        <v>3454</v>
      </c>
      <c r="BN32" s="770">
        <f>BN33-SUM(BN5:BN31)</f>
        <v>7457</v>
      </c>
      <c r="BO32" s="679">
        <f t="shared" si="50"/>
        <v>115.9</v>
      </c>
      <c r="BP32" s="770">
        <f>BP33-SUM(BP5:BP31)</f>
        <v>99</v>
      </c>
      <c r="BQ32" s="770">
        <f>BQ33-SUM(BQ5:BQ31)</f>
        <v>636</v>
      </c>
      <c r="BR32" s="679">
        <f>ROUND(((BQ32/BP32-1)*100), 1)</f>
        <v>542.4</v>
      </c>
      <c r="BS32" s="770">
        <f>BS33-SUM(BS5:BS31)</f>
        <v>3553</v>
      </c>
      <c r="BT32" s="770">
        <f>BT33-SUM(BT5:BT31)</f>
        <v>8093</v>
      </c>
      <c r="BU32" s="679">
        <f t="shared" si="51"/>
        <v>127.8</v>
      </c>
    </row>
    <row r="33" spans="1:73">
      <c r="A33" s="4"/>
      <c r="B33" s="45" t="s">
        <v>108</v>
      </c>
      <c r="C33" s="99">
        <v>488840</v>
      </c>
      <c r="D33" s="99">
        <v>481034</v>
      </c>
      <c r="E33" s="99">
        <v>424106</v>
      </c>
      <c r="F33" s="99">
        <v>528366</v>
      </c>
      <c r="G33" s="99">
        <v>572828</v>
      </c>
      <c r="H33" s="99">
        <v>534026</v>
      </c>
      <c r="I33" s="99">
        <v>589791</v>
      </c>
      <c r="J33" s="387">
        <v>550848</v>
      </c>
      <c r="K33" s="405">
        <v>38243</v>
      </c>
      <c r="L33" s="387">
        <v>46224</v>
      </c>
      <c r="M33" s="254">
        <f>ROUND(((L33/K33-1)*100), 1)</f>
        <v>20.9</v>
      </c>
      <c r="N33" s="405">
        <f t="shared" ref="N33:O47" si="71">Q33-K33</f>
        <v>35800</v>
      </c>
      <c r="O33" s="387">
        <f t="shared" si="71"/>
        <v>43875</v>
      </c>
      <c r="P33" s="254">
        <f>ROUND(((O33/N33-1)*100), 1)</f>
        <v>22.6</v>
      </c>
      <c r="Q33" s="405">
        <v>74043</v>
      </c>
      <c r="R33" s="387">
        <v>90099</v>
      </c>
      <c r="S33" s="254">
        <f>ROUND(((R33/Q33-1)*100), 1)</f>
        <v>21.7</v>
      </c>
      <c r="T33" s="405">
        <f t="shared" ref="T33:T47" si="72">W33-Q33</f>
        <v>35751</v>
      </c>
      <c r="U33" s="387">
        <f t="shared" ref="U33:U47" si="73">X33-R33</f>
        <v>61714</v>
      </c>
      <c r="V33" s="254">
        <f>ROUND(((U33/T33-1)*100), 1)</f>
        <v>72.599999999999994</v>
      </c>
      <c r="W33" s="405">
        <v>109794</v>
      </c>
      <c r="X33" s="387">
        <v>151813</v>
      </c>
      <c r="Y33" s="254">
        <f>ROUND(((X33/W33-1)*100), 1)</f>
        <v>38.299999999999997</v>
      </c>
      <c r="Z33" s="405">
        <f t="shared" ref="Z33:Z47" si="74">AC33-W33</f>
        <v>47312</v>
      </c>
      <c r="AA33" s="387">
        <f t="shared" ref="AA33:AA47" si="75">AD33-X33</f>
        <v>52497</v>
      </c>
      <c r="AB33" s="254">
        <f>ROUND(((AA33/Z33-1)*100), 1)</f>
        <v>11</v>
      </c>
      <c r="AC33" s="405">
        <v>157106</v>
      </c>
      <c r="AD33" s="387">
        <v>204310</v>
      </c>
      <c r="AE33" s="254">
        <f>ROUND(((AD33/AC33-1)*100), 1)</f>
        <v>30</v>
      </c>
      <c r="AF33" s="405">
        <f t="shared" ref="AF33:AG47" si="76">AI33-AC33</f>
        <v>52056</v>
      </c>
      <c r="AG33" s="387">
        <f t="shared" si="76"/>
        <v>45011</v>
      </c>
      <c r="AH33" s="254">
        <f>ROUND(((AG33/AF33-1)*100), 1)</f>
        <v>-13.5</v>
      </c>
      <c r="AI33" s="405">
        <v>209162</v>
      </c>
      <c r="AJ33" s="387">
        <v>249321</v>
      </c>
      <c r="AK33" s="254">
        <f>ROUND(((AJ33/AI33-1)*100), 1)</f>
        <v>19.2</v>
      </c>
      <c r="AL33" s="684">
        <f t="shared" ref="AL33:AL47" si="77">AO33-AI33</f>
        <v>49217</v>
      </c>
      <c r="AM33" s="683">
        <f t="shared" ref="AM33:AM47" si="78">AP33-AJ33</f>
        <v>43709</v>
      </c>
      <c r="AN33" s="678">
        <f>ROUND(((AM33/AL33-1)*100), 1)</f>
        <v>-11.2</v>
      </c>
      <c r="AO33" s="684">
        <v>258379</v>
      </c>
      <c r="AP33" s="715">
        <v>293030</v>
      </c>
      <c r="AQ33" s="678">
        <f>ROUND(((AP33/AO33-1)*100), 1)</f>
        <v>13.4</v>
      </c>
      <c r="AR33" s="684">
        <f t="shared" ref="AR33:AS47" si="79">AU33-AO33</f>
        <v>49054</v>
      </c>
      <c r="AS33" s="715">
        <f t="shared" si="79"/>
        <v>47646</v>
      </c>
      <c r="AT33" s="678">
        <f t="shared" si="64"/>
        <v>-2.9</v>
      </c>
      <c r="AU33" s="993">
        <v>307433</v>
      </c>
      <c r="AV33" s="994">
        <v>340676</v>
      </c>
      <c r="AW33" s="678">
        <f t="shared" si="44"/>
        <v>10.8</v>
      </c>
      <c r="AX33" s="684">
        <f t="shared" ref="AX33:AX47" si="80">BA33-AU33</f>
        <v>43716</v>
      </c>
      <c r="AY33" s="715">
        <f t="shared" ref="AY33:AY47" si="81">BB33-AV33</f>
        <v>40401</v>
      </c>
      <c r="AZ33" s="678">
        <f t="shared" si="68"/>
        <v>-7.6</v>
      </c>
      <c r="BA33" s="684">
        <v>351149</v>
      </c>
      <c r="BB33" s="715">
        <v>381077</v>
      </c>
      <c r="BC33" s="678">
        <f t="shared" si="46"/>
        <v>8.5</v>
      </c>
      <c r="BD33" s="684">
        <f t="shared" ref="BD33:BE47" si="82">BG33-BA33</f>
        <v>44117</v>
      </c>
      <c r="BE33" s="715">
        <f t="shared" si="82"/>
        <v>56081</v>
      </c>
      <c r="BF33" s="678">
        <f t="shared" si="69"/>
        <v>27.1</v>
      </c>
      <c r="BG33" s="684">
        <v>395266</v>
      </c>
      <c r="BH33" s="715">
        <v>437158</v>
      </c>
      <c r="BI33" s="678">
        <f t="shared" si="48"/>
        <v>10.6</v>
      </c>
      <c r="BJ33" s="684">
        <f t="shared" ref="BJ33:BK47" si="83">BM33-BG33</f>
        <v>51173</v>
      </c>
      <c r="BK33" s="715">
        <f t="shared" si="83"/>
        <v>56895</v>
      </c>
      <c r="BL33" s="678">
        <f t="shared" si="70"/>
        <v>11.2</v>
      </c>
      <c r="BM33" s="684">
        <v>446439</v>
      </c>
      <c r="BN33" s="715">
        <v>494053</v>
      </c>
      <c r="BO33" s="678">
        <f t="shared" si="50"/>
        <v>10.7</v>
      </c>
      <c r="BP33" s="684">
        <f t="shared" ref="BP33:BQ47" si="84">BS33-BM33</f>
        <v>47792</v>
      </c>
      <c r="BQ33" s="715">
        <f t="shared" si="84"/>
        <v>54508</v>
      </c>
      <c r="BR33" s="678">
        <f>ROUND(((BQ33/BP33-1)*100), 1)</f>
        <v>14.1</v>
      </c>
      <c r="BS33" s="684">
        <v>494231</v>
      </c>
      <c r="BT33" s="715">
        <v>548561</v>
      </c>
      <c r="BU33" s="678">
        <f t="shared" si="51"/>
        <v>11</v>
      </c>
    </row>
    <row r="34" spans="1:73">
      <c r="A34" s="8"/>
      <c r="B34" s="43" t="s">
        <v>52</v>
      </c>
      <c r="C34" s="98">
        <v>43179</v>
      </c>
      <c r="D34" s="98">
        <v>48334</v>
      </c>
      <c r="E34" s="98">
        <v>27193</v>
      </c>
      <c r="F34" s="98">
        <v>38234</v>
      </c>
      <c r="G34" s="98">
        <v>44427</v>
      </c>
      <c r="H34" s="98">
        <v>48622</v>
      </c>
      <c r="I34" s="98">
        <v>52442</v>
      </c>
      <c r="J34" s="386">
        <v>40033</v>
      </c>
      <c r="K34" s="253">
        <v>5120</v>
      </c>
      <c r="L34" s="386">
        <v>2978</v>
      </c>
      <c r="M34" s="255">
        <f>ROUND(((L34/K34-1)*100), 1)</f>
        <v>-41.8</v>
      </c>
      <c r="N34" s="253">
        <f t="shared" si="71"/>
        <v>1684</v>
      </c>
      <c r="O34" s="386">
        <f t="shared" si="71"/>
        <v>3739</v>
      </c>
      <c r="P34" s="255">
        <f>ROUND(((O34/N34-1)*100), 1)</f>
        <v>122</v>
      </c>
      <c r="Q34" s="253">
        <v>6804</v>
      </c>
      <c r="R34" s="386">
        <v>6717</v>
      </c>
      <c r="S34" s="255">
        <f>ROUND(((R34/Q34-1)*100), 1)</f>
        <v>-1.3</v>
      </c>
      <c r="T34" s="253">
        <f t="shared" si="72"/>
        <v>4068</v>
      </c>
      <c r="U34" s="386">
        <f t="shared" si="73"/>
        <v>3707</v>
      </c>
      <c r="V34" s="255">
        <f>ROUND(((U34/T34-1)*100), 1)</f>
        <v>-8.9</v>
      </c>
      <c r="W34" s="253">
        <v>10872</v>
      </c>
      <c r="X34" s="386">
        <v>10424</v>
      </c>
      <c r="Y34" s="255">
        <f>ROUND(((X34/W34-1)*100), 1)</f>
        <v>-4.0999999999999996</v>
      </c>
      <c r="Z34" s="253">
        <f t="shared" si="74"/>
        <v>3872</v>
      </c>
      <c r="AA34" s="386">
        <f t="shared" si="75"/>
        <v>1735</v>
      </c>
      <c r="AB34" s="255">
        <f>ROUND(((AA34/Z34-1)*100), 1)</f>
        <v>-55.2</v>
      </c>
      <c r="AC34" s="253">
        <v>14744</v>
      </c>
      <c r="AD34" s="386">
        <v>12159</v>
      </c>
      <c r="AE34" s="255">
        <f>ROUND(((AD34/AC34-1)*100), 1)</f>
        <v>-17.5</v>
      </c>
      <c r="AF34" s="253">
        <f t="shared" si="76"/>
        <v>3917</v>
      </c>
      <c r="AG34" s="386">
        <f t="shared" si="76"/>
        <v>1687</v>
      </c>
      <c r="AH34" s="255">
        <f>ROUND(((AG34/AF34-1)*100), 1)</f>
        <v>-56.9</v>
      </c>
      <c r="AI34" s="253">
        <v>18661</v>
      </c>
      <c r="AJ34" s="386">
        <v>13846</v>
      </c>
      <c r="AK34" s="255">
        <f>ROUND(((AJ34/AI34-1)*100), 1)</f>
        <v>-25.8</v>
      </c>
      <c r="AL34" s="677">
        <f t="shared" si="77"/>
        <v>3020</v>
      </c>
      <c r="AM34" s="682">
        <f t="shared" si="78"/>
        <v>1386</v>
      </c>
      <c r="AN34" s="679">
        <f>ROUND(((AM34/AL34-1)*100), 1)</f>
        <v>-54.1</v>
      </c>
      <c r="AO34" s="689">
        <v>21681</v>
      </c>
      <c r="AP34" s="714">
        <v>15232</v>
      </c>
      <c r="AQ34" s="679">
        <f>ROUND(((AP34/AO34-1)*100), 1)</f>
        <v>-29.7</v>
      </c>
      <c r="AR34" s="689">
        <f t="shared" si="79"/>
        <v>3333</v>
      </c>
      <c r="AS34" s="714">
        <f t="shared" si="79"/>
        <v>1323</v>
      </c>
      <c r="AT34" s="679">
        <f t="shared" si="64"/>
        <v>-60.3</v>
      </c>
      <c r="AU34" s="989">
        <v>25014</v>
      </c>
      <c r="AV34" s="990">
        <v>16555</v>
      </c>
      <c r="AW34" s="679">
        <f t="shared" si="44"/>
        <v>-33.799999999999997</v>
      </c>
      <c r="AX34" s="689">
        <f t="shared" si="80"/>
        <v>3584</v>
      </c>
      <c r="AY34" s="714">
        <f t="shared" si="81"/>
        <v>1140</v>
      </c>
      <c r="AZ34" s="679">
        <f t="shared" si="68"/>
        <v>-68.2</v>
      </c>
      <c r="BA34" s="689">
        <v>28598</v>
      </c>
      <c r="BB34" s="714">
        <v>17695</v>
      </c>
      <c r="BC34" s="679">
        <f t="shared" si="46"/>
        <v>-38.1</v>
      </c>
      <c r="BD34" s="689">
        <f t="shared" si="82"/>
        <v>2381</v>
      </c>
      <c r="BE34" s="714">
        <f t="shared" si="82"/>
        <v>1486</v>
      </c>
      <c r="BF34" s="679">
        <f t="shared" si="69"/>
        <v>-37.6</v>
      </c>
      <c r="BG34" s="689">
        <v>30979</v>
      </c>
      <c r="BH34" s="714">
        <v>19181</v>
      </c>
      <c r="BI34" s="679">
        <f t="shared" si="48"/>
        <v>-38.1</v>
      </c>
      <c r="BJ34" s="689">
        <f t="shared" si="83"/>
        <v>3003</v>
      </c>
      <c r="BK34" s="714">
        <f t="shared" si="83"/>
        <v>799</v>
      </c>
      <c r="BL34" s="679">
        <f t="shared" si="70"/>
        <v>-73.400000000000006</v>
      </c>
      <c r="BM34" s="689">
        <v>33982</v>
      </c>
      <c r="BN34" s="714">
        <v>19980</v>
      </c>
      <c r="BO34" s="679">
        <f t="shared" si="50"/>
        <v>-41.2</v>
      </c>
      <c r="BP34" s="689">
        <f t="shared" si="84"/>
        <v>2509</v>
      </c>
      <c r="BQ34" s="714">
        <f t="shared" si="84"/>
        <v>1843</v>
      </c>
      <c r="BR34" s="679">
        <f>ROUND(((BQ34/BP34-1)*100), 1)</f>
        <v>-26.5</v>
      </c>
      <c r="BS34" s="689">
        <v>36491</v>
      </c>
      <c r="BT34" s="714">
        <v>21823</v>
      </c>
      <c r="BU34" s="679">
        <f t="shared" si="51"/>
        <v>-40.200000000000003</v>
      </c>
    </row>
    <row r="35" spans="1:73">
      <c r="A35" s="4" t="s">
        <v>110</v>
      </c>
      <c r="B35" s="43" t="s">
        <v>344</v>
      </c>
      <c r="C35" s="98">
        <v>0</v>
      </c>
      <c r="D35" s="98">
        <v>7481</v>
      </c>
      <c r="E35" s="98">
        <v>8889</v>
      </c>
      <c r="F35" s="98">
        <v>4866</v>
      </c>
      <c r="G35" s="98">
        <v>0</v>
      </c>
      <c r="H35" s="98">
        <v>0</v>
      </c>
      <c r="I35" s="98">
        <v>0</v>
      </c>
      <c r="J35" s="386">
        <v>4938</v>
      </c>
      <c r="K35" s="253">
        <v>0</v>
      </c>
      <c r="L35" s="386">
        <v>668</v>
      </c>
      <c r="M35" s="212">
        <v>0</v>
      </c>
      <c r="N35" s="253">
        <f t="shared" si="71"/>
        <v>0</v>
      </c>
      <c r="O35" s="386">
        <f t="shared" si="71"/>
        <v>0</v>
      </c>
      <c r="P35" s="212">
        <v>0</v>
      </c>
      <c r="Q35" s="253">
        <v>0</v>
      </c>
      <c r="R35" s="386">
        <v>668</v>
      </c>
      <c r="S35" s="212">
        <v>0</v>
      </c>
      <c r="T35" s="253">
        <f t="shared" si="72"/>
        <v>0</v>
      </c>
      <c r="U35" s="386">
        <f t="shared" si="73"/>
        <v>1576</v>
      </c>
      <c r="V35" s="212">
        <v>0</v>
      </c>
      <c r="W35" s="253">
        <v>0</v>
      </c>
      <c r="X35" s="386">
        <v>2244</v>
      </c>
      <c r="Y35" s="212">
        <v>0</v>
      </c>
      <c r="Z35" s="253">
        <f t="shared" si="74"/>
        <v>585</v>
      </c>
      <c r="AA35" s="386">
        <f t="shared" si="75"/>
        <v>346</v>
      </c>
      <c r="AB35" s="255">
        <f t="shared" ref="AB35" si="85">ROUND(((AA35/Z35-1)*100), 1)</f>
        <v>-40.9</v>
      </c>
      <c r="AC35" s="253">
        <v>585</v>
      </c>
      <c r="AD35" s="386">
        <v>2590</v>
      </c>
      <c r="AE35" s="255">
        <f t="shared" ref="AE35" si="86">ROUND(((AD35/AC35-1)*100), 1)</f>
        <v>342.7</v>
      </c>
      <c r="AF35" s="253">
        <f t="shared" si="76"/>
        <v>750</v>
      </c>
      <c r="AG35" s="386">
        <f t="shared" si="76"/>
        <v>975</v>
      </c>
      <c r="AH35" s="255">
        <f t="shared" ref="AH35" si="87">ROUND(((AG35/AF35-1)*100), 1)</f>
        <v>30</v>
      </c>
      <c r="AI35" s="253">
        <v>1335</v>
      </c>
      <c r="AJ35" s="386">
        <v>3565</v>
      </c>
      <c r="AK35" s="255">
        <f t="shared" ref="AK35" si="88">ROUND(((AJ35/AI35-1)*100), 1)</f>
        <v>167</v>
      </c>
      <c r="AL35" s="677">
        <f t="shared" si="77"/>
        <v>753</v>
      </c>
      <c r="AM35" s="682">
        <f t="shared" si="78"/>
        <v>296</v>
      </c>
      <c r="AN35" s="679">
        <f t="shared" ref="AN35" si="89">ROUND(((AM35/AL35-1)*100), 1)</f>
        <v>-60.7</v>
      </c>
      <c r="AO35" s="689">
        <v>2088</v>
      </c>
      <c r="AP35" s="714">
        <v>3861</v>
      </c>
      <c r="AQ35" s="679">
        <f t="shared" ref="AQ35" si="90">ROUND(((AP35/AO35-1)*100), 1)</f>
        <v>84.9</v>
      </c>
      <c r="AR35" s="689">
        <f t="shared" si="79"/>
        <v>565</v>
      </c>
      <c r="AS35" s="714">
        <f t="shared" si="79"/>
        <v>844</v>
      </c>
      <c r="AT35" s="679">
        <f t="shared" si="64"/>
        <v>49.4</v>
      </c>
      <c r="AU35" s="989">
        <v>2653</v>
      </c>
      <c r="AV35" s="990">
        <v>4705</v>
      </c>
      <c r="AW35" s="679">
        <f t="shared" si="44"/>
        <v>77.3</v>
      </c>
      <c r="AX35" s="689">
        <f t="shared" si="80"/>
        <v>99</v>
      </c>
      <c r="AY35" s="714">
        <f t="shared" si="81"/>
        <v>216</v>
      </c>
      <c r="AZ35" s="679">
        <f t="shared" si="68"/>
        <v>118.2</v>
      </c>
      <c r="BA35" s="689">
        <v>2752</v>
      </c>
      <c r="BB35" s="714">
        <v>4921</v>
      </c>
      <c r="BC35" s="679">
        <f t="shared" si="46"/>
        <v>78.8</v>
      </c>
      <c r="BD35" s="689">
        <f t="shared" si="82"/>
        <v>740</v>
      </c>
      <c r="BE35" s="714">
        <f t="shared" si="82"/>
        <v>322</v>
      </c>
      <c r="BF35" s="679">
        <f t="shared" si="69"/>
        <v>-56.5</v>
      </c>
      <c r="BG35" s="689">
        <v>3492</v>
      </c>
      <c r="BH35" s="714">
        <v>5243</v>
      </c>
      <c r="BI35" s="679">
        <f t="shared" si="48"/>
        <v>50.1</v>
      </c>
      <c r="BJ35" s="689">
        <f t="shared" si="83"/>
        <v>391</v>
      </c>
      <c r="BK35" s="714">
        <f t="shared" si="83"/>
        <v>400</v>
      </c>
      <c r="BL35" s="679">
        <f t="shared" si="70"/>
        <v>2.2999999999999998</v>
      </c>
      <c r="BM35" s="689">
        <v>3883</v>
      </c>
      <c r="BN35" s="714">
        <v>5643</v>
      </c>
      <c r="BO35" s="679">
        <f t="shared" si="50"/>
        <v>45.3</v>
      </c>
      <c r="BP35" s="689">
        <f t="shared" si="84"/>
        <v>349</v>
      </c>
      <c r="BQ35" s="714">
        <f t="shared" si="84"/>
        <v>594</v>
      </c>
      <c r="BR35" s="679">
        <f>ROUND(((BQ35/BP35-1)*100), 1)</f>
        <v>70.2</v>
      </c>
      <c r="BS35" s="689">
        <v>4232</v>
      </c>
      <c r="BT35" s="714">
        <v>6237</v>
      </c>
      <c r="BU35" s="679">
        <f t="shared" si="51"/>
        <v>47.4</v>
      </c>
    </row>
    <row r="36" spans="1:73">
      <c r="A36" s="4"/>
      <c r="B36" s="43" t="s">
        <v>207</v>
      </c>
      <c r="C36" s="98">
        <v>0</v>
      </c>
      <c r="D36" s="98">
        <v>0</v>
      </c>
      <c r="E36" s="98">
        <v>9455</v>
      </c>
      <c r="F36" s="98">
        <v>8167</v>
      </c>
      <c r="G36" s="98">
        <v>1701</v>
      </c>
      <c r="H36" s="98">
        <v>249</v>
      </c>
      <c r="I36" s="98">
        <v>765</v>
      </c>
      <c r="J36" s="386">
        <v>1817</v>
      </c>
      <c r="K36" s="253">
        <v>215</v>
      </c>
      <c r="L36" s="386">
        <v>87</v>
      </c>
      <c r="M36" s="255">
        <f>ROUND(((L36/K36-1)*100), 1)</f>
        <v>-59.5</v>
      </c>
      <c r="N36" s="253">
        <f t="shared" si="71"/>
        <v>300</v>
      </c>
      <c r="O36" s="386">
        <f t="shared" si="71"/>
        <v>0</v>
      </c>
      <c r="P36" s="255">
        <f>ROUND(((O36/N36-1)*100), 1)</f>
        <v>-100</v>
      </c>
      <c r="Q36" s="253">
        <v>515</v>
      </c>
      <c r="R36" s="386">
        <v>87</v>
      </c>
      <c r="S36" s="255">
        <f>ROUND(((R36/Q36-1)*100), 1)</f>
        <v>-83.1</v>
      </c>
      <c r="T36" s="253">
        <f t="shared" si="72"/>
        <v>418</v>
      </c>
      <c r="U36" s="386">
        <f t="shared" si="73"/>
        <v>0</v>
      </c>
      <c r="V36" s="255">
        <f>ROUND(((U36/T36-1)*100), 1)</f>
        <v>-100</v>
      </c>
      <c r="W36" s="253">
        <v>933</v>
      </c>
      <c r="X36" s="386">
        <v>87</v>
      </c>
      <c r="Y36" s="255">
        <f>ROUND(((X36/W36-1)*100), 1)</f>
        <v>-90.7</v>
      </c>
      <c r="Z36" s="253">
        <f t="shared" si="74"/>
        <v>0</v>
      </c>
      <c r="AA36" s="386">
        <f t="shared" si="75"/>
        <v>227</v>
      </c>
      <c r="AB36" s="524">
        <v>0</v>
      </c>
      <c r="AC36" s="253">
        <v>933</v>
      </c>
      <c r="AD36" s="386">
        <v>314</v>
      </c>
      <c r="AE36" s="255">
        <f>ROUND(((AD36/AC36-1)*100), 1)</f>
        <v>-66.3</v>
      </c>
      <c r="AF36" s="253">
        <f t="shared" si="76"/>
        <v>0</v>
      </c>
      <c r="AG36" s="386">
        <f t="shared" si="76"/>
        <v>125</v>
      </c>
      <c r="AH36" s="524">
        <v>0</v>
      </c>
      <c r="AI36" s="253">
        <v>933</v>
      </c>
      <c r="AJ36" s="386">
        <v>439</v>
      </c>
      <c r="AK36" s="255">
        <f>ROUND(((AJ36/AI36-1)*100), 1)</f>
        <v>-52.9</v>
      </c>
      <c r="AL36" s="677">
        <f t="shared" si="77"/>
        <v>0</v>
      </c>
      <c r="AM36" s="682">
        <f t="shared" si="78"/>
        <v>0</v>
      </c>
      <c r="AN36" s="671">
        <v>0</v>
      </c>
      <c r="AO36" s="689">
        <v>933</v>
      </c>
      <c r="AP36" s="714">
        <v>439</v>
      </c>
      <c r="AQ36" s="679">
        <f>ROUND(((AP36/AO36-1)*100), 1)</f>
        <v>-52.9</v>
      </c>
      <c r="AR36" s="689">
        <f t="shared" si="79"/>
        <v>391</v>
      </c>
      <c r="AS36" s="714">
        <f t="shared" si="79"/>
        <v>0</v>
      </c>
      <c r="AT36" s="679">
        <f t="shared" si="64"/>
        <v>-100</v>
      </c>
      <c r="AU36" s="989">
        <v>1324</v>
      </c>
      <c r="AV36" s="990">
        <v>439</v>
      </c>
      <c r="AW36" s="679">
        <f t="shared" si="44"/>
        <v>-66.8</v>
      </c>
      <c r="AX36" s="689">
        <f t="shared" si="80"/>
        <v>98</v>
      </c>
      <c r="AY36" s="714">
        <f t="shared" si="81"/>
        <v>0</v>
      </c>
      <c r="AZ36" s="679">
        <f t="shared" si="68"/>
        <v>-100</v>
      </c>
      <c r="BA36" s="689">
        <v>1422</v>
      </c>
      <c r="BB36" s="714">
        <v>439</v>
      </c>
      <c r="BC36" s="679">
        <f t="shared" si="46"/>
        <v>-69.099999999999994</v>
      </c>
      <c r="BD36" s="689">
        <f t="shared" si="82"/>
        <v>0</v>
      </c>
      <c r="BE36" s="714">
        <f t="shared" si="82"/>
        <v>0</v>
      </c>
      <c r="BF36" s="671">
        <v>0</v>
      </c>
      <c r="BG36" s="689">
        <v>1422</v>
      </c>
      <c r="BH36" s="714">
        <v>439</v>
      </c>
      <c r="BI36" s="679">
        <f t="shared" si="48"/>
        <v>-69.099999999999994</v>
      </c>
      <c r="BJ36" s="689">
        <f t="shared" si="83"/>
        <v>147</v>
      </c>
      <c r="BK36" s="714">
        <f t="shared" si="83"/>
        <v>64</v>
      </c>
      <c r="BL36" s="753">
        <f>ROUND(((BK36/BJ36-1)*100), 1)</f>
        <v>-56.5</v>
      </c>
      <c r="BM36" s="689">
        <v>1569</v>
      </c>
      <c r="BN36" s="714">
        <v>503</v>
      </c>
      <c r="BO36" s="679">
        <f t="shared" si="50"/>
        <v>-67.900000000000006</v>
      </c>
      <c r="BP36" s="689">
        <f t="shared" si="84"/>
        <v>200</v>
      </c>
      <c r="BQ36" s="714">
        <f t="shared" si="84"/>
        <v>0</v>
      </c>
      <c r="BR36" s="753">
        <f>ROUND(((BQ36/BP36-1)*100), 1)</f>
        <v>-100</v>
      </c>
      <c r="BS36" s="689">
        <v>1769</v>
      </c>
      <c r="BT36" s="714">
        <v>503</v>
      </c>
      <c r="BU36" s="679">
        <f t="shared" si="51"/>
        <v>-71.599999999999994</v>
      </c>
    </row>
    <row r="37" spans="1:73">
      <c r="A37" s="4"/>
      <c r="B37" s="43" t="s">
        <v>206</v>
      </c>
      <c r="C37" s="98">
        <v>0</v>
      </c>
      <c r="D37" s="98">
        <v>0</v>
      </c>
      <c r="E37" s="98">
        <v>0</v>
      </c>
      <c r="F37" s="98">
        <v>0</v>
      </c>
      <c r="G37" s="98">
        <v>0</v>
      </c>
      <c r="H37" s="98">
        <v>1810</v>
      </c>
      <c r="I37" s="98">
        <v>2427</v>
      </c>
      <c r="J37" s="386">
        <v>485</v>
      </c>
      <c r="K37" s="253">
        <v>0</v>
      </c>
      <c r="L37" s="386">
        <v>0</v>
      </c>
      <c r="M37" s="212">
        <v>0</v>
      </c>
      <c r="N37" s="253">
        <f t="shared" si="71"/>
        <v>0</v>
      </c>
      <c r="O37" s="386">
        <f t="shared" si="71"/>
        <v>0</v>
      </c>
      <c r="P37" s="212">
        <v>0</v>
      </c>
      <c r="Q37" s="253">
        <v>0</v>
      </c>
      <c r="R37" s="386">
        <v>0</v>
      </c>
      <c r="S37" s="212">
        <v>0</v>
      </c>
      <c r="T37" s="253">
        <f t="shared" si="72"/>
        <v>141</v>
      </c>
      <c r="U37" s="386">
        <f t="shared" si="73"/>
        <v>907</v>
      </c>
      <c r="V37" s="242">
        <f t="shared" ref="V37" si="91">ROUND(((U37/T37-1)*100), 1)</f>
        <v>543.29999999999995</v>
      </c>
      <c r="W37" s="253">
        <v>141</v>
      </c>
      <c r="X37" s="386">
        <v>907</v>
      </c>
      <c r="Y37" s="242">
        <f t="shared" ref="Y37" si="92">ROUND(((X37/W37-1)*100), 1)</f>
        <v>543.29999999999995</v>
      </c>
      <c r="Z37" s="253">
        <f t="shared" si="74"/>
        <v>344</v>
      </c>
      <c r="AA37" s="386">
        <f t="shared" si="75"/>
        <v>74</v>
      </c>
      <c r="AB37" s="242">
        <f t="shared" ref="AB37" si="93">ROUND(((AA37/Z37-1)*100), 1)</f>
        <v>-78.5</v>
      </c>
      <c r="AC37" s="253">
        <v>485</v>
      </c>
      <c r="AD37" s="386">
        <v>981</v>
      </c>
      <c r="AE37" s="242">
        <f t="shared" ref="AE37" si="94">ROUND(((AD37/AC37-1)*100), 1)</f>
        <v>102.3</v>
      </c>
      <c r="AF37" s="253">
        <f t="shared" si="76"/>
        <v>0</v>
      </c>
      <c r="AG37" s="386">
        <f t="shared" si="76"/>
        <v>0</v>
      </c>
      <c r="AH37" s="524">
        <v>0</v>
      </c>
      <c r="AI37" s="253">
        <v>485</v>
      </c>
      <c r="AJ37" s="386">
        <v>981</v>
      </c>
      <c r="AK37" s="242">
        <f t="shared" ref="AK37" si="95">ROUND(((AJ37/AI37-1)*100), 1)</f>
        <v>102.3</v>
      </c>
      <c r="AL37" s="677">
        <f t="shared" si="77"/>
        <v>0</v>
      </c>
      <c r="AM37" s="682">
        <f t="shared" si="78"/>
        <v>0</v>
      </c>
      <c r="AN37" s="671">
        <v>0</v>
      </c>
      <c r="AO37" s="689">
        <v>485</v>
      </c>
      <c r="AP37" s="714">
        <v>981</v>
      </c>
      <c r="AQ37" s="673">
        <f t="shared" ref="AQ37" si="96">ROUND(((AP37/AO37-1)*100), 1)</f>
        <v>102.3</v>
      </c>
      <c r="AR37" s="689">
        <f t="shared" si="79"/>
        <v>0</v>
      </c>
      <c r="AS37" s="714">
        <f t="shared" si="79"/>
        <v>445</v>
      </c>
      <c r="AT37" s="671">
        <v>0</v>
      </c>
      <c r="AU37" s="989">
        <v>485</v>
      </c>
      <c r="AV37" s="990">
        <v>1426</v>
      </c>
      <c r="AW37" s="753">
        <f t="shared" si="44"/>
        <v>194</v>
      </c>
      <c r="AX37" s="689">
        <f t="shared" si="80"/>
        <v>0</v>
      </c>
      <c r="AY37" s="714">
        <f t="shared" si="81"/>
        <v>816</v>
      </c>
      <c r="AZ37" s="671">
        <v>0</v>
      </c>
      <c r="BA37" s="689">
        <v>485</v>
      </c>
      <c r="BB37" s="714">
        <v>2242</v>
      </c>
      <c r="BC37" s="753">
        <f t="shared" si="46"/>
        <v>362.3</v>
      </c>
      <c r="BD37" s="689">
        <f t="shared" si="82"/>
        <v>0</v>
      </c>
      <c r="BE37" s="714">
        <f t="shared" si="82"/>
        <v>982</v>
      </c>
      <c r="BF37" s="671">
        <v>0</v>
      </c>
      <c r="BG37" s="689">
        <v>485</v>
      </c>
      <c r="BH37" s="714">
        <v>3224</v>
      </c>
      <c r="BI37" s="753">
        <f t="shared" si="48"/>
        <v>564.70000000000005</v>
      </c>
      <c r="BJ37" s="689">
        <f t="shared" si="83"/>
        <v>0</v>
      </c>
      <c r="BK37" s="714">
        <f t="shared" si="83"/>
        <v>1275</v>
      </c>
      <c r="BL37" s="671">
        <v>0</v>
      </c>
      <c r="BM37" s="689">
        <v>485</v>
      </c>
      <c r="BN37" s="714">
        <v>4499</v>
      </c>
      <c r="BO37" s="753">
        <f t="shared" si="50"/>
        <v>827.6</v>
      </c>
      <c r="BP37" s="689">
        <f t="shared" si="84"/>
        <v>0</v>
      </c>
      <c r="BQ37" s="714">
        <f t="shared" si="84"/>
        <v>586</v>
      </c>
      <c r="BR37" s="671">
        <v>0</v>
      </c>
      <c r="BS37" s="689">
        <v>485</v>
      </c>
      <c r="BT37" s="714">
        <v>5085</v>
      </c>
      <c r="BU37" s="753">
        <f t="shared" si="51"/>
        <v>948.5</v>
      </c>
    </row>
    <row r="38" spans="1:73">
      <c r="A38" s="4"/>
      <c r="B38" s="43" t="s">
        <v>339</v>
      </c>
      <c r="C38" s="98">
        <v>0</v>
      </c>
      <c r="D38" s="98">
        <v>0</v>
      </c>
      <c r="E38" s="98">
        <v>0</v>
      </c>
      <c r="F38" s="98">
        <v>649.22500000000002</v>
      </c>
      <c r="G38" s="98">
        <v>0</v>
      </c>
      <c r="H38" s="98">
        <v>0</v>
      </c>
      <c r="I38" s="98">
        <v>21</v>
      </c>
      <c r="J38" s="386">
        <v>385</v>
      </c>
      <c r="K38" s="253">
        <v>0</v>
      </c>
      <c r="L38" s="386">
        <v>0</v>
      </c>
      <c r="M38" s="212">
        <v>0</v>
      </c>
      <c r="N38" s="253">
        <f t="shared" si="71"/>
        <v>385</v>
      </c>
      <c r="O38" s="386">
        <f t="shared" si="71"/>
        <v>0</v>
      </c>
      <c r="P38" s="255">
        <f>ROUND(((O38/N38-1)*100), 1)</f>
        <v>-100</v>
      </c>
      <c r="Q38" s="253">
        <v>385</v>
      </c>
      <c r="R38" s="386">
        <v>0</v>
      </c>
      <c r="S38" s="255">
        <f>ROUND(((R38/Q38-1)*100), 1)</f>
        <v>-100</v>
      </c>
      <c r="T38" s="253">
        <f t="shared" si="72"/>
        <v>0</v>
      </c>
      <c r="U38" s="386">
        <f t="shared" si="73"/>
        <v>196</v>
      </c>
      <c r="V38" s="212">
        <v>0</v>
      </c>
      <c r="W38" s="253">
        <v>385</v>
      </c>
      <c r="X38" s="386">
        <v>196</v>
      </c>
      <c r="Y38" s="255">
        <f>ROUND(((X38/W38-1)*100), 1)</f>
        <v>-49.1</v>
      </c>
      <c r="Z38" s="253">
        <f t="shared" si="74"/>
        <v>0</v>
      </c>
      <c r="AA38" s="386">
        <f t="shared" si="75"/>
        <v>145</v>
      </c>
      <c r="AB38" s="524">
        <v>0</v>
      </c>
      <c r="AC38" s="253">
        <v>385</v>
      </c>
      <c r="AD38" s="386">
        <v>341</v>
      </c>
      <c r="AE38" s="255">
        <f>ROUND(((AD38/AC38-1)*100), 1)</f>
        <v>-11.4</v>
      </c>
      <c r="AF38" s="253">
        <f t="shared" si="76"/>
        <v>0</v>
      </c>
      <c r="AG38" s="386">
        <f t="shared" si="76"/>
        <v>151</v>
      </c>
      <c r="AH38" s="524">
        <v>0</v>
      </c>
      <c r="AI38" s="253">
        <v>385</v>
      </c>
      <c r="AJ38" s="386">
        <v>492</v>
      </c>
      <c r="AK38" s="255">
        <f>ROUND(((AJ38/AI38-1)*100), 1)</f>
        <v>27.8</v>
      </c>
      <c r="AL38" s="677">
        <f t="shared" si="77"/>
        <v>0</v>
      </c>
      <c r="AM38" s="682">
        <f t="shared" si="78"/>
        <v>151</v>
      </c>
      <c r="AN38" s="671">
        <v>0</v>
      </c>
      <c r="AO38" s="689">
        <v>385</v>
      </c>
      <c r="AP38" s="714">
        <v>643</v>
      </c>
      <c r="AQ38" s="679">
        <f>ROUND(((AP38/AO38-1)*100), 1)</f>
        <v>67</v>
      </c>
      <c r="AR38" s="689">
        <f t="shared" si="79"/>
        <v>0</v>
      </c>
      <c r="AS38" s="714">
        <f t="shared" si="79"/>
        <v>193</v>
      </c>
      <c r="AT38" s="671">
        <v>0</v>
      </c>
      <c r="AU38" s="989">
        <v>385</v>
      </c>
      <c r="AV38" s="990">
        <v>836</v>
      </c>
      <c r="AW38" s="679">
        <f t="shared" si="44"/>
        <v>117.1</v>
      </c>
      <c r="AX38" s="689">
        <f t="shared" si="80"/>
        <v>0</v>
      </c>
      <c r="AY38" s="714">
        <f t="shared" si="81"/>
        <v>50</v>
      </c>
      <c r="AZ38" s="671">
        <v>0</v>
      </c>
      <c r="BA38" s="689">
        <v>385</v>
      </c>
      <c r="BB38" s="714">
        <v>886</v>
      </c>
      <c r="BC38" s="679">
        <f t="shared" si="46"/>
        <v>130.1</v>
      </c>
      <c r="BD38" s="689">
        <f t="shared" si="82"/>
        <v>0</v>
      </c>
      <c r="BE38" s="714">
        <f t="shared" si="82"/>
        <v>501</v>
      </c>
      <c r="BF38" s="671">
        <v>0</v>
      </c>
      <c r="BG38" s="689">
        <v>385</v>
      </c>
      <c r="BH38" s="714">
        <v>1387</v>
      </c>
      <c r="BI38" s="679">
        <f t="shared" si="48"/>
        <v>260.3</v>
      </c>
      <c r="BJ38" s="689">
        <f t="shared" si="83"/>
        <v>0</v>
      </c>
      <c r="BK38" s="714">
        <f t="shared" si="83"/>
        <v>287</v>
      </c>
      <c r="BL38" s="671">
        <v>0</v>
      </c>
      <c r="BM38" s="689">
        <v>385</v>
      </c>
      <c r="BN38" s="714">
        <v>1674</v>
      </c>
      <c r="BO38" s="679">
        <f t="shared" si="50"/>
        <v>334.8</v>
      </c>
      <c r="BP38" s="689">
        <f t="shared" si="84"/>
        <v>0</v>
      </c>
      <c r="BQ38" s="714">
        <f t="shared" si="84"/>
        <v>0</v>
      </c>
      <c r="BR38" s="671">
        <v>0</v>
      </c>
      <c r="BS38" s="689">
        <v>385</v>
      </c>
      <c r="BT38" s="714">
        <v>1674</v>
      </c>
      <c r="BU38" s="679">
        <f t="shared" si="51"/>
        <v>334.8</v>
      </c>
    </row>
    <row r="39" spans="1:73">
      <c r="A39" s="4"/>
      <c r="B39" s="43" t="s">
        <v>51</v>
      </c>
      <c r="C39" s="98">
        <v>5286</v>
      </c>
      <c r="D39" s="98">
        <v>3596</v>
      </c>
      <c r="E39" s="98">
        <v>2433</v>
      </c>
      <c r="F39" s="98">
        <v>2824</v>
      </c>
      <c r="G39" s="98">
        <v>1022</v>
      </c>
      <c r="H39" s="98">
        <v>199</v>
      </c>
      <c r="I39" s="98">
        <v>0</v>
      </c>
      <c r="J39" s="386">
        <v>64</v>
      </c>
      <c r="K39" s="253">
        <v>0</v>
      </c>
      <c r="L39" s="386">
        <v>0</v>
      </c>
      <c r="M39" s="212">
        <v>0</v>
      </c>
      <c r="N39" s="253">
        <f t="shared" si="71"/>
        <v>0</v>
      </c>
      <c r="O39" s="386">
        <f t="shared" si="71"/>
        <v>0</v>
      </c>
      <c r="P39" s="212">
        <v>0</v>
      </c>
      <c r="Q39" s="253">
        <v>0</v>
      </c>
      <c r="R39" s="386">
        <v>0</v>
      </c>
      <c r="S39" s="212">
        <v>0</v>
      </c>
      <c r="T39" s="253">
        <f t="shared" si="72"/>
        <v>0</v>
      </c>
      <c r="U39" s="386">
        <f t="shared" si="73"/>
        <v>132</v>
      </c>
      <c r="V39" s="212">
        <v>0</v>
      </c>
      <c r="W39" s="253">
        <v>0</v>
      </c>
      <c r="X39" s="386">
        <v>132</v>
      </c>
      <c r="Y39" s="212">
        <v>0</v>
      </c>
      <c r="Z39" s="253">
        <f t="shared" si="74"/>
        <v>2</v>
      </c>
      <c r="AA39" s="386">
        <f t="shared" si="75"/>
        <v>0</v>
      </c>
      <c r="AB39" s="255">
        <f t="shared" ref="AB39:AB40" si="97">ROUND(((AA39/Z39-1)*100), 1)</f>
        <v>-100</v>
      </c>
      <c r="AC39" s="253">
        <v>2</v>
      </c>
      <c r="AD39" s="386">
        <v>132</v>
      </c>
      <c r="AE39" s="255">
        <f t="shared" ref="AE39:AE40" si="98">ROUND(((AD39/AC39-1)*100), 1)</f>
        <v>6500</v>
      </c>
      <c r="AF39" s="253">
        <f t="shared" si="76"/>
        <v>0</v>
      </c>
      <c r="AG39" s="386">
        <f t="shared" si="76"/>
        <v>0</v>
      </c>
      <c r="AH39" s="524">
        <v>0</v>
      </c>
      <c r="AI39" s="253">
        <v>2</v>
      </c>
      <c r="AJ39" s="386">
        <v>132</v>
      </c>
      <c r="AK39" s="255">
        <f t="shared" ref="AK39:AK40" si="99">ROUND(((AJ39/AI39-1)*100), 1)</f>
        <v>6500</v>
      </c>
      <c r="AL39" s="677">
        <f t="shared" si="77"/>
        <v>62</v>
      </c>
      <c r="AM39" s="682">
        <f t="shared" si="78"/>
        <v>0</v>
      </c>
      <c r="AN39" s="679">
        <f t="shared" ref="AN39" si="100">ROUND(((AM39/AL39-1)*100), 1)</f>
        <v>-100</v>
      </c>
      <c r="AO39" s="689">
        <v>64</v>
      </c>
      <c r="AP39" s="714">
        <v>132</v>
      </c>
      <c r="AQ39" s="679">
        <f t="shared" ref="AQ39:AQ40" si="101">ROUND(((AP39/AO39-1)*100), 1)</f>
        <v>106.3</v>
      </c>
      <c r="AR39" s="689">
        <f t="shared" si="79"/>
        <v>0</v>
      </c>
      <c r="AS39" s="714">
        <f t="shared" si="79"/>
        <v>0</v>
      </c>
      <c r="AT39" s="671">
        <v>0</v>
      </c>
      <c r="AU39" s="989">
        <v>64</v>
      </c>
      <c r="AV39" s="990">
        <v>132</v>
      </c>
      <c r="AW39" s="679">
        <f t="shared" si="44"/>
        <v>106.3</v>
      </c>
      <c r="AX39" s="689">
        <f t="shared" si="80"/>
        <v>0</v>
      </c>
      <c r="AY39" s="714">
        <f t="shared" si="81"/>
        <v>0</v>
      </c>
      <c r="AZ39" s="671">
        <v>0</v>
      </c>
      <c r="BA39" s="689">
        <v>64</v>
      </c>
      <c r="BB39" s="714">
        <v>132</v>
      </c>
      <c r="BC39" s="679">
        <f t="shared" si="46"/>
        <v>106.3</v>
      </c>
      <c r="BD39" s="689">
        <f t="shared" si="82"/>
        <v>0</v>
      </c>
      <c r="BE39" s="714">
        <f t="shared" si="82"/>
        <v>0</v>
      </c>
      <c r="BF39" s="671">
        <v>0</v>
      </c>
      <c r="BG39" s="689">
        <v>64</v>
      </c>
      <c r="BH39" s="714">
        <v>132</v>
      </c>
      <c r="BI39" s="679">
        <f t="shared" si="48"/>
        <v>106.3</v>
      </c>
      <c r="BJ39" s="689">
        <f t="shared" si="83"/>
        <v>0</v>
      </c>
      <c r="BK39" s="714">
        <f t="shared" si="83"/>
        <v>0</v>
      </c>
      <c r="BL39" s="671">
        <v>0</v>
      </c>
      <c r="BM39" s="689">
        <v>64</v>
      </c>
      <c r="BN39" s="714">
        <v>132</v>
      </c>
      <c r="BO39" s="679">
        <f t="shared" si="50"/>
        <v>106.3</v>
      </c>
      <c r="BP39" s="689">
        <f t="shared" si="84"/>
        <v>0</v>
      </c>
      <c r="BQ39" s="714">
        <f t="shared" si="84"/>
        <v>0</v>
      </c>
      <c r="BR39" s="671">
        <v>0</v>
      </c>
      <c r="BS39" s="689">
        <v>64</v>
      </c>
      <c r="BT39" s="714">
        <v>132</v>
      </c>
      <c r="BU39" s="679">
        <f t="shared" si="51"/>
        <v>106.3</v>
      </c>
    </row>
    <row r="40" spans="1:73">
      <c r="A40" s="4"/>
      <c r="B40" s="43" t="s">
        <v>158</v>
      </c>
      <c r="C40" s="98">
        <v>34</v>
      </c>
      <c r="D40" s="98">
        <v>102</v>
      </c>
      <c r="E40" s="98">
        <v>12</v>
      </c>
      <c r="F40" s="98">
        <v>0</v>
      </c>
      <c r="G40" s="98">
        <v>20</v>
      </c>
      <c r="H40" s="98">
        <v>30</v>
      </c>
      <c r="I40" s="98">
        <v>120</v>
      </c>
      <c r="J40" s="386">
        <v>23</v>
      </c>
      <c r="K40" s="253">
        <v>0</v>
      </c>
      <c r="L40" s="386">
        <v>34</v>
      </c>
      <c r="M40" s="212">
        <v>0</v>
      </c>
      <c r="N40" s="253">
        <f t="shared" si="71"/>
        <v>0</v>
      </c>
      <c r="O40" s="386">
        <f t="shared" si="71"/>
        <v>0</v>
      </c>
      <c r="P40" s="212">
        <v>0</v>
      </c>
      <c r="Q40" s="253">
        <v>0</v>
      </c>
      <c r="R40" s="386">
        <v>34</v>
      </c>
      <c r="S40" s="212">
        <v>0</v>
      </c>
      <c r="T40" s="253">
        <f t="shared" si="72"/>
        <v>0</v>
      </c>
      <c r="U40" s="386">
        <f t="shared" si="73"/>
        <v>0</v>
      </c>
      <c r="V40" s="212">
        <v>0</v>
      </c>
      <c r="W40" s="253">
        <v>0</v>
      </c>
      <c r="X40" s="386">
        <v>34</v>
      </c>
      <c r="Y40" s="212">
        <v>0</v>
      </c>
      <c r="Z40" s="253">
        <f t="shared" si="74"/>
        <v>23</v>
      </c>
      <c r="AA40" s="386">
        <f t="shared" si="75"/>
        <v>0</v>
      </c>
      <c r="AB40" s="255">
        <f t="shared" si="97"/>
        <v>-100</v>
      </c>
      <c r="AC40" s="253">
        <v>23</v>
      </c>
      <c r="AD40" s="386">
        <v>34</v>
      </c>
      <c r="AE40" s="255">
        <f t="shared" si="98"/>
        <v>47.8</v>
      </c>
      <c r="AF40" s="253">
        <f t="shared" si="76"/>
        <v>0</v>
      </c>
      <c r="AG40" s="386">
        <f t="shared" si="76"/>
        <v>0</v>
      </c>
      <c r="AH40" s="524">
        <v>0</v>
      </c>
      <c r="AI40" s="253">
        <v>23</v>
      </c>
      <c r="AJ40" s="386">
        <v>34</v>
      </c>
      <c r="AK40" s="255">
        <f t="shared" si="99"/>
        <v>47.8</v>
      </c>
      <c r="AL40" s="677">
        <f t="shared" si="77"/>
        <v>0</v>
      </c>
      <c r="AM40" s="682">
        <f t="shared" si="78"/>
        <v>0</v>
      </c>
      <c r="AN40" s="671">
        <v>0</v>
      </c>
      <c r="AO40" s="689">
        <v>23</v>
      </c>
      <c r="AP40" s="714">
        <v>34</v>
      </c>
      <c r="AQ40" s="679">
        <f t="shared" si="101"/>
        <v>47.8</v>
      </c>
      <c r="AR40" s="689">
        <f t="shared" si="79"/>
        <v>0</v>
      </c>
      <c r="AS40" s="714">
        <f t="shared" si="79"/>
        <v>0</v>
      </c>
      <c r="AT40" s="671">
        <v>0</v>
      </c>
      <c r="AU40" s="989">
        <v>23</v>
      </c>
      <c r="AV40" s="990">
        <v>34</v>
      </c>
      <c r="AW40" s="679">
        <f t="shared" si="44"/>
        <v>47.8</v>
      </c>
      <c r="AX40" s="689">
        <f t="shared" si="80"/>
        <v>0</v>
      </c>
      <c r="AY40" s="714">
        <f t="shared" si="81"/>
        <v>0</v>
      </c>
      <c r="AZ40" s="671">
        <v>0</v>
      </c>
      <c r="BA40" s="689">
        <v>23</v>
      </c>
      <c r="BB40" s="714">
        <v>34</v>
      </c>
      <c r="BC40" s="679">
        <f t="shared" si="46"/>
        <v>47.8</v>
      </c>
      <c r="BD40" s="689">
        <f t="shared" si="82"/>
        <v>0</v>
      </c>
      <c r="BE40" s="714">
        <f t="shared" si="82"/>
        <v>93</v>
      </c>
      <c r="BF40" s="671">
        <v>0</v>
      </c>
      <c r="BG40" s="689">
        <v>23</v>
      </c>
      <c r="BH40" s="714">
        <v>127</v>
      </c>
      <c r="BI40" s="679">
        <f t="shared" si="48"/>
        <v>452.2</v>
      </c>
      <c r="BJ40" s="689">
        <f t="shared" si="83"/>
        <v>0</v>
      </c>
      <c r="BK40" s="714">
        <f t="shared" si="83"/>
        <v>0</v>
      </c>
      <c r="BL40" s="671">
        <v>0</v>
      </c>
      <c r="BM40" s="689">
        <v>23</v>
      </c>
      <c r="BN40" s="714">
        <v>127</v>
      </c>
      <c r="BO40" s="679">
        <f t="shared" si="50"/>
        <v>452.2</v>
      </c>
      <c r="BP40" s="689">
        <f t="shared" si="84"/>
        <v>0</v>
      </c>
      <c r="BQ40" s="714">
        <f t="shared" si="84"/>
        <v>0</v>
      </c>
      <c r="BR40" s="671">
        <v>0</v>
      </c>
      <c r="BS40" s="689">
        <v>23</v>
      </c>
      <c r="BT40" s="714">
        <v>127</v>
      </c>
      <c r="BU40" s="679">
        <f t="shared" si="51"/>
        <v>452.2</v>
      </c>
    </row>
    <row r="41" spans="1:73" s="291" customFormat="1">
      <c r="A41" s="372"/>
      <c r="B41" s="43" t="s">
        <v>178</v>
      </c>
      <c r="C41" s="98">
        <v>32909</v>
      </c>
      <c r="D41" s="98">
        <v>5498</v>
      </c>
      <c r="E41" s="98">
        <v>5312</v>
      </c>
      <c r="F41" s="98">
        <v>4970</v>
      </c>
      <c r="G41" s="98">
        <v>7963</v>
      </c>
      <c r="H41" s="98">
        <v>11884</v>
      </c>
      <c r="I41" s="98">
        <v>4147</v>
      </c>
      <c r="J41" s="386">
        <v>0</v>
      </c>
      <c r="K41" s="253">
        <v>0</v>
      </c>
      <c r="L41" s="386">
        <v>0</v>
      </c>
      <c r="M41" s="212">
        <v>0</v>
      </c>
      <c r="N41" s="253">
        <f t="shared" si="71"/>
        <v>0</v>
      </c>
      <c r="O41" s="386">
        <f t="shared" si="71"/>
        <v>3</v>
      </c>
      <c r="P41" s="212">
        <v>0</v>
      </c>
      <c r="Q41" s="253">
        <v>0</v>
      </c>
      <c r="R41" s="386">
        <v>3</v>
      </c>
      <c r="S41" s="212">
        <v>0</v>
      </c>
      <c r="T41" s="253">
        <f t="shared" si="72"/>
        <v>0</v>
      </c>
      <c r="U41" s="386">
        <f t="shared" si="73"/>
        <v>0</v>
      </c>
      <c r="V41" s="212">
        <v>0</v>
      </c>
      <c r="W41" s="253">
        <v>0</v>
      </c>
      <c r="X41" s="386">
        <v>3</v>
      </c>
      <c r="Y41" s="212">
        <v>0</v>
      </c>
      <c r="Z41" s="253">
        <f t="shared" si="74"/>
        <v>0</v>
      </c>
      <c r="AA41" s="386">
        <f t="shared" si="75"/>
        <v>0</v>
      </c>
      <c r="AB41" s="524">
        <v>0</v>
      </c>
      <c r="AC41" s="253">
        <v>0</v>
      </c>
      <c r="AD41" s="386">
        <v>3</v>
      </c>
      <c r="AE41" s="524">
        <v>0</v>
      </c>
      <c r="AF41" s="253">
        <f t="shared" si="76"/>
        <v>0</v>
      </c>
      <c r="AG41" s="386">
        <f t="shared" si="76"/>
        <v>0</v>
      </c>
      <c r="AH41" s="524">
        <v>0</v>
      </c>
      <c r="AI41" s="253">
        <v>0</v>
      </c>
      <c r="AJ41" s="386">
        <v>3</v>
      </c>
      <c r="AK41" s="524">
        <v>0</v>
      </c>
      <c r="AL41" s="677">
        <f t="shared" si="77"/>
        <v>0</v>
      </c>
      <c r="AM41" s="682">
        <f t="shared" si="78"/>
        <v>0</v>
      </c>
      <c r="AN41" s="671">
        <v>0</v>
      </c>
      <c r="AO41" s="689">
        <v>0</v>
      </c>
      <c r="AP41" s="714">
        <v>3</v>
      </c>
      <c r="AQ41" s="671">
        <v>0</v>
      </c>
      <c r="AR41" s="689">
        <f t="shared" si="79"/>
        <v>0</v>
      </c>
      <c r="AS41" s="714">
        <f t="shared" si="79"/>
        <v>0</v>
      </c>
      <c r="AT41" s="671">
        <v>0</v>
      </c>
      <c r="AU41" s="989">
        <v>0</v>
      </c>
      <c r="AV41" s="990">
        <v>3</v>
      </c>
      <c r="AW41" s="671">
        <v>0</v>
      </c>
      <c r="AX41" s="689">
        <f t="shared" si="80"/>
        <v>0</v>
      </c>
      <c r="AY41" s="714">
        <f t="shared" si="81"/>
        <v>0</v>
      </c>
      <c r="AZ41" s="671">
        <v>0</v>
      </c>
      <c r="BA41" s="689">
        <v>0</v>
      </c>
      <c r="BB41" s="714">
        <v>3</v>
      </c>
      <c r="BC41" s="671">
        <v>0</v>
      </c>
      <c r="BD41" s="689">
        <f t="shared" si="82"/>
        <v>0</v>
      </c>
      <c r="BE41" s="714">
        <f t="shared" si="82"/>
        <v>0</v>
      </c>
      <c r="BF41" s="671">
        <v>0</v>
      </c>
      <c r="BG41" s="689">
        <v>0</v>
      </c>
      <c r="BH41" s="714">
        <v>3</v>
      </c>
      <c r="BI41" s="671">
        <v>0</v>
      </c>
      <c r="BJ41" s="689">
        <f t="shared" si="83"/>
        <v>0</v>
      </c>
      <c r="BK41" s="714">
        <f t="shared" si="83"/>
        <v>0</v>
      </c>
      <c r="BL41" s="671">
        <v>0</v>
      </c>
      <c r="BM41" s="689">
        <v>0</v>
      </c>
      <c r="BN41" s="714">
        <v>3</v>
      </c>
      <c r="BO41" s="671">
        <v>0</v>
      </c>
      <c r="BP41" s="689">
        <f t="shared" si="84"/>
        <v>0</v>
      </c>
      <c r="BQ41" s="714">
        <f t="shared" si="84"/>
        <v>0</v>
      </c>
      <c r="BR41" s="671">
        <v>0</v>
      </c>
      <c r="BS41" s="689">
        <v>0</v>
      </c>
      <c r="BT41" s="714">
        <v>3</v>
      </c>
      <c r="BU41" s="671">
        <v>0</v>
      </c>
    </row>
    <row r="42" spans="1:73" s="291" customFormat="1">
      <c r="A42" s="381"/>
      <c r="B42" s="43" t="s">
        <v>64</v>
      </c>
      <c r="C42" s="98">
        <v>544</v>
      </c>
      <c r="D42" s="98">
        <v>0</v>
      </c>
      <c r="E42" s="98">
        <v>3234</v>
      </c>
      <c r="F42" s="98">
        <v>186</v>
      </c>
      <c r="G42" s="98">
        <v>493</v>
      </c>
      <c r="H42" s="98">
        <v>0</v>
      </c>
      <c r="I42" s="98">
        <v>568</v>
      </c>
      <c r="J42" s="386">
        <v>0</v>
      </c>
      <c r="K42" s="253">
        <v>0</v>
      </c>
      <c r="L42" s="386">
        <v>0</v>
      </c>
      <c r="M42" s="212">
        <v>0</v>
      </c>
      <c r="N42" s="253">
        <f t="shared" si="71"/>
        <v>0</v>
      </c>
      <c r="O42" s="386">
        <f t="shared" si="71"/>
        <v>0</v>
      </c>
      <c r="P42" s="212">
        <v>0</v>
      </c>
      <c r="Q42" s="253">
        <v>0</v>
      </c>
      <c r="R42" s="386">
        <v>0</v>
      </c>
      <c r="S42" s="212">
        <v>0</v>
      </c>
      <c r="T42" s="253">
        <f t="shared" si="72"/>
        <v>0</v>
      </c>
      <c r="U42" s="386">
        <f t="shared" si="73"/>
        <v>0</v>
      </c>
      <c r="V42" s="212">
        <v>0</v>
      </c>
      <c r="W42" s="253">
        <v>0</v>
      </c>
      <c r="X42" s="386">
        <v>0</v>
      </c>
      <c r="Y42" s="212">
        <v>0</v>
      </c>
      <c r="Z42" s="253">
        <f t="shared" si="74"/>
        <v>0</v>
      </c>
      <c r="AA42" s="386">
        <f t="shared" si="75"/>
        <v>0</v>
      </c>
      <c r="AB42" s="524">
        <v>0</v>
      </c>
      <c r="AC42" s="253">
        <v>0</v>
      </c>
      <c r="AD42" s="386">
        <v>0</v>
      </c>
      <c r="AE42" s="524">
        <v>0</v>
      </c>
      <c r="AF42" s="253">
        <f t="shared" si="76"/>
        <v>0</v>
      </c>
      <c r="AG42" s="386">
        <f t="shared" si="76"/>
        <v>0</v>
      </c>
      <c r="AH42" s="524">
        <v>0</v>
      </c>
      <c r="AI42" s="253">
        <v>0</v>
      </c>
      <c r="AJ42" s="386">
        <v>0</v>
      </c>
      <c r="AK42" s="524">
        <v>0</v>
      </c>
      <c r="AL42" s="677">
        <f t="shared" si="77"/>
        <v>0</v>
      </c>
      <c r="AM42" s="682">
        <f t="shared" si="78"/>
        <v>0</v>
      </c>
      <c r="AN42" s="671">
        <v>0</v>
      </c>
      <c r="AO42" s="689">
        <v>0</v>
      </c>
      <c r="AP42" s="714">
        <v>0</v>
      </c>
      <c r="AQ42" s="671">
        <v>0</v>
      </c>
      <c r="AR42" s="689">
        <f t="shared" si="79"/>
        <v>0</v>
      </c>
      <c r="AS42" s="714">
        <f t="shared" si="79"/>
        <v>0</v>
      </c>
      <c r="AT42" s="671">
        <v>0</v>
      </c>
      <c r="AU42" s="989">
        <v>0</v>
      </c>
      <c r="AV42" s="990">
        <v>0</v>
      </c>
      <c r="AW42" s="671">
        <v>0</v>
      </c>
      <c r="AX42" s="689">
        <f t="shared" si="80"/>
        <v>0</v>
      </c>
      <c r="AY42" s="714">
        <f t="shared" si="81"/>
        <v>0</v>
      </c>
      <c r="AZ42" s="671">
        <v>0</v>
      </c>
      <c r="BA42" s="689">
        <v>0</v>
      </c>
      <c r="BB42" s="714">
        <v>0</v>
      </c>
      <c r="BC42" s="671">
        <v>0</v>
      </c>
      <c r="BD42" s="689">
        <f t="shared" si="82"/>
        <v>0</v>
      </c>
      <c r="BE42" s="714">
        <f t="shared" si="82"/>
        <v>0</v>
      </c>
      <c r="BF42" s="671">
        <v>0</v>
      </c>
      <c r="BG42" s="689">
        <v>0</v>
      </c>
      <c r="BH42" s="714">
        <v>0</v>
      </c>
      <c r="BI42" s="671">
        <v>0</v>
      </c>
      <c r="BJ42" s="689">
        <f t="shared" si="83"/>
        <v>0</v>
      </c>
      <c r="BK42" s="714">
        <f t="shared" si="83"/>
        <v>0</v>
      </c>
      <c r="BL42" s="671">
        <v>0</v>
      </c>
      <c r="BM42" s="689">
        <v>0</v>
      </c>
      <c r="BN42" s="714">
        <v>0</v>
      </c>
      <c r="BO42" s="671">
        <v>0</v>
      </c>
      <c r="BP42" s="689">
        <f t="shared" si="84"/>
        <v>0</v>
      </c>
      <c r="BQ42" s="714">
        <f t="shared" si="84"/>
        <v>0</v>
      </c>
      <c r="BR42" s="671">
        <v>0</v>
      </c>
      <c r="BS42" s="689">
        <v>0</v>
      </c>
      <c r="BT42" s="714">
        <v>0</v>
      </c>
      <c r="BU42" s="671">
        <v>0</v>
      </c>
    </row>
    <row r="43" spans="1:73">
      <c r="A43" s="4"/>
      <c r="B43" s="43" t="s">
        <v>177</v>
      </c>
      <c r="C43" s="98">
        <v>0</v>
      </c>
      <c r="D43" s="98">
        <v>0</v>
      </c>
      <c r="E43" s="98">
        <v>0</v>
      </c>
      <c r="F43" s="98">
        <v>0</v>
      </c>
      <c r="G43" s="98">
        <v>0</v>
      </c>
      <c r="H43" s="98">
        <v>200</v>
      </c>
      <c r="I43" s="98">
        <v>330</v>
      </c>
      <c r="J43" s="386">
        <v>0</v>
      </c>
      <c r="K43" s="253">
        <v>0</v>
      </c>
      <c r="L43" s="386">
        <v>0</v>
      </c>
      <c r="M43" s="212">
        <v>0</v>
      </c>
      <c r="N43" s="253">
        <f t="shared" si="71"/>
        <v>0</v>
      </c>
      <c r="O43" s="386">
        <f t="shared" si="71"/>
        <v>0</v>
      </c>
      <c r="P43" s="212">
        <v>0</v>
      </c>
      <c r="Q43" s="253">
        <v>0</v>
      </c>
      <c r="R43" s="386">
        <v>0</v>
      </c>
      <c r="S43" s="212">
        <v>0</v>
      </c>
      <c r="T43" s="253">
        <f t="shared" si="72"/>
        <v>0</v>
      </c>
      <c r="U43" s="386">
        <f t="shared" si="73"/>
        <v>0</v>
      </c>
      <c r="V43" s="212">
        <v>0</v>
      </c>
      <c r="W43" s="253">
        <v>0</v>
      </c>
      <c r="X43" s="386">
        <v>0</v>
      </c>
      <c r="Y43" s="212">
        <v>0</v>
      </c>
      <c r="Z43" s="253">
        <f t="shared" si="74"/>
        <v>0</v>
      </c>
      <c r="AA43" s="386">
        <f t="shared" si="75"/>
        <v>0</v>
      </c>
      <c r="AB43" s="524">
        <v>0</v>
      </c>
      <c r="AC43" s="253">
        <v>0</v>
      </c>
      <c r="AD43" s="386">
        <v>0</v>
      </c>
      <c r="AE43" s="524">
        <v>0</v>
      </c>
      <c r="AF43" s="253">
        <f t="shared" si="76"/>
        <v>0</v>
      </c>
      <c r="AG43" s="386">
        <f t="shared" si="76"/>
        <v>0</v>
      </c>
      <c r="AH43" s="524">
        <v>0</v>
      </c>
      <c r="AI43" s="253">
        <v>0</v>
      </c>
      <c r="AJ43" s="386">
        <v>0</v>
      </c>
      <c r="AK43" s="524">
        <v>0</v>
      </c>
      <c r="AL43" s="677">
        <f t="shared" si="77"/>
        <v>0</v>
      </c>
      <c r="AM43" s="682">
        <f t="shared" si="78"/>
        <v>0</v>
      </c>
      <c r="AN43" s="671">
        <v>0</v>
      </c>
      <c r="AO43" s="689">
        <v>0</v>
      </c>
      <c r="AP43" s="714">
        <v>0</v>
      </c>
      <c r="AQ43" s="671">
        <v>0</v>
      </c>
      <c r="AR43" s="689">
        <f t="shared" si="79"/>
        <v>0</v>
      </c>
      <c r="AS43" s="714">
        <f t="shared" si="79"/>
        <v>0</v>
      </c>
      <c r="AT43" s="671">
        <v>0</v>
      </c>
      <c r="AU43" s="989">
        <v>0</v>
      </c>
      <c r="AV43" s="990">
        <v>0</v>
      </c>
      <c r="AW43" s="671">
        <v>0</v>
      </c>
      <c r="AX43" s="689">
        <f t="shared" si="80"/>
        <v>0</v>
      </c>
      <c r="AY43" s="714">
        <f t="shared" si="81"/>
        <v>100</v>
      </c>
      <c r="AZ43" s="671">
        <v>0</v>
      </c>
      <c r="BA43" s="689">
        <v>0</v>
      </c>
      <c r="BB43" s="714">
        <v>100</v>
      </c>
      <c r="BC43" s="671">
        <v>0</v>
      </c>
      <c r="BD43" s="689">
        <f t="shared" si="82"/>
        <v>0</v>
      </c>
      <c r="BE43" s="714">
        <f t="shared" si="82"/>
        <v>0</v>
      </c>
      <c r="BF43" s="671">
        <v>0</v>
      </c>
      <c r="BG43" s="689">
        <v>0</v>
      </c>
      <c r="BH43" s="714">
        <v>100</v>
      </c>
      <c r="BI43" s="671">
        <v>0</v>
      </c>
      <c r="BJ43" s="689">
        <f t="shared" si="83"/>
        <v>0</v>
      </c>
      <c r="BK43" s="714">
        <f t="shared" si="83"/>
        <v>99</v>
      </c>
      <c r="BL43" s="671">
        <v>0</v>
      </c>
      <c r="BM43" s="689">
        <v>0</v>
      </c>
      <c r="BN43" s="714">
        <v>199</v>
      </c>
      <c r="BO43" s="671">
        <v>0</v>
      </c>
      <c r="BP43" s="689">
        <f t="shared" si="84"/>
        <v>0</v>
      </c>
      <c r="BQ43" s="714">
        <f t="shared" si="84"/>
        <v>100</v>
      </c>
      <c r="BR43" s="671">
        <v>0</v>
      </c>
      <c r="BS43" s="689">
        <v>0</v>
      </c>
      <c r="BT43" s="714">
        <v>299</v>
      </c>
      <c r="BU43" s="671">
        <v>0</v>
      </c>
    </row>
    <row r="44" spans="1:73">
      <c r="A44" s="4"/>
      <c r="B44" s="43" t="s">
        <v>61</v>
      </c>
      <c r="C44" s="98">
        <v>355</v>
      </c>
      <c r="D44" s="98">
        <v>0</v>
      </c>
      <c r="E44" s="98">
        <v>299</v>
      </c>
      <c r="F44" s="98">
        <v>752</v>
      </c>
      <c r="G44" s="98">
        <v>0</v>
      </c>
      <c r="H44" s="98">
        <v>261</v>
      </c>
      <c r="I44" s="98">
        <v>0</v>
      </c>
      <c r="J44" s="386">
        <v>0</v>
      </c>
      <c r="K44" s="253">
        <v>0</v>
      </c>
      <c r="L44" s="386">
        <v>0</v>
      </c>
      <c r="M44" s="179">
        <v>0</v>
      </c>
      <c r="N44" s="253">
        <f t="shared" si="71"/>
        <v>0</v>
      </c>
      <c r="O44" s="386">
        <f t="shared" si="71"/>
        <v>0</v>
      </c>
      <c r="P44" s="179">
        <v>0</v>
      </c>
      <c r="Q44" s="253">
        <v>0</v>
      </c>
      <c r="R44" s="386">
        <v>0</v>
      </c>
      <c r="S44" s="179">
        <v>0</v>
      </c>
      <c r="T44" s="253">
        <f t="shared" si="72"/>
        <v>0</v>
      </c>
      <c r="U44" s="386">
        <f t="shared" si="73"/>
        <v>0</v>
      </c>
      <c r="V44" s="179">
        <v>0</v>
      </c>
      <c r="W44" s="253">
        <v>0</v>
      </c>
      <c r="X44" s="386">
        <v>0</v>
      </c>
      <c r="Y44" s="179">
        <v>0</v>
      </c>
      <c r="Z44" s="253">
        <f t="shared" si="74"/>
        <v>0</v>
      </c>
      <c r="AA44" s="386">
        <f t="shared" si="75"/>
        <v>0</v>
      </c>
      <c r="AB44" s="523">
        <v>0</v>
      </c>
      <c r="AC44" s="253">
        <v>0</v>
      </c>
      <c r="AD44" s="386">
        <v>0</v>
      </c>
      <c r="AE44" s="523">
        <v>0</v>
      </c>
      <c r="AF44" s="253">
        <f t="shared" si="76"/>
        <v>0</v>
      </c>
      <c r="AG44" s="386">
        <f t="shared" si="76"/>
        <v>0</v>
      </c>
      <c r="AH44" s="523">
        <v>0</v>
      </c>
      <c r="AI44" s="253">
        <v>0</v>
      </c>
      <c r="AJ44" s="386">
        <v>0</v>
      </c>
      <c r="AK44" s="523">
        <v>0</v>
      </c>
      <c r="AL44" s="677">
        <f t="shared" si="77"/>
        <v>0</v>
      </c>
      <c r="AM44" s="682">
        <f t="shared" si="78"/>
        <v>0</v>
      </c>
      <c r="AN44" s="670">
        <v>0</v>
      </c>
      <c r="AO44" s="689">
        <v>0</v>
      </c>
      <c r="AP44" s="714">
        <v>0</v>
      </c>
      <c r="AQ44" s="670">
        <v>0</v>
      </c>
      <c r="AR44" s="689">
        <f t="shared" si="79"/>
        <v>0</v>
      </c>
      <c r="AS44" s="714">
        <f t="shared" si="79"/>
        <v>0</v>
      </c>
      <c r="AT44" s="751">
        <v>0</v>
      </c>
      <c r="AU44" s="989">
        <v>0</v>
      </c>
      <c r="AV44" s="990">
        <v>0</v>
      </c>
      <c r="AW44" s="751">
        <v>0</v>
      </c>
      <c r="AX44" s="689">
        <f t="shared" si="80"/>
        <v>0</v>
      </c>
      <c r="AY44" s="714">
        <f t="shared" si="81"/>
        <v>0</v>
      </c>
      <c r="AZ44" s="751">
        <v>0</v>
      </c>
      <c r="BA44" s="689">
        <v>0</v>
      </c>
      <c r="BB44" s="714">
        <v>0</v>
      </c>
      <c r="BC44" s="751">
        <v>0</v>
      </c>
      <c r="BD44" s="689">
        <f t="shared" si="82"/>
        <v>0</v>
      </c>
      <c r="BE44" s="714">
        <f t="shared" si="82"/>
        <v>0</v>
      </c>
      <c r="BF44" s="751">
        <v>0</v>
      </c>
      <c r="BG44" s="689">
        <v>0</v>
      </c>
      <c r="BH44" s="714">
        <v>0</v>
      </c>
      <c r="BI44" s="751">
        <v>0</v>
      </c>
      <c r="BJ44" s="689">
        <f t="shared" si="83"/>
        <v>0</v>
      </c>
      <c r="BK44" s="714">
        <f t="shared" si="83"/>
        <v>0</v>
      </c>
      <c r="BL44" s="751">
        <v>0</v>
      </c>
      <c r="BM44" s="689">
        <v>0</v>
      </c>
      <c r="BN44" s="714">
        <v>0</v>
      </c>
      <c r="BO44" s="751">
        <v>0</v>
      </c>
      <c r="BP44" s="689">
        <f t="shared" si="84"/>
        <v>0</v>
      </c>
      <c r="BQ44" s="714">
        <f t="shared" si="84"/>
        <v>0</v>
      </c>
      <c r="BR44" s="751">
        <v>0</v>
      </c>
      <c r="BS44" s="689">
        <v>0</v>
      </c>
      <c r="BT44" s="714">
        <v>0</v>
      </c>
      <c r="BU44" s="751">
        <v>0</v>
      </c>
    </row>
    <row r="45" spans="1:73">
      <c r="A45" s="4"/>
      <c r="B45" s="43" t="s">
        <v>66</v>
      </c>
      <c r="C45" s="98">
        <v>0</v>
      </c>
      <c r="D45" s="98">
        <v>0</v>
      </c>
      <c r="E45" s="98">
        <v>0</v>
      </c>
      <c r="F45" s="98">
        <v>10</v>
      </c>
      <c r="G45" s="98">
        <v>300</v>
      </c>
      <c r="H45" s="98">
        <v>220</v>
      </c>
      <c r="I45" s="98">
        <v>0</v>
      </c>
      <c r="J45" s="386">
        <v>0</v>
      </c>
      <c r="K45" s="253">
        <v>0</v>
      </c>
      <c r="L45" s="386">
        <v>0</v>
      </c>
      <c r="M45" s="179">
        <v>0</v>
      </c>
      <c r="N45" s="253">
        <f t="shared" si="71"/>
        <v>0</v>
      </c>
      <c r="O45" s="386">
        <f t="shared" si="71"/>
        <v>0</v>
      </c>
      <c r="P45" s="179">
        <v>0</v>
      </c>
      <c r="Q45" s="253">
        <v>0</v>
      </c>
      <c r="R45" s="386">
        <v>0</v>
      </c>
      <c r="S45" s="179">
        <v>0</v>
      </c>
      <c r="T45" s="253">
        <f t="shared" si="72"/>
        <v>0</v>
      </c>
      <c r="U45" s="386">
        <f t="shared" si="73"/>
        <v>0</v>
      </c>
      <c r="V45" s="179">
        <v>0</v>
      </c>
      <c r="W45" s="253">
        <v>0</v>
      </c>
      <c r="X45" s="386">
        <v>0</v>
      </c>
      <c r="Y45" s="179">
        <v>0</v>
      </c>
      <c r="Z45" s="253">
        <f t="shared" si="74"/>
        <v>0</v>
      </c>
      <c r="AA45" s="386">
        <f t="shared" si="75"/>
        <v>0</v>
      </c>
      <c r="AB45" s="523">
        <v>0</v>
      </c>
      <c r="AC45" s="253">
        <v>0</v>
      </c>
      <c r="AD45" s="386">
        <v>0</v>
      </c>
      <c r="AE45" s="523">
        <v>0</v>
      </c>
      <c r="AF45" s="253">
        <f t="shared" si="76"/>
        <v>0</v>
      </c>
      <c r="AG45" s="386">
        <f t="shared" si="76"/>
        <v>0</v>
      </c>
      <c r="AH45" s="523">
        <v>0</v>
      </c>
      <c r="AI45" s="253">
        <v>0</v>
      </c>
      <c r="AJ45" s="386">
        <v>0</v>
      </c>
      <c r="AK45" s="523">
        <v>0</v>
      </c>
      <c r="AL45" s="677">
        <f t="shared" si="77"/>
        <v>0</v>
      </c>
      <c r="AM45" s="682">
        <f t="shared" si="78"/>
        <v>0</v>
      </c>
      <c r="AN45" s="670">
        <v>0</v>
      </c>
      <c r="AO45" s="689">
        <v>0</v>
      </c>
      <c r="AP45" s="714">
        <v>0</v>
      </c>
      <c r="AQ45" s="670">
        <v>0</v>
      </c>
      <c r="AR45" s="689">
        <f t="shared" si="79"/>
        <v>0</v>
      </c>
      <c r="AS45" s="714">
        <f t="shared" si="79"/>
        <v>0</v>
      </c>
      <c r="AT45" s="751">
        <v>0</v>
      </c>
      <c r="AU45" s="989">
        <v>0</v>
      </c>
      <c r="AV45" s="990">
        <v>0</v>
      </c>
      <c r="AW45" s="751">
        <v>0</v>
      </c>
      <c r="AX45" s="689">
        <f t="shared" si="80"/>
        <v>0</v>
      </c>
      <c r="AY45" s="714">
        <f t="shared" si="81"/>
        <v>0</v>
      </c>
      <c r="AZ45" s="751">
        <v>0</v>
      </c>
      <c r="BA45" s="689">
        <v>0</v>
      </c>
      <c r="BB45" s="714">
        <v>0</v>
      </c>
      <c r="BC45" s="751">
        <v>0</v>
      </c>
      <c r="BD45" s="689">
        <f t="shared" si="82"/>
        <v>0</v>
      </c>
      <c r="BE45" s="714">
        <f t="shared" si="82"/>
        <v>0</v>
      </c>
      <c r="BF45" s="751">
        <v>0</v>
      </c>
      <c r="BG45" s="689">
        <v>0</v>
      </c>
      <c r="BH45" s="714">
        <v>0</v>
      </c>
      <c r="BI45" s="751">
        <v>0</v>
      </c>
      <c r="BJ45" s="689">
        <f t="shared" si="83"/>
        <v>0</v>
      </c>
      <c r="BK45" s="714">
        <f t="shared" si="83"/>
        <v>0</v>
      </c>
      <c r="BL45" s="751">
        <v>0</v>
      </c>
      <c r="BM45" s="689">
        <v>0</v>
      </c>
      <c r="BN45" s="714">
        <v>0</v>
      </c>
      <c r="BO45" s="751">
        <v>0</v>
      </c>
      <c r="BP45" s="689">
        <f t="shared" si="84"/>
        <v>0</v>
      </c>
      <c r="BQ45" s="714">
        <f t="shared" si="84"/>
        <v>0</v>
      </c>
      <c r="BR45" s="751">
        <v>0</v>
      </c>
      <c r="BS45" s="689">
        <v>0</v>
      </c>
      <c r="BT45" s="714">
        <v>0</v>
      </c>
      <c r="BU45" s="751">
        <v>0</v>
      </c>
    </row>
    <row r="46" spans="1:73">
      <c r="A46" s="4"/>
      <c r="B46" s="43" t="s">
        <v>165</v>
      </c>
      <c r="C46" s="98">
        <v>0</v>
      </c>
      <c r="D46" s="98">
        <v>0</v>
      </c>
      <c r="E46" s="98">
        <v>2399</v>
      </c>
      <c r="F46" s="98">
        <v>502</v>
      </c>
      <c r="G46" s="98">
        <v>595</v>
      </c>
      <c r="H46" s="98">
        <v>10</v>
      </c>
      <c r="I46" s="98">
        <v>0</v>
      </c>
      <c r="J46" s="386">
        <v>0</v>
      </c>
      <c r="K46" s="253">
        <v>0</v>
      </c>
      <c r="L46" s="386">
        <v>0</v>
      </c>
      <c r="M46" s="179">
        <v>0</v>
      </c>
      <c r="N46" s="253">
        <f t="shared" si="71"/>
        <v>0</v>
      </c>
      <c r="O46" s="386">
        <f t="shared" si="71"/>
        <v>0</v>
      </c>
      <c r="P46" s="179">
        <v>0</v>
      </c>
      <c r="Q46" s="253">
        <v>0</v>
      </c>
      <c r="R46" s="386">
        <v>0</v>
      </c>
      <c r="S46" s="179">
        <v>0</v>
      </c>
      <c r="T46" s="253">
        <f t="shared" si="72"/>
        <v>0</v>
      </c>
      <c r="U46" s="386">
        <f t="shared" si="73"/>
        <v>0</v>
      </c>
      <c r="V46" s="179">
        <v>0</v>
      </c>
      <c r="W46" s="253">
        <v>0</v>
      </c>
      <c r="X46" s="386">
        <v>0</v>
      </c>
      <c r="Y46" s="179">
        <v>0</v>
      </c>
      <c r="Z46" s="253">
        <f t="shared" si="74"/>
        <v>0</v>
      </c>
      <c r="AA46" s="386">
        <f t="shared" si="75"/>
        <v>0</v>
      </c>
      <c r="AB46" s="523">
        <v>0</v>
      </c>
      <c r="AC46" s="253">
        <v>0</v>
      </c>
      <c r="AD46" s="386">
        <v>0</v>
      </c>
      <c r="AE46" s="523">
        <v>0</v>
      </c>
      <c r="AF46" s="253">
        <f t="shared" si="76"/>
        <v>0</v>
      </c>
      <c r="AG46" s="386">
        <f t="shared" si="76"/>
        <v>0</v>
      </c>
      <c r="AH46" s="523">
        <v>0</v>
      </c>
      <c r="AI46" s="253">
        <v>0</v>
      </c>
      <c r="AJ46" s="386">
        <v>0</v>
      </c>
      <c r="AK46" s="523">
        <v>0</v>
      </c>
      <c r="AL46" s="677">
        <f t="shared" si="77"/>
        <v>0</v>
      </c>
      <c r="AM46" s="682">
        <f t="shared" si="78"/>
        <v>0</v>
      </c>
      <c r="AN46" s="670">
        <v>0</v>
      </c>
      <c r="AO46" s="689">
        <v>0</v>
      </c>
      <c r="AP46" s="714">
        <v>0</v>
      </c>
      <c r="AQ46" s="670">
        <v>0</v>
      </c>
      <c r="AR46" s="689">
        <f t="shared" si="79"/>
        <v>0</v>
      </c>
      <c r="AS46" s="714">
        <f t="shared" si="79"/>
        <v>0</v>
      </c>
      <c r="AT46" s="751">
        <v>0</v>
      </c>
      <c r="AU46" s="989">
        <v>0</v>
      </c>
      <c r="AV46" s="990">
        <v>0</v>
      </c>
      <c r="AW46" s="751">
        <v>0</v>
      </c>
      <c r="AX46" s="689">
        <f t="shared" si="80"/>
        <v>0</v>
      </c>
      <c r="AY46" s="714">
        <f t="shared" si="81"/>
        <v>0</v>
      </c>
      <c r="AZ46" s="751">
        <v>0</v>
      </c>
      <c r="BA46" s="689">
        <v>0</v>
      </c>
      <c r="BB46" s="714">
        <v>0</v>
      </c>
      <c r="BC46" s="751">
        <v>0</v>
      </c>
      <c r="BD46" s="689">
        <f t="shared" si="82"/>
        <v>0</v>
      </c>
      <c r="BE46" s="714">
        <f t="shared" si="82"/>
        <v>0</v>
      </c>
      <c r="BF46" s="751">
        <v>0</v>
      </c>
      <c r="BG46" s="689">
        <v>0</v>
      </c>
      <c r="BH46" s="714">
        <v>0</v>
      </c>
      <c r="BI46" s="751">
        <v>0</v>
      </c>
      <c r="BJ46" s="689">
        <f t="shared" si="83"/>
        <v>0</v>
      </c>
      <c r="BK46" s="714">
        <f t="shared" si="83"/>
        <v>0</v>
      </c>
      <c r="BL46" s="751">
        <v>0</v>
      </c>
      <c r="BM46" s="689">
        <v>0</v>
      </c>
      <c r="BN46" s="714">
        <v>0</v>
      </c>
      <c r="BO46" s="751">
        <v>0</v>
      </c>
      <c r="BP46" s="689">
        <f t="shared" si="84"/>
        <v>0</v>
      </c>
      <c r="BQ46" s="714">
        <f t="shared" si="84"/>
        <v>0</v>
      </c>
      <c r="BR46" s="751">
        <v>0</v>
      </c>
      <c r="BS46" s="689">
        <v>0</v>
      </c>
      <c r="BT46" s="714">
        <v>0</v>
      </c>
      <c r="BU46" s="751">
        <v>0</v>
      </c>
    </row>
    <row r="47" spans="1:73">
      <c r="A47" s="4"/>
      <c r="B47" s="43" t="s">
        <v>185</v>
      </c>
      <c r="C47" s="98">
        <v>0</v>
      </c>
      <c r="D47" s="98">
        <v>0</v>
      </c>
      <c r="E47" s="98">
        <v>0</v>
      </c>
      <c r="F47" s="98">
        <v>0</v>
      </c>
      <c r="G47" s="98">
        <v>1014</v>
      </c>
      <c r="H47" s="98">
        <v>0</v>
      </c>
      <c r="I47" s="98">
        <v>0</v>
      </c>
      <c r="J47" s="386">
        <v>0</v>
      </c>
      <c r="K47" s="253">
        <v>0</v>
      </c>
      <c r="L47" s="386">
        <v>0</v>
      </c>
      <c r="M47" s="179">
        <v>0</v>
      </c>
      <c r="N47" s="253">
        <f t="shared" si="71"/>
        <v>0</v>
      </c>
      <c r="O47" s="386">
        <f t="shared" si="71"/>
        <v>0</v>
      </c>
      <c r="P47" s="179">
        <v>0</v>
      </c>
      <c r="Q47" s="253">
        <v>0</v>
      </c>
      <c r="R47" s="386">
        <v>0</v>
      </c>
      <c r="S47" s="179">
        <v>0</v>
      </c>
      <c r="T47" s="253">
        <f t="shared" si="72"/>
        <v>0</v>
      </c>
      <c r="U47" s="386">
        <f t="shared" si="73"/>
        <v>0</v>
      </c>
      <c r="V47" s="179">
        <v>0</v>
      </c>
      <c r="W47" s="253">
        <v>0</v>
      </c>
      <c r="X47" s="386">
        <v>0</v>
      </c>
      <c r="Y47" s="179">
        <v>0</v>
      </c>
      <c r="Z47" s="253">
        <f t="shared" si="74"/>
        <v>0</v>
      </c>
      <c r="AA47" s="386">
        <f t="shared" si="75"/>
        <v>0</v>
      </c>
      <c r="AB47" s="523">
        <v>0</v>
      </c>
      <c r="AC47" s="253">
        <v>0</v>
      </c>
      <c r="AD47" s="386">
        <v>0</v>
      </c>
      <c r="AE47" s="523">
        <v>0</v>
      </c>
      <c r="AF47" s="253">
        <f t="shared" si="76"/>
        <v>0</v>
      </c>
      <c r="AG47" s="386">
        <f t="shared" si="76"/>
        <v>0</v>
      </c>
      <c r="AH47" s="523">
        <v>0</v>
      </c>
      <c r="AI47" s="253">
        <v>0</v>
      </c>
      <c r="AJ47" s="386">
        <v>0</v>
      </c>
      <c r="AK47" s="523">
        <v>0</v>
      </c>
      <c r="AL47" s="677">
        <f t="shared" si="77"/>
        <v>0</v>
      </c>
      <c r="AM47" s="682">
        <f t="shared" si="78"/>
        <v>0</v>
      </c>
      <c r="AN47" s="670">
        <v>0</v>
      </c>
      <c r="AO47" s="689">
        <v>0</v>
      </c>
      <c r="AP47" s="714">
        <v>0</v>
      </c>
      <c r="AQ47" s="670">
        <v>0</v>
      </c>
      <c r="AR47" s="689">
        <f t="shared" si="79"/>
        <v>0</v>
      </c>
      <c r="AS47" s="714">
        <f t="shared" si="79"/>
        <v>0</v>
      </c>
      <c r="AT47" s="751">
        <v>0</v>
      </c>
      <c r="AU47" s="989">
        <v>0</v>
      </c>
      <c r="AV47" s="990">
        <v>0</v>
      </c>
      <c r="AW47" s="751">
        <v>0</v>
      </c>
      <c r="AX47" s="689">
        <f t="shared" si="80"/>
        <v>0</v>
      </c>
      <c r="AY47" s="714">
        <f t="shared" si="81"/>
        <v>0</v>
      </c>
      <c r="AZ47" s="751">
        <v>0</v>
      </c>
      <c r="BA47" s="689">
        <v>0</v>
      </c>
      <c r="BB47" s="714">
        <v>0</v>
      </c>
      <c r="BC47" s="751">
        <v>0</v>
      </c>
      <c r="BD47" s="689">
        <f t="shared" si="82"/>
        <v>0</v>
      </c>
      <c r="BE47" s="714">
        <f t="shared" si="82"/>
        <v>0</v>
      </c>
      <c r="BF47" s="751">
        <v>0</v>
      </c>
      <c r="BG47" s="689">
        <v>0</v>
      </c>
      <c r="BH47" s="714">
        <v>0</v>
      </c>
      <c r="BI47" s="751">
        <v>0</v>
      </c>
      <c r="BJ47" s="689">
        <f t="shared" si="83"/>
        <v>0</v>
      </c>
      <c r="BK47" s="714">
        <f t="shared" si="83"/>
        <v>0</v>
      </c>
      <c r="BL47" s="751">
        <v>0</v>
      </c>
      <c r="BM47" s="689">
        <v>0</v>
      </c>
      <c r="BN47" s="714">
        <v>0</v>
      </c>
      <c r="BO47" s="751">
        <v>0</v>
      </c>
      <c r="BP47" s="689">
        <f t="shared" si="84"/>
        <v>0</v>
      </c>
      <c r="BQ47" s="714">
        <f t="shared" si="84"/>
        <v>0</v>
      </c>
      <c r="BR47" s="751">
        <v>0</v>
      </c>
      <c r="BS47" s="689">
        <v>0</v>
      </c>
      <c r="BT47" s="714">
        <v>0</v>
      </c>
      <c r="BU47" s="751">
        <v>0</v>
      </c>
    </row>
    <row r="48" spans="1:73">
      <c r="A48" s="4"/>
      <c r="B48" s="43" t="s">
        <v>24</v>
      </c>
      <c r="C48" s="98">
        <f t="shared" ref="C48:L48" si="102">C49-SUM(C34:C47)</f>
        <v>3906</v>
      </c>
      <c r="D48" s="98">
        <f t="shared" si="102"/>
        <v>12470</v>
      </c>
      <c r="E48" s="98">
        <f t="shared" si="102"/>
        <v>3339</v>
      </c>
      <c r="F48" s="98">
        <f t="shared" si="102"/>
        <v>7550.7750000000015</v>
      </c>
      <c r="G48" s="98">
        <f t="shared" si="102"/>
        <v>1604</v>
      </c>
      <c r="H48" s="98">
        <f t="shared" si="102"/>
        <v>65</v>
      </c>
      <c r="I48" s="98">
        <f t="shared" si="102"/>
        <v>94</v>
      </c>
      <c r="J48" s="107">
        <f>J49-SUM(J34:J47)</f>
        <v>92</v>
      </c>
      <c r="K48" s="417">
        <f t="shared" si="102"/>
        <v>42</v>
      </c>
      <c r="L48" s="417">
        <f t="shared" si="102"/>
        <v>24</v>
      </c>
      <c r="M48" s="255">
        <f>ROUND(((L48/K48-1)*100), 1)</f>
        <v>-42.9</v>
      </c>
      <c r="N48" s="417">
        <f>N49-SUM(N34:N47)</f>
        <v>0</v>
      </c>
      <c r="O48" s="417">
        <f>O49-SUM(O34:O47)</f>
        <v>0</v>
      </c>
      <c r="P48" s="525">
        <v>0</v>
      </c>
      <c r="Q48" s="417">
        <f>Q49-SUM(Q34:Q47)</f>
        <v>42</v>
      </c>
      <c r="R48" s="417">
        <f>R49-SUM(R34:R47)</f>
        <v>24</v>
      </c>
      <c r="S48" s="255">
        <f>ROUND(((R48/Q48-1)*100), 1)</f>
        <v>-42.9</v>
      </c>
      <c r="T48" s="417">
        <f>T49-SUM(T34:T47)</f>
        <v>24</v>
      </c>
      <c r="U48" s="417">
        <f>U49-SUM(U34:U47)</f>
        <v>0</v>
      </c>
      <c r="V48" s="255">
        <f>ROUND(((U48/T48-1)*100), 1)</f>
        <v>-100</v>
      </c>
      <c r="W48" s="417">
        <f>W49-SUM(W34:W47)</f>
        <v>66</v>
      </c>
      <c r="X48" s="417">
        <f>X49-SUM(X34:X47)</f>
        <v>24</v>
      </c>
      <c r="Y48" s="255">
        <f>ROUND(((X48/W48-1)*100), 1)</f>
        <v>-63.6</v>
      </c>
      <c r="Z48" s="417">
        <f>Z49-SUM(Z34:Z47)</f>
        <v>0</v>
      </c>
      <c r="AA48" s="417">
        <f>AA49-SUM(AA34:AA47)</f>
        <v>0</v>
      </c>
      <c r="AB48" s="525">
        <v>0</v>
      </c>
      <c r="AC48" s="417">
        <f>AC49-SUM(AC34:AC47)</f>
        <v>66</v>
      </c>
      <c r="AD48" s="417">
        <f>AD49-SUM(AD34:AD47)</f>
        <v>24</v>
      </c>
      <c r="AE48" s="255">
        <f>ROUND(((AD48/AC48-1)*100), 1)</f>
        <v>-63.6</v>
      </c>
      <c r="AF48" s="417">
        <f>AF49-SUM(AF34:AF47)</f>
        <v>0</v>
      </c>
      <c r="AG48" s="417">
        <f>AG49-SUM(AG34:AG47)</f>
        <v>9</v>
      </c>
      <c r="AH48" s="524">
        <v>0</v>
      </c>
      <c r="AI48" s="417">
        <f>AI49-SUM(AI34:AI47)</f>
        <v>66</v>
      </c>
      <c r="AJ48" s="417">
        <f>AJ49-SUM(AJ34:AJ47)</f>
        <v>33</v>
      </c>
      <c r="AK48" s="255">
        <f>ROUND(((AJ48/AI48-1)*100), 1)</f>
        <v>-50</v>
      </c>
      <c r="AL48" s="686">
        <f>AL49-SUM(AL34:AL47)</f>
        <v>0</v>
      </c>
      <c r="AM48" s="686">
        <f>AM49-SUM(AM34:AM47)</f>
        <v>0</v>
      </c>
      <c r="AN48" s="671">
        <v>0</v>
      </c>
      <c r="AO48" s="770">
        <f>AO49-SUM(AO34:AO47)</f>
        <v>66</v>
      </c>
      <c r="AP48" s="770">
        <f>AP49-SUM(AP34:AP47)</f>
        <v>33</v>
      </c>
      <c r="AQ48" s="679">
        <f>ROUND(((AP48/AO48-1)*100), 1)</f>
        <v>-50</v>
      </c>
      <c r="AR48" s="770">
        <f>AR49-SUM(AR34:AR47)</f>
        <v>1</v>
      </c>
      <c r="AS48" s="770">
        <f>AS49-SUM(AS34:AS47)</f>
        <v>12</v>
      </c>
      <c r="AT48" s="679">
        <f t="shared" ref="AT48" si="103">ROUND(((AS48/AR48-1)*100), 1)</f>
        <v>1100</v>
      </c>
      <c r="AU48" s="992">
        <f>AU49-SUM(AU34:AU47)</f>
        <v>67</v>
      </c>
      <c r="AV48" s="992">
        <f>AV49-SUM(AV34:AV47)</f>
        <v>45</v>
      </c>
      <c r="AW48" s="679">
        <f>ROUND(((AV48/AU48-1)*100), 1)</f>
        <v>-32.799999999999997</v>
      </c>
      <c r="AX48" s="770">
        <f>AX49-SUM(AX34:AX47)</f>
        <v>4</v>
      </c>
      <c r="AY48" s="770">
        <f>AY49-SUM(AY34:AY47)</f>
        <v>20</v>
      </c>
      <c r="AZ48" s="679">
        <f t="shared" ref="AZ48" si="104">ROUND(((AY48/AX48-1)*100), 1)</f>
        <v>400</v>
      </c>
      <c r="BA48" s="770">
        <f>BA49-SUM(BA34:BA47)</f>
        <v>71</v>
      </c>
      <c r="BB48" s="770">
        <f>BB49-SUM(BB34:BB47)</f>
        <v>65</v>
      </c>
      <c r="BC48" s="679">
        <f>ROUND(((BB48/BA48-1)*100), 1)</f>
        <v>-8.5</v>
      </c>
      <c r="BD48" s="770">
        <f>BD49-SUM(BD34:BD47)</f>
        <v>0</v>
      </c>
      <c r="BE48" s="770">
        <f>BE49-SUM(BE34:BE47)</f>
        <v>23</v>
      </c>
      <c r="BF48" s="679" t="e">
        <f t="shared" ref="BF48" si="105">ROUND(((BE48/BD48-1)*100), 1)</f>
        <v>#DIV/0!</v>
      </c>
      <c r="BG48" s="770">
        <f>BG49-SUM(BG34:BG47)</f>
        <v>71</v>
      </c>
      <c r="BH48" s="770">
        <f>BH49-SUM(BH34:BH47)</f>
        <v>88</v>
      </c>
      <c r="BI48" s="679">
        <f>ROUND(((BH48/BG48-1)*100), 1)</f>
        <v>23.9</v>
      </c>
      <c r="BJ48" s="770">
        <f>BJ49-SUM(BJ34:BJ47)</f>
        <v>1</v>
      </c>
      <c r="BK48" s="770">
        <f>BK49-SUM(BK34:BK47)</f>
        <v>40</v>
      </c>
      <c r="BL48" s="679">
        <f t="shared" ref="BL48" si="106">ROUND(((BK48/BJ48-1)*100), 1)</f>
        <v>3900</v>
      </c>
      <c r="BM48" s="770">
        <f>BM49-SUM(BM34:BM47)</f>
        <v>72</v>
      </c>
      <c r="BN48" s="770">
        <f>BN49-SUM(BN34:BN47)</f>
        <v>128</v>
      </c>
      <c r="BO48" s="679">
        <f>ROUND(((BN48/BM48-1)*100), 1)</f>
        <v>77.8</v>
      </c>
      <c r="BP48" s="770">
        <f>BP49-SUM(BP34:BP47)</f>
        <v>0</v>
      </c>
      <c r="BQ48" s="770">
        <f>BQ49-SUM(BQ34:BQ47)</f>
        <v>61</v>
      </c>
      <c r="BR48" s="708">
        <v>0</v>
      </c>
      <c r="BS48" s="770">
        <f>BS49-SUM(BS34:BS47)</f>
        <v>72</v>
      </c>
      <c r="BT48" s="770">
        <f>BT49-SUM(BT34:BT47)</f>
        <v>189</v>
      </c>
      <c r="BU48" s="679">
        <f>ROUND(((BT48/BS48-1)*100), 1)</f>
        <v>162.5</v>
      </c>
    </row>
    <row r="49" spans="1:73">
      <c r="A49" s="9"/>
      <c r="B49" s="45" t="s">
        <v>108</v>
      </c>
      <c r="C49" s="100">
        <v>86213</v>
      </c>
      <c r="D49" s="100">
        <v>77481</v>
      </c>
      <c r="E49" s="100">
        <v>62565</v>
      </c>
      <c r="F49" s="100">
        <v>68711</v>
      </c>
      <c r="G49" s="100">
        <v>59139</v>
      </c>
      <c r="H49" s="100">
        <v>63550</v>
      </c>
      <c r="I49" s="99">
        <v>60914</v>
      </c>
      <c r="J49" s="387">
        <v>47837</v>
      </c>
      <c r="K49" s="405">
        <v>5377</v>
      </c>
      <c r="L49" s="387">
        <v>3791</v>
      </c>
      <c r="M49" s="254">
        <f>ROUND(((L49/K49-1)*100), 1)</f>
        <v>-29.5</v>
      </c>
      <c r="N49" s="405">
        <f>Q49-K49</f>
        <v>2369</v>
      </c>
      <c r="O49" s="387">
        <f>R49-L49</f>
        <v>3742</v>
      </c>
      <c r="P49" s="254">
        <f>ROUND(((O49/N49-1)*100), 1)</f>
        <v>58</v>
      </c>
      <c r="Q49" s="405">
        <v>7746</v>
      </c>
      <c r="R49" s="387">
        <v>7533</v>
      </c>
      <c r="S49" s="254">
        <f>ROUND(((R49/Q49-1)*100), 1)</f>
        <v>-2.7</v>
      </c>
      <c r="T49" s="405">
        <f>W49-Q49</f>
        <v>4651</v>
      </c>
      <c r="U49" s="387">
        <f>X49-R49</f>
        <v>6518</v>
      </c>
      <c r="V49" s="254">
        <f>ROUND(((U49/T49-1)*100), 1)</f>
        <v>40.1</v>
      </c>
      <c r="W49" s="405">
        <v>12397</v>
      </c>
      <c r="X49" s="387">
        <v>14051</v>
      </c>
      <c r="Y49" s="254">
        <f>ROUND(((X49/W49-1)*100), 1)</f>
        <v>13.3</v>
      </c>
      <c r="Z49" s="405">
        <f>AC49-W49</f>
        <v>4826</v>
      </c>
      <c r="AA49" s="387">
        <f>AD49-X49</f>
        <v>2527</v>
      </c>
      <c r="AB49" s="254">
        <f>ROUND(((AA49/Z49-1)*100), 1)</f>
        <v>-47.6</v>
      </c>
      <c r="AC49" s="405">
        <v>17223</v>
      </c>
      <c r="AD49" s="387">
        <v>16578</v>
      </c>
      <c r="AE49" s="254">
        <f>ROUND(((AD49/AC49-1)*100), 1)</f>
        <v>-3.7</v>
      </c>
      <c r="AF49" s="405">
        <f>AI49-AC49</f>
        <v>4667</v>
      </c>
      <c r="AG49" s="387">
        <f>AJ49-AD49</f>
        <v>2947</v>
      </c>
      <c r="AH49" s="254">
        <f>ROUND(((AG49/AF49-1)*100), 1)</f>
        <v>-36.9</v>
      </c>
      <c r="AI49" s="405">
        <v>21890</v>
      </c>
      <c r="AJ49" s="387">
        <v>19525</v>
      </c>
      <c r="AK49" s="254">
        <f>ROUND(((AJ49/AI49-1)*100), 1)</f>
        <v>-10.8</v>
      </c>
      <c r="AL49" s="684">
        <f>AO49-AI49</f>
        <v>3835</v>
      </c>
      <c r="AM49" s="683">
        <f>AP49-AJ49</f>
        <v>1833</v>
      </c>
      <c r="AN49" s="678">
        <f>ROUND(((AM49/AL49-1)*100), 1)</f>
        <v>-52.2</v>
      </c>
      <c r="AO49" s="684">
        <v>25725</v>
      </c>
      <c r="AP49" s="715">
        <v>21358</v>
      </c>
      <c r="AQ49" s="678">
        <f>ROUND(((AP49/AO49-1)*100), 1)</f>
        <v>-17</v>
      </c>
      <c r="AR49" s="684">
        <f>AU49-AO49</f>
        <v>4290</v>
      </c>
      <c r="AS49" s="715">
        <f>AV49-AP49</f>
        <v>2817</v>
      </c>
      <c r="AT49" s="678">
        <f>ROUND(((AS49/AR49-1)*100), 1)</f>
        <v>-34.299999999999997</v>
      </c>
      <c r="AU49" s="993">
        <v>30015</v>
      </c>
      <c r="AV49" s="994">
        <v>24175</v>
      </c>
      <c r="AW49" s="678">
        <f>ROUND(((AV49/AU49-1)*100), 1)</f>
        <v>-19.5</v>
      </c>
      <c r="AX49" s="684">
        <f>BA49-AU49</f>
        <v>3785</v>
      </c>
      <c r="AY49" s="715">
        <f>BB49-AV49</f>
        <v>2342</v>
      </c>
      <c r="AZ49" s="678">
        <f>ROUND(((AY49/AX49-1)*100), 1)</f>
        <v>-38.1</v>
      </c>
      <c r="BA49" s="684">
        <v>33800</v>
      </c>
      <c r="BB49" s="715">
        <v>26517</v>
      </c>
      <c r="BC49" s="678">
        <f>ROUND(((BB49/BA49-1)*100), 1)</f>
        <v>-21.5</v>
      </c>
      <c r="BD49" s="684">
        <f>BG49-BA49</f>
        <v>3121</v>
      </c>
      <c r="BE49" s="715">
        <f>BH49-BB49</f>
        <v>3407</v>
      </c>
      <c r="BF49" s="678">
        <f>ROUND(((BE49/BD49-1)*100), 1)</f>
        <v>9.1999999999999993</v>
      </c>
      <c r="BG49" s="684">
        <v>36921</v>
      </c>
      <c r="BH49" s="715">
        <v>29924</v>
      </c>
      <c r="BI49" s="678">
        <f>ROUND(((BH49/BG49-1)*100), 1)</f>
        <v>-19</v>
      </c>
      <c r="BJ49" s="684">
        <f>BM49-BG49</f>
        <v>3542</v>
      </c>
      <c r="BK49" s="715">
        <f>BN49-BH49</f>
        <v>2964</v>
      </c>
      <c r="BL49" s="678">
        <f>ROUND(((BK49/BJ49-1)*100), 1)</f>
        <v>-16.3</v>
      </c>
      <c r="BM49" s="684">
        <v>40463</v>
      </c>
      <c r="BN49" s="715">
        <v>32888</v>
      </c>
      <c r="BO49" s="678">
        <f>ROUND(((BN49/BM49-1)*100), 1)</f>
        <v>-18.7</v>
      </c>
      <c r="BP49" s="684">
        <f>BS49-BM49</f>
        <v>3058</v>
      </c>
      <c r="BQ49" s="715">
        <f>BT49-BN49</f>
        <v>3184</v>
      </c>
      <c r="BR49" s="678">
        <f>ROUND(((BQ49/BP49-1)*100), 1)</f>
        <v>4.0999999999999996</v>
      </c>
      <c r="BS49" s="684">
        <v>43521</v>
      </c>
      <c r="BT49" s="715">
        <v>36072</v>
      </c>
      <c r="BU49" s="678">
        <f>ROUND(((BT49/BS49-1)*100), 1)</f>
        <v>-17.100000000000001</v>
      </c>
    </row>
    <row r="50" spans="1:73">
      <c r="A50" s="55" t="s">
        <v>118</v>
      </c>
      <c r="M50" s="248"/>
    </row>
    <row r="51" spans="1:73">
      <c r="M51" s="240"/>
    </row>
    <row r="52" spans="1:73">
      <c r="M52" s="248"/>
    </row>
    <row r="53" spans="1:73">
      <c r="M53" s="248"/>
    </row>
    <row r="54" spans="1:73">
      <c r="M54" s="248"/>
    </row>
    <row r="55" spans="1:73">
      <c r="M55" s="248"/>
    </row>
    <row r="56" spans="1:73">
      <c r="M56" s="248"/>
    </row>
    <row r="57" spans="1:73">
      <c r="M57" s="248"/>
    </row>
    <row r="58" spans="1:73">
      <c r="M58" s="248"/>
    </row>
    <row r="59" spans="1:73">
      <c r="M59" s="248"/>
    </row>
    <row r="60" spans="1:73">
      <c r="M60" s="248"/>
    </row>
    <row r="61" spans="1:73">
      <c r="M61" s="248"/>
    </row>
    <row r="62" spans="1:73">
      <c r="M62" s="248"/>
    </row>
    <row r="63" spans="1:73">
      <c r="M63" s="248"/>
    </row>
    <row r="64" spans="1:73">
      <c r="M64" s="248"/>
    </row>
  </sheetData>
  <sortState ref="B5:M31">
    <sortCondition descending="1" ref="J5:J31"/>
  </sortState>
  <mergeCells count="30">
    <mergeCell ref="BP3:BR3"/>
    <mergeCell ref="BS3:BU3"/>
    <mergeCell ref="BJ3:BL3"/>
    <mergeCell ref="BM3:BO3"/>
    <mergeCell ref="BD3:BF3"/>
    <mergeCell ref="BG3:BI3"/>
    <mergeCell ref="AX3:AZ3"/>
    <mergeCell ref="BA3:BC3"/>
    <mergeCell ref="Z3:AB3"/>
    <mergeCell ref="AC3:AE3"/>
    <mergeCell ref="T3:V3"/>
    <mergeCell ref="W3:Y3"/>
    <mergeCell ref="AR3:AT3"/>
    <mergeCell ref="AU3:AW3"/>
    <mergeCell ref="AL3:AN3"/>
    <mergeCell ref="AO3:AQ3"/>
    <mergeCell ref="AF3:AH3"/>
    <mergeCell ref="AI3:AK3"/>
    <mergeCell ref="A3:B4"/>
    <mergeCell ref="C3:C4"/>
    <mergeCell ref="D3:D4"/>
    <mergeCell ref="E3:E4"/>
    <mergeCell ref="F3:F4"/>
    <mergeCell ref="N3:P3"/>
    <mergeCell ref="Q3:S3"/>
    <mergeCell ref="G3:G4"/>
    <mergeCell ref="I3:I4"/>
    <mergeCell ref="K3:M3"/>
    <mergeCell ref="H3:H4"/>
    <mergeCell ref="J3:J4"/>
  </mergeCells>
  <phoneticPr fontId="2" type="noConversion"/>
  <printOptions horizontalCentered="1"/>
  <pageMargins left="0.19685039370078741" right="0.19685039370078741" top="0.74803149606299213" bottom="0.37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345"/>
  <sheetViews>
    <sheetView zoomScaleNormal="100" workbookViewId="0">
      <pane xSplit="11" ySplit="4" topLeftCell="BJ5" activePane="bottomRight" state="frozen"/>
      <selection pane="topRight" activeCell="L1" sqref="L1"/>
      <selection pane="bottomLeft" activeCell="A5" sqref="A5"/>
      <selection pane="bottomRight"/>
    </sheetView>
  </sheetViews>
  <sheetFormatPr defaultRowHeight="16.5"/>
  <cols>
    <col min="1" max="1" width="5.25" style="55" customWidth="1"/>
    <col min="2" max="2" width="9.125" style="55" customWidth="1"/>
    <col min="3" max="3" width="15.25" style="55" customWidth="1"/>
    <col min="4" max="4" width="11" style="63" hidden="1" customWidth="1"/>
    <col min="5" max="5" width="10.875" style="63" hidden="1" customWidth="1"/>
    <col min="6" max="9" width="11" style="63" hidden="1" customWidth="1"/>
    <col min="10" max="10" width="11" style="228" hidden="1" customWidth="1"/>
    <col min="11" max="11" width="11" style="228" customWidth="1"/>
    <col min="12" max="13" width="11" style="320" hidden="1" customWidth="1"/>
    <col min="14" max="14" width="9" hidden="1" customWidth="1"/>
    <col min="15" max="16" width="11" style="320" hidden="1" customWidth="1"/>
    <col min="17" max="17" width="9" style="291" hidden="1" customWidth="1"/>
    <col min="18" max="19" width="11" style="320" hidden="1" customWidth="1"/>
    <col min="20" max="20" width="9" style="291" hidden="1" customWidth="1"/>
    <col min="21" max="22" width="11" style="320" hidden="1" customWidth="1"/>
    <col min="23" max="23" width="9" style="291" hidden="1" customWidth="1"/>
    <col min="24" max="25" width="11" style="320" hidden="1" customWidth="1"/>
    <col min="26" max="26" width="9" style="291" hidden="1" customWidth="1"/>
    <col min="27" max="28" width="11" style="320" hidden="1" customWidth="1"/>
    <col min="29" max="29" width="9" style="291" hidden="1" customWidth="1"/>
    <col min="30" max="31" width="11" style="320" hidden="1" customWidth="1"/>
    <col min="32" max="32" width="9" style="291" hidden="1" customWidth="1"/>
    <col min="33" max="34" width="11" style="320" hidden="1" customWidth="1"/>
    <col min="35" max="35" width="9" style="291" hidden="1" customWidth="1"/>
    <col min="36" max="37" width="11" style="320" hidden="1" customWidth="1"/>
    <col min="38" max="38" width="9" style="291" hidden="1" customWidth="1"/>
    <col min="39" max="40" width="11" style="696" hidden="1" customWidth="1"/>
    <col min="41" max="41" width="9" style="690" hidden="1" customWidth="1"/>
    <col min="42" max="43" width="11" style="833" hidden="1" customWidth="1"/>
    <col min="44" max="44" width="9" style="690" hidden="1" customWidth="1"/>
    <col min="45" max="46" width="11" style="833" hidden="1" customWidth="1"/>
    <col min="47" max="47" width="9" style="846" hidden="1" customWidth="1"/>
    <col min="48" max="49" width="11" style="960" hidden="1" customWidth="1"/>
    <col min="50" max="50" width="9" style="846" hidden="1" customWidth="1"/>
    <col min="51" max="52" width="11" style="833" hidden="1" customWidth="1"/>
    <col min="53" max="53" width="9" style="846" hidden="1" customWidth="1"/>
    <col min="54" max="55" width="11" style="833" hidden="1" customWidth="1"/>
    <col min="56" max="56" width="9" style="846" hidden="1" customWidth="1"/>
    <col min="57" max="58" width="11" style="833" hidden="1" customWidth="1"/>
    <col min="59" max="59" width="9" style="846" hidden="1" customWidth="1"/>
    <col min="60" max="61" width="11" style="833" hidden="1" customWidth="1"/>
    <col min="62" max="62" width="9" style="846" hidden="1" customWidth="1"/>
    <col min="63" max="64" width="11" style="833" hidden="1" customWidth="1"/>
    <col min="65" max="65" width="9" style="846" hidden="1" customWidth="1"/>
    <col min="66" max="67" width="11" style="833" hidden="1" customWidth="1"/>
    <col min="68" max="68" width="9" style="846" hidden="1" customWidth="1"/>
    <col min="69" max="70" width="11" style="833" customWidth="1"/>
    <col min="71" max="71" width="9" style="846" customWidth="1"/>
    <col min="72" max="73" width="11" style="833" customWidth="1"/>
    <col min="74" max="74" width="9" style="846" customWidth="1"/>
  </cols>
  <sheetData>
    <row r="1" spans="1:74">
      <c r="A1" s="81" t="s">
        <v>208</v>
      </c>
      <c r="B1" s="101"/>
      <c r="C1" s="101"/>
      <c r="D1" s="102"/>
      <c r="E1" s="102"/>
      <c r="F1" s="102"/>
      <c r="G1" s="102"/>
      <c r="H1" s="102"/>
      <c r="K1" s="280" t="s">
        <v>209</v>
      </c>
      <c r="L1" s="102"/>
      <c r="M1" s="102"/>
      <c r="N1" s="260"/>
      <c r="O1" s="102"/>
      <c r="P1" s="102"/>
      <c r="Q1" s="276"/>
      <c r="R1" s="102"/>
      <c r="S1" s="102"/>
      <c r="T1" s="276"/>
      <c r="U1" s="102"/>
      <c r="V1" s="102"/>
      <c r="W1" s="276"/>
      <c r="X1" s="102"/>
      <c r="Y1" s="102"/>
      <c r="Z1" s="276"/>
      <c r="AA1" s="102"/>
      <c r="AB1" s="102"/>
      <c r="AC1" s="276"/>
      <c r="AD1" s="102"/>
      <c r="AE1" s="102"/>
      <c r="AF1" s="276"/>
      <c r="AG1" s="102"/>
      <c r="AH1" s="102"/>
      <c r="AI1" s="276"/>
      <c r="AJ1" s="102"/>
      <c r="AK1" s="102"/>
      <c r="AL1" s="276"/>
      <c r="AM1" s="692"/>
      <c r="AN1" s="692"/>
      <c r="AO1" s="700"/>
      <c r="AP1" s="748"/>
      <c r="AQ1" s="748"/>
      <c r="AR1" s="700"/>
      <c r="AS1" s="748"/>
      <c r="AT1" s="748"/>
      <c r="AU1" s="756"/>
      <c r="AV1" s="995"/>
      <c r="AW1" s="995"/>
      <c r="AX1" s="756"/>
      <c r="AY1" s="748"/>
      <c r="AZ1" s="748"/>
      <c r="BA1" s="756"/>
      <c r="BB1" s="748"/>
      <c r="BC1" s="748"/>
      <c r="BD1" s="756"/>
      <c r="BE1" s="748"/>
      <c r="BF1" s="748"/>
      <c r="BG1" s="756"/>
      <c r="BH1" s="748"/>
      <c r="BI1" s="748"/>
      <c r="BJ1" s="756"/>
      <c r="BK1" s="748"/>
      <c r="BL1" s="748"/>
      <c r="BM1" s="756"/>
      <c r="BN1" s="748"/>
      <c r="BO1" s="748"/>
      <c r="BP1" s="756"/>
      <c r="BQ1" s="748"/>
      <c r="BR1" s="748"/>
      <c r="BS1" s="756"/>
      <c r="BT1" s="748"/>
      <c r="BU1" s="748"/>
      <c r="BV1" s="756"/>
    </row>
    <row r="2" spans="1:74">
      <c r="A2" s="30"/>
      <c r="B2" s="30"/>
      <c r="D2" s="75"/>
      <c r="E2" s="75"/>
      <c r="F2" s="75"/>
      <c r="G2" s="75"/>
      <c r="H2" s="75"/>
      <c r="I2" s="75"/>
      <c r="J2" s="279"/>
      <c r="K2" s="279"/>
      <c r="L2" s="279"/>
      <c r="M2" s="279"/>
      <c r="N2" s="257" t="s">
        <v>94</v>
      </c>
      <c r="O2" s="279"/>
      <c r="P2" s="279"/>
      <c r="Q2" s="274"/>
      <c r="R2" s="279"/>
      <c r="S2" s="279"/>
      <c r="T2" s="274" t="s">
        <v>94</v>
      </c>
      <c r="U2" s="279"/>
      <c r="V2" s="279"/>
      <c r="W2" s="274"/>
      <c r="X2" s="279"/>
      <c r="Y2" s="279"/>
      <c r="Z2" s="274" t="s">
        <v>94</v>
      </c>
      <c r="AA2" s="279"/>
      <c r="AB2" s="279"/>
      <c r="AC2" s="274"/>
      <c r="AD2" s="279"/>
      <c r="AE2" s="279"/>
      <c r="AF2" s="274" t="s">
        <v>94</v>
      </c>
      <c r="AG2" s="279"/>
      <c r="AH2" s="279"/>
      <c r="AI2" s="274"/>
      <c r="AJ2" s="279"/>
      <c r="AK2" s="279"/>
      <c r="AL2" s="274" t="s">
        <v>94</v>
      </c>
      <c r="AM2" s="691"/>
      <c r="AN2" s="691"/>
      <c r="AO2" s="697"/>
      <c r="AP2" s="746"/>
      <c r="AQ2" s="746"/>
      <c r="AR2" s="697" t="s">
        <v>94</v>
      </c>
      <c r="AS2" s="746"/>
      <c r="AT2" s="746"/>
      <c r="AU2" s="755"/>
      <c r="AV2" s="961"/>
      <c r="AW2" s="961"/>
      <c r="AX2" s="755" t="s">
        <v>94</v>
      </c>
      <c r="AY2" s="746"/>
      <c r="AZ2" s="746"/>
      <c r="BA2" s="755"/>
      <c r="BB2" s="746"/>
      <c r="BC2" s="746"/>
      <c r="BD2" s="755" t="s">
        <v>94</v>
      </c>
      <c r="BE2" s="746"/>
      <c r="BF2" s="746"/>
      <c r="BG2" s="755"/>
      <c r="BH2" s="746"/>
      <c r="BI2" s="746"/>
      <c r="BJ2" s="755" t="s">
        <v>94</v>
      </c>
      <c r="BK2" s="746"/>
      <c r="BL2" s="746"/>
      <c r="BM2" s="755"/>
      <c r="BN2" s="746"/>
      <c r="BO2" s="746"/>
      <c r="BP2" s="755" t="s">
        <v>94</v>
      </c>
      <c r="BQ2" s="746"/>
      <c r="BR2" s="746"/>
      <c r="BS2" s="755"/>
      <c r="BT2" s="746"/>
      <c r="BU2" s="746"/>
      <c r="BV2" s="755" t="s">
        <v>94</v>
      </c>
    </row>
    <row r="3" spans="1:74">
      <c r="A3" s="1082" t="s">
        <v>95</v>
      </c>
      <c r="B3" s="1082"/>
      <c r="C3" s="1082"/>
      <c r="D3" s="1170" t="s">
        <v>3</v>
      </c>
      <c r="E3" s="1170" t="s">
        <v>4</v>
      </c>
      <c r="F3" s="1170" t="s">
        <v>5</v>
      </c>
      <c r="G3" s="1170" t="s">
        <v>6</v>
      </c>
      <c r="H3" s="1170" t="s">
        <v>7</v>
      </c>
      <c r="I3" s="1170" t="s">
        <v>81</v>
      </c>
      <c r="J3" s="1170" t="s">
        <v>83</v>
      </c>
      <c r="K3" s="1172" t="s">
        <v>315</v>
      </c>
      <c r="L3" s="1171" t="s">
        <v>40</v>
      </c>
      <c r="M3" s="1170"/>
      <c r="N3" s="1082"/>
      <c r="O3" s="1155" t="s">
        <v>505</v>
      </c>
      <c r="P3" s="1156"/>
      <c r="Q3" s="1157"/>
      <c r="R3" s="1155" t="s">
        <v>506</v>
      </c>
      <c r="S3" s="1156"/>
      <c r="T3" s="1157"/>
      <c r="U3" s="1155" t="s">
        <v>513</v>
      </c>
      <c r="V3" s="1156"/>
      <c r="W3" s="1157"/>
      <c r="X3" s="1155" t="s">
        <v>514</v>
      </c>
      <c r="Y3" s="1156"/>
      <c r="Z3" s="1157"/>
      <c r="AA3" s="1155" t="s">
        <v>531</v>
      </c>
      <c r="AB3" s="1156"/>
      <c r="AC3" s="1157"/>
      <c r="AD3" s="1155" t="s">
        <v>533</v>
      </c>
      <c r="AE3" s="1156"/>
      <c r="AF3" s="1157"/>
      <c r="AG3" s="1155" t="s">
        <v>555</v>
      </c>
      <c r="AH3" s="1156"/>
      <c r="AI3" s="1157"/>
      <c r="AJ3" s="1155" t="s">
        <v>556</v>
      </c>
      <c r="AK3" s="1156"/>
      <c r="AL3" s="1157"/>
      <c r="AM3" s="1155" t="s">
        <v>583</v>
      </c>
      <c r="AN3" s="1156"/>
      <c r="AO3" s="1157"/>
      <c r="AP3" s="1155" t="s">
        <v>584</v>
      </c>
      <c r="AQ3" s="1156"/>
      <c r="AR3" s="1157"/>
      <c r="AS3" s="1155" t="s">
        <v>621</v>
      </c>
      <c r="AT3" s="1156"/>
      <c r="AU3" s="1157"/>
      <c r="AV3" s="1155" t="s">
        <v>622</v>
      </c>
      <c r="AW3" s="1156"/>
      <c r="AX3" s="1157"/>
      <c r="AY3" s="1155" t="s">
        <v>626</v>
      </c>
      <c r="AZ3" s="1156"/>
      <c r="BA3" s="1157"/>
      <c r="BB3" s="1155" t="s">
        <v>628</v>
      </c>
      <c r="BC3" s="1156"/>
      <c r="BD3" s="1157"/>
      <c r="BE3" s="1155" t="s">
        <v>650</v>
      </c>
      <c r="BF3" s="1156"/>
      <c r="BG3" s="1157"/>
      <c r="BH3" s="1155" t="s">
        <v>651</v>
      </c>
      <c r="BI3" s="1156"/>
      <c r="BJ3" s="1157"/>
      <c r="BK3" s="1155" t="s">
        <v>676</v>
      </c>
      <c r="BL3" s="1156"/>
      <c r="BM3" s="1157"/>
      <c r="BN3" s="1155" t="s">
        <v>677</v>
      </c>
      <c r="BO3" s="1156"/>
      <c r="BP3" s="1157"/>
      <c r="BQ3" s="1155" t="s">
        <v>747</v>
      </c>
      <c r="BR3" s="1156"/>
      <c r="BS3" s="1157"/>
      <c r="BT3" s="1155" t="s">
        <v>711</v>
      </c>
      <c r="BU3" s="1156"/>
      <c r="BV3" s="1157"/>
    </row>
    <row r="4" spans="1:74">
      <c r="A4" s="1082"/>
      <c r="B4" s="1149"/>
      <c r="C4" s="1149"/>
      <c r="D4" s="1172"/>
      <c r="E4" s="1172"/>
      <c r="F4" s="1172"/>
      <c r="G4" s="1172"/>
      <c r="H4" s="1172"/>
      <c r="I4" s="1172"/>
      <c r="J4" s="1172"/>
      <c r="K4" s="1173"/>
      <c r="L4" s="418" t="s">
        <v>445</v>
      </c>
      <c r="M4" s="419" t="s">
        <v>446</v>
      </c>
      <c r="N4" s="261" t="s">
        <v>10</v>
      </c>
      <c r="O4" s="418" t="s">
        <v>445</v>
      </c>
      <c r="P4" s="419" t="s">
        <v>446</v>
      </c>
      <c r="Q4" s="261" t="s">
        <v>10</v>
      </c>
      <c r="R4" s="418" t="s">
        <v>445</v>
      </c>
      <c r="S4" s="419" t="s">
        <v>446</v>
      </c>
      <c r="T4" s="261" t="s">
        <v>10</v>
      </c>
      <c r="U4" s="418" t="s">
        <v>445</v>
      </c>
      <c r="V4" s="419" t="s">
        <v>446</v>
      </c>
      <c r="W4" s="261" t="s">
        <v>10</v>
      </c>
      <c r="X4" s="418" t="s">
        <v>445</v>
      </c>
      <c r="Y4" s="419" t="s">
        <v>446</v>
      </c>
      <c r="Z4" s="261" t="s">
        <v>10</v>
      </c>
      <c r="AA4" s="418" t="s">
        <v>445</v>
      </c>
      <c r="AB4" s="419" t="s">
        <v>446</v>
      </c>
      <c r="AC4" s="261" t="s">
        <v>10</v>
      </c>
      <c r="AD4" s="418" t="s">
        <v>445</v>
      </c>
      <c r="AE4" s="419" t="s">
        <v>446</v>
      </c>
      <c r="AF4" s="261" t="s">
        <v>10</v>
      </c>
      <c r="AG4" s="418" t="s">
        <v>445</v>
      </c>
      <c r="AH4" s="419" t="s">
        <v>446</v>
      </c>
      <c r="AI4" s="261" t="s">
        <v>10</v>
      </c>
      <c r="AJ4" s="418" t="s">
        <v>445</v>
      </c>
      <c r="AK4" s="419" t="s">
        <v>446</v>
      </c>
      <c r="AL4" s="261" t="s">
        <v>10</v>
      </c>
      <c r="AM4" s="723" t="s">
        <v>445</v>
      </c>
      <c r="AN4" s="724" t="s">
        <v>446</v>
      </c>
      <c r="AO4" s="701" t="s">
        <v>10</v>
      </c>
      <c r="AP4" s="815" t="s">
        <v>445</v>
      </c>
      <c r="AQ4" s="724" t="s">
        <v>446</v>
      </c>
      <c r="AR4" s="701" t="s">
        <v>10</v>
      </c>
      <c r="AS4" s="815" t="s">
        <v>445</v>
      </c>
      <c r="AT4" s="724" t="s">
        <v>446</v>
      </c>
      <c r="AU4" s="701" t="s">
        <v>10</v>
      </c>
      <c r="AV4" s="996" t="s">
        <v>445</v>
      </c>
      <c r="AW4" s="997" t="s">
        <v>446</v>
      </c>
      <c r="AX4" s="701" t="s">
        <v>10</v>
      </c>
      <c r="AY4" s="815" t="s">
        <v>445</v>
      </c>
      <c r="AZ4" s="724" t="s">
        <v>446</v>
      </c>
      <c r="BA4" s="701" t="s">
        <v>10</v>
      </c>
      <c r="BB4" s="815" t="s">
        <v>445</v>
      </c>
      <c r="BC4" s="724" t="s">
        <v>446</v>
      </c>
      <c r="BD4" s="701" t="s">
        <v>10</v>
      </c>
      <c r="BE4" s="815" t="s">
        <v>669</v>
      </c>
      <c r="BF4" s="724" t="s">
        <v>671</v>
      </c>
      <c r="BG4" s="701" t="s">
        <v>10</v>
      </c>
      <c r="BH4" s="815" t="s">
        <v>669</v>
      </c>
      <c r="BI4" s="724" t="s">
        <v>671</v>
      </c>
      <c r="BJ4" s="701" t="s">
        <v>10</v>
      </c>
      <c r="BK4" s="815" t="s">
        <v>696</v>
      </c>
      <c r="BL4" s="724" t="s">
        <v>697</v>
      </c>
      <c r="BM4" s="701" t="s">
        <v>10</v>
      </c>
      <c r="BN4" s="815" t="s">
        <v>696</v>
      </c>
      <c r="BO4" s="724" t="s">
        <v>699</v>
      </c>
      <c r="BP4" s="701" t="s">
        <v>10</v>
      </c>
      <c r="BQ4" s="815" t="s">
        <v>445</v>
      </c>
      <c r="BR4" s="724" t="s">
        <v>446</v>
      </c>
      <c r="BS4" s="701" t="s">
        <v>10</v>
      </c>
      <c r="BT4" s="815" t="s">
        <v>748</v>
      </c>
      <c r="BU4" s="724" t="s">
        <v>446</v>
      </c>
      <c r="BV4" s="701" t="s">
        <v>10</v>
      </c>
    </row>
    <row r="5" spans="1:74" ht="13.5" customHeight="1">
      <c r="A5" s="93"/>
      <c r="B5" s="1175" t="s">
        <v>337</v>
      </c>
      <c r="C5" s="103" t="s">
        <v>54</v>
      </c>
      <c r="D5" s="104">
        <v>668</v>
      </c>
      <c r="E5" s="104">
        <v>636</v>
      </c>
      <c r="F5" s="104">
        <v>4</v>
      </c>
      <c r="G5" s="104">
        <v>4</v>
      </c>
      <c r="H5" s="104">
        <v>100</v>
      </c>
      <c r="I5" s="104">
        <v>552</v>
      </c>
      <c r="J5" s="104">
        <v>497</v>
      </c>
      <c r="K5" s="104">
        <v>458</v>
      </c>
      <c r="L5" s="420">
        <v>38</v>
      </c>
      <c r="M5" s="385">
        <v>38</v>
      </c>
      <c r="N5" s="267">
        <f>ROUND(((M5/L5-1)*100), 1)</f>
        <v>0</v>
      </c>
      <c r="O5" s="420">
        <f t="shared" ref="O5:P10" si="0">R5-L5</f>
        <v>38</v>
      </c>
      <c r="P5" s="385">
        <f t="shared" si="0"/>
        <v>39</v>
      </c>
      <c r="Q5" s="267">
        <f>ROUND(((P5/O5-1)*100), 1)</f>
        <v>2.6</v>
      </c>
      <c r="R5" s="420">
        <v>76</v>
      </c>
      <c r="S5" s="385">
        <v>77</v>
      </c>
      <c r="T5" s="267">
        <f>ROUND(((S5/R5-1)*100), 1)</f>
        <v>1.3</v>
      </c>
      <c r="U5" s="420">
        <f t="shared" ref="U5:U10" si="1">X5-R5</f>
        <v>39</v>
      </c>
      <c r="V5" s="385">
        <f t="shared" ref="V5:V10" si="2">Y5-S5</f>
        <v>38</v>
      </c>
      <c r="W5" s="267">
        <f>ROUND(((V5/U5-1)*100), 1)</f>
        <v>-2.6</v>
      </c>
      <c r="X5" s="420">
        <v>115</v>
      </c>
      <c r="Y5" s="385">
        <v>115</v>
      </c>
      <c r="Z5" s="267">
        <f>ROUND(((Y5/X5-1)*100), 1)</f>
        <v>0</v>
      </c>
      <c r="AA5" s="420">
        <f t="shared" ref="AA5:AA10" si="3">AD5-X5</f>
        <v>38</v>
      </c>
      <c r="AB5" s="385">
        <f t="shared" ref="AB5:AB10" si="4">AE5-Y5</f>
        <v>39</v>
      </c>
      <c r="AC5" s="263">
        <f t="shared" ref="AC5:AC6" si="5">ROUND(((AB5/AA5-1)*100), 1)</f>
        <v>2.6</v>
      </c>
      <c r="AD5" s="420">
        <v>153</v>
      </c>
      <c r="AE5" s="385">
        <v>154</v>
      </c>
      <c r="AF5" s="263">
        <f t="shared" ref="AF5:AF6" si="6">ROUND(((AE5/AD5-1)*100), 1)</f>
        <v>0.7</v>
      </c>
      <c r="AG5" s="420">
        <f t="shared" ref="AG5:AH10" si="7">AJ5-AD5</f>
        <v>38</v>
      </c>
      <c r="AH5" s="385">
        <f t="shared" si="7"/>
        <v>0</v>
      </c>
      <c r="AI5" s="265">
        <f>ROUND(((AH5/AG5-1)*100), 1)</f>
        <v>-100</v>
      </c>
      <c r="AJ5" s="420">
        <v>191</v>
      </c>
      <c r="AK5" s="385">
        <v>154</v>
      </c>
      <c r="AL5" s="267">
        <f>ROUND(((AK5/AJ5-1)*100), 1)</f>
        <v>-19.399999999999999</v>
      </c>
      <c r="AM5" s="725">
        <f t="shared" ref="AM5:AM10" si="8">AP5-AJ5</f>
        <v>39</v>
      </c>
      <c r="AN5" s="713">
        <f t="shared" ref="AN5:AN10" si="9">AQ5-AK5</f>
        <v>0</v>
      </c>
      <c r="AO5" s="705">
        <f>ROUND(((AN5/AM5-1)*100), 1)</f>
        <v>-100</v>
      </c>
      <c r="AP5" s="741">
        <v>230</v>
      </c>
      <c r="AQ5" s="713">
        <v>154</v>
      </c>
      <c r="AR5" s="707">
        <f>ROUND(((AQ5/AP5-1)*100), 1)</f>
        <v>-33</v>
      </c>
      <c r="AS5" s="741">
        <f t="shared" ref="AS5:AT10" si="10">AV5-AP5</f>
        <v>37</v>
      </c>
      <c r="AT5" s="713">
        <f t="shared" si="10"/>
        <v>38</v>
      </c>
      <c r="AU5" s="705">
        <f>ROUND(((AT5/AS5-1)*100), 1)</f>
        <v>2.7</v>
      </c>
      <c r="AV5" s="998">
        <v>267</v>
      </c>
      <c r="AW5" s="988">
        <v>192</v>
      </c>
      <c r="AX5" s="707">
        <f>ROUND(((AW5/AV5-1)*100), 1)</f>
        <v>-28.1</v>
      </c>
      <c r="AY5" s="741">
        <f t="shared" ref="AY5:AY10" si="11">BB5-AV5</f>
        <v>38</v>
      </c>
      <c r="AZ5" s="713">
        <f t="shared" ref="AZ5:AZ10" si="12">BC5-AW5</f>
        <v>38</v>
      </c>
      <c r="BA5" s="705">
        <f>ROUND(((AZ5/AY5-1)*100), 1)</f>
        <v>0</v>
      </c>
      <c r="BB5" s="741">
        <v>305</v>
      </c>
      <c r="BC5" s="713">
        <v>230</v>
      </c>
      <c r="BD5" s="707">
        <f>ROUND(((BC5/BB5-1)*100), 1)</f>
        <v>-24.6</v>
      </c>
      <c r="BE5" s="741">
        <f t="shared" ref="BE5:BF10" si="13">BH5-BB5</f>
        <v>38</v>
      </c>
      <c r="BF5" s="713">
        <f t="shared" si="13"/>
        <v>39</v>
      </c>
      <c r="BG5" s="705">
        <f>ROUND(((BF5/BE5-1)*100), 1)</f>
        <v>2.6</v>
      </c>
      <c r="BH5" s="741">
        <v>343</v>
      </c>
      <c r="BI5" s="713">
        <v>269</v>
      </c>
      <c r="BJ5" s="707">
        <f>ROUND(((BI5/BH5-1)*100), 1)</f>
        <v>-21.6</v>
      </c>
      <c r="BK5" s="741">
        <f t="shared" ref="BK5:BL10" si="14">BN5-BH5</f>
        <v>38</v>
      </c>
      <c r="BL5" s="713">
        <f t="shared" si="14"/>
        <v>38</v>
      </c>
      <c r="BM5" s="705">
        <f>ROUND(((BL5/BK5-1)*100), 1)</f>
        <v>0</v>
      </c>
      <c r="BN5" s="741">
        <v>381</v>
      </c>
      <c r="BO5" s="713">
        <v>307</v>
      </c>
      <c r="BP5" s="707">
        <f>ROUND(((BO5/BN5-1)*100), 1)</f>
        <v>-19.399999999999999</v>
      </c>
      <c r="BQ5" s="741">
        <f t="shared" ref="BQ5:BR10" si="15">BT5-BN5</f>
        <v>39</v>
      </c>
      <c r="BR5" s="713">
        <f t="shared" si="15"/>
        <v>39</v>
      </c>
      <c r="BS5" s="705">
        <f>ROUND(((BR5/BQ5-1)*100), 1)</f>
        <v>0</v>
      </c>
      <c r="BT5" s="741">
        <v>420</v>
      </c>
      <c r="BU5" s="713">
        <v>346</v>
      </c>
      <c r="BV5" s="707">
        <f>ROUND(((BU5/BT5-1)*100), 1)</f>
        <v>-17.600000000000001</v>
      </c>
    </row>
    <row r="6" spans="1:74" s="291" customFormat="1" ht="13.5" customHeight="1">
      <c r="A6" s="322"/>
      <c r="B6" s="1178"/>
      <c r="C6" s="105" t="s">
        <v>50</v>
      </c>
      <c r="D6" s="98">
        <v>50</v>
      </c>
      <c r="E6" s="98">
        <v>557</v>
      </c>
      <c r="F6" s="98">
        <v>39</v>
      </c>
      <c r="G6" s="98">
        <v>141</v>
      </c>
      <c r="H6" s="98">
        <v>608</v>
      </c>
      <c r="I6" s="98">
        <v>43</v>
      </c>
      <c r="J6" s="98">
        <v>7</v>
      </c>
      <c r="K6" s="98">
        <v>51</v>
      </c>
      <c r="L6" s="421">
        <v>0</v>
      </c>
      <c r="M6" s="386">
        <v>0</v>
      </c>
      <c r="N6" s="179">
        <v>0</v>
      </c>
      <c r="O6" s="421">
        <f t="shared" si="0"/>
        <v>0</v>
      </c>
      <c r="P6" s="386">
        <f t="shared" si="0"/>
        <v>0</v>
      </c>
      <c r="Q6" s="179">
        <v>0</v>
      </c>
      <c r="R6" s="421">
        <v>0</v>
      </c>
      <c r="S6" s="386">
        <v>0</v>
      </c>
      <c r="T6" s="179">
        <v>0</v>
      </c>
      <c r="U6" s="421">
        <f t="shared" si="1"/>
        <v>0</v>
      </c>
      <c r="V6" s="386">
        <f t="shared" si="2"/>
        <v>39</v>
      </c>
      <c r="W6" s="179">
        <v>0</v>
      </c>
      <c r="X6" s="421">
        <v>0</v>
      </c>
      <c r="Y6" s="386">
        <v>39</v>
      </c>
      <c r="Z6" s="179">
        <v>0</v>
      </c>
      <c r="AA6" s="421">
        <f t="shared" si="3"/>
        <v>4</v>
      </c>
      <c r="AB6" s="386">
        <f t="shared" si="4"/>
        <v>0</v>
      </c>
      <c r="AC6" s="258">
        <f t="shared" si="5"/>
        <v>-100</v>
      </c>
      <c r="AD6" s="421">
        <v>4</v>
      </c>
      <c r="AE6" s="386">
        <v>39</v>
      </c>
      <c r="AF6" s="258">
        <f t="shared" si="6"/>
        <v>875</v>
      </c>
      <c r="AG6" s="421">
        <f t="shared" si="7"/>
        <v>1</v>
      </c>
      <c r="AH6" s="386">
        <f t="shared" si="7"/>
        <v>50</v>
      </c>
      <c r="AI6" s="265">
        <f>ROUND(((AH6/AG6-1)*100), 1)</f>
        <v>4900</v>
      </c>
      <c r="AJ6" s="421">
        <v>5</v>
      </c>
      <c r="AK6" s="386">
        <v>89</v>
      </c>
      <c r="AL6" s="265">
        <f>ROUND(((AK6/AJ6-1)*100), 1)</f>
        <v>1680</v>
      </c>
      <c r="AM6" s="726">
        <f t="shared" si="8"/>
        <v>21</v>
      </c>
      <c r="AN6" s="714">
        <f t="shared" si="9"/>
        <v>41</v>
      </c>
      <c r="AO6" s="705">
        <f>ROUND(((AN6/AM6-1)*100), 1)</f>
        <v>95.2</v>
      </c>
      <c r="AP6" s="742">
        <v>26</v>
      </c>
      <c r="AQ6" s="714">
        <v>130</v>
      </c>
      <c r="AR6" s="705">
        <f>ROUND(((AQ6/AP6-1)*100), 1)</f>
        <v>400</v>
      </c>
      <c r="AS6" s="742">
        <f t="shared" si="10"/>
        <v>1</v>
      </c>
      <c r="AT6" s="714">
        <f t="shared" si="10"/>
        <v>975</v>
      </c>
      <c r="AU6" s="705">
        <f>ROUND(((AT6/AS6-1)*100), 1)</f>
        <v>97400</v>
      </c>
      <c r="AV6" s="999">
        <v>27</v>
      </c>
      <c r="AW6" s="990">
        <v>1105</v>
      </c>
      <c r="AX6" s="705">
        <f>ROUND(((AW6/AV6-1)*100), 1)</f>
        <v>3992.6</v>
      </c>
      <c r="AY6" s="742">
        <f t="shared" si="11"/>
        <v>0</v>
      </c>
      <c r="AZ6" s="714">
        <f t="shared" si="12"/>
        <v>297</v>
      </c>
      <c r="BA6" s="751">
        <v>0</v>
      </c>
      <c r="BB6" s="742">
        <v>27</v>
      </c>
      <c r="BC6" s="714">
        <v>1402</v>
      </c>
      <c r="BD6" s="705">
        <f>ROUND(((BC6/BB6-1)*100), 1)</f>
        <v>5092.6000000000004</v>
      </c>
      <c r="BE6" s="742">
        <f t="shared" si="13"/>
        <v>0</v>
      </c>
      <c r="BF6" s="714">
        <f t="shared" si="13"/>
        <v>0</v>
      </c>
      <c r="BG6" s="751">
        <v>0</v>
      </c>
      <c r="BH6" s="742">
        <v>27</v>
      </c>
      <c r="BI6" s="714">
        <v>1402</v>
      </c>
      <c r="BJ6" s="705">
        <f>ROUND(((BI6/BH6-1)*100), 1)</f>
        <v>5092.6000000000004</v>
      </c>
      <c r="BK6" s="742">
        <f t="shared" si="14"/>
        <v>0</v>
      </c>
      <c r="BL6" s="714">
        <f t="shared" si="14"/>
        <v>1</v>
      </c>
      <c r="BM6" s="751">
        <v>0</v>
      </c>
      <c r="BN6" s="742">
        <v>27</v>
      </c>
      <c r="BO6" s="714">
        <v>1403</v>
      </c>
      <c r="BP6" s="705">
        <f>ROUND(((BO6/BN6-1)*100), 1)</f>
        <v>5096.3</v>
      </c>
      <c r="BQ6" s="742">
        <f t="shared" si="15"/>
        <v>23</v>
      </c>
      <c r="BR6" s="714">
        <f t="shared" si="15"/>
        <v>1</v>
      </c>
      <c r="BS6" s="753">
        <f>ROUND(((BR6/BQ6-1)*100), 1)</f>
        <v>-95.7</v>
      </c>
      <c r="BT6" s="742">
        <v>50</v>
      </c>
      <c r="BU6" s="714">
        <v>1404</v>
      </c>
      <c r="BV6" s="705">
        <f>ROUND(((BU6/BT6-1)*100), 1)</f>
        <v>2708</v>
      </c>
    </row>
    <row r="7" spans="1:74" ht="13.5" customHeight="1">
      <c r="A7" s="1174" t="s">
        <v>210</v>
      </c>
      <c r="B7" s="1176"/>
      <c r="C7" s="105" t="s">
        <v>53</v>
      </c>
      <c r="D7" s="98">
        <v>122</v>
      </c>
      <c r="E7" s="98">
        <v>61</v>
      </c>
      <c r="F7" s="98">
        <v>93</v>
      </c>
      <c r="G7" s="98">
        <v>38</v>
      </c>
      <c r="H7" s="98">
        <v>38</v>
      </c>
      <c r="I7" s="98">
        <v>3</v>
      </c>
      <c r="J7" s="98">
        <v>7</v>
      </c>
      <c r="K7" s="98">
        <v>5</v>
      </c>
      <c r="L7" s="421">
        <v>0</v>
      </c>
      <c r="M7" s="386">
        <v>5</v>
      </c>
      <c r="N7" s="179">
        <v>0</v>
      </c>
      <c r="O7" s="421">
        <f t="shared" si="0"/>
        <v>0</v>
      </c>
      <c r="P7" s="386">
        <f t="shared" si="0"/>
        <v>0</v>
      </c>
      <c r="Q7" s="179">
        <v>0</v>
      </c>
      <c r="R7" s="421">
        <v>0</v>
      </c>
      <c r="S7" s="386">
        <v>5</v>
      </c>
      <c r="T7" s="179">
        <v>0</v>
      </c>
      <c r="U7" s="421">
        <f t="shared" si="1"/>
        <v>0</v>
      </c>
      <c r="V7" s="386">
        <f t="shared" si="2"/>
        <v>0</v>
      </c>
      <c r="W7" s="179">
        <v>0</v>
      </c>
      <c r="X7" s="421">
        <v>0</v>
      </c>
      <c r="Y7" s="386">
        <v>5</v>
      </c>
      <c r="Z7" s="179">
        <v>0</v>
      </c>
      <c r="AA7" s="421">
        <f t="shared" si="3"/>
        <v>0</v>
      </c>
      <c r="AB7" s="386">
        <f t="shared" si="4"/>
        <v>0</v>
      </c>
      <c r="AC7" s="523">
        <v>0</v>
      </c>
      <c r="AD7" s="421">
        <v>0</v>
      </c>
      <c r="AE7" s="386">
        <v>5</v>
      </c>
      <c r="AF7" s="523">
        <v>0</v>
      </c>
      <c r="AG7" s="421">
        <f t="shared" si="7"/>
        <v>0</v>
      </c>
      <c r="AH7" s="386">
        <f t="shared" si="7"/>
        <v>0</v>
      </c>
      <c r="AI7" s="523">
        <v>0</v>
      </c>
      <c r="AJ7" s="421">
        <v>0</v>
      </c>
      <c r="AK7" s="386">
        <v>5</v>
      </c>
      <c r="AL7" s="523">
        <v>0</v>
      </c>
      <c r="AM7" s="726">
        <f t="shared" si="8"/>
        <v>5</v>
      </c>
      <c r="AN7" s="714">
        <f t="shared" si="9"/>
        <v>0</v>
      </c>
      <c r="AO7" s="705">
        <f>ROUND(((AN7/AM7-1)*100), 1)</f>
        <v>-100</v>
      </c>
      <c r="AP7" s="742">
        <v>5</v>
      </c>
      <c r="AQ7" s="714">
        <v>5</v>
      </c>
      <c r="AR7" s="705">
        <f>ROUND(((AQ7/AP7-1)*100), 1)</f>
        <v>0</v>
      </c>
      <c r="AS7" s="742">
        <f t="shared" si="10"/>
        <v>0</v>
      </c>
      <c r="AT7" s="714">
        <f t="shared" si="10"/>
        <v>0</v>
      </c>
      <c r="AU7" s="751">
        <v>0</v>
      </c>
      <c r="AV7" s="999">
        <v>5</v>
      </c>
      <c r="AW7" s="990">
        <v>5</v>
      </c>
      <c r="AX7" s="705">
        <f>ROUND(((AW7/AV7-1)*100), 1)</f>
        <v>0</v>
      </c>
      <c r="AY7" s="742">
        <f t="shared" si="11"/>
        <v>0</v>
      </c>
      <c r="AZ7" s="714">
        <f t="shared" si="12"/>
        <v>0</v>
      </c>
      <c r="BA7" s="751">
        <v>0</v>
      </c>
      <c r="BB7" s="742">
        <v>5</v>
      </c>
      <c r="BC7" s="714">
        <v>5</v>
      </c>
      <c r="BD7" s="705">
        <f>ROUND(((BC7/BB7-1)*100), 1)</f>
        <v>0</v>
      </c>
      <c r="BE7" s="742">
        <f t="shared" si="13"/>
        <v>0</v>
      </c>
      <c r="BF7" s="714">
        <f t="shared" si="13"/>
        <v>0</v>
      </c>
      <c r="BG7" s="751">
        <v>0</v>
      </c>
      <c r="BH7" s="742">
        <v>5</v>
      </c>
      <c r="BI7" s="714">
        <v>5</v>
      </c>
      <c r="BJ7" s="705">
        <f>ROUND(((BI7/BH7-1)*100), 1)</f>
        <v>0</v>
      </c>
      <c r="BK7" s="742">
        <f t="shared" si="14"/>
        <v>0</v>
      </c>
      <c r="BL7" s="714">
        <f t="shared" si="14"/>
        <v>0</v>
      </c>
      <c r="BM7" s="751">
        <v>0</v>
      </c>
      <c r="BN7" s="742">
        <v>5</v>
      </c>
      <c r="BO7" s="714">
        <v>5</v>
      </c>
      <c r="BP7" s="705">
        <f>ROUND(((BO7/BN7-1)*100), 1)</f>
        <v>0</v>
      </c>
      <c r="BQ7" s="742">
        <f t="shared" si="15"/>
        <v>0</v>
      </c>
      <c r="BR7" s="714">
        <f t="shared" si="15"/>
        <v>0</v>
      </c>
      <c r="BS7" s="751">
        <v>0</v>
      </c>
      <c r="BT7" s="742">
        <v>5</v>
      </c>
      <c r="BU7" s="714">
        <v>5</v>
      </c>
      <c r="BV7" s="705">
        <f>ROUND(((BU7/BT7-1)*100), 1)</f>
        <v>0</v>
      </c>
    </row>
    <row r="8" spans="1:74" ht="13.5" customHeight="1">
      <c r="A8" s="1174"/>
      <c r="B8" s="1176"/>
      <c r="C8" s="105" t="s">
        <v>101</v>
      </c>
      <c r="D8" s="98">
        <v>0</v>
      </c>
      <c r="E8" s="98"/>
      <c r="F8" s="98">
        <v>0</v>
      </c>
      <c r="G8" s="98">
        <v>0</v>
      </c>
      <c r="H8" s="98">
        <v>1</v>
      </c>
      <c r="I8" s="98">
        <v>42</v>
      </c>
      <c r="J8" s="98">
        <v>19</v>
      </c>
      <c r="K8" s="98">
        <v>3</v>
      </c>
      <c r="L8" s="421">
        <v>0</v>
      </c>
      <c r="M8" s="386">
        <v>0</v>
      </c>
      <c r="N8" s="179">
        <v>0</v>
      </c>
      <c r="O8" s="421">
        <f t="shared" si="0"/>
        <v>0</v>
      </c>
      <c r="P8" s="386">
        <f t="shared" si="0"/>
        <v>0</v>
      </c>
      <c r="Q8" s="179">
        <v>0</v>
      </c>
      <c r="R8" s="421">
        <v>0</v>
      </c>
      <c r="S8" s="386">
        <v>0</v>
      </c>
      <c r="T8" s="179">
        <v>0</v>
      </c>
      <c r="U8" s="421">
        <f t="shared" si="1"/>
        <v>0</v>
      </c>
      <c r="V8" s="386">
        <f t="shared" si="2"/>
        <v>0</v>
      </c>
      <c r="W8" s="179">
        <v>0</v>
      </c>
      <c r="X8" s="421">
        <v>0</v>
      </c>
      <c r="Y8" s="386">
        <v>0</v>
      </c>
      <c r="Z8" s="179">
        <v>0</v>
      </c>
      <c r="AA8" s="421">
        <f t="shared" si="3"/>
        <v>0</v>
      </c>
      <c r="AB8" s="386">
        <f t="shared" si="4"/>
        <v>0</v>
      </c>
      <c r="AC8" s="523">
        <v>0</v>
      </c>
      <c r="AD8" s="421">
        <v>0</v>
      </c>
      <c r="AE8" s="386">
        <v>0</v>
      </c>
      <c r="AF8" s="523">
        <v>0</v>
      </c>
      <c r="AG8" s="421">
        <f t="shared" si="7"/>
        <v>0</v>
      </c>
      <c r="AH8" s="386">
        <f t="shared" si="7"/>
        <v>0</v>
      </c>
      <c r="AI8" s="523">
        <v>0</v>
      </c>
      <c r="AJ8" s="421">
        <v>0</v>
      </c>
      <c r="AK8" s="386">
        <v>0</v>
      </c>
      <c r="AL8" s="523">
        <v>0</v>
      </c>
      <c r="AM8" s="726">
        <f t="shared" si="8"/>
        <v>0</v>
      </c>
      <c r="AN8" s="714">
        <f t="shared" si="9"/>
        <v>0</v>
      </c>
      <c r="AO8" s="695">
        <v>0</v>
      </c>
      <c r="AP8" s="742">
        <v>0</v>
      </c>
      <c r="AQ8" s="714">
        <v>0</v>
      </c>
      <c r="AR8" s="695">
        <v>0</v>
      </c>
      <c r="AS8" s="742">
        <f t="shared" si="10"/>
        <v>0</v>
      </c>
      <c r="AT8" s="714">
        <f t="shared" si="10"/>
        <v>0</v>
      </c>
      <c r="AU8" s="751">
        <v>0</v>
      </c>
      <c r="AV8" s="999">
        <v>0</v>
      </c>
      <c r="AW8" s="990">
        <v>0</v>
      </c>
      <c r="AX8" s="751">
        <v>0</v>
      </c>
      <c r="AY8" s="742">
        <f t="shared" si="11"/>
        <v>0</v>
      </c>
      <c r="AZ8" s="714">
        <f t="shared" si="12"/>
        <v>0</v>
      </c>
      <c r="BA8" s="751">
        <v>0</v>
      </c>
      <c r="BB8" s="742">
        <v>0</v>
      </c>
      <c r="BC8" s="714">
        <v>0</v>
      </c>
      <c r="BD8" s="751">
        <v>0</v>
      </c>
      <c r="BE8" s="742">
        <f t="shared" si="13"/>
        <v>0</v>
      </c>
      <c r="BF8" s="714">
        <f t="shared" si="13"/>
        <v>0</v>
      </c>
      <c r="BG8" s="751">
        <v>0</v>
      </c>
      <c r="BH8" s="742">
        <v>0</v>
      </c>
      <c r="BI8" s="714">
        <v>0</v>
      </c>
      <c r="BJ8" s="751">
        <v>0</v>
      </c>
      <c r="BK8" s="742">
        <f t="shared" si="14"/>
        <v>3</v>
      </c>
      <c r="BL8" s="714">
        <f t="shared" si="14"/>
        <v>0</v>
      </c>
      <c r="BM8" s="753">
        <f>ROUND(((BL8/BK8-1)*100), 1)</f>
        <v>-100</v>
      </c>
      <c r="BN8" s="742">
        <v>3</v>
      </c>
      <c r="BO8" s="714">
        <v>0</v>
      </c>
      <c r="BP8" s="753">
        <f>ROUND(((BO8/BN8-1)*100), 1)</f>
        <v>-100</v>
      </c>
      <c r="BQ8" s="742">
        <f t="shared" si="15"/>
        <v>0</v>
      </c>
      <c r="BR8" s="714">
        <f t="shared" si="15"/>
        <v>0</v>
      </c>
      <c r="BS8" s="751">
        <v>0</v>
      </c>
      <c r="BT8" s="742">
        <v>3</v>
      </c>
      <c r="BU8" s="714">
        <v>0</v>
      </c>
      <c r="BV8" s="753">
        <f>ROUND(((BU8/BT8-1)*100), 1)</f>
        <v>-100</v>
      </c>
    </row>
    <row r="9" spans="1:74" ht="13.5" customHeight="1">
      <c r="A9" s="96"/>
      <c r="B9" s="1176"/>
      <c r="C9" s="105" t="s">
        <v>51</v>
      </c>
      <c r="D9" s="98">
        <v>168</v>
      </c>
      <c r="E9" s="98">
        <v>74</v>
      </c>
      <c r="F9" s="98">
        <v>737</v>
      </c>
      <c r="G9" s="98">
        <v>243</v>
      </c>
      <c r="H9" s="98">
        <v>213</v>
      </c>
      <c r="I9" s="98">
        <v>370</v>
      </c>
      <c r="J9" s="98">
        <v>10</v>
      </c>
      <c r="K9" s="98">
        <v>2</v>
      </c>
      <c r="L9" s="421">
        <v>0</v>
      </c>
      <c r="M9" s="386">
        <v>23</v>
      </c>
      <c r="N9" s="179">
        <v>0</v>
      </c>
      <c r="O9" s="421">
        <f t="shared" si="0"/>
        <v>0</v>
      </c>
      <c r="P9" s="386">
        <f t="shared" si="0"/>
        <v>0</v>
      </c>
      <c r="Q9" s="179">
        <v>0</v>
      </c>
      <c r="R9" s="421">
        <v>0</v>
      </c>
      <c r="S9" s="386">
        <v>23</v>
      </c>
      <c r="T9" s="179">
        <v>0</v>
      </c>
      <c r="U9" s="421">
        <f t="shared" si="1"/>
        <v>0</v>
      </c>
      <c r="V9" s="386">
        <f t="shared" si="2"/>
        <v>0</v>
      </c>
      <c r="W9" s="179">
        <v>0</v>
      </c>
      <c r="X9" s="421">
        <v>0</v>
      </c>
      <c r="Y9" s="386">
        <v>23</v>
      </c>
      <c r="Z9" s="179">
        <v>0</v>
      </c>
      <c r="AA9" s="421">
        <f t="shared" si="3"/>
        <v>0</v>
      </c>
      <c r="AB9" s="386">
        <f t="shared" si="4"/>
        <v>25</v>
      </c>
      <c r="AC9" s="523">
        <v>0</v>
      </c>
      <c r="AD9" s="421">
        <v>0</v>
      </c>
      <c r="AE9" s="386">
        <v>48</v>
      </c>
      <c r="AF9" s="523">
        <v>0</v>
      </c>
      <c r="AG9" s="421">
        <f t="shared" si="7"/>
        <v>2</v>
      </c>
      <c r="AH9" s="386">
        <f t="shared" si="7"/>
        <v>42</v>
      </c>
      <c r="AI9" s="265">
        <f>ROUND(((AH9/AG9-1)*100), 1)</f>
        <v>2000</v>
      </c>
      <c r="AJ9" s="421">
        <v>2</v>
      </c>
      <c r="AK9" s="386">
        <v>90</v>
      </c>
      <c r="AL9" s="265">
        <f>ROUND(((AK9/AJ9-1)*100), 1)</f>
        <v>4400</v>
      </c>
      <c r="AM9" s="726">
        <f t="shared" si="8"/>
        <v>0</v>
      </c>
      <c r="AN9" s="714">
        <f t="shared" si="9"/>
        <v>0</v>
      </c>
      <c r="AO9" s="751">
        <v>0</v>
      </c>
      <c r="AP9" s="742">
        <v>2</v>
      </c>
      <c r="AQ9" s="714">
        <v>90</v>
      </c>
      <c r="AR9" s="705">
        <f>ROUND(((AQ9/AP9-1)*100), 1)</f>
        <v>4400</v>
      </c>
      <c r="AS9" s="742">
        <f t="shared" si="10"/>
        <v>0</v>
      </c>
      <c r="AT9" s="714">
        <f t="shared" si="10"/>
        <v>8</v>
      </c>
      <c r="AU9" s="751">
        <v>0</v>
      </c>
      <c r="AV9" s="999">
        <v>2</v>
      </c>
      <c r="AW9" s="990">
        <v>98</v>
      </c>
      <c r="AX9" s="705">
        <f>ROUND(((AW9/AV9-1)*100), 1)</f>
        <v>4800</v>
      </c>
      <c r="AY9" s="742">
        <f t="shared" si="11"/>
        <v>0</v>
      </c>
      <c r="AZ9" s="714">
        <f t="shared" si="12"/>
        <v>26</v>
      </c>
      <c r="BA9" s="751">
        <v>0</v>
      </c>
      <c r="BB9" s="742">
        <v>2</v>
      </c>
      <c r="BC9" s="714">
        <v>124</v>
      </c>
      <c r="BD9" s="705">
        <f>ROUND(((BC9/BB9-1)*100), 1)</f>
        <v>6100</v>
      </c>
      <c r="BE9" s="742">
        <f t="shared" si="13"/>
        <v>0</v>
      </c>
      <c r="BF9" s="714">
        <f t="shared" si="13"/>
        <v>0</v>
      </c>
      <c r="BG9" s="751">
        <v>0</v>
      </c>
      <c r="BH9" s="742">
        <v>2</v>
      </c>
      <c r="BI9" s="714">
        <v>124</v>
      </c>
      <c r="BJ9" s="705">
        <f>ROUND(((BI9/BH9-1)*100), 1)</f>
        <v>6100</v>
      </c>
      <c r="BK9" s="742">
        <f t="shared" si="14"/>
        <v>0</v>
      </c>
      <c r="BL9" s="714">
        <f t="shared" si="14"/>
        <v>25</v>
      </c>
      <c r="BM9" s="751">
        <v>0</v>
      </c>
      <c r="BN9" s="742">
        <v>2</v>
      </c>
      <c r="BO9" s="714">
        <v>149</v>
      </c>
      <c r="BP9" s="705">
        <f>ROUND(((BO9/BN9-1)*100), 1)</f>
        <v>7350</v>
      </c>
      <c r="BQ9" s="742">
        <f t="shared" si="15"/>
        <v>0</v>
      </c>
      <c r="BR9" s="714">
        <f t="shared" si="15"/>
        <v>25</v>
      </c>
      <c r="BS9" s="751">
        <v>0</v>
      </c>
      <c r="BT9" s="742">
        <v>2</v>
      </c>
      <c r="BU9" s="714">
        <v>174</v>
      </c>
      <c r="BV9" s="705">
        <f>ROUND(((BU9/BT9-1)*100), 1)</f>
        <v>8600</v>
      </c>
    </row>
    <row r="10" spans="1:74" ht="13.5" customHeight="1">
      <c r="A10" s="96"/>
      <c r="B10" s="1176"/>
      <c r="C10" s="105" t="s">
        <v>324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199</v>
      </c>
      <c r="K10" s="98">
        <v>0</v>
      </c>
      <c r="L10" s="421">
        <v>0</v>
      </c>
      <c r="M10" s="386">
        <v>0</v>
      </c>
      <c r="N10" s="179">
        <v>0</v>
      </c>
      <c r="O10" s="421">
        <f t="shared" si="0"/>
        <v>0</v>
      </c>
      <c r="P10" s="386">
        <f t="shared" si="0"/>
        <v>0</v>
      </c>
      <c r="Q10" s="179">
        <v>0</v>
      </c>
      <c r="R10" s="421">
        <v>0</v>
      </c>
      <c r="S10" s="386">
        <v>0</v>
      </c>
      <c r="T10" s="179">
        <v>0</v>
      </c>
      <c r="U10" s="421">
        <f t="shared" si="1"/>
        <v>0</v>
      </c>
      <c r="V10" s="386">
        <f t="shared" si="2"/>
        <v>0</v>
      </c>
      <c r="W10" s="179">
        <v>0</v>
      </c>
      <c r="X10" s="421">
        <v>0</v>
      </c>
      <c r="Y10" s="386">
        <v>0</v>
      </c>
      <c r="Z10" s="179">
        <v>0</v>
      </c>
      <c r="AA10" s="421">
        <f t="shared" si="3"/>
        <v>0</v>
      </c>
      <c r="AB10" s="386">
        <f t="shared" si="4"/>
        <v>0</v>
      </c>
      <c r="AC10" s="523">
        <v>0</v>
      </c>
      <c r="AD10" s="421">
        <v>0</v>
      </c>
      <c r="AE10" s="386">
        <v>0</v>
      </c>
      <c r="AF10" s="523">
        <v>0</v>
      </c>
      <c r="AG10" s="421">
        <f t="shared" si="7"/>
        <v>0</v>
      </c>
      <c r="AH10" s="386">
        <f t="shared" si="7"/>
        <v>0</v>
      </c>
      <c r="AI10" s="523">
        <v>0</v>
      </c>
      <c r="AJ10" s="421">
        <v>0</v>
      </c>
      <c r="AK10" s="386">
        <v>0</v>
      </c>
      <c r="AL10" s="523">
        <v>0</v>
      </c>
      <c r="AM10" s="726">
        <f t="shared" si="8"/>
        <v>0</v>
      </c>
      <c r="AN10" s="714">
        <f t="shared" si="9"/>
        <v>0</v>
      </c>
      <c r="AO10" s="695">
        <v>0</v>
      </c>
      <c r="AP10" s="742">
        <v>0</v>
      </c>
      <c r="AQ10" s="714">
        <v>0</v>
      </c>
      <c r="AR10" s="695">
        <v>0</v>
      </c>
      <c r="AS10" s="742">
        <f t="shared" si="10"/>
        <v>0</v>
      </c>
      <c r="AT10" s="714">
        <f t="shared" si="10"/>
        <v>0</v>
      </c>
      <c r="AU10" s="751">
        <v>0</v>
      </c>
      <c r="AV10" s="999">
        <v>0</v>
      </c>
      <c r="AW10" s="990">
        <v>0</v>
      </c>
      <c r="AX10" s="751">
        <v>0</v>
      </c>
      <c r="AY10" s="742">
        <f t="shared" si="11"/>
        <v>0</v>
      </c>
      <c r="AZ10" s="714">
        <f t="shared" si="12"/>
        <v>0</v>
      </c>
      <c r="BA10" s="751">
        <v>0</v>
      </c>
      <c r="BB10" s="742">
        <v>0</v>
      </c>
      <c r="BC10" s="714">
        <v>0</v>
      </c>
      <c r="BD10" s="751">
        <v>0</v>
      </c>
      <c r="BE10" s="742">
        <f t="shared" si="13"/>
        <v>0</v>
      </c>
      <c r="BF10" s="714">
        <f t="shared" si="13"/>
        <v>0</v>
      </c>
      <c r="BG10" s="751">
        <v>0</v>
      </c>
      <c r="BH10" s="742">
        <v>0</v>
      </c>
      <c r="BI10" s="714">
        <v>0</v>
      </c>
      <c r="BJ10" s="751">
        <v>0</v>
      </c>
      <c r="BK10" s="742">
        <f t="shared" si="14"/>
        <v>0</v>
      </c>
      <c r="BL10" s="714">
        <f t="shared" si="14"/>
        <v>0</v>
      </c>
      <c r="BM10" s="751">
        <v>0</v>
      </c>
      <c r="BN10" s="742">
        <v>0</v>
      </c>
      <c r="BO10" s="714">
        <v>0</v>
      </c>
      <c r="BP10" s="751">
        <v>0</v>
      </c>
      <c r="BQ10" s="742">
        <f t="shared" si="15"/>
        <v>0</v>
      </c>
      <c r="BR10" s="714">
        <f t="shared" si="15"/>
        <v>0</v>
      </c>
      <c r="BS10" s="751">
        <v>0</v>
      </c>
      <c r="BT10" s="742">
        <v>0</v>
      </c>
      <c r="BU10" s="714">
        <v>0</v>
      </c>
      <c r="BV10" s="751">
        <v>0</v>
      </c>
    </row>
    <row r="11" spans="1:74" ht="13.5" customHeight="1">
      <c r="A11" s="96"/>
      <c r="B11" s="1176"/>
      <c r="C11" s="105" t="s">
        <v>24</v>
      </c>
      <c r="D11" s="98">
        <f t="shared" ref="D11:M11" si="16">D12-SUM(D5:D10)</f>
        <v>3617</v>
      </c>
      <c r="E11" s="98">
        <f t="shared" si="16"/>
        <v>7086</v>
      </c>
      <c r="F11" s="98">
        <f t="shared" si="16"/>
        <v>11629</v>
      </c>
      <c r="G11" s="98">
        <f t="shared" si="16"/>
        <v>6271</v>
      </c>
      <c r="H11" s="98">
        <f t="shared" si="16"/>
        <v>108</v>
      </c>
      <c r="I11" s="98">
        <f t="shared" si="16"/>
        <v>43</v>
      </c>
      <c r="J11" s="98">
        <f t="shared" si="16"/>
        <v>45</v>
      </c>
      <c r="K11" s="98">
        <f t="shared" si="16"/>
        <v>1</v>
      </c>
      <c r="L11" s="421">
        <f t="shared" si="16"/>
        <v>1</v>
      </c>
      <c r="M11" s="386">
        <f t="shared" si="16"/>
        <v>0</v>
      </c>
      <c r="N11" s="431">
        <f>ROUND(((M11/L11-1)*100), 1)</f>
        <v>-100</v>
      </c>
      <c r="O11" s="421">
        <f>O12-SUM(O5:O10)</f>
        <v>0</v>
      </c>
      <c r="P11" s="386">
        <f>P12-SUM(P5:P10)</f>
        <v>0</v>
      </c>
      <c r="Q11" s="525">
        <v>0</v>
      </c>
      <c r="R11" s="421">
        <f>R12-SUM(R5:R10)</f>
        <v>1</v>
      </c>
      <c r="S11" s="386">
        <f>S12-SUM(S5:S10)</f>
        <v>0</v>
      </c>
      <c r="T11" s="431">
        <f t="shared" ref="T11:T21" si="17">ROUND(((S11/R11-1)*100), 1)</f>
        <v>-100</v>
      </c>
      <c r="U11" s="421">
        <f>U12-SUM(U5:U10)</f>
        <v>0</v>
      </c>
      <c r="V11" s="386">
        <f>V12-SUM(V5:V10)</f>
        <v>1</v>
      </c>
      <c r="W11" s="290">
        <v>0</v>
      </c>
      <c r="X11" s="421">
        <f>X12-SUM(X5:X10)</f>
        <v>1</v>
      </c>
      <c r="Y11" s="386">
        <f>Y12-SUM(Y5:Y10)</f>
        <v>1</v>
      </c>
      <c r="Z11" s="431">
        <f t="shared" ref="Z11:Z22" si="18">ROUND(((Y11/X11-1)*100), 1)</f>
        <v>0</v>
      </c>
      <c r="AA11" s="421">
        <f>AA12-SUM(AA5:AA10)</f>
        <v>0</v>
      </c>
      <c r="AB11" s="386">
        <f>AB12-SUM(AB5:AB10)</f>
        <v>0</v>
      </c>
      <c r="AC11" s="525">
        <v>0</v>
      </c>
      <c r="AD11" s="421">
        <f>AD12-SUM(AD5:AD10)</f>
        <v>1</v>
      </c>
      <c r="AE11" s="386">
        <f>AE12-SUM(AE5:AE10)</f>
        <v>1</v>
      </c>
      <c r="AF11" s="431">
        <f t="shared" ref="AF11:AF22" si="19">ROUND(((AE11/AD11-1)*100), 1)</f>
        <v>0</v>
      </c>
      <c r="AG11" s="421">
        <f>AG12-SUM(AG5:AG10)</f>
        <v>0</v>
      </c>
      <c r="AH11" s="386">
        <f>AH12-SUM(AH5:AH10)</f>
        <v>0</v>
      </c>
      <c r="AI11" s="525">
        <v>0</v>
      </c>
      <c r="AJ11" s="421">
        <f>AJ12-SUM(AJ5:AJ10)</f>
        <v>1</v>
      </c>
      <c r="AK11" s="386">
        <f>AK12-SUM(AK5:AK10)</f>
        <v>1</v>
      </c>
      <c r="AL11" s="431">
        <f t="shared" ref="AL11:AL22" si="20">ROUND(((AK11/AJ11-1)*100), 1)</f>
        <v>0</v>
      </c>
      <c r="AM11" s="726">
        <f>AM12-SUM(AM5:AM10)</f>
        <v>0</v>
      </c>
      <c r="AN11" s="714">
        <f>AN12-SUM(AN5:AN10)</f>
        <v>0</v>
      </c>
      <c r="AO11" s="708">
        <v>0</v>
      </c>
      <c r="AP11" s="742">
        <f>AP12-SUM(AP5:AP10)</f>
        <v>1</v>
      </c>
      <c r="AQ11" s="714">
        <f>AQ12-SUM(AQ5:AQ10)</f>
        <v>1</v>
      </c>
      <c r="AR11" s="736">
        <f t="shared" ref="AR11:AR22" si="21">ROUND(((AQ11/AP11-1)*100), 1)</f>
        <v>0</v>
      </c>
      <c r="AS11" s="742">
        <f>AS12-SUM(AS5:AS10)</f>
        <v>0</v>
      </c>
      <c r="AT11" s="714">
        <f>AT12-SUM(AT5:AT10)</f>
        <v>0</v>
      </c>
      <c r="AU11" s="708">
        <v>0</v>
      </c>
      <c r="AV11" s="999">
        <f>AV12-SUM(AV5:AV10)</f>
        <v>1</v>
      </c>
      <c r="AW11" s="990">
        <f>AW12-SUM(AW5:AW10)</f>
        <v>1</v>
      </c>
      <c r="AX11" s="736">
        <f t="shared" ref="AX11:AX22" si="22">ROUND(((AW11/AV11-1)*100), 1)</f>
        <v>0</v>
      </c>
      <c r="AY11" s="742">
        <f>AY12-SUM(AY5:AY10)</f>
        <v>0</v>
      </c>
      <c r="AZ11" s="714">
        <f>AZ12-SUM(AZ5:AZ10)</f>
        <v>0</v>
      </c>
      <c r="BA11" s="708">
        <v>0</v>
      </c>
      <c r="BB11" s="742">
        <f>BB12-SUM(BB5:BB10)</f>
        <v>1</v>
      </c>
      <c r="BC11" s="714">
        <f>BC12-SUM(BC5:BC10)</f>
        <v>1</v>
      </c>
      <c r="BD11" s="736">
        <f t="shared" ref="BD11:BD22" si="23">ROUND(((BC11/BB11-1)*100), 1)</f>
        <v>0</v>
      </c>
      <c r="BE11" s="742">
        <f>BE12-SUM(BE5:BE10)</f>
        <v>0</v>
      </c>
      <c r="BF11" s="714">
        <f>BF12-SUM(BF5:BF10)</f>
        <v>0</v>
      </c>
      <c r="BG11" s="708">
        <v>0</v>
      </c>
      <c r="BH11" s="742">
        <f>BH12-SUM(BH5:BH10)</f>
        <v>1</v>
      </c>
      <c r="BI11" s="714">
        <f>BI12-SUM(BI5:BI10)</f>
        <v>1</v>
      </c>
      <c r="BJ11" s="736">
        <f t="shared" ref="BJ11:BJ22" si="24">ROUND(((BI11/BH11-1)*100), 1)</f>
        <v>0</v>
      </c>
      <c r="BK11" s="742">
        <f>BK12-SUM(BK5:BK10)</f>
        <v>0</v>
      </c>
      <c r="BL11" s="714">
        <f>BL12-SUM(BL5:BL10)</f>
        <v>0</v>
      </c>
      <c r="BM11" s="708">
        <v>0</v>
      </c>
      <c r="BN11" s="742">
        <f>BN12-SUM(BN5:BN10)</f>
        <v>1</v>
      </c>
      <c r="BO11" s="714">
        <f>BO12-SUM(BO5:BO10)</f>
        <v>1</v>
      </c>
      <c r="BP11" s="736">
        <f t="shared" ref="BP11:BP22" si="25">ROUND(((BO11/BN11-1)*100), 1)</f>
        <v>0</v>
      </c>
      <c r="BQ11" s="742">
        <f>BQ12-SUM(BQ5:BQ10)</f>
        <v>0</v>
      </c>
      <c r="BR11" s="714">
        <f>BR12-SUM(BR5:BR10)</f>
        <v>0</v>
      </c>
      <c r="BS11" s="708">
        <v>0</v>
      </c>
      <c r="BT11" s="742">
        <f>BT12-SUM(BT5:BT10)</f>
        <v>1</v>
      </c>
      <c r="BU11" s="714">
        <f>BU12-SUM(BU5:BU10)</f>
        <v>1</v>
      </c>
      <c r="BV11" s="736">
        <f t="shared" ref="BV11:BV22" si="26">ROUND(((BU11/BT11-1)*100), 1)</f>
        <v>0</v>
      </c>
    </row>
    <row r="12" spans="1:74" ht="13.5" customHeight="1">
      <c r="A12" s="96"/>
      <c r="B12" s="1177"/>
      <c r="C12" s="45" t="s">
        <v>212</v>
      </c>
      <c r="D12" s="99">
        <v>4625</v>
      </c>
      <c r="E12" s="99">
        <v>8414</v>
      </c>
      <c r="F12" s="99">
        <v>12502</v>
      </c>
      <c r="G12" s="99">
        <v>6697</v>
      </c>
      <c r="H12" s="99">
        <v>1068</v>
      </c>
      <c r="I12" s="99">
        <v>1053</v>
      </c>
      <c r="J12" s="99">
        <v>784</v>
      </c>
      <c r="K12" s="99">
        <v>520</v>
      </c>
      <c r="L12" s="422">
        <v>39</v>
      </c>
      <c r="M12" s="387">
        <v>66</v>
      </c>
      <c r="N12" s="259">
        <f>ROUND(((M12/L12-1)*100), 1)</f>
        <v>69.2</v>
      </c>
      <c r="O12" s="422">
        <f t="shared" ref="O12:P26" si="27">R12-L12</f>
        <v>38</v>
      </c>
      <c r="P12" s="387">
        <f t="shared" si="27"/>
        <v>39</v>
      </c>
      <c r="Q12" s="270">
        <f t="shared" ref="Q12:Q20" si="28">ROUND(((P12/O12-1)*100), 1)</f>
        <v>2.6</v>
      </c>
      <c r="R12" s="422">
        <v>77</v>
      </c>
      <c r="S12" s="387">
        <v>105</v>
      </c>
      <c r="T12" s="270">
        <f t="shared" si="17"/>
        <v>36.4</v>
      </c>
      <c r="U12" s="422">
        <f t="shared" ref="U12:U26" si="29">X12-R12</f>
        <v>39</v>
      </c>
      <c r="V12" s="387">
        <f t="shared" ref="V12:V26" si="30">Y12-S12</f>
        <v>78</v>
      </c>
      <c r="W12" s="270">
        <f t="shared" ref="W12:W22" si="31">ROUND(((V12/U12-1)*100), 1)</f>
        <v>100</v>
      </c>
      <c r="X12" s="422">
        <v>116</v>
      </c>
      <c r="Y12" s="387">
        <v>183</v>
      </c>
      <c r="Z12" s="270">
        <f t="shared" si="18"/>
        <v>57.8</v>
      </c>
      <c r="AA12" s="422">
        <f t="shared" ref="AA12:AA26" si="32">AD12-X12</f>
        <v>42</v>
      </c>
      <c r="AB12" s="387">
        <f t="shared" ref="AB12:AB26" si="33">AE12-Y12</f>
        <v>64</v>
      </c>
      <c r="AC12" s="270">
        <f t="shared" ref="AC12:AC22" si="34">ROUND(((AB12/AA12-1)*100), 1)</f>
        <v>52.4</v>
      </c>
      <c r="AD12" s="422">
        <v>158</v>
      </c>
      <c r="AE12" s="387">
        <v>247</v>
      </c>
      <c r="AF12" s="270">
        <f t="shared" si="19"/>
        <v>56.3</v>
      </c>
      <c r="AG12" s="422">
        <f t="shared" ref="AG12:AH26" si="35">AJ12-AD12</f>
        <v>41</v>
      </c>
      <c r="AH12" s="387">
        <f t="shared" si="35"/>
        <v>92</v>
      </c>
      <c r="AI12" s="270">
        <f t="shared" ref="AI12:AI22" si="36">ROUND(((AH12/AG12-1)*100), 1)</f>
        <v>124.4</v>
      </c>
      <c r="AJ12" s="422">
        <v>199</v>
      </c>
      <c r="AK12" s="387">
        <v>339</v>
      </c>
      <c r="AL12" s="270">
        <f t="shared" si="20"/>
        <v>70.400000000000006</v>
      </c>
      <c r="AM12" s="727">
        <f t="shared" ref="AM12:AM26" si="37">AP12-AJ12</f>
        <v>65</v>
      </c>
      <c r="AN12" s="715">
        <f t="shared" ref="AN12:AN26" si="38">AQ12-AK12</f>
        <v>41</v>
      </c>
      <c r="AO12" s="699">
        <f t="shared" ref="AO12:AO21" si="39">ROUND(((AN12/AM12-1)*100), 1)</f>
        <v>-36.9</v>
      </c>
      <c r="AP12" s="727">
        <v>264</v>
      </c>
      <c r="AQ12" s="715">
        <v>380</v>
      </c>
      <c r="AR12" s="699">
        <f t="shared" si="21"/>
        <v>43.9</v>
      </c>
      <c r="AS12" s="727">
        <f t="shared" ref="AS12:AT26" si="40">AV12-AP12</f>
        <v>38</v>
      </c>
      <c r="AT12" s="715">
        <f t="shared" si="40"/>
        <v>1021</v>
      </c>
      <c r="AU12" s="699">
        <f t="shared" ref="AU12:AU21" si="41">ROUND(((AT12/AS12-1)*100), 1)</f>
        <v>2586.8000000000002</v>
      </c>
      <c r="AV12" s="1000">
        <v>302</v>
      </c>
      <c r="AW12" s="994">
        <v>1401</v>
      </c>
      <c r="AX12" s="699">
        <f t="shared" si="22"/>
        <v>363.9</v>
      </c>
      <c r="AY12" s="727">
        <f t="shared" ref="AY12:AY26" si="42">BB12-AV12</f>
        <v>38</v>
      </c>
      <c r="AZ12" s="715">
        <f t="shared" ref="AZ12:AZ26" si="43">BC12-AW12</f>
        <v>361</v>
      </c>
      <c r="BA12" s="699">
        <f t="shared" ref="BA12:BA17" si="44">ROUND(((AZ12/AY12-1)*100), 1)</f>
        <v>850</v>
      </c>
      <c r="BB12" s="727">
        <v>340</v>
      </c>
      <c r="BC12" s="715">
        <v>1762</v>
      </c>
      <c r="BD12" s="699">
        <f t="shared" si="23"/>
        <v>418.2</v>
      </c>
      <c r="BE12" s="727">
        <f t="shared" ref="BE12:BF26" si="45">BH12-BB12</f>
        <v>38</v>
      </c>
      <c r="BF12" s="715">
        <f t="shared" si="45"/>
        <v>39</v>
      </c>
      <c r="BG12" s="699">
        <f t="shared" ref="BG12:BG17" si="46">ROUND(((BF12/BE12-1)*100), 1)</f>
        <v>2.6</v>
      </c>
      <c r="BH12" s="727">
        <v>378</v>
      </c>
      <c r="BI12" s="715">
        <v>1801</v>
      </c>
      <c r="BJ12" s="699">
        <f t="shared" si="24"/>
        <v>376.5</v>
      </c>
      <c r="BK12" s="727">
        <f t="shared" ref="BK12:BL26" si="47">BN12-BH12</f>
        <v>41</v>
      </c>
      <c r="BL12" s="715">
        <f t="shared" si="47"/>
        <v>64</v>
      </c>
      <c r="BM12" s="699">
        <f t="shared" ref="BM12:BM17" si="48">ROUND(((BL12/BK12-1)*100), 1)</f>
        <v>56.1</v>
      </c>
      <c r="BN12" s="727">
        <v>419</v>
      </c>
      <c r="BO12" s="715">
        <v>1865</v>
      </c>
      <c r="BP12" s="699">
        <f t="shared" si="25"/>
        <v>345.1</v>
      </c>
      <c r="BQ12" s="727">
        <f t="shared" ref="BQ12:BR26" si="49">BT12-BN12</f>
        <v>62</v>
      </c>
      <c r="BR12" s="715">
        <f t="shared" si="49"/>
        <v>65</v>
      </c>
      <c r="BS12" s="699">
        <f t="shared" ref="BS12:BS17" si="50">ROUND(((BR12/BQ12-1)*100), 1)</f>
        <v>4.8</v>
      </c>
      <c r="BT12" s="727">
        <v>481</v>
      </c>
      <c r="BU12" s="715">
        <v>1930</v>
      </c>
      <c r="BV12" s="699">
        <f t="shared" si="26"/>
        <v>301.2</v>
      </c>
    </row>
    <row r="13" spans="1:74" ht="13.5" customHeight="1">
      <c r="A13" s="96"/>
      <c r="B13" s="1175" t="s">
        <v>295</v>
      </c>
      <c r="C13" s="103" t="s">
        <v>51</v>
      </c>
      <c r="D13" s="104">
        <v>772</v>
      </c>
      <c r="E13" s="104">
        <v>277</v>
      </c>
      <c r="F13" s="104">
        <v>311</v>
      </c>
      <c r="G13" s="104">
        <v>2299</v>
      </c>
      <c r="H13" s="104">
        <v>8488</v>
      </c>
      <c r="I13" s="104">
        <v>19393</v>
      </c>
      <c r="J13" s="104">
        <v>29816</v>
      </c>
      <c r="K13" s="104">
        <v>44568</v>
      </c>
      <c r="L13" s="420">
        <v>3161</v>
      </c>
      <c r="M13" s="385">
        <v>3899</v>
      </c>
      <c r="N13" s="263">
        <f t="shared" ref="N13:N21" si="51">ROUND(((M13/L13-1)*100), 1)</f>
        <v>23.3</v>
      </c>
      <c r="O13" s="420">
        <f t="shared" si="27"/>
        <v>2947</v>
      </c>
      <c r="P13" s="385">
        <f t="shared" si="27"/>
        <v>5446</v>
      </c>
      <c r="Q13" s="263">
        <f t="shared" si="28"/>
        <v>84.8</v>
      </c>
      <c r="R13" s="420">
        <v>6108</v>
      </c>
      <c r="S13" s="385">
        <v>9345</v>
      </c>
      <c r="T13" s="263">
        <f t="shared" si="17"/>
        <v>53</v>
      </c>
      <c r="U13" s="420">
        <f t="shared" si="29"/>
        <v>3192</v>
      </c>
      <c r="V13" s="385">
        <f t="shared" si="30"/>
        <v>5213</v>
      </c>
      <c r="W13" s="263">
        <f t="shared" si="31"/>
        <v>63.3</v>
      </c>
      <c r="X13" s="420">
        <v>9300</v>
      </c>
      <c r="Y13" s="385">
        <v>14558</v>
      </c>
      <c r="Z13" s="263">
        <f t="shared" si="18"/>
        <v>56.5</v>
      </c>
      <c r="AA13" s="420">
        <f t="shared" si="32"/>
        <v>3202</v>
      </c>
      <c r="AB13" s="385">
        <f t="shared" si="33"/>
        <v>2662</v>
      </c>
      <c r="AC13" s="263">
        <f t="shared" si="34"/>
        <v>-16.899999999999999</v>
      </c>
      <c r="AD13" s="420">
        <v>12502</v>
      </c>
      <c r="AE13" s="385">
        <v>17220</v>
      </c>
      <c r="AF13" s="263">
        <f t="shared" si="19"/>
        <v>37.700000000000003</v>
      </c>
      <c r="AG13" s="420">
        <f t="shared" si="35"/>
        <v>3801</v>
      </c>
      <c r="AH13" s="385">
        <f t="shared" si="35"/>
        <v>3093</v>
      </c>
      <c r="AI13" s="263">
        <f t="shared" si="36"/>
        <v>-18.600000000000001</v>
      </c>
      <c r="AJ13" s="420">
        <v>16303</v>
      </c>
      <c r="AK13" s="385">
        <v>20313</v>
      </c>
      <c r="AL13" s="263">
        <f t="shared" si="20"/>
        <v>24.6</v>
      </c>
      <c r="AM13" s="725">
        <f t="shared" si="37"/>
        <v>3784</v>
      </c>
      <c r="AN13" s="713">
        <f t="shared" si="38"/>
        <v>4049</v>
      </c>
      <c r="AO13" s="703">
        <f t="shared" si="39"/>
        <v>7</v>
      </c>
      <c r="AP13" s="741">
        <v>20087</v>
      </c>
      <c r="AQ13" s="713">
        <v>24362</v>
      </c>
      <c r="AR13" s="703">
        <f t="shared" si="21"/>
        <v>21.3</v>
      </c>
      <c r="AS13" s="741">
        <f t="shared" si="40"/>
        <v>3837</v>
      </c>
      <c r="AT13" s="713">
        <f t="shared" si="40"/>
        <v>4086</v>
      </c>
      <c r="AU13" s="703">
        <f t="shared" si="41"/>
        <v>6.5</v>
      </c>
      <c r="AV13" s="998">
        <v>23924</v>
      </c>
      <c r="AW13" s="988">
        <v>28448</v>
      </c>
      <c r="AX13" s="703">
        <f t="shared" si="22"/>
        <v>18.899999999999999</v>
      </c>
      <c r="AY13" s="741">
        <f t="shared" si="42"/>
        <v>3900</v>
      </c>
      <c r="AZ13" s="713">
        <f t="shared" si="43"/>
        <v>4856</v>
      </c>
      <c r="BA13" s="703">
        <f t="shared" si="44"/>
        <v>24.5</v>
      </c>
      <c r="BB13" s="741">
        <v>27824</v>
      </c>
      <c r="BC13" s="713">
        <v>33304</v>
      </c>
      <c r="BD13" s="703">
        <f t="shared" si="23"/>
        <v>19.7</v>
      </c>
      <c r="BE13" s="741">
        <f t="shared" si="45"/>
        <v>3257</v>
      </c>
      <c r="BF13" s="713">
        <f t="shared" si="45"/>
        <v>5671</v>
      </c>
      <c r="BG13" s="703">
        <f t="shared" si="46"/>
        <v>74.099999999999994</v>
      </c>
      <c r="BH13" s="741">
        <v>31081</v>
      </c>
      <c r="BI13" s="713">
        <v>38975</v>
      </c>
      <c r="BJ13" s="703">
        <f t="shared" si="24"/>
        <v>25.4</v>
      </c>
      <c r="BK13" s="741">
        <f t="shared" si="47"/>
        <v>5271</v>
      </c>
      <c r="BL13" s="713">
        <f t="shared" si="47"/>
        <v>4024</v>
      </c>
      <c r="BM13" s="703">
        <f t="shared" si="48"/>
        <v>-23.7</v>
      </c>
      <c r="BN13" s="741">
        <v>36352</v>
      </c>
      <c r="BO13" s="713">
        <v>42999</v>
      </c>
      <c r="BP13" s="703">
        <f t="shared" si="25"/>
        <v>18.3</v>
      </c>
      <c r="BQ13" s="741">
        <f t="shared" si="49"/>
        <v>4088</v>
      </c>
      <c r="BR13" s="713">
        <f t="shared" si="49"/>
        <v>4046</v>
      </c>
      <c r="BS13" s="703">
        <f t="shared" si="50"/>
        <v>-1</v>
      </c>
      <c r="BT13" s="741">
        <v>40440</v>
      </c>
      <c r="BU13" s="713">
        <v>47045</v>
      </c>
      <c r="BV13" s="703">
        <f t="shared" si="26"/>
        <v>16.3</v>
      </c>
    </row>
    <row r="14" spans="1:74" ht="13.5" customHeight="1">
      <c r="A14" s="96"/>
      <c r="B14" s="1176"/>
      <c r="C14" s="105" t="s">
        <v>53</v>
      </c>
      <c r="D14" s="98">
        <v>15646</v>
      </c>
      <c r="E14" s="98">
        <v>14295</v>
      </c>
      <c r="F14" s="98">
        <v>15153</v>
      </c>
      <c r="G14" s="98">
        <v>16798</v>
      </c>
      <c r="H14" s="98">
        <v>14549</v>
      </c>
      <c r="I14" s="98">
        <v>9848</v>
      </c>
      <c r="J14" s="98">
        <v>20172</v>
      </c>
      <c r="K14" s="98">
        <v>17661</v>
      </c>
      <c r="L14" s="421">
        <v>2501</v>
      </c>
      <c r="M14" s="386">
        <v>710</v>
      </c>
      <c r="N14" s="258">
        <f t="shared" si="51"/>
        <v>-71.599999999999994</v>
      </c>
      <c r="O14" s="421">
        <f t="shared" si="27"/>
        <v>1957</v>
      </c>
      <c r="P14" s="386">
        <f t="shared" si="27"/>
        <v>805</v>
      </c>
      <c r="Q14" s="258">
        <f t="shared" si="28"/>
        <v>-58.9</v>
      </c>
      <c r="R14" s="421">
        <v>4458</v>
      </c>
      <c r="S14" s="386">
        <v>1515</v>
      </c>
      <c r="T14" s="258">
        <f t="shared" si="17"/>
        <v>-66</v>
      </c>
      <c r="U14" s="421">
        <f t="shared" si="29"/>
        <v>2520</v>
      </c>
      <c r="V14" s="386">
        <f t="shared" si="30"/>
        <v>1093</v>
      </c>
      <c r="W14" s="258">
        <f t="shared" si="31"/>
        <v>-56.6</v>
      </c>
      <c r="X14" s="421">
        <v>6978</v>
      </c>
      <c r="Y14" s="386">
        <v>2608</v>
      </c>
      <c r="Z14" s="258">
        <f t="shared" si="18"/>
        <v>-62.6</v>
      </c>
      <c r="AA14" s="421">
        <f t="shared" si="32"/>
        <v>2635</v>
      </c>
      <c r="AB14" s="386">
        <f t="shared" si="33"/>
        <v>202</v>
      </c>
      <c r="AC14" s="258">
        <f t="shared" si="34"/>
        <v>-92.3</v>
      </c>
      <c r="AD14" s="421">
        <v>9613</v>
      </c>
      <c r="AE14" s="386">
        <v>2810</v>
      </c>
      <c r="AF14" s="258">
        <f t="shared" si="19"/>
        <v>-70.8</v>
      </c>
      <c r="AG14" s="421">
        <f t="shared" si="35"/>
        <v>1511</v>
      </c>
      <c r="AH14" s="386">
        <f t="shared" si="35"/>
        <v>628</v>
      </c>
      <c r="AI14" s="258">
        <f t="shared" si="36"/>
        <v>-58.4</v>
      </c>
      <c r="AJ14" s="421">
        <v>11124</v>
      </c>
      <c r="AK14" s="386">
        <v>3438</v>
      </c>
      <c r="AL14" s="258">
        <f t="shared" si="20"/>
        <v>-69.099999999999994</v>
      </c>
      <c r="AM14" s="726">
        <f t="shared" si="37"/>
        <v>1375</v>
      </c>
      <c r="AN14" s="714">
        <f t="shared" si="38"/>
        <v>1216</v>
      </c>
      <c r="AO14" s="698">
        <f t="shared" si="39"/>
        <v>-11.6</v>
      </c>
      <c r="AP14" s="742">
        <v>12499</v>
      </c>
      <c r="AQ14" s="714">
        <v>4654</v>
      </c>
      <c r="AR14" s="698">
        <f t="shared" si="21"/>
        <v>-62.8</v>
      </c>
      <c r="AS14" s="742">
        <f t="shared" si="40"/>
        <v>628</v>
      </c>
      <c r="AT14" s="714">
        <f t="shared" si="40"/>
        <v>973</v>
      </c>
      <c r="AU14" s="698">
        <f t="shared" si="41"/>
        <v>54.9</v>
      </c>
      <c r="AV14" s="999">
        <v>13127</v>
      </c>
      <c r="AW14" s="990">
        <v>5627</v>
      </c>
      <c r="AX14" s="698">
        <f t="shared" si="22"/>
        <v>-57.1</v>
      </c>
      <c r="AY14" s="742">
        <f t="shared" si="42"/>
        <v>710</v>
      </c>
      <c r="AZ14" s="714">
        <f t="shared" si="43"/>
        <v>1769</v>
      </c>
      <c r="BA14" s="698">
        <f t="shared" si="44"/>
        <v>149.19999999999999</v>
      </c>
      <c r="BB14" s="742">
        <v>13837</v>
      </c>
      <c r="BC14" s="714">
        <v>7396</v>
      </c>
      <c r="BD14" s="698">
        <f t="shared" si="23"/>
        <v>-46.5</v>
      </c>
      <c r="BE14" s="742">
        <f t="shared" si="45"/>
        <v>1144</v>
      </c>
      <c r="BF14" s="714">
        <f t="shared" si="45"/>
        <v>1018</v>
      </c>
      <c r="BG14" s="698">
        <f t="shared" si="46"/>
        <v>-11</v>
      </c>
      <c r="BH14" s="742">
        <v>14981</v>
      </c>
      <c r="BI14" s="714">
        <v>8414</v>
      </c>
      <c r="BJ14" s="698">
        <f t="shared" si="24"/>
        <v>-43.8</v>
      </c>
      <c r="BK14" s="742">
        <f t="shared" si="47"/>
        <v>1052</v>
      </c>
      <c r="BL14" s="714">
        <f t="shared" si="47"/>
        <v>1689</v>
      </c>
      <c r="BM14" s="698">
        <f t="shared" si="48"/>
        <v>60.6</v>
      </c>
      <c r="BN14" s="742">
        <v>16033</v>
      </c>
      <c r="BO14" s="714">
        <v>10103</v>
      </c>
      <c r="BP14" s="698">
        <f t="shared" si="25"/>
        <v>-37</v>
      </c>
      <c r="BQ14" s="742">
        <f t="shared" si="49"/>
        <v>692</v>
      </c>
      <c r="BR14" s="714">
        <f t="shared" si="49"/>
        <v>1071</v>
      </c>
      <c r="BS14" s="698">
        <f t="shared" si="50"/>
        <v>54.8</v>
      </c>
      <c r="BT14" s="742">
        <v>16725</v>
      </c>
      <c r="BU14" s="714">
        <v>11174</v>
      </c>
      <c r="BV14" s="753">
        <f>ROUND(((BU14/BT14-1)*100), 1)</f>
        <v>-33.200000000000003</v>
      </c>
    </row>
    <row r="15" spans="1:74" ht="13.5" customHeight="1">
      <c r="A15" s="96"/>
      <c r="B15" s="1176"/>
      <c r="C15" s="105" t="s">
        <v>126</v>
      </c>
      <c r="D15" s="98">
        <v>0</v>
      </c>
      <c r="E15" s="98">
        <v>166</v>
      </c>
      <c r="F15" s="98">
        <v>591</v>
      </c>
      <c r="G15" s="98">
        <v>0</v>
      </c>
      <c r="H15" s="98">
        <v>62</v>
      </c>
      <c r="I15" s="98">
        <v>0</v>
      </c>
      <c r="J15" s="98">
        <v>10385</v>
      </c>
      <c r="K15" s="98">
        <v>14127</v>
      </c>
      <c r="L15" s="421">
        <v>1443</v>
      </c>
      <c r="M15" s="386">
        <v>0</v>
      </c>
      <c r="N15" s="265">
        <f t="shared" si="51"/>
        <v>-100</v>
      </c>
      <c r="O15" s="421">
        <f t="shared" si="27"/>
        <v>1719</v>
      </c>
      <c r="P15" s="386">
        <f t="shared" si="27"/>
        <v>598</v>
      </c>
      <c r="Q15" s="265">
        <f t="shared" si="28"/>
        <v>-65.2</v>
      </c>
      <c r="R15" s="421">
        <v>3162</v>
      </c>
      <c r="S15" s="386">
        <v>598</v>
      </c>
      <c r="T15" s="265">
        <f t="shared" si="17"/>
        <v>-81.099999999999994</v>
      </c>
      <c r="U15" s="421">
        <f t="shared" si="29"/>
        <v>1801</v>
      </c>
      <c r="V15" s="386">
        <f t="shared" si="30"/>
        <v>602</v>
      </c>
      <c r="W15" s="265">
        <f t="shared" si="31"/>
        <v>-66.599999999999994</v>
      </c>
      <c r="X15" s="421">
        <v>4963</v>
      </c>
      <c r="Y15" s="386">
        <v>1200</v>
      </c>
      <c r="Z15" s="265">
        <f t="shared" si="18"/>
        <v>-75.8</v>
      </c>
      <c r="AA15" s="421">
        <f t="shared" si="32"/>
        <v>1524</v>
      </c>
      <c r="AB15" s="386">
        <f t="shared" si="33"/>
        <v>0</v>
      </c>
      <c r="AC15" s="265">
        <f t="shared" si="34"/>
        <v>-100</v>
      </c>
      <c r="AD15" s="421">
        <v>6487</v>
      </c>
      <c r="AE15" s="386">
        <v>1200</v>
      </c>
      <c r="AF15" s="265">
        <f t="shared" si="19"/>
        <v>-81.5</v>
      </c>
      <c r="AG15" s="421">
        <f t="shared" si="35"/>
        <v>829</v>
      </c>
      <c r="AH15" s="386">
        <f t="shared" si="35"/>
        <v>0</v>
      </c>
      <c r="AI15" s="265">
        <f t="shared" si="36"/>
        <v>-100</v>
      </c>
      <c r="AJ15" s="421">
        <v>7316</v>
      </c>
      <c r="AK15" s="386">
        <v>1200</v>
      </c>
      <c r="AL15" s="265">
        <f t="shared" si="20"/>
        <v>-83.6</v>
      </c>
      <c r="AM15" s="726">
        <f t="shared" si="37"/>
        <v>1505</v>
      </c>
      <c r="AN15" s="714">
        <f t="shared" si="38"/>
        <v>0</v>
      </c>
      <c r="AO15" s="705">
        <f t="shared" si="39"/>
        <v>-100</v>
      </c>
      <c r="AP15" s="742">
        <v>8821</v>
      </c>
      <c r="AQ15" s="714">
        <v>1200</v>
      </c>
      <c r="AR15" s="705">
        <f t="shared" si="21"/>
        <v>-86.4</v>
      </c>
      <c r="AS15" s="742">
        <f t="shared" si="40"/>
        <v>1501</v>
      </c>
      <c r="AT15" s="714">
        <f t="shared" si="40"/>
        <v>0</v>
      </c>
      <c r="AU15" s="705">
        <f t="shared" si="41"/>
        <v>-100</v>
      </c>
      <c r="AV15" s="999">
        <v>10322</v>
      </c>
      <c r="AW15" s="990">
        <v>1200</v>
      </c>
      <c r="AX15" s="705">
        <f t="shared" si="22"/>
        <v>-88.4</v>
      </c>
      <c r="AY15" s="742">
        <f t="shared" si="42"/>
        <v>1299</v>
      </c>
      <c r="AZ15" s="714">
        <f t="shared" si="43"/>
        <v>0</v>
      </c>
      <c r="BA15" s="705">
        <f t="shared" si="44"/>
        <v>-100</v>
      </c>
      <c r="BB15" s="742">
        <v>11621</v>
      </c>
      <c r="BC15" s="714">
        <v>1200</v>
      </c>
      <c r="BD15" s="705">
        <f t="shared" si="23"/>
        <v>-89.7</v>
      </c>
      <c r="BE15" s="742">
        <f t="shared" si="45"/>
        <v>1200</v>
      </c>
      <c r="BF15" s="714">
        <f t="shared" si="45"/>
        <v>0</v>
      </c>
      <c r="BG15" s="705">
        <f t="shared" si="46"/>
        <v>-100</v>
      </c>
      <c r="BH15" s="742">
        <v>12821</v>
      </c>
      <c r="BI15" s="714">
        <v>1200</v>
      </c>
      <c r="BJ15" s="705">
        <f t="shared" si="24"/>
        <v>-90.6</v>
      </c>
      <c r="BK15" s="742">
        <f t="shared" si="47"/>
        <v>1306</v>
      </c>
      <c r="BL15" s="714">
        <f t="shared" si="47"/>
        <v>0</v>
      </c>
      <c r="BM15" s="705">
        <f t="shared" si="48"/>
        <v>-100</v>
      </c>
      <c r="BN15" s="742">
        <v>14127</v>
      </c>
      <c r="BO15" s="714">
        <v>1200</v>
      </c>
      <c r="BP15" s="705">
        <f t="shared" si="25"/>
        <v>-91.5</v>
      </c>
      <c r="BQ15" s="742">
        <f t="shared" si="49"/>
        <v>0</v>
      </c>
      <c r="BR15" s="714">
        <f t="shared" si="49"/>
        <v>0</v>
      </c>
      <c r="BS15" s="751">
        <v>0</v>
      </c>
      <c r="BT15" s="742">
        <v>14127</v>
      </c>
      <c r="BU15" s="714">
        <v>1200</v>
      </c>
      <c r="BV15" s="705">
        <f t="shared" si="26"/>
        <v>-91.5</v>
      </c>
    </row>
    <row r="16" spans="1:74" ht="13.5" customHeight="1">
      <c r="A16" s="96"/>
      <c r="B16" s="1176"/>
      <c r="C16" s="105" t="s">
        <v>125</v>
      </c>
      <c r="D16" s="98">
        <v>7628</v>
      </c>
      <c r="E16" s="98">
        <v>5949</v>
      </c>
      <c r="F16" s="98">
        <v>7613</v>
      </c>
      <c r="G16" s="98">
        <v>6913</v>
      </c>
      <c r="H16" s="98">
        <v>1129</v>
      </c>
      <c r="I16" s="98">
        <v>3379</v>
      </c>
      <c r="J16" s="98">
        <v>12783</v>
      </c>
      <c r="K16" s="98">
        <v>11936</v>
      </c>
      <c r="L16" s="421">
        <v>1787</v>
      </c>
      <c r="M16" s="386">
        <v>91</v>
      </c>
      <c r="N16" s="258">
        <f t="shared" si="51"/>
        <v>-94.9</v>
      </c>
      <c r="O16" s="421">
        <f t="shared" si="27"/>
        <v>968</v>
      </c>
      <c r="P16" s="386">
        <f t="shared" si="27"/>
        <v>111</v>
      </c>
      <c r="Q16" s="258">
        <f t="shared" si="28"/>
        <v>-88.5</v>
      </c>
      <c r="R16" s="421">
        <v>2755</v>
      </c>
      <c r="S16" s="386">
        <v>202</v>
      </c>
      <c r="T16" s="258">
        <f t="shared" si="17"/>
        <v>-92.7</v>
      </c>
      <c r="U16" s="421">
        <f t="shared" si="29"/>
        <v>2252</v>
      </c>
      <c r="V16" s="386">
        <f t="shared" si="30"/>
        <v>91</v>
      </c>
      <c r="W16" s="258">
        <f t="shared" si="31"/>
        <v>-96</v>
      </c>
      <c r="X16" s="421">
        <v>5007</v>
      </c>
      <c r="Y16" s="386">
        <v>293</v>
      </c>
      <c r="Z16" s="258">
        <f t="shared" si="18"/>
        <v>-94.1</v>
      </c>
      <c r="AA16" s="421">
        <f t="shared" si="32"/>
        <v>1008</v>
      </c>
      <c r="AB16" s="386">
        <f t="shared" si="33"/>
        <v>0</v>
      </c>
      <c r="AC16" s="258">
        <f t="shared" si="34"/>
        <v>-100</v>
      </c>
      <c r="AD16" s="421">
        <v>6015</v>
      </c>
      <c r="AE16" s="386">
        <v>293</v>
      </c>
      <c r="AF16" s="258">
        <f t="shared" si="19"/>
        <v>-95.1</v>
      </c>
      <c r="AG16" s="421">
        <f t="shared" si="35"/>
        <v>1003</v>
      </c>
      <c r="AH16" s="386">
        <f t="shared" si="35"/>
        <v>0</v>
      </c>
      <c r="AI16" s="258">
        <f t="shared" si="36"/>
        <v>-100</v>
      </c>
      <c r="AJ16" s="421">
        <v>7018</v>
      </c>
      <c r="AK16" s="386">
        <v>293</v>
      </c>
      <c r="AL16" s="258">
        <f t="shared" si="20"/>
        <v>-95.8</v>
      </c>
      <c r="AM16" s="726">
        <f t="shared" si="37"/>
        <v>1</v>
      </c>
      <c r="AN16" s="714">
        <f t="shared" si="38"/>
        <v>0</v>
      </c>
      <c r="AO16" s="698">
        <f t="shared" si="39"/>
        <v>-100</v>
      </c>
      <c r="AP16" s="742">
        <v>7019</v>
      </c>
      <c r="AQ16" s="714">
        <v>293</v>
      </c>
      <c r="AR16" s="698">
        <f t="shared" si="21"/>
        <v>-95.8</v>
      </c>
      <c r="AS16" s="742">
        <f t="shared" si="40"/>
        <v>1210</v>
      </c>
      <c r="AT16" s="714">
        <f t="shared" si="40"/>
        <v>111</v>
      </c>
      <c r="AU16" s="698">
        <f t="shared" si="41"/>
        <v>-90.8</v>
      </c>
      <c r="AV16" s="999">
        <v>8229</v>
      </c>
      <c r="AW16" s="990">
        <v>404</v>
      </c>
      <c r="AX16" s="698">
        <f t="shared" si="22"/>
        <v>-95.1</v>
      </c>
      <c r="AY16" s="742">
        <f t="shared" si="42"/>
        <v>1201</v>
      </c>
      <c r="AZ16" s="714">
        <f t="shared" si="43"/>
        <v>90</v>
      </c>
      <c r="BA16" s="698">
        <f t="shared" si="44"/>
        <v>-92.5</v>
      </c>
      <c r="BB16" s="742">
        <v>9430</v>
      </c>
      <c r="BC16" s="714">
        <v>494</v>
      </c>
      <c r="BD16" s="698">
        <f t="shared" si="23"/>
        <v>-94.8</v>
      </c>
      <c r="BE16" s="742">
        <f t="shared" si="45"/>
        <v>698</v>
      </c>
      <c r="BF16" s="714">
        <f t="shared" si="45"/>
        <v>112</v>
      </c>
      <c r="BG16" s="698">
        <f t="shared" si="46"/>
        <v>-84</v>
      </c>
      <c r="BH16" s="742">
        <v>10128</v>
      </c>
      <c r="BI16" s="714">
        <v>606</v>
      </c>
      <c r="BJ16" s="698">
        <f t="shared" si="24"/>
        <v>-94</v>
      </c>
      <c r="BK16" s="742">
        <f t="shared" si="47"/>
        <v>1402</v>
      </c>
      <c r="BL16" s="714">
        <f t="shared" si="47"/>
        <v>203</v>
      </c>
      <c r="BM16" s="698">
        <f t="shared" si="48"/>
        <v>-85.5</v>
      </c>
      <c r="BN16" s="742">
        <v>11530</v>
      </c>
      <c r="BO16" s="714">
        <v>809</v>
      </c>
      <c r="BP16" s="698">
        <f t="shared" si="25"/>
        <v>-93</v>
      </c>
      <c r="BQ16" s="742">
        <f t="shared" si="49"/>
        <v>202</v>
      </c>
      <c r="BR16" s="714">
        <f t="shared" si="49"/>
        <v>203</v>
      </c>
      <c r="BS16" s="698">
        <f t="shared" si="50"/>
        <v>0.5</v>
      </c>
      <c r="BT16" s="742">
        <v>11732</v>
      </c>
      <c r="BU16" s="714">
        <v>1012</v>
      </c>
      <c r="BV16" s="698">
        <f t="shared" si="26"/>
        <v>-91.4</v>
      </c>
    </row>
    <row r="17" spans="1:74" ht="13.5" customHeight="1">
      <c r="A17" s="96"/>
      <c r="B17" s="1176"/>
      <c r="C17" s="105" t="s">
        <v>133</v>
      </c>
      <c r="D17" s="98">
        <v>1115</v>
      </c>
      <c r="E17" s="98">
        <v>800</v>
      </c>
      <c r="F17" s="98">
        <v>0</v>
      </c>
      <c r="G17" s="98">
        <v>0</v>
      </c>
      <c r="H17" s="98">
        <v>0</v>
      </c>
      <c r="I17" s="98">
        <v>0</v>
      </c>
      <c r="J17" s="98">
        <v>4330</v>
      </c>
      <c r="K17" s="98">
        <v>9813</v>
      </c>
      <c r="L17" s="421">
        <v>687</v>
      </c>
      <c r="M17" s="386">
        <v>489</v>
      </c>
      <c r="N17" s="265">
        <f t="shared" si="51"/>
        <v>-28.8</v>
      </c>
      <c r="O17" s="421">
        <f t="shared" si="27"/>
        <v>694</v>
      </c>
      <c r="P17" s="386">
        <f t="shared" si="27"/>
        <v>962</v>
      </c>
      <c r="Q17" s="265">
        <f t="shared" si="28"/>
        <v>38.6</v>
      </c>
      <c r="R17" s="421">
        <v>1381</v>
      </c>
      <c r="S17" s="386">
        <v>1451</v>
      </c>
      <c r="T17" s="265">
        <f t="shared" si="17"/>
        <v>5.0999999999999996</v>
      </c>
      <c r="U17" s="421">
        <f t="shared" si="29"/>
        <v>1316</v>
      </c>
      <c r="V17" s="386">
        <f t="shared" si="30"/>
        <v>504</v>
      </c>
      <c r="W17" s="265">
        <f t="shared" si="31"/>
        <v>-61.7</v>
      </c>
      <c r="X17" s="421">
        <v>2697</v>
      </c>
      <c r="Y17" s="386">
        <v>1955</v>
      </c>
      <c r="Z17" s="265">
        <f t="shared" si="18"/>
        <v>-27.5</v>
      </c>
      <c r="AA17" s="421">
        <f t="shared" si="32"/>
        <v>1000</v>
      </c>
      <c r="AB17" s="386">
        <f t="shared" si="33"/>
        <v>243</v>
      </c>
      <c r="AC17" s="265">
        <f t="shared" si="34"/>
        <v>-75.7</v>
      </c>
      <c r="AD17" s="421">
        <v>3697</v>
      </c>
      <c r="AE17" s="386">
        <v>2198</v>
      </c>
      <c r="AF17" s="265">
        <f t="shared" si="19"/>
        <v>-40.5</v>
      </c>
      <c r="AG17" s="421">
        <f t="shared" si="35"/>
        <v>990</v>
      </c>
      <c r="AH17" s="386">
        <f t="shared" si="35"/>
        <v>509</v>
      </c>
      <c r="AI17" s="265">
        <f t="shared" si="36"/>
        <v>-48.6</v>
      </c>
      <c r="AJ17" s="421">
        <v>4687</v>
      </c>
      <c r="AK17" s="386">
        <v>2707</v>
      </c>
      <c r="AL17" s="265">
        <f t="shared" si="20"/>
        <v>-42.2</v>
      </c>
      <c r="AM17" s="726">
        <f t="shared" si="37"/>
        <v>1001</v>
      </c>
      <c r="AN17" s="714">
        <f t="shared" si="38"/>
        <v>267</v>
      </c>
      <c r="AO17" s="705">
        <f t="shared" si="39"/>
        <v>-73.3</v>
      </c>
      <c r="AP17" s="742">
        <v>5688</v>
      </c>
      <c r="AQ17" s="714">
        <v>2974</v>
      </c>
      <c r="AR17" s="705">
        <f t="shared" si="21"/>
        <v>-47.7</v>
      </c>
      <c r="AS17" s="742">
        <f t="shared" si="40"/>
        <v>998</v>
      </c>
      <c r="AT17" s="714">
        <f t="shared" si="40"/>
        <v>228</v>
      </c>
      <c r="AU17" s="705">
        <f t="shared" si="41"/>
        <v>-77.2</v>
      </c>
      <c r="AV17" s="999">
        <v>6686</v>
      </c>
      <c r="AW17" s="990">
        <v>3202</v>
      </c>
      <c r="AX17" s="705">
        <f t="shared" si="22"/>
        <v>-52.1</v>
      </c>
      <c r="AY17" s="742">
        <f t="shared" si="42"/>
        <v>992</v>
      </c>
      <c r="AZ17" s="714">
        <f t="shared" si="43"/>
        <v>591</v>
      </c>
      <c r="BA17" s="705">
        <f t="shared" si="44"/>
        <v>-40.4</v>
      </c>
      <c r="BB17" s="742">
        <v>7678</v>
      </c>
      <c r="BC17" s="714">
        <v>3793</v>
      </c>
      <c r="BD17" s="705">
        <f t="shared" si="23"/>
        <v>-50.6</v>
      </c>
      <c r="BE17" s="742">
        <f t="shared" si="45"/>
        <v>1011</v>
      </c>
      <c r="BF17" s="714">
        <f t="shared" si="45"/>
        <v>1144</v>
      </c>
      <c r="BG17" s="705">
        <f t="shared" si="46"/>
        <v>13.2</v>
      </c>
      <c r="BH17" s="742">
        <v>8689</v>
      </c>
      <c r="BI17" s="714">
        <v>4937</v>
      </c>
      <c r="BJ17" s="705">
        <f t="shared" si="24"/>
        <v>-43.2</v>
      </c>
      <c r="BK17" s="742">
        <f t="shared" si="47"/>
        <v>603</v>
      </c>
      <c r="BL17" s="714">
        <f t="shared" si="47"/>
        <v>497</v>
      </c>
      <c r="BM17" s="705">
        <f t="shared" si="48"/>
        <v>-17.600000000000001</v>
      </c>
      <c r="BN17" s="742">
        <v>9292</v>
      </c>
      <c r="BO17" s="714">
        <v>5434</v>
      </c>
      <c r="BP17" s="705">
        <f t="shared" si="25"/>
        <v>-41.5</v>
      </c>
      <c r="BQ17" s="742">
        <f t="shared" si="49"/>
        <v>0</v>
      </c>
      <c r="BR17" s="714">
        <f t="shared" si="49"/>
        <v>550</v>
      </c>
      <c r="BS17" s="751">
        <v>0</v>
      </c>
      <c r="BT17" s="742">
        <v>9292</v>
      </c>
      <c r="BU17" s="714">
        <v>5984</v>
      </c>
      <c r="BV17" s="705">
        <f t="shared" si="26"/>
        <v>-35.6</v>
      </c>
    </row>
    <row r="18" spans="1:74" ht="13.5" customHeight="1">
      <c r="A18" s="96"/>
      <c r="B18" s="1176"/>
      <c r="C18" s="105" t="s">
        <v>129</v>
      </c>
      <c r="D18" s="98">
        <v>0</v>
      </c>
      <c r="E18" s="98">
        <v>0</v>
      </c>
      <c r="F18" s="98">
        <v>0</v>
      </c>
      <c r="G18" s="98">
        <v>0</v>
      </c>
      <c r="H18" s="98">
        <v>21</v>
      </c>
      <c r="I18" s="98">
        <v>146</v>
      </c>
      <c r="J18" s="98">
        <v>3275</v>
      </c>
      <c r="K18" s="98">
        <v>1997</v>
      </c>
      <c r="L18" s="421">
        <v>536</v>
      </c>
      <c r="M18" s="386">
        <v>0</v>
      </c>
      <c r="N18" s="258">
        <f t="shared" si="51"/>
        <v>-100</v>
      </c>
      <c r="O18" s="421">
        <f t="shared" si="27"/>
        <v>482</v>
      </c>
      <c r="P18" s="386">
        <f t="shared" si="27"/>
        <v>0</v>
      </c>
      <c r="Q18" s="258">
        <f t="shared" si="28"/>
        <v>-100</v>
      </c>
      <c r="R18" s="421">
        <v>1018</v>
      </c>
      <c r="S18" s="386">
        <v>0</v>
      </c>
      <c r="T18" s="258">
        <f t="shared" si="17"/>
        <v>-100</v>
      </c>
      <c r="U18" s="421">
        <f t="shared" si="29"/>
        <v>493</v>
      </c>
      <c r="V18" s="386">
        <f t="shared" si="30"/>
        <v>0</v>
      </c>
      <c r="W18" s="258">
        <f t="shared" si="31"/>
        <v>-100</v>
      </c>
      <c r="X18" s="421">
        <v>1511</v>
      </c>
      <c r="Y18" s="386">
        <v>0</v>
      </c>
      <c r="Z18" s="258">
        <f t="shared" si="18"/>
        <v>-100</v>
      </c>
      <c r="AA18" s="421">
        <f t="shared" si="32"/>
        <v>0</v>
      </c>
      <c r="AB18" s="386">
        <f t="shared" si="33"/>
        <v>0</v>
      </c>
      <c r="AC18" s="523">
        <v>0</v>
      </c>
      <c r="AD18" s="421">
        <v>1511</v>
      </c>
      <c r="AE18" s="386">
        <v>0</v>
      </c>
      <c r="AF18" s="258">
        <f t="shared" si="19"/>
        <v>-100</v>
      </c>
      <c r="AG18" s="421">
        <f t="shared" si="35"/>
        <v>287</v>
      </c>
      <c r="AH18" s="386">
        <f t="shared" si="35"/>
        <v>0</v>
      </c>
      <c r="AI18" s="258">
        <f t="shared" si="36"/>
        <v>-100</v>
      </c>
      <c r="AJ18" s="421">
        <v>1798</v>
      </c>
      <c r="AK18" s="386">
        <v>0</v>
      </c>
      <c r="AL18" s="258">
        <f t="shared" si="20"/>
        <v>-100</v>
      </c>
      <c r="AM18" s="726">
        <f t="shared" si="37"/>
        <v>199</v>
      </c>
      <c r="AN18" s="714">
        <f t="shared" si="38"/>
        <v>0</v>
      </c>
      <c r="AO18" s="698">
        <f t="shared" si="39"/>
        <v>-100</v>
      </c>
      <c r="AP18" s="742">
        <v>1997</v>
      </c>
      <c r="AQ18" s="714">
        <v>0</v>
      </c>
      <c r="AR18" s="698">
        <f t="shared" si="21"/>
        <v>-100</v>
      </c>
      <c r="AS18" s="742">
        <f t="shared" si="40"/>
        <v>0</v>
      </c>
      <c r="AT18" s="714">
        <f t="shared" si="40"/>
        <v>0</v>
      </c>
      <c r="AU18" s="751">
        <v>0</v>
      </c>
      <c r="AV18" s="999">
        <v>1997</v>
      </c>
      <c r="AW18" s="990">
        <v>0</v>
      </c>
      <c r="AX18" s="698">
        <f t="shared" si="22"/>
        <v>-100</v>
      </c>
      <c r="AY18" s="742">
        <f t="shared" si="42"/>
        <v>0</v>
      </c>
      <c r="AZ18" s="714">
        <f t="shared" si="43"/>
        <v>0</v>
      </c>
      <c r="BA18" s="751">
        <v>0</v>
      </c>
      <c r="BB18" s="742">
        <v>1997</v>
      </c>
      <c r="BC18" s="714">
        <v>0</v>
      </c>
      <c r="BD18" s="698">
        <f t="shared" si="23"/>
        <v>-100</v>
      </c>
      <c r="BE18" s="742">
        <f t="shared" si="45"/>
        <v>0</v>
      </c>
      <c r="BF18" s="714">
        <f t="shared" si="45"/>
        <v>0</v>
      </c>
      <c r="BG18" s="751">
        <v>0</v>
      </c>
      <c r="BH18" s="742">
        <v>1997</v>
      </c>
      <c r="BI18" s="714">
        <v>0</v>
      </c>
      <c r="BJ18" s="698">
        <f t="shared" si="24"/>
        <v>-100</v>
      </c>
      <c r="BK18" s="742">
        <f t="shared" si="47"/>
        <v>0</v>
      </c>
      <c r="BL18" s="714">
        <f t="shared" si="47"/>
        <v>0</v>
      </c>
      <c r="BM18" s="751">
        <v>0</v>
      </c>
      <c r="BN18" s="742">
        <v>1997</v>
      </c>
      <c r="BO18" s="714">
        <v>0</v>
      </c>
      <c r="BP18" s="698">
        <f t="shared" si="25"/>
        <v>-100</v>
      </c>
      <c r="BQ18" s="742">
        <f t="shared" si="49"/>
        <v>0</v>
      </c>
      <c r="BR18" s="714">
        <f t="shared" si="49"/>
        <v>0</v>
      </c>
      <c r="BS18" s="751">
        <v>0</v>
      </c>
      <c r="BT18" s="742">
        <v>1997</v>
      </c>
      <c r="BU18" s="714">
        <v>0</v>
      </c>
      <c r="BV18" s="753">
        <f>ROUND(((BU18/BT18-1)*100), 1)</f>
        <v>-100</v>
      </c>
    </row>
    <row r="19" spans="1:74" ht="13.5" customHeight="1">
      <c r="A19" s="96"/>
      <c r="B19" s="1176"/>
      <c r="C19" s="105" t="s">
        <v>326</v>
      </c>
      <c r="D19" s="98">
        <v>0</v>
      </c>
      <c r="E19" s="98">
        <v>0</v>
      </c>
      <c r="F19" s="98">
        <v>0</v>
      </c>
      <c r="G19" s="98">
        <v>18</v>
      </c>
      <c r="H19" s="98">
        <v>0</v>
      </c>
      <c r="I19" s="98">
        <v>1</v>
      </c>
      <c r="J19" s="98">
        <v>371</v>
      </c>
      <c r="K19" s="98">
        <v>1871</v>
      </c>
      <c r="L19" s="421">
        <v>24</v>
      </c>
      <c r="M19" s="386">
        <v>0</v>
      </c>
      <c r="N19" s="265">
        <f t="shared" si="51"/>
        <v>-100</v>
      </c>
      <c r="O19" s="421">
        <f t="shared" si="27"/>
        <v>417</v>
      </c>
      <c r="P19" s="386">
        <f t="shared" si="27"/>
        <v>0</v>
      </c>
      <c r="Q19" s="265">
        <f t="shared" si="28"/>
        <v>-100</v>
      </c>
      <c r="R19" s="421">
        <v>441</v>
      </c>
      <c r="S19" s="386">
        <v>0</v>
      </c>
      <c r="T19" s="265">
        <f t="shared" si="17"/>
        <v>-100</v>
      </c>
      <c r="U19" s="421">
        <f t="shared" si="29"/>
        <v>114</v>
      </c>
      <c r="V19" s="386">
        <f t="shared" si="30"/>
        <v>0</v>
      </c>
      <c r="W19" s="265">
        <f t="shared" si="31"/>
        <v>-100</v>
      </c>
      <c r="X19" s="421">
        <v>555</v>
      </c>
      <c r="Y19" s="386">
        <v>0</v>
      </c>
      <c r="Z19" s="265">
        <f t="shared" si="18"/>
        <v>-100</v>
      </c>
      <c r="AA19" s="421">
        <f t="shared" si="32"/>
        <v>324</v>
      </c>
      <c r="AB19" s="386">
        <f t="shared" si="33"/>
        <v>0</v>
      </c>
      <c r="AC19" s="265">
        <f t="shared" si="34"/>
        <v>-100</v>
      </c>
      <c r="AD19" s="421">
        <v>879</v>
      </c>
      <c r="AE19" s="386">
        <v>0</v>
      </c>
      <c r="AF19" s="265">
        <f t="shared" si="19"/>
        <v>-100</v>
      </c>
      <c r="AG19" s="421">
        <f t="shared" si="35"/>
        <v>322</v>
      </c>
      <c r="AH19" s="386">
        <f t="shared" si="35"/>
        <v>0</v>
      </c>
      <c r="AI19" s="265">
        <f t="shared" si="36"/>
        <v>-100</v>
      </c>
      <c r="AJ19" s="421">
        <v>1201</v>
      </c>
      <c r="AK19" s="386">
        <v>0</v>
      </c>
      <c r="AL19" s="265">
        <f t="shared" si="20"/>
        <v>-100</v>
      </c>
      <c r="AM19" s="726">
        <f t="shared" si="37"/>
        <v>322</v>
      </c>
      <c r="AN19" s="714">
        <f t="shared" si="38"/>
        <v>0</v>
      </c>
      <c r="AO19" s="705">
        <f t="shared" si="39"/>
        <v>-100</v>
      </c>
      <c r="AP19" s="742">
        <v>1523</v>
      </c>
      <c r="AQ19" s="714">
        <v>0</v>
      </c>
      <c r="AR19" s="705">
        <f t="shared" si="21"/>
        <v>-100</v>
      </c>
      <c r="AS19" s="742">
        <f t="shared" si="40"/>
        <v>140</v>
      </c>
      <c r="AT19" s="714">
        <f t="shared" si="40"/>
        <v>0</v>
      </c>
      <c r="AU19" s="705">
        <f t="shared" si="41"/>
        <v>-100</v>
      </c>
      <c r="AV19" s="999">
        <v>1663</v>
      </c>
      <c r="AW19" s="990">
        <v>0</v>
      </c>
      <c r="AX19" s="705">
        <f t="shared" si="22"/>
        <v>-100</v>
      </c>
      <c r="AY19" s="742">
        <f t="shared" si="42"/>
        <v>162</v>
      </c>
      <c r="AZ19" s="714">
        <f t="shared" si="43"/>
        <v>0</v>
      </c>
      <c r="BA19" s="705">
        <f t="shared" ref="BA19:BA21" si="52">ROUND(((AZ19/AY19-1)*100), 1)</f>
        <v>-100</v>
      </c>
      <c r="BB19" s="742">
        <v>1825</v>
      </c>
      <c r="BC19" s="714">
        <v>0</v>
      </c>
      <c r="BD19" s="705">
        <f t="shared" si="23"/>
        <v>-100</v>
      </c>
      <c r="BE19" s="742">
        <f t="shared" si="45"/>
        <v>0</v>
      </c>
      <c r="BF19" s="714">
        <f t="shared" si="45"/>
        <v>0</v>
      </c>
      <c r="BG19" s="751">
        <v>0</v>
      </c>
      <c r="BH19" s="742">
        <v>1825</v>
      </c>
      <c r="BI19" s="714">
        <v>0</v>
      </c>
      <c r="BJ19" s="705">
        <f t="shared" si="24"/>
        <v>-100</v>
      </c>
      <c r="BK19" s="742">
        <f t="shared" si="47"/>
        <v>46</v>
      </c>
      <c r="BL19" s="714">
        <f t="shared" si="47"/>
        <v>0</v>
      </c>
      <c r="BM19" s="753">
        <f>ROUND(((BL19/BK19-1)*100), 1)</f>
        <v>-100</v>
      </c>
      <c r="BN19" s="742">
        <v>1871</v>
      </c>
      <c r="BO19" s="714">
        <v>0</v>
      </c>
      <c r="BP19" s="705">
        <f t="shared" si="25"/>
        <v>-100</v>
      </c>
      <c r="BQ19" s="742">
        <f t="shared" si="49"/>
        <v>0</v>
      </c>
      <c r="BR19" s="714">
        <f t="shared" si="49"/>
        <v>0</v>
      </c>
      <c r="BS19" s="751">
        <v>0</v>
      </c>
      <c r="BT19" s="742">
        <v>1871</v>
      </c>
      <c r="BU19" s="714">
        <v>0</v>
      </c>
      <c r="BV19" s="705">
        <f t="shared" si="26"/>
        <v>-100</v>
      </c>
    </row>
    <row r="20" spans="1:74" ht="13.5" customHeight="1">
      <c r="A20" s="96"/>
      <c r="B20" s="1176"/>
      <c r="C20" s="105" t="s">
        <v>52</v>
      </c>
      <c r="D20" s="98">
        <v>0</v>
      </c>
      <c r="E20" s="98">
        <v>0</v>
      </c>
      <c r="F20" s="98">
        <v>21</v>
      </c>
      <c r="G20" s="98">
        <v>0</v>
      </c>
      <c r="H20" s="98">
        <v>0</v>
      </c>
      <c r="I20" s="98">
        <v>0</v>
      </c>
      <c r="J20" s="98">
        <v>641</v>
      </c>
      <c r="K20" s="98">
        <v>1783</v>
      </c>
      <c r="L20" s="421">
        <v>178</v>
      </c>
      <c r="M20" s="386">
        <v>25</v>
      </c>
      <c r="N20" s="265">
        <f t="shared" si="51"/>
        <v>-86</v>
      </c>
      <c r="O20" s="421">
        <f t="shared" si="27"/>
        <v>145</v>
      </c>
      <c r="P20" s="386">
        <f t="shared" si="27"/>
        <v>48</v>
      </c>
      <c r="Q20" s="265">
        <f t="shared" si="28"/>
        <v>-66.900000000000006</v>
      </c>
      <c r="R20" s="421">
        <v>323</v>
      </c>
      <c r="S20" s="386">
        <v>73</v>
      </c>
      <c r="T20" s="265">
        <f t="shared" si="17"/>
        <v>-77.400000000000006</v>
      </c>
      <c r="U20" s="421">
        <f t="shared" si="29"/>
        <v>161</v>
      </c>
      <c r="V20" s="386">
        <f t="shared" si="30"/>
        <v>26</v>
      </c>
      <c r="W20" s="265">
        <f t="shared" si="31"/>
        <v>-83.9</v>
      </c>
      <c r="X20" s="421">
        <v>484</v>
      </c>
      <c r="Y20" s="386">
        <v>99</v>
      </c>
      <c r="Z20" s="265">
        <f t="shared" si="18"/>
        <v>-79.5</v>
      </c>
      <c r="AA20" s="421">
        <f t="shared" si="32"/>
        <v>24</v>
      </c>
      <c r="AB20" s="386">
        <f t="shared" si="33"/>
        <v>0</v>
      </c>
      <c r="AC20" s="265">
        <f t="shared" si="34"/>
        <v>-100</v>
      </c>
      <c r="AD20" s="421">
        <v>508</v>
      </c>
      <c r="AE20" s="386">
        <v>99</v>
      </c>
      <c r="AF20" s="265">
        <f t="shared" si="19"/>
        <v>-80.5</v>
      </c>
      <c r="AG20" s="421">
        <f t="shared" si="35"/>
        <v>24</v>
      </c>
      <c r="AH20" s="386">
        <f t="shared" si="35"/>
        <v>0</v>
      </c>
      <c r="AI20" s="265">
        <f t="shared" si="36"/>
        <v>-100</v>
      </c>
      <c r="AJ20" s="421">
        <v>532</v>
      </c>
      <c r="AK20" s="386">
        <v>99</v>
      </c>
      <c r="AL20" s="265">
        <f t="shared" si="20"/>
        <v>-81.400000000000006</v>
      </c>
      <c r="AM20" s="726">
        <f t="shared" si="37"/>
        <v>211</v>
      </c>
      <c r="AN20" s="714">
        <f t="shared" si="38"/>
        <v>24</v>
      </c>
      <c r="AO20" s="705">
        <f t="shared" si="39"/>
        <v>-88.6</v>
      </c>
      <c r="AP20" s="742">
        <v>743</v>
      </c>
      <c r="AQ20" s="714">
        <v>123</v>
      </c>
      <c r="AR20" s="705">
        <f t="shared" si="21"/>
        <v>-83.4</v>
      </c>
      <c r="AS20" s="742">
        <f t="shared" si="40"/>
        <v>370</v>
      </c>
      <c r="AT20" s="714">
        <f t="shared" si="40"/>
        <v>0</v>
      </c>
      <c r="AU20" s="705">
        <f t="shared" si="41"/>
        <v>-100</v>
      </c>
      <c r="AV20" s="999">
        <v>1113</v>
      </c>
      <c r="AW20" s="990">
        <v>123</v>
      </c>
      <c r="AX20" s="705">
        <f t="shared" si="22"/>
        <v>-88.9</v>
      </c>
      <c r="AY20" s="742">
        <f t="shared" si="42"/>
        <v>249</v>
      </c>
      <c r="AZ20" s="714">
        <f t="shared" si="43"/>
        <v>25</v>
      </c>
      <c r="BA20" s="705">
        <f t="shared" si="52"/>
        <v>-90</v>
      </c>
      <c r="BB20" s="742">
        <v>1362</v>
      </c>
      <c r="BC20" s="714">
        <v>148</v>
      </c>
      <c r="BD20" s="705">
        <f t="shared" si="23"/>
        <v>-89.1</v>
      </c>
      <c r="BE20" s="742">
        <f t="shared" si="45"/>
        <v>230</v>
      </c>
      <c r="BF20" s="714">
        <f t="shared" si="45"/>
        <v>0</v>
      </c>
      <c r="BG20" s="705">
        <f t="shared" ref="BG20:BG21" si="53">ROUND(((BF20/BE20-1)*100), 1)</f>
        <v>-100</v>
      </c>
      <c r="BH20" s="742">
        <v>1592</v>
      </c>
      <c r="BI20" s="714">
        <v>148</v>
      </c>
      <c r="BJ20" s="705">
        <f t="shared" si="24"/>
        <v>-90.7</v>
      </c>
      <c r="BK20" s="742">
        <f t="shared" si="47"/>
        <v>94</v>
      </c>
      <c r="BL20" s="714">
        <f t="shared" si="47"/>
        <v>25</v>
      </c>
      <c r="BM20" s="705">
        <f t="shared" ref="BM20:BM21" si="54">ROUND(((BL20/BK20-1)*100), 1)</f>
        <v>-73.400000000000006</v>
      </c>
      <c r="BN20" s="742">
        <v>1686</v>
      </c>
      <c r="BO20" s="714">
        <v>173</v>
      </c>
      <c r="BP20" s="705">
        <f t="shared" si="25"/>
        <v>-89.7</v>
      </c>
      <c r="BQ20" s="742">
        <f t="shared" si="49"/>
        <v>71</v>
      </c>
      <c r="BR20" s="714">
        <f t="shared" si="49"/>
        <v>26</v>
      </c>
      <c r="BS20" s="705">
        <f>ROUND(((BR20/BQ20-1)*100), 1)</f>
        <v>-63.4</v>
      </c>
      <c r="BT20" s="742">
        <v>1757</v>
      </c>
      <c r="BU20" s="714">
        <v>199</v>
      </c>
      <c r="BV20" s="705">
        <f t="shared" si="26"/>
        <v>-88.7</v>
      </c>
    </row>
    <row r="21" spans="1:74" ht="13.5" customHeight="1">
      <c r="A21" s="96"/>
      <c r="B21" s="1176"/>
      <c r="C21" s="105" t="s">
        <v>213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6042</v>
      </c>
      <c r="K21" s="98">
        <v>1378</v>
      </c>
      <c r="L21" s="421">
        <v>363</v>
      </c>
      <c r="M21" s="386">
        <v>0</v>
      </c>
      <c r="N21" s="265">
        <f t="shared" si="51"/>
        <v>-100</v>
      </c>
      <c r="O21" s="421">
        <f t="shared" si="27"/>
        <v>0</v>
      </c>
      <c r="P21" s="386">
        <f t="shared" si="27"/>
        <v>0</v>
      </c>
      <c r="Q21" s="523">
        <v>0</v>
      </c>
      <c r="R21" s="421">
        <v>363</v>
      </c>
      <c r="S21" s="386">
        <v>0</v>
      </c>
      <c r="T21" s="265">
        <f t="shared" si="17"/>
        <v>-100</v>
      </c>
      <c r="U21" s="421">
        <f t="shared" si="29"/>
        <v>102</v>
      </c>
      <c r="V21" s="386">
        <f t="shared" si="30"/>
        <v>0</v>
      </c>
      <c r="W21" s="265">
        <f t="shared" si="31"/>
        <v>-100</v>
      </c>
      <c r="X21" s="421">
        <v>465</v>
      </c>
      <c r="Y21" s="386">
        <v>0</v>
      </c>
      <c r="Z21" s="265">
        <f t="shared" si="18"/>
        <v>-100</v>
      </c>
      <c r="AA21" s="421">
        <f t="shared" si="32"/>
        <v>101</v>
      </c>
      <c r="AB21" s="386">
        <f t="shared" si="33"/>
        <v>0</v>
      </c>
      <c r="AC21" s="265">
        <f t="shared" si="34"/>
        <v>-100</v>
      </c>
      <c r="AD21" s="421">
        <v>566</v>
      </c>
      <c r="AE21" s="386">
        <v>0</v>
      </c>
      <c r="AF21" s="265">
        <f t="shared" si="19"/>
        <v>-100</v>
      </c>
      <c r="AG21" s="421">
        <f t="shared" si="35"/>
        <v>102</v>
      </c>
      <c r="AH21" s="386">
        <f t="shared" si="35"/>
        <v>0</v>
      </c>
      <c r="AI21" s="265">
        <f t="shared" si="36"/>
        <v>-100</v>
      </c>
      <c r="AJ21" s="421">
        <v>668</v>
      </c>
      <c r="AK21" s="386">
        <v>0</v>
      </c>
      <c r="AL21" s="265">
        <f t="shared" si="20"/>
        <v>-100</v>
      </c>
      <c r="AM21" s="726">
        <f t="shared" si="37"/>
        <v>101</v>
      </c>
      <c r="AN21" s="714">
        <f t="shared" si="38"/>
        <v>0</v>
      </c>
      <c r="AO21" s="705">
        <f t="shared" si="39"/>
        <v>-100</v>
      </c>
      <c r="AP21" s="742">
        <v>769</v>
      </c>
      <c r="AQ21" s="714">
        <v>0</v>
      </c>
      <c r="AR21" s="705">
        <f t="shared" si="21"/>
        <v>-100</v>
      </c>
      <c r="AS21" s="742">
        <f t="shared" si="40"/>
        <v>102</v>
      </c>
      <c r="AT21" s="714">
        <f t="shared" si="40"/>
        <v>0</v>
      </c>
      <c r="AU21" s="705">
        <f t="shared" si="41"/>
        <v>-100</v>
      </c>
      <c r="AV21" s="999">
        <v>871</v>
      </c>
      <c r="AW21" s="990">
        <v>0</v>
      </c>
      <c r="AX21" s="705">
        <f t="shared" si="22"/>
        <v>-100</v>
      </c>
      <c r="AY21" s="742">
        <f t="shared" si="42"/>
        <v>101</v>
      </c>
      <c r="AZ21" s="714">
        <f t="shared" si="43"/>
        <v>0</v>
      </c>
      <c r="BA21" s="705">
        <f t="shared" si="52"/>
        <v>-100</v>
      </c>
      <c r="BB21" s="742">
        <v>972</v>
      </c>
      <c r="BC21" s="714">
        <v>0</v>
      </c>
      <c r="BD21" s="705">
        <f t="shared" si="23"/>
        <v>-100</v>
      </c>
      <c r="BE21" s="742">
        <f t="shared" si="45"/>
        <v>102</v>
      </c>
      <c r="BF21" s="714">
        <f t="shared" si="45"/>
        <v>0</v>
      </c>
      <c r="BG21" s="705">
        <f t="shared" si="53"/>
        <v>-100</v>
      </c>
      <c r="BH21" s="742">
        <v>1074</v>
      </c>
      <c r="BI21" s="714">
        <v>0</v>
      </c>
      <c r="BJ21" s="705">
        <f t="shared" si="24"/>
        <v>-100</v>
      </c>
      <c r="BK21" s="742">
        <f t="shared" si="47"/>
        <v>102</v>
      </c>
      <c r="BL21" s="714">
        <f t="shared" si="47"/>
        <v>0</v>
      </c>
      <c r="BM21" s="705">
        <f t="shared" si="54"/>
        <v>-100</v>
      </c>
      <c r="BN21" s="742">
        <v>1176</v>
      </c>
      <c r="BO21" s="714">
        <v>0</v>
      </c>
      <c r="BP21" s="705">
        <f t="shared" si="25"/>
        <v>-100</v>
      </c>
      <c r="BQ21" s="742">
        <f t="shared" si="49"/>
        <v>100</v>
      </c>
      <c r="BR21" s="714">
        <f t="shared" si="49"/>
        <v>0</v>
      </c>
      <c r="BS21" s="705">
        <f>ROUND(((BR21/BQ21-1)*100), 1)</f>
        <v>-100</v>
      </c>
      <c r="BT21" s="742">
        <v>1276</v>
      </c>
      <c r="BU21" s="714">
        <v>0</v>
      </c>
      <c r="BV21" s="705">
        <f t="shared" si="26"/>
        <v>-100</v>
      </c>
    </row>
    <row r="22" spans="1:74" ht="13.5" customHeight="1">
      <c r="A22" s="96"/>
      <c r="B22" s="1176"/>
      <c r="C22" s="105" t="s">
        <v>103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46</v>
      </c>
      <c r="J22" s="98">
        <v>940</v>
      </c>
      <c r="K22" s="98">
        <v>606</v>
      </c>
      <c r="L22" s="421">
        <v>0</v>
      </c>
      <c r="M22" s="386">
        <v>68</v>
      </c>
      <c r="N22" s="179">
        <v>0</v>
      </c>
      <c r="O22" s="421">
        <f t="shared" si="27"/>
        <v>0</v>
      </c>
      <c r="P22" s="386">
        <f t="shared" si="27"/>
        <v>71</v>
      </c>
      <c r="Q22" s="179">
        <v>0</v>
      </c>
      <c r="R22" s="421">
        <v>0</v>
      </c>
      <c r="S22" s="386">
        <v>139</v>
      </c>
      <c r="T22" s="179">
        <v>0</v>
      </c>
      <c r="U22" s="421">
        <f t="shared" si="29"/>
        <v>280</v>
      </c>
      <c r="V22" s="386">
        <f t="shared" si="30"/>
        <v>46</v>
      </c>
      <c r="W22" s="265">
        <f t="shared" si="31"/>
        <v>-83.6</v>
      </c>
      <c r="X22" s="421">
        <v>280</v>
      </c>
      <c r="Y22" s="386">
        <v>185</v>
      </c>
      <c r="Z22" s="265">
        <f t="shared" si="18"/>
        <v>-33.9</v>
      </c>
      <c r="AA22" s="421">
        <f t="shared" si="32"/>
        <v>185</v>
      </c>
      <c r="AB22" s="386">
        <f t="shared" si="33"/>
        <v>0</v>
      </c>
      <c r="AC22" s="265">
        <f t="shared" si="34"/>
        <v>-100</v>
      </c>
      <c r="AD22" s="421">
        <v>465</v>
      </c>
      <c r="AE22" s="386">
        <v>185</v>
      </c>
      <c r="AF22" s="265">
        <f t="shared" si="19"/>
        <v>-60.2</v>
      </c>
      <c r="AG22" s="421">
        <f t="shared" si="35"/>
        <v>141</v>
      </c>
      <c r="AH22" s="386">
        <f t="shared" si="35"/>
        <v>0</v>
      </c>
      <c r="AI22" s="265">
        <f t="shared" si="36"/>
        <v>-100</v>
      </c>
      <c r="AJ22" s="421">
        <v>606</v>
      </c>
      <c r="AK22" s="386">
        <v>185</v>
      </c>
      <c r="AL22" s="265">
        <f t="shared" si="20"/>
        <v>-69.5</v>
      </c>
      <c r="AM22" s="726">
        <f t="shared" si="37"/>
        <v>0</v>
      </c>
      <c r="AN22" s="714">
        <f t="shared" si="38"/>
        <v>0</v>
      </c>
      <c r="AO22" s="751">
        <v>0</v>
      </c>
      <c r="AP22" s="742">
        <v>606</v>
      </c>
      <c r="AQ22" s="714">
        <v>185</v>
      </c>
      <c r="AR22" s="705">
        <f t="shared" si="21"/>
        <v>-69.5</v>
      </c>
      <c r="AS22" s="742">
        <f t="shared" si="40"/>
        <v>0</v>
      </c>
      <c r="AT22" s="714">
        <f t="shared" si="40"/>
        <v>0</v>
      </c>
      <c r="AU22" s="751">
        <v>0</v>
      </c>
      <c r="AV22" s="999">
        <v>606</v>
      </c>
      <c r="AW22" s="990">
        <v>185</v>
      </c>
      <c r="AX22" s="705">
        <f t="shared" si="22"/>
        <v>-69.5</v>
      </c>
      <c r="AY22" s="742">
        <f t="shared" si="42"/>
        <v>0</v>
      </c>
      <c r="AZ22" s="714">
        <f t="shared" si="43"/>
        <v>0</v>
      </c>
      <c r="BA22" s="751">
        <v>0</v>
      </c>
      <c r="BB22" s="742">
        <v>606</v>
      </c>
      <c r="BC22" s="714">
        <v>185</v>
      </c>
      <c r="BD22" s="705">
        <f t="shared" si="23"/>
        <v>-69.5</v>
      </c>
      <c r="BE22" s="742">
        <f t="shared" si="45"/>
        <v>0</v>
      </c>
      <c r="BF22" s="714">
        <f t="shared" si="45"/>
        <v>0</v>
      </c>
      <c r="BG22" s="751">
        <v>0</v>
      </c>
      <c r="BH22" s="742">
        <v>606</v>
      </c>
      <c r="BI22" s="714">
        <v>185</v>
      </c>
      <c r="BJ22" s="705">
        <f t="shared" si="24"/>
        <v>-69.5</v>
      </c>
      <c r="BK22" s="742">
        <f t="shared" si="47"/>
        <v>0</v>
      </c>
      <c r="BL22" s="714">
        <f t="shared" si="47"/>
        <v>0</v>
      </c>
      <c r="BM22" s="751">
        <v>0</v>
      </c>
      <c r="BN22" s="742">
        <v>606</v>
      </c>
      <c r="BO22" s="714">
        <v>185</v>
      </c>
      <c r="BP22" s="705">
        <f t="shared" si="25"/>
        <v>-69.5</v>
      </c>
      <c r="BQ22" s="742">
        <f t="shared" si="49"/>
        <v>0</v>
      </c>
      <c r="BR22" s="714">
        <f t="shared" si="49"/>
        <v>0</v>
      </c>
      <c r="BS22" s="751">
        <v>0</v>
      </c>
      <c r="BT22" s="742">
        <v>606</v>
      </c>
      <c r="BU22" s="714">
        <v>185</v>
      </c>
      <c r="BV22" s="705">
        <f t="shared" si="26"/>
        <v>-69.5</v>
      </c>
    </row>
    <row r="23" spans="1:74" s="291" customFormat="1" ht="13.5" customHeight="1">
      <c r="A23" s="322"/>
      <c r="B23" s="1176"/>
      <c r="C23" s="105" t="s">
        <v>107</v>
      </c>
      <c r="D23" s="98">
        <v>5</v>
      </c>
      <c r="E23" s="98">
        <v>0</v>
      </c>
      <c r="F23" s="98">
        <v>0</v>
      </c>
      <c r="G23" s="98">
        <v>0</v>
      </c>
      <c r="H23" s="98">
        <v>366</v>
      </c>
      <c r="I23" s="98">
        <v>1</v>
      </c>
      <c r="J23" s="98">
        <v>1304</v>
      </c>
      <c r="K23" s="98">
        <v>216</v>
      </c>
      <c r="L23" s="421">
        <v>189</v>
      </c>
      <c r="M23" s="386">
        <v>0</v>
      </c>
      <c r="N23" s="265">
        <f>ROUND(((M23/L23-1)*100), 1)</f>
        <v>-100</v>
      </c>
      <c r="O23" s="421">
        <f t="shared" si="27"/>
        <v>21</v>
      </c>
      <c r="P23" s="386">
        <f t="shared" si="27"/>
        <v>0</v>
      </c>
      <c r="Q23" s="265">
        <f>ROUND(((P23/O23-1)*100), 1)</f>
        <v>-100</v>
      </c>
      <c r="R23" s="421">
        <v>210</v>
      </c>
      <c r="S23" s="386">
        <v>0</v>
      </c>
      <c r="T23" s="265">
        <f>ROUND(((S23/R23-1)*100), 1)</f>
        <v>-100</v>
      </c>
      <c r="U23" s="421">
        <f t="shared" si="29"/>
        <v>0</v>
      </c>
      <c r="V23" s="386">
        <f t="shared" si="30"/>
        <v>0</v>
      </c>
      <c r="W23" s="179">
        <v>0</v>
      </c>
      <c r="X23" s="421">
        <v>210</v>
      </c>
      <c r="Y23" s="386">
        <v>0</v>
      </c>
      <c r="Z23" s="265">
        <f>ROUND(((Y23/X23-1)*100), 1)</f>
        <v>-100</v>
      </c>
      <c r="AA23" s="421">
        <f t="shared" si="32"/>
        <v>0</v>
      </c>
      <c r="AB23" s="386">
        <f t="shared" si="33"/>
        <v>0</v>
      </c>
      <c r="AC23" s="523">
        <v>0</v>
      </c>
      <c r="AD23" s="421">
        <v>210</v>
      </c>
      <c r="AE23" s="386">
        <v>0</v>
      </c>
      <c r="AF23" s="265">
        <f>ROUND(((AE23/AD23-1)*100), 1)</f>
        <v>-100</v>
      </c>
      <c r="AG23" s="421">
        <f t="shared" si="35"/>
        <v>6</v>
      </c>
      <c r="AH23" s="386">
        <f t="shared" si="35"/>
        <v>10</v>
      </c>
      <c r="AI23" s="265">
        <f>ROUND(((AH23/AG23-1)*100), 1)</f>
        <v>66.7</v>
      </c>
      <c r="AJ23" s="421">
        <v>216</v>
      </c>
      <c r="AK23" s="386">
        <v>10</v>
      </c>
      <c r="AL23" s="265">
        <f>ROUND(((AK23/AJ23-1)*100), 1)</f>
        <v>-95.4</v>
      </c>
      <c r="AM23" s="726">
        <f t="shared" si="37"/>
        <v>0</v>
      </c>
      <c r="AN23" s="714">
        <f t="shared" si="38"/>
        <v>0</v>
      </c>
      <c r="AO23" s="751">
        <v>0</v>
      </c>
      <c r="AP23" s="742">
        <v>216</v>
      </c>
      <c r="AQ23" s="714">
        <v>10</v>
      </c>
      <c r="AR23" s="705">
        <f>ROUND(((AQ23/AP23-1)*100), 1)</f>
        <v>-95.4</v>
      </c>
      <c r="AS23" s="742">
        <f t="shared" si="40"/>
        <v>0</v>
      </c>
      <c r="AT23" s="714">
        <f t="shared" si="40"/>
        <v>0</v>
      </c>
      <c r="AU23" s="751">
        <v>0</v>
      </c>
      <c r="AV23" s="999">
        <v>216</v>
      </c>
      <c r="AW23" s="990">
        <v>10</v>
      </c>
      <c r="AX23" s="705">
        <f>ROUND(((AW23/AV23-1)*100), 1)</f>
        <v>-95.4</v>
      </c>
      <c r="AY23" s="742">
        <f t="shared" si="42"/>
        <v>0</v>
      </c>
      <c r="AZ23" s="714">
        <f t="shared" si="43"/>
        <v>0</v>
      </c>
      <c r="BA23" s="751">
        <v>0</v>
      </c>
      <c r="BB23" s="742">
        <v>216</v>
      </c>
      <c r="BC23" s="714">
        <v>10</v>
      </c>
      <c r="BD23" s="705">
        <f>ROUND(((BC23/BB23-1)*100), 1)</f>
        <v>-95.4</v>
      </c>
      <c r="BE23" s="742">
        <f t="shared" si="45"/>
        <v>0</v>
      </c>
      <c r="BF23" s="714">
        <f t="shared" si="45"/>
        <v>2</v>
      </c>
      <c r="BG23" s="751">
        <v>0</v>
      </c>
      <c r="BH23" s="742">
        <v>216</v>
      </c>
      <c r="BI23" s="714">
        <v>12</v>
      </c>
      <c r="BJ23" s="705">
        <f>ROUND(((BI23/BH23-1)*100), 1)</f>
        <v>-94.4</v>
      </c>
      <c r="BK23" s="742">
        <f t="shared" si="47"/>
        <v>0</v>
      </c>
      <c r="BL23" s="714">
        <f t="shared" si="47"/>
        <v>0</v>
      </c>
      <c r="BM23" s="751">
        <v>0</v>
      </c>
      <c r="BN23" s="742">
        <v>216</v>
      </c>
      <c r="BO23" s="714">
        <v>12</v>
      </c>
      <c r="BP23" s="705">
        <f>ROUND(((BO23/BN23-1)*100), 1)</f>
        <v>-94.4</v>
      </c>
      <c r="BQ23" s="742">
        <f t="shared" si="49"/>
        <v>0</v>
      </c>
      <c r="BR23" s="714">
        <f t="shared" si="49"/>
        <v>0</v>
      </c>
      <c r="BS23" s="751">
        <v>0</v>
      </c>
      <c r="BT23" s="742">
        <v>216</v>
      </c>
      <c r="BU23" s="714">
        <v>12</v>
      </c>
      <c r="BV23" s="705">
        <f>ROUND(((BU23/BT23-1)*100), 1)</f>
        <v>-94.4</v>
      </c>
    </row>
    <row r="24" spans="1:74" s="291" customFormat="1" ht="13.5" customHeight="1">
      <c r="A24" s="322"/>
      <c r="B24" s="1176"/>
      <c r="C24" s="105" t="s">
        <v>55</v>
      </c>
      <c r="D24" s="98">
        <v>0</v>
      </c>
      <c r="E24" s="98">
        <v>0</v>
      </c>
      <c r="F24" s="98">
        <v>0</v>
      </c>
      <c r="G24" s="98">
        <v>0</v>
      </c>
      <c r="H24" s="98">
        <v>8</v>
      </c>
      <c r="I24" s="98">
        <v>64</v>
      </c>
      <c r="J24" s="98">
        <v>668</v>
      </c>
      <c r="K24" s="98">
        <v>47</v>
      </c>
      <c r="L24" s="421">
        <v>0</v>
      </c>
      <c r="M24" s="386">
        <v>0</v>
      </c>
      <c r="N24" s="179">
        <v>0</v>
      </c>
      <c r="O24" s="421">
        <f t="shared" si="27"/>
        <v>0</v>
      </c>
      <c r="P24" s="386">
        <f t="shared" si="27"/>
        <v>0</v>
      </c>
      <c r="Q24" s="179">
        <v>0</v>
      </c>
      <c r="R24" s="421">
        <v>0</v>
      </c>
      <c r="S24" s="386">
        <v>0</v>
      </c>
      <c r="T24" s="179">
        <v>0</v>
      </c>
      <c r="U24" s="421">
        <f t="shared" si="29"/>
        <v>0</v>
      </c>
      <c r="V24" s="386">
        <f t="shared" si="30"/>
        <v>0</v>
      </c>
      <c r="W24" s="179">
        <v>0</v>
      </c>
      <c r="X24" s="421">
        <v>0</v>
      </c>
      <c r="Y24" s="386">
        <v>0</v>
      </c>
      <c r="Z24" s="179">
        <v>0</v>
      </c>
      <c r="AA24" s="421">
        <f t="shared" si="32"/>
        <v>0</v>
      </c>
      <c r="AB24" s="386">
        <f t="shared" si="33"/>
        <v>0</v>
      </c>
      <c r="AC24" s="523">
        <v>0</v>
      </c>
      <c r="AD24" s="421">
        <v>0</v>
      </c>
      <c r="AE24" s="386">
        <v>0</v>
      </c>
      <c r="AF24" s="523">
        <v>0</v>
      </c>
      <c r="AG24" s="421">
        <f t="shared" si="35"/>
        <v>0</v>
      </c>
      <c r="AH24" s="386">
        <f t="shared" si="35"/>
        <v>0</v>
      </c>
      <c r="AI24" s="523">
        <v>0</v>
      </c>
      <c r="AJ24" s="421">
        <v>0</v>
      </c>
      <c r="AK24" s="386">
        <v>0</v>
      </c>
      <c r="AL24" s="523">
        <v>0</v>
      </c>
      <c r="AM24" s="726">
        <f t="shared" si="37"/>
        <v>47</v>
      </c>
      <c r="AN24" s="714">
        <f t="shared" si="38"/>
        <v>0</v>
      </c>
      <c r="AO24" s="705">
        <f>ROUND(((AN24/AM24-1)*100), 1)</f>
        <v>-100</v>
      </c>
      <c r="AP24" s="742">
        <v>47</v>
      </c>
      <c r="AQ24" s="714">
        <v>0</v>
      </c>
      <c r="AR24" s="705">
        <f>ROUND(((AQ24/AP24-1)*100), 1)</f>
        <v>-100</v>
      </c>
      <c r="AS24" s="742">
        <f t="shared" si="40"/>
        <v>0</v>
      </c>
      <c r="AT24" s="714">
        <f t="shared" si="40"/>
        <v>0</v>
      </c>
      <c r="AU24" s="751">
        <v>0</v>
      </c>
      <c r="AV24" s="999">
        <v>47</v>
      </c>
      <c r="AW24" s="990">
        <v>0</v>
      </c>
      <c r="AX24" s="705">
        <f>ROUND(((AW24/AV24-1)*100), 1)</f>
        <v>-100</v>
      </c>
      <c r="AY24" s="742">
        <f t="shared" si="42"/>
        <v>0</v>
      </c>
      <c r="AZ24" s="714">
        <f t="shared" si="43"/>
        <v>0</v>
      </c>
      <c r="BA24" s="751">
        <v>0</v>
      </c>
      <c r="BB24" s="742">
        <v>47</v>
      </c>
      <c r="BC24" s="714">
        <v>0</v>
      </c>
      <c r="BD24" s="705">
        <f>ROUND(((BC24/BB24-1)*100), 1)</f>
        <v>-100</v>
      </c>
      <c r="BE24" s="742">
        <f t="shared" si="45"/>
        <v>0</v>
      </c>
      <c r="BF24" s="714">
        <f t="shared" si="45"/>
        <v>0</v>
      </c>
      <c r="BG24" s="751">
        <v>0</v>
      </c>
      <c r="BH24" s="742">
        <v>47</v>
      </c>
      <c r="BI24" s="714">
        <v>0</v>
      </c>
      <c r="BJ24" s="705">
        <f>ROUND(((BI24/BH24-1)*100), 1)</f>
        <v>-100</v>
      </c>
      <c r="BK24" s="742">
        <f t="shared" si="47"/>
        <v>0</v>
      </c>
      <c r="BL24" s="714">
        <f t="shared" si="47"/>
        <v>0</v>
      </c>
      <c r="BM24" s="751">
        <v>0</v>
      </c>
      <c r="BN24" s="742">
        <v>47</v>
      </c>
      <c r="BO24" s="714">
        <v>0</v>
      </c>
      <c r="BP24" s="705">
        <f>ROUND(((BO24/BN24-1)*100), 1)</f>
        <v>-100</v>
      </c>
      <c r="BQ24" s="742">
        <f t="shared" si="49"/>
        <v>0</v>
      </c>
      <c r="BR24" s="714">
        <f t="shared" si="49"/>
        <v>0</v>
      </c>
      <c r="BS24" s="751">
        <v>0</v>
      </c>
      <c r="BT24" s="742">
        <v>47</v>
      </c>
      <c r="BU24" s="714">
        <v>0</v>
      </c>
      <c r="BV24" s="705">
        <f>ROUND(((BU24/BT24-1)*100), 1)</f>
        <v>-100</v>
      </c>
    </row>
    <row r="25" spans="1:74" s="291" customFormat="1" ht="13.5" customHeight="1">
      <c r="A25" s="322"/>
      <c r="B25" s="1176"/>
      <c r="C25" s="105" t="s">
        <v>50</v>
      </c>
      <c r="D25" s="98">
        <v>92</v>
      </c>
      <c r="E25" s="98">
        <v>0</v>
      </c>
      <c r="F25" s="98">
        <v>0</v>
      </c>
      <c r="G25" s="98">
        <v>247</v>
      </c>
      <c r="H25" s="98">
        <v>1218</v>
      </c>
      <c r="I25" s="98">
        <v>9</v>
      </c>
      <c r="J25" s="98">
        <v>4</v>
      </c>
      <c r="K25" s="98">
        <v>1</v>
      </c>
      <c r="L25" s="421">
        <v>0</v>
      </c>
      <c r="M25" s="386">
        <v>0</v>
      </c>
      <c r="N25" s="179">
        <v>0</v>
      </c>
      <c r="O25" s="421">
        <f t="shared" si="27"/>
        <v>0</v>
      </c>
      <c r="P25" s="386">
        <f t="shared" si="27"/>
        <v>0</v>
      </c>
      <c r="Q25" s="179">
        <v>0</v>
      </c>
      <c r="R25" s="421">
        <v>0</v>
      </c>
      <c r="S25" s="386">
        <v>0</v>
      </c>
      <c r="T25" s="179">
        <v>0</v>
      </c>
      <c r="U25" s="421">
        <f t="shared" si="29"/>
        <v>0</v>
      </c>
      <c r="V25" s="386">
        <f t="shared" si="30"/>
        <v>0</v>
      </c>
      <c r="W25" s="179">
        <v>0</v>
      </c>
      <c r="X25" s="421">
        <v>0</v>
      </c>
      <c r="Y25" s="386">
        <v>0</v>
      </c>
      <c r="Z25" s="179">
        <v>0</v>
      </c>
      <c r="AA25" s="421">
        <f t="shared" si="32"/>
        <v>0</v>
      </c>
      <c r="AB25" s="386">
        <f t="shared" si="33"/>
        <v>0</v>
      </c>
      <c r="AC25" s="523">
        <v>0</v>
      </c>
      <c r="AD25" s="421">
        <v>0</v>
      </c>
      <c r="AE25" s="386">
        <v>0</v>
      </c>
      <c r="AF25" s="523">
        <v>0</v>
      </c>
      <c r="AG25" s="421">
        <f t="shared" si="35"/>
        <v>1</v>
      </c>
      <c r="AH25" s="386">
        <f t="shared" si="35"/>
        <v>0</v>
      </c>
      <c r="AI25" s="265">
        <f>ROUND(((AH25/AG25-1)*100), 1)</f>
        <v>-100</v>
      </c>
      <c r="AJ25" s="421">
        <v>1</v>
      </c>
      <c r="AK25" s="386">
        <v>0</v>
      </c>
      <c r="AL25" s="265">
        <f>ROUND(((AK25/AJ25-1)*100), 1)</f>
        <v>-100</v>
      </c>
      <c r="AM25" s="726">
        <f t="shared" si="37"/>
        <v>0</v>
      </c>
      <c r="AN25" s="714">
        <f t="shared" si="38"/>
        <v>0</v>
      </c>
      <c r="AO25" s="751">
        <v>0</v>
      </c>
      <c r="AP25" s="742">
        <v>1</v>
      </c>
      <c r="AQ25" s="714">
        <v>0</v>
      </c>
      <c r="AR25" s="705">
        <f>ROUND(((AQ25/AP25-1)*100), 1)</f>
        <v>-100</v>
      </c>
      <c r="AS25" s="742">
        <f t="shared" si="40"/>
        <v>0</v>
      </c>
      <c r="AT25" s="714">
        <f t="shared" si="40"/>
        <v>0</v>
      </c>
      <c r="AU25" s="751">
        <v>0</v>
      </c>
      <c r="AV25" s="999">
        <v>1</v>
      </c>
      <c r="AW25" s="990">
        <v>0</v>
      </c>
      <c r="AX25" s="705">
        <f>ROUND(((AW25/AV25-1)*100), 1)</f>
        <v>-100</v>
      </c>
      <c r="AY25" s="742">
        <f t="shared" si="42"/>
        <v>0</v>
      </c>
      <c r="AZ25" s="714">
        <f t="shared" si="43"/>
        <v>0</v>
      </c>
      <c r="BA25" s="751">
        <v>0</v>
      </c>
      <c r="BB25" s="742">
        <v>1</v>
      </c>
      <c r="BC25" s="714">
        <v>0</v>
      </c>
      <c r="BD25" s="705">
        <f>ROUND(((BC25/BB25-1)*100), 1)</f>
        <v>-100</v>
      </c>
      <c r="BE25" s="742">
        <f t="shared" si="45"/>
        <v>0</v>
      </c>
      <c r="BF25" s="714">
        <f t="shared" si="45"/>
        <v>0</v>
      </c>
      <c r="BG25" s="751">
        <v>0</v>
      </c>
      <c r="BH25" s="742">
        <v>1</v>
      </c>
      <c r="BI25" s="714">
        <v>0</v>
      </c>
      <c r="BJ25" s="705">
        <f>ROUND(((BI25/BH25-1)*100), 1)</f>
        <v>-100</v>
      </c>
      <c r="BK25" s="742">
        <f t="shared" si="47"/>
        <v>0</v>
      </c>
      <c r="BL25" s="714">
        <f t="shared" si="47"/>
        <v>0</v>
      </c>
      <c r="BM25" s="751">
        <v>0</v>
      </c>
      <c r="BN25" s="742">
        <v>1</v>
      </c>
      <c r="BO25" s="714">
        <v>0</v>
      </c>
      <c r="BP25" s="705">
        <f>ROUND(((BO25/BN25-1)*100), 1)</f>
        <v>-100</v>
      </c>
      <c r="BQ25" s="742">
        <f t="shared" si="49"/>
        <v>0</v>
      </c>
      <c r="BR25" s="714">
        <f t="shared" si="49"/>
        <v>0</v>
      </c>
      <c r="BS25" s="751">
        <v>0</v>
      </c>
      <c r="BT25" s="742">
        <v>1</v>
      </c>
      <c r="BU25" s="714">
        <v>0</v>
      </c>
      <c r="BV25" s="705">
        <f>ROUND(((BU25/BT25-1)*100), 1)</f>
        <v>-100</v>
      </c>
    </row>
    <row r="26" spans="1:74" ht="13.5" customHeight="1">
      <c r="A26" s="96"/>
      <c r="B26" s="1176"/>
      <c r="C26" s="105" t="s">
        <v>325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608</v>
      </c>
      <c r="K26" s="98">
        <v>0</v>
      </c>
      <c r="L26" s="421">
        <v>0</v>
      </c>
      <c r="M26" s="386">
        <v>0</v>
      </c>
      <c r="N26" s="179">
        <v>0</v>
      </c>
      <c r="O26" s="421">
        <f t="shared" si="27"/>
        <v>0</v>
      </c>
      <c r="P26" s="386">
        <f t="shared" si="27"/>
        <v>0</v>
      </c>
      <c r="Q26" s="179">
        <v>0</v>
      </c>
      <c r="R26" s="421">
        <v>0</v>
      </c>
      <c r="S26" s="386">
        <v>0</v>
      </c>
      <c r="T26" s="179">
        <v>0</v>
      </c>
      <c r="U26" s="421">
        <f t="shared" si="29"/>
        <v>0</v>
      </c>
      <c r="V26" s="386">
        <f t="shared" si="30"/>
        <v>0</v>
      </c>
      <c r="W26" s="179">
        <v>0</v>
      </c>
      <c r="X26" s="421">
        <v>0</v>
      </c>
      <c r="Y26" s="386">
        <v>0</v>
      </c>
      <c r="Z26" s="179">
        <v>0</v>
      </c>
      <c r="AA26" s="421">
        <f t="shared" si="32"/>
        <v>0</v>
      </c>
      <c r="AB26" s="386">
        <f t="shared" si="33"/>
        <v>0</v>
      </c>
      <c r="AC26" s="523">
        <v>0</v>
      </c>
      <c r="AD26" s="421">
        <v>0</v>
      </c>
      <c r="AE26" s="386">
        <v>0</v>
      </c>
      <c r="AF26" s="523">
        <v>0</v>
      </c>
      <c r="AG26" s="421">
        <f t="shared" si="35"/>
        <v>0</v>
      </c>
      <c r="AH26" s="386">
        <f t="shared" si="35"/>
        <v>0</v>
      </c>
      <c r="AI26" s="523">
        <v>0</v>
      </c>
      <c r="AJ26" s="421">
        <v>0</v>
      </c>
      <c r="AK26" s="386">
        <v>0</v>
      </c>
      <c r="AL26" s="523">
        <v>0</v>
      </c>
      <c r="AM26" s="726">
        <f t="shared" si="37"/>
        <v>0</v>
      </c>
      <c r="AN26" s="714">
        <f t="shared" si="38"/>
        <v>0</v>
      </c>
      <c r="AO26" s="695">
        <v>0</v>
      </c>
      <c r="AP26" s="742">
        <v>0</v>
      </c>
      <c r="AQ26" s="714">
        <v>0</v>
      </c>
      <c r="AR26" s="695">
        <v>0</v>
      </c>
      <c r="AS26" s="742">
        <f t="shared" si="40"/>
        <v>0</v>
      </c>
      <c r="AT26" s="714">
        <f t="shared" si="40"/>
        <v>0</v>
      </c>
      <c r="AU26" s="751">
        <v>0</v>
      </c>
      <c r="AV26" s="999">
        <v>0</v>
      </c>
      <c r="AW26" s="990">
        <v>0</v>
      </c>
      <c r="AX26" s="751">
        <v>0</v>
      </c>
      <c r="AY26" s="742">
        <f t="shared" si="42"/>
        <v>0</v>
      </c>
      <c r="AZ26" s="714">
        <f t="shared" si="43"/>
        <v>0</v>
      </c>
      <c r="BA26" s="751">
        <v>0</v>
      </c>
      <c r="BB26" s="742">
        <v>0</v>
      </c>
      <c r="BC26" s="714">
        <v>0</v>
      </c>
      <c r="BD26" s="751">
        <v>0</v>
      </c>
      <c r="BE26" s="742">
        <f t="shared" si="45"/>
        <v>0</v>
      </c>
      <c r="BF26" s="714">
        <f t="shared" si="45"/>
        <v>0</v>
      </c>
      <c r="BG26" s="751">
        <v>0</v>
      </c>
      <c r="BH26" s="742">
        <v>0</v>
      </c>
      <c r="BI26" s="714">
        <v>0</v>
      </c>
      <c r="BJ26" s="751">
        <v>0</v>
      </c>
      <c r="BK26" s="742">
        <f t="shared" si="47"/>
        <v>0</v>
      </c>
      <c r="BL26" s="714">
        <f t="shared" si="47"/>
        <v>0</v>
      </c>
      <c r="BM26" s="751">
        <v>0</v>
      </c>
      <c r="BN26" s="742">
        <v>0</v>
      </c>
      <c r="BO26" s="714">
        <v>0</v>
      </c>
      <c r="BP26" s="751">
        <v>0</v>
      </c>
      <c r="BQ26" s="742">
        <f t="shared" si="49"/>
        <v>0</v>
      </c>
      <c r="BR26" s="714">
        <f t="shared" si="49"/>
        <v>0</v>
      </c>
      <c r="BS26" s="751">
        <v>0</v>
      </c>
      <c r="BT26" s="742">
        <v>0</v>
      </c>
      <c r="BU26" s="714">
        <v>0</v>
      </c>
      <c r="BV26" s="751">
        <v>0</v>
      </c>
    </row>
    <row r="27" spans="1:74" ht="13.5" customHeight="1">
      <c r="A27" s="96"/>
      <c r="B27" s="1176"/>
      <c r="C27" s="105" t="s">
        <v>24</v>
      </c>
      <c r="D27" s="98">
        <f t="shared" ref="D27:M27" si="55">D28-SUM(D13:D26)</f>
        <v>1782</v>
      </c>
      <c r="E27" s="98">
        <f t="shared" si="55"/>
        <v>584</v>
      </c>
      <c r="F27" s="98">
        <f t="shared" si="55"/>
        <v>274</v>
      </c>
      <c r="G27" s="98">
        <f t="shared" si="55"/>
        <v>609</v>
      </c>
      <c r="H27" s="98">
        <f t="shared" si="55"/>
        <v>2173</v>
      </c>
      <c r="I27" s="98">
        <f t="shared" si="55"/>
        <v>68</v>
      </c>
      <c r="J27" s="98">
        <f t="shared" si="55"/>
        <v>745</v>
      </c>
      <c r="K27" s="98">
        <f t="shared" si="55"/>
        <v>143</v>
      </c>
      <c r="L27" s="421">
        <f t="shared" si="55"/>
        <v>95</v>
      </c>
      <c r="M27" s="386">
        <f t="shared" si="55"/>
        <v>19</v>
      </c>
      <c r="N27" s="265">
        <f>ROUND(((M27/L27-1)*100), 1)</f>
        <v>-80</v>
      </c>
      <c r="O27" s="421">
        <f>O28-SUM(O13:O26)</f>
        <v>0</v>
      </c>
      <c r="P27" s="386">
        <f>P28-SUM(P13:P26)</f>
        <v>91</v>
      </c>
      <c r="Q27" s="525">
        <v>0</v>
      </c>
      <c r="R27" s="421">
        <f>R28-SUM(R13:R26)</f>
        <v>95</v>
      </c>
      <c r="S27" s="386">
        <f>S28-SUM(S13:S26)</f>
        <v>110</v>
      </c>
      <c r="T27" s="265">
        <f>ROUND(((S27/R27-1)*100), 1)</f>
        <v>15.8</v>
      </c>
      <c r="U27" s="421">
        <f>U28-SUM(U13:U26)</f>
        <v>2</v>
      </c>
      <c r="V27" s="386">
        <f>V28-SUM(V13:V26)</f>
        <v>0</v>
      </c>
      <c r="W27" s="265">
        <f>ROUND(((V27/U27-1)*100), 1)</f>
        <v>-100</v>
      </c>
      <c r="X27" s="421">
        <f>X28-SUM(X13:X26)</f>
        <v>97</v>
      </c>
      <c r="Y27" s="386">
        <f>Y28-SUM(Y13:Y26)</f>
        <v>110</v>
      </c>
      <c r="Z27" s="265">
        <f>ROUND(((Y27/X27-1)*100), 1)</f>
        <v>13.4</v>
      </c>
      <c r="AA27" s="421">
        <f>AA28-SUM(AA13:AA26)</f>
        <v>0</v>
      </c>
      <c r="AB27" s="386">
        <f>AB28-SUM(AB13:AB26)</f>
        <v>0</v>
      </c>
      <c r="AC27" s="525">
        <v>0</v>
      </c>
      <c r="AD27" s="421">
        <f>AD28-SUM(AD13:AD26)</f>
        <v>97</v>
      </c>
      <c r="AE27" s="386">
        <f>AE28-SUM(AE13:AE26)</f>
        <v>110</v>
      </c>
      <c r="AF27" s="265">
        <f>ROUND(((AE27/AD27-1)*100), 1)</f>
        <v>13.4</v>
      </c>
      <c r="AG27" s="421">
        <f>AG28-SUM(AG13:AG26)</f>
        <v>0</v>
      </c>
      <c r="AH27" s="386">
        <f>AH28-SUM(AH13:AH26)</f>
        <v>1</v>
      </c>
      <c r="AI27" s="525">
        <v>0</v>
      </c>
      <c r="AJ27" s="421">
        <f>AJ28-SUM(AJ13:AJ26)</f>
        <v>97</v>
      </c>
      <c r="AK27" s="386">
        <f>AK28-SUM(AK13:AK26)</f>
        <v>111</v>
      </c>
      <c r="AL27" s="265">
        <f>ROUND(((AK27/AJ27-1)*100), 1)</f>
        <v>14.4</v>
      </c>
      <c r="AM27" s="726">
        <f>AM28-SUM(AM13:AM26)</f>
        <v>0</v>
      </c>
      <c r="AN27" s="714">
        <f>AN28-SUM(AN13:AN26)</f>
        <v>0</v>
      </c>
      <c r="AO27" s="708">
        <v>0</v>
      </c>
      <c r="AP27" s="742">
        <f>AP28-SUM(AP13:AP26)</f>
        <v>97</v>
      </c>
      <c r="AQ27" s="714">
        <f>AQ28-SUM(AQ13:AQ26)</f>
        <v>111</v>
      </c>
      <c r="AR27" s="705">
        <f>ROUND(((AQ27/AP27-1)*100), 1)</f>
        <v>14.4</v>
      </c>
      <c r="AS27" s="742">
        <f>AS28-SUM(AS13:AS26)</f>
        <v>0</v>
      </c>
      <c r="AT27" s="714">
        <f>AT28-SUM(AT13:AT26)</f>
        <v>0</v>
      </c>
      <c r="AU27" s="708">
        <v>0</v>
      </c>
      <c r="AV27" s="999">
        <f>AV28-SUM(AV13:AV26)</f>
        <v>97</v>
      </c>
      <c r="AW27" s="990">
        <f>AW28-SUM(AW13:AW26)</f>
        <v>111</v>
      </c>
      <c r="AX27" s="705">
        <f>ROUND(((AW27/AV27-1)*100), 1)</f>
        <v>14.4</v>
      </c>
      <c r="AY27" s="742">
        <f>AY28-SUM(AY13:AY26)</f>
        <v>21</v>
      </c>
      <c r="AZ27" s="714">
        <f>AZ28-SUM(AZ13:AZ26)</f>
        <v>0</v>
      </c>
      <c r="BA27" s="708">
        <v>0</v>
      </c>
      <c r="BB27" s="742">
        <f>BB28-SUM(BB13:BB26)</f>
        <v>118</v>
      </c>
      <c r="BC27" s="714">
        <f>BC28-SUM(BC13:BC26)</f>
        <v>111</v>
      </c>
      <c r="BD27" s="705">
        <f>ROUND(((BC27/BB27-1)*100), 1)</f>
        <v>-5.9</v>
      </c>
      <c r="BE27" s="742">
        <f>BE28-SUM(BE13:BE26)</f>
        <v>0</v>
      </c>
      <c r="BF27" s="714">
        <f>BF28-SUM(BF13:BF26)</f>
        <v>0</v>
      </c>
      <c r="BG27" s="708">
        <v>0</v>
      </c>
      <c r="BH27" s="742">
        <f>BH28-SUM(BH13:BH26)</f>
        <v>118</v>
      </c>
      <c r="BI27" s="714">
        <f>BI28-SUM(BI13:BI26)</f>
        <v>111</v>
      </c>
      <c r="BJ27" s="705">
        <f>ROUND(((BI27/BH27-1)*100), 1)</f>
        <v>-5.9</v>
      </c>
      <c r="BK27" s="742">
        <f>BK28-SUM(BK13:BK26)</f>
        <v>25</v>
      </c>
      <c r="BL27" s="714">
        <f>BL28-SUM(BL13:BL26)</f>
        <v>0</v>
      </c>
      <c r="BM27" s="753">
        <f>ROUND(((BL27/BK27-1)*100), 1)</f>
        <v>-100</v>
      </c>
      <c r="BN27" s="742">
        <f>BN28-SUM(BN13:BN26)</f>
        <v>143</v>
      </c>
      <c r="BO27" s="714">
        <f>BO28-SUM(BO13:BO26)</f>
        <v>111</v>
      </c>
      <c r="BP27" s="705">
        <f>ROUND(((BO27/BN27-1)*100), 1)</f>
        <v>-22.4</v>
      </c>
      <c r="BQ27" s="742">
        <f>BQ28-SUM(BQ13:BQ26)</f>
        <v>0</v>
      </c>
      <c r="BR27" s="714">
        <f>BR28-SUM(BR13:BR26)</f>
        <v>0</v>
      </c>
      <c r="BS27" s="708">
        <v>0</v>
      </c>
      <c r="BT27" s="742">
        <f>BT28-SUM(BT13:BT26)</f>
        <v>143</v>
      </c>
      <c r="BU27" s="714">
        <f>BU28-SUM(BU13:BU26)</f>
        <v>111</v>
      </c>
      <c r="BV27" s="705">
        <f>ROUND(((BU27/BT27-1)*100), 1)</f>
        <v>-22.4</v>
      </c>
    </row>
    <row r="28" spans="1:74" ht="13.5" customHeight="1">
      <c r="A28" s="96"/>
      <c r="B28" s="1177"/>
      <c r="C28" s="166" t="s">
        <v>292</v>
      </c>
      <c r="D28" s="99">
        <v>27040</v>
      </c>
      <c r="E28" s="99">
        <v>22071</v>
      </c>
      <c r="F28" s="99">
        <v>23963</v>
      </c>
      <c r="G28" s="99">
        <v>26884</v>
      </c>
      <c r="H28" s="99">
        <v>28014</v>
      </c>
      <c r="I28" s="99">
        <v>32955</v>
      </c>
      <c r="J28" s="99">
        <v>92084</v>
      </c>
      <c r="K28" s="99">
        <v>106147</v>
      </c>
      <c r="L28" s="422">
        <v>10964</v>
      </c>
      <c r="M28" s="387">
        <v>5301</v>
      </c>
      <c r="N28" s="259">
        <f>ROUND(((M28/L28-1)*100), 1)</f>
        <v>-51.7</v>
      </c>
      <c r="O28" s="422">
        <f t="shared" ref="O28:P46" si="56">R28-L28</f>
        <v>9350</v>
      </c>
      <c r="P28" s="387">
        <f t="shared" si="56"/>
        <v>8132</v>
      </c>
      <c r="Q28" s="270">
        <f t="shared" ref="Q28:Q37" si="57">ROUND(((P28/O28-1)*100), 1)</f>
        <v>-13</v>
      </c>
      <c r="R28" s="422">
        <v>20314</v>
      </c>
      <c r="S28" s="387">
        <v>13433</v>
      </c>
      <c r="T28" s="270">
        <f t="shared" ref="T28:T37" si="58">ROUND(((S28/R28-1)*100), 1)</f>
        <v>-33.9</v>
      </c>
      <c r="U28" s="422">
        <f t="shared" ref="U28:U46" si="59">X28-R28</f>
        <v>12233</v>
      </c>
      <c r="V28" s="387">
        <f t="shared" ref="V28:V46" si="60">Y28-S28</f>
        <v>7575</v>
      </c>
      <c r="W28" s="270">
        <f t="shared" ref="W28:W38" si="61">ROUND(((V28/U28-1)*100), 1)</f>
        <v>-38.1</v>
      </c>
      <c r="X28" s="422">
        <v>32547</v>
      </c>
      <c r="Y28" s="387">
        <v>21008</v>
      </c>
      <c r="Z28" s="270">
        <f t="shared" ref="Z28:Z38" si="62">ROUND(((Y28/X28-1)*100), 1)</f>
        <v>-35.5</v>
      </c>
      <c r="AA28" s="422">
        <f t="shared" ref="AA28:AA46" si="63">AD28-X28</f>
        <v>10003</v>
      </c>
      <c r="AB28" s="387">
        <f t="shared" ref="AB28:AB46" si="64">AE28-Y28</f>
        <v>3107</v>
      </c>
      <c r="AC28" s="270">
        <f t="shared" ref="AC28:AC39" si="65">ROUND(((AB28/AA28-1)*100), 1)</f>
        <v>-68.900000000000006</v>
      </c>
      <c r="AD28" s="422">
        <v>42550</v>
      </c>
      <c r="AE28" s="387">
        <v>24115</v>
      </c>
      <c r="AF28" s="270">
        <f t="shared" ref="AF28:AF39" si="66">ROUND(((AE28/AD28-1)*100), 1)</f>
        <v>-43.3</v>
      </c>
      <c r="AG28" s="422">
        <f t="shared" ref="AG28:AH46" si="67">AJ28-AD28</f>
        <v>9017</v>
      </c>
      <c r="AH28" s="387">
        <f t="shared" si="67"/>
        <v>4241</v>
      </c>
      <c r="AI28" s="270">
        <f t="shared" ref="AI28:AI39" si="68">ROUND(((AH28/AG28-1)*100), 1)</f>
        <v>-53</v>
      </c>
      <c r="AJ28" s="422">
        <v>51567</v>
      </c>
      <c r="AK28" s="387">
        <v>28356</v>
      </c>
      <c r="AL28" s="270">
        <f t="shared" ref="AL28:AL39" si="69">ROUND(((AK28/AJ28-1)*100), 1)</f>
        <v>-45</v>
      </c>
      <c r="AM28" s="727">
        <f t="shared" ref="AM28:AM46" si="70">AP28-AJ28</f>
        <v>8546</v>
      </c>
      <c r="AN28" s="715">
        <f t="shared" ref="AN28:AN46" si="71">AQ28-AK28</f>
        <v>5556</v>
      </c>
      <c r="AO28" s="699">
        <f t="shared" ref="AO28:AO39" si="72">ROUND(((AN28/AM28-1)*100), 1)</f>
        <v>-35</v>
      </c>
      <c r="AP28" s="727">
        <v>60113</v>
      </c>
      <c r="AQ28" s="715">
        <v>33912</v>
      </c>
      <c r="AR28" s="699">
        <f t="shared" ref="AR28:AR39" si="73">ROUND(((AQ28/AP28-1)*100), 1)</f>
        <v>-43.6</v>
      </c>
      <c r="AS28" s="727">
        <f t="shared" ref="AS28:AT46" si="74">AV28-AP28</f>
        <v>8786</v>
      </c>
      <c r="AT28" s="715">
        <f t="shared" si="74"/>
        <v>5398</v>
      </c>
      <c r="AU28" s="699">
        <f t="shared" ref="AU28:AU39" si="75">ROUND(((AT28/AS28-1)*100), 1)</f>
        <v>-38.6</v>
      </c>
      <c r="AV28" s="1000">
        <v>68899</v>
      </c>
      <c r="AW28" s="994">
        <v>39310</v>
      </c>
      <c r="AX28" s="699">
        <f t="shared" ref="AX28:AX39" si="76">ROUND(((AW28/AV28-1)*100), 1)</f>
        <v>-42.9</v>
      </c>
      <c r="AY28" s="727">
        <f t="shared" ref="AY28:AY46" si="77">BB28-AV28</f>
        <v>8635</v>
      </c>
      <c r="AZ28" s="715">
        <f t="shared" ref="AZ28:AZ46" si="78">BC28-AW28</f>
        <v>7331</v>
      </c>
      <c r="BA28" s="699">
        <f t="shared" ref="BA28:BA37" si="79">ROUND(((AZ28/AY28-1)*100), 1)</f>
        <v>-15.1</v>
      </c>
      <c r="BB28" s="727">
        <v>77534</v>
      </c>
      <c r="BC28" s="715">
        <v>46641</v>
      </c>
      <c r="BD28" s="699">
        <f t="shared" ref="BD28:BD39" si="80">ROUND(((BC28/BB28-1)*100), 1)</f>
        <v>-39.799999999999997</v>
      </c>
      <c r="BE28" s="727">
        <f t="shared" ref="BE28:BF46" si="81">BH28-BB28</f>
        <v>7642</v>
      </c>
      <c r="BF28" s="715">
        <f t="shared" si="81"/>
        <v>7947</v>
      </c>
      <c r="BG28" s="699">
        <f t="shared" ref="BG28:BG39" si="82">ROUND(((BF28/BE28-1)*100), 1)</f>
        <v>4</v>
      </c>
      <c r="BH28" s="727">
        <v>85176</v>
      </c>
      <c r="BI28" s="715">
        <v>54588</v>
      </c>
      <c r="BJ28" s="699">
        <f t="shared" ref="BJ28:BJ39" si="83">ROUND(((BI28/BH28-1)*100), 1)</f>
        <v>-35.9</v>
      </c>
      <c r="BK28" s="727">
        <f t="shared" ref="BK28:BL46" si="84">BN28-BH28</f>
        <v>9901</v>
      </c>
      <c r="BL28" s="715">
        <f t="shared" si="84"/>
        <v>6438</v>
      </c>
      <c r="BM28" s="699">
        <f t="shared" ref="BM28:BM39" si="85">ROUND(((BL28/BK28-1)*100), 1)</f>
        <v>-35</v>
      </c>
      <c r="BN28" s="727">
        <v>95077</v>
      </c>
      <c r="BO28" s="715">
        <v>61026</v>
      </c>
      <c r="BP28" s="699">
        <f t="shared" ref="BP28:BP39" si="86">ROUND(((BO28/BN28-1)*100), 1)</f>
        <v>-35.799999999999997</v>
      </c>
      <c r="BQ28" s="727">
        <f t="shared" ref="BQ28:BR46" si="87">BT28-BN28</f>
        <v>5153</v>
      </c>
      <c r="BR28" s="715">
        <f t="shared" si="87"/>
        <v>5896</v>
      </c>
      <c r="BS28" s="699">
        <f t="shared" ref="BS28:BS39" si="88">ROUND(((BR28/BQ28-1)*100), 1)</f>
        <v>14.4</v>
      </c>
      <c r="BT28" s="727">
        <v>100230</v>
      </c>
      <c r="BU28" s="715">
        <v>66922</v>
      </c>
      <c r="BV28" s="699">
        <f t="shared" ref="BV28:BV39" si="89">ROUND(((BU28/BT28-1)*100), 1)</f>
        <v>-33.200000000000003</v>
      </c>
    </row>
    <row r="29" spans="1:74" ht="13.5" customHeight="1">
      <c r="A29" s="96"/>
      <c r="B29" s="1175" t="s">
        <v>296</v>
      </c>
      <c r="C29" s="103" t="s">
        <v>51</v>
      </c>
      <c r="D29" s="104">
        <v>11617</v>
      </c>
      <c r="E29" s="104">
        <v>22224</v>
      </c>
      <c r="F29" s="104">
        <v>23747</v>
      </c>
      <c r="G29" s="104">
        <v>27391</v>
      </c>
      <c r="H29" s="104">
        <v>30531</v>
      </c>
      <c r="I29" s="104">
        <v>34646</v>
      </c>
      <c r="J29" s="104">
        <v>28580</v>
      </c>
      <c r="K29" s="104">
        <v>20722</v>
      </c>
      <c r="L29" s="420">
        <v>1507</v>
      </c>
      <c r="M29" s="385">
        <v>1801</v>
      </c>
      <c r="N29" s="264">
        <f t="shared" ref="N29:N36" si="90">ROUND(((M29/L29-1)*100), 1)</f>
        <v>19.5</v>
      </c>
      <c r="O29" s="420">
        <f t="shared" si="56"/>
        <v>1388</v>
      </c>
      <c r="P29" s="385">
        <f t="shared" si="56"/>
        <v>2124</v>
      </c>
      <c r="Q29" s="264">
        <f t="shared" si="57"/>
        <v>53</v>
      </c>
      <c r="R29" s="420">
        <v>2895</v>
      </c>
      <c r="S29" s="385">
        <v>3925</v>
      </c>
      <c r="T29" s="264">
        <f t="shared" si="58"/>
        <v>35.6</v>
      </c>
      <c r="U29" s="420">
        <f t="shared" si="59"/>
        <v>1919</v>
      </c>
      <c r="V29" s="385">
        <f t="shared" si="60"/>
        <v>2557</v>
      </c>
      <c r="W29" s="264">
        <f t="shared" si="61"/>
        <v>33.200000000000003</v>
      </c>
      <c r="X29" s="420">
        <v>4814</v>
      </c>
      <c r="Y29" s="385">
        <v>6482</v>
      </c>
      <c r="Z29" s="264">
        <f t="shared" si="62"/>
        <v>34.6</v>
      </c>
      <c r="AA29" s="420">
        <f t="shared" si="63"/>
        <v>1655</v>
      </c>
      <c r="AB29" s="385">
        <f t="shared" si="64"/>
        <v>2009</v>
      </c>
      <c r="AC29" s="264">
        <f t="shared" si="65"/>
        <v>21.4</v>
      </c>
      <c r="AD29" s="420">
        <v>6469</v>
      </c>
      <c r="AE29" s="385">
        <v>8491</v>
      </c>
      <c r="AF29" s="264">
        <f t="shared" si="66"/>
        <v>31.3</v>
      </c>
      <c r="AG29" s="420">
        <f t="shared" si="67"/>
        <v>1885</v>
      </c>
      <c r="AH29" s="385">
        <f t="shared" si="67"/>
        <v>2413</v>
      </c>
      <c r="AI29" s="264">
        <f t="shared" si="68"/>
        <v>28</v>
      </c>
      <c r="AJ29" s="420">
        <v>8354</v>
      </c>
      <c r="AK29" s="385">
        <v>10904</v>
      </c>
      <c r="AL29" s="264">
        <f t="shared" si="69"/>
        <v>30.5</v>
      </c>
      <c r="AM29" s="725">
        <f t="shared" si="70"/>
        <v>1813</v>
      </c>
      <c r="AN29" s="713">
        <f t="shared" si="71"/>
        <v>2501</v>
      </c>
      <c r="AO29" s="704">
        <f t="shared" si="72"/>
        <v>37.9</v>
      </c>
      <c r="AP29" s="741">
        <v>10167</v>
      </c>
      <c r="AQ29" s="713">
        <v>13405</v>
      </c>
      <c r="AR29" s="704">
        <f t="shared" si="73"/>
        <v>31.8</v>
      </c>
      <c r="AS29" s="741">
        <f t="shared" si="74"/>
        <v>1572</v>
      </c>
      <c r="AT29" s="713">
        <f t="shared" si="74"/>
        <v>1467</v>
      </c>
      <c r="AU29" s="704">
        <f t="shared" si="75"/>
        <v>-6.7</v>
      </c>
      <c r="AV29" s="998">
        <v>11739</v>
      </c>
      <c r="AW29" s="988">
        <v>14872</v>
      </c>
      <c r="AX29" s="704">
        <f t="shared" si="76"/>
        <v>26.7</v>
      </c>
      <c r="AY29" s="741">
        <f t="shared" si="77"/>
        <v>997</v>
      </c>
      <c r="AZ29" s="713">
        <f t="shared" si="78"/>
        <v>3047</v>
      </c>
      <c r="BA29" s="704">
        <f t="shared" si="79"/>
        <v>205.6</v>
      </c>
      <c r="BB29" s="741">
        <v>12736</v>
      </c>
      <c r="BC29" s="713">
        <v>17919</v>
      </c>
      <c r="BD29" s="704">
        <f t="shared" si="80"/>
        <v>40.700000000000003</v>
      </c>
      <c r="BE29" s="741">
        <f t="shared" si="81"/>
        <v>1381</v>
      </c>
      <c r="BF29" s="713">
        <f t="shared" si="81"/>
        <v>3600</v>
      </c>
      <c r="BG29" s="704">
        <f t="shared" si="82"/>
        <v>160.69999999999999</v>
      </c>
      <c r="BH29" s="741">
        <v>14117</v>
      </c>
      <c r="BI29" s="713">
        <v>21519</v>
      </c>
      <c r="BJ29" s="704">
        <f t="shared" si="83"/>
        <v>52.4</v>
      </c>
      <c r="BK29" s="741">
        <f t="shared" si="84"/>
        <v>1503</v>
      </c>
      <c r="BL29" s="713">
        <f t="shared" si="84"/>
        <v>2935</v>
      </c>
      <c r="BM29" s="704">
        <f t="shared" si="85"/>
        <v>95.3</v>
      </c>
      <c r="BN29" s="741">
        <v>15620</v>
      </c>
      <c r="BO29" s="713">
        <v>24454</v>
      </c>
      <c r="BP29" s="704">
        <f t="shared" si="86"/>
        <v>56.6</v>
      </c>
      <c r="BQ29" s="741">
        <f t="shared" si="87"/>
        <v>2254</v>
      </c>
      <c r="BR29" s="713">
        <f t="shared" si="87"/>
        <v>3309</v>
      </c>
      <c r="BS29" s="704">
        <f t="shared" si="88"/>
        <v>46.8</v>
      </c>
      <c r="BT29" s="741">
        <v>17874</v>
      </c>
      <c r="BU29" s="713">
        <v>27763</v>
      </c>
      <c r="BV29" s="704">
        <f t="shared" si="89"/>
        <v>55.3</v>
      </c>
    </row>
    <row r="30" spans="1:74" ht="13.5" customHeight="1">
      <c r="A30" s="96"/>
      <c r="B30" s="1176"/>
      <c r="C30" s="105" t="s">
        <v>50</v>
      </c>
      <c r="D30" s="98">
        <v>1477</v>
      </c>
      <c r="E30" s="98">
        <v>1650</v>
      </c>
      <c r="F30" s="98">
        <v>1994</v>
      </c>
      <c r="G30" s="98">
        <v>620</v>
      </c>
      <c r="H30" s="98">
        <v>1571</v>
      </c>
      <c r="I30" s="98">
        <v>4645</v>
      </c>
      <c r="J30" s="98">
        <v>6732</v>
      </c>
      <c r="K30" s="98">
        <v>14928</v>
      </c>
      <c r="L30" s="421">
        <v>202</v>
      </c>
      <c r="M30" s="386">
        <v>7195</v>
      </c>
      <c r="N30" s="265">
        <f t="shared" si="90"/>
        <v>3461.9</v>
      </c>
      <c r="O30" s="421">
        <f t="shared" si="56"/>
        <v>161</v>
      </c>
      <c r="P30" s="386">
        <f t="shared" si="56"/>
        <v>6832</v>
      </c>
      <c r="Q30" s="265">
        <f t="shared" si="57"/>
        <v>4143.5</v>
      </c>
      <c r="R30" s="421">
        <v>363</v>
      </c>
      <c r="S30" s="386">
        <v>14027</v>
      </c>
      <c r="T30" s="265">
        <f t="shared" si="58"/>
        <v>3764.2</v>
      </c>
      <c r="U30" s="421">
        <f t="shared" si="59"/>
        <v>838</v>
      </c>
      <c r="V30" s="386">
        <f t="shared" si="60"/>
        <v>5693</v>
      </c>
      <c r="W30" s="265">
        <f t="shared" si="61"/>
        <v>579.4</v>
      </c>
      <c r="X30" s="421">
        <v>1201</v>
      </c>
      <c r="Y30" s="386">
        <v>19720</v>
      </c>
      <c r="Z30" s="265">
        <f t="shared" si="62"/>
        <v>1542</v>
      </c>
      <c r="AA30" s="421">
        <f t="shared" si="63"/>
        <v>354</v>
      </c>
      <c r="AB30" s="386">
        <f t="shared" si="64"/>
        <v>5812</v>
      </c>
      <c r="AC30" s="265">
        <f t="shared" si="65"/>
        <v>1541.8</v>
      </c>
      <c r="AD30" s="421">
        <v>1555</v>
      </c>
      <c r="AE30" s="386">
        <v>25532</v>
      </c>
      <c r="AF30" s="265">
        <f t="shared" si="66"/>
        <v>1541.9</v>
      </c>
      <c r="AG30" s="421">
        <f t="shared" si="67"/>
        <v>712</v>
      </c>
      <c r="AH30" s="386">
        <f t="shared" si="67"/>
        <v>14635</v>
      </c>
      <c r="AI30" s="265">
        <f t="shared" si="68"/>
        <v>1955.5</v>
      </c>
      <c r="AJ30" s="421">
        <v>2267</v>
      </c>
      <c r="AK30" s="386">
        <v>40167</v>
      </c>
      <c r="AL30" s="265">
        <f t="shared" si="69"/>
        <v>1671.8</v>
      </c>
      <c r="AM30" s="726">
        <f t="shared" si="70"/>
        <v>582</v>
      </c>
      <c r="AN30" s="714">
        <f t="shared" si="71"/>
        <v>18336</v>
      </c>
      <c r="AO30" s="705">
        <f t="shared" si="72"/>
        <v>3050.5</v>
      </c>
      <c r="AP30" s="742">
        <v>2849</v>
      </c>
      <c r="AQ30" s="714">
        <v>58503</v>
      </c>
      <c r="AR30" s="705">
        <f t="shared" si="73"/>
        <v>1953.5</v>
      </c>
      <c r="AS30" s="742">
        <f t="shared" si="74"/>
        <v>80</v>
      </c>
      <c r="AT30" s="714">
        <f t="shared" si="74"/>
        <v>15373</v>
      </c>
      <c r="AU30" s="705">
        <f t="shared" si="75"/>
        <v>19116.3</v>
      </c>
      <c r="AV30" s="999">
        <v>2929</v>
      </c>
      <c r="AW30" s="990">
        <v>73876</v>
      </c>
      <c r="AX30" s="705">
        <f t="shared" si="76"/>
        <v>2422.1999999999998</v>
      </c>
      <c r="AY30" s="742">
        <f t="shared" si="77"/>
        <v>662</v>
      </c>
      <c r="AZ30" s="714">
        <f t="shared" si="78"/>
        <v>9436</v>
      </c>
      <c r="BA30" s="705">
        <f t="shared" si="79"/>
        <v>1325.4</v>
      </c>
      <c r="BB30" s="742">
        <v>3591</v>
      </c>
      <c r="BC30" s="714">
        <v>83312</v>
      </c>
      <c r="BD30" s="705">
        <f t="shared" si="80"/>
        <v>2220</v>
      </c>
      <c r="BE30" s="742">
        <f t="shared" si="81"/>
        <v>830</v>
      </c>
      <c r="BF30" s="714">
        <f t="shared" si="81"/>
        <v>9906</v>
      </c>
      <c r="BG30" s="705">
        <f t="shared" si="82"/>
        <v>1093.5</v>
      </c>
      <c r="BH30" s="742">
        <v>4421</v>
      </c>
      <c r="BI30" s="714">
        <v>93218</v>
      </c>
      <c r="BJ30" s="705">
        <f t="shared" si="83"/>
        <v>2008.5</v>
      </c>
      <c r="BK30" s="742">
        <f t="shared" si="84"/>
        <v>640</v>
      </c>
      <c r="BL30" s="714">
        <f t="shared" si="84"/>
        <v>7336</v>
      </c>
      <c r="BM30" s="705">
        <f t="shared" si="85"/>
        <v>1046.3</v>
      </c>
      <c r="BN30" s="742">
        <v>5061</v>
      </c>
      <c r="BO30" s="714">
        <v>100554</v>
      </c>
      <c r="BP30" s="705">
        <f t="shared" si="86"/>
        <v>1886.8</v>
      </c>
      <c r="BQ30" s="742">
        <f t="shared" si="87"/>
        <v>2779</v>
      </c>
      <c r="BR30" s="714">
        <f t="shared" si="87"/>
        <v>6605</v>
      </c>
      <c r="BS30" s="705">
        <f t="shared" si="88"/>
        <v>137.69999999999999</v>
      </c>
      <c r="BT30" s="742">
        <v>7840</v>
      </c>
      <c r="BU30" s="714">
        <v>107159</v>
      </c>
      <c r="BV30" s="705">
        <f t="shared" si="89"/>
        <v>1266.8</v>
      </c>
    </row>
    <row r="31" spans="1:74" ht="13.5" customHeight="1">
      <c r="A31" s="96"/>
      <c r="B31" s="1176"/>
      <c r="C31" s="105" t="s">
        <v>52</v>
      </c>
      <c r="D31" s="98">
        <v>290</v>
      </c>
      <c r="E31" s="98">
        <v>5170</v>
      </c>
      <c r="F31" s="98">
        <v>2603</v>
      </c>
      <c r="G31" s="98">
        <v>0</v>
      </c>
      <c r="H31" s="98">
        <v>3682</v>
      </c>
      <c r="I31" s="98">
        <v>7993</v>
      </c>
      <c r="J31" s="98">
        <v>12820</v>
      </c>
      <c r="K31" s="98">
        <v>14381</v>
      </c>
      <c r="L31" s="421">
        <v>771</v>
      </c>
      <c r="M31" s="386">
        <v>628</v>
      </c>
      <c r="N31" s="265">
        <f t="shared" si="90"/>
        <v>-18.5</v>
      </c>
      <c r="O31" s="421">
        <f t="shared" si="56"/>
        <v>1002</v>
      </c>
      <c r="P31" s="386">
        <f t="shared" si="56"/>
        <v>1724</v>
      </c>
      <c r="Q31" s="265">
        <f t="shared" si="57"/>
        <v>72.099999999999994</v>
      </c>
      <c r="R31" s="421">
        <v>1773</v>
      </c>
      <c r="S31" s="386">
        <v>2352</v>
      </c>
      <c r="T31" s="265">
        <f t="shared" si="58"/>
        <v>32.700000000000003</v>
      </c>
      <c r="U31" s="421">
        <f t="shared" si="59"/>
        <v>1530</v>
      </c>
      <c r="V31" s="386">
        <f t="shared" si="60"/>
        <v>1575</v>
      </c>
      <c r="W31" s="265">
        <f t="shared" si="61"/>
        <v>2.9</v>
      </c>
      <c r="X31" s="421">
        <v>3303</v>
      </c>
      <c r="Y31" s="386">
        <v>3927</v>
      </c>
      <c r="Z31" s="265">
        <f t="shared" si="62"/>
        <v>18.899999999999999</v>
      </c>
      <c r="AA31" s="421">
        <f t="shared" si="63"/>
        <v>750</v>
      </c>
      <c r="AB31" s="386">
        <f t="shared" si="64"/>
        <v>124</v>
      </c>
      <c r="AC31" s="265">
        <f t="shared" si="65"/>
        <v>-83.5</v>
      </c>
      <c r="AD31" s="421">
        <v>4053</v>
      </c>
      <c r="AE31" s="386">
        <v>4051</v>
      </c>
      <c r="AF31" s="265">
        <f t="shared" si="66"/>
        <v>0</v>
      </c>
      <c r="AG31" s="421">
        <f t="shared" si="67"/>
        <v>2310</v>
      </c>
      <c r="AH31" s="386">
        <f t="shared" si="67"/>
        <v>0</v>
      </c>
      <c r="AI31" s="265">
        <f t="shared" si="68"/>
        <v>-100</v>
      </c>
      <c r="AJ31" s="421">
        <v>6363</v>
      </c>
      <c r="AK31" s="386">
        <v>4051</v>
      </c>
      <c r="AL31" s="265">
        <f t="shared" si="69"/>
        <v>-36.299999999999997</v>
      </c>
      <c r="AM31" s="726">
        <f t="shared" si="70"/>
        <v>2393</v>
      </c>
      <c r="AN31" s="714">
        <f t="shared" si="71"/>
        <v>205</v>
      </c>
      <c r="AO31" s="705">
        <f t="shared" si="72"/>
        <v>-91.4</v>
      </c>
      <c r="AP31" s="742">
        <v>8756</v>
      </c>
      <c r="AQ31" s="714">
        <v>4256</v>
      </c>
      <c r="AR31" s="705">
        <f t="shared" si="73"/>
        <v>-51.4</v>
      </c>
      <c r="AS31" s="742">
        <f t="shared" si="74"/>
        <v>2090</v>
      </c>
      <c r="AT31" s="714">
        <f t="shared" si="74"/>
        <v>251</v>
      </c>
      <c r="AU31" s="705">
        <f t="shared" si="75"/>
        <v>-88</v>
      </c>
      <c r="AV31" s="999">
        <v>10846</v>
      </c>
      <c r="AW31" s="990">
        <v>4507</v>
      </c>
      <c r="AX31" s="705">
        <f t="shared" si="76"/>
        <v>-58.4</v>
      </c>
      <c r="AY31" s="742">
        <f t="shared" si="77"/>
        <v>1105</v>
      </c>
      <c r="AZ31" s="714">
        <f t="shared" si="78"/>
        <v>744</v>
      </c>
      <c r="BA31" s="705">
        <f t="shared" si="79"/>
        <v>-32.700000000000003</v>
      </c>
      <c r="BB31" s="742">
        <v>11951</v>
      </c>
      <c r="BC31" s="714">
        <v>5251</v>
      </c>
      <c r="BD31" s="705">
        <f t="shared" si="80"/>
        <v>-56.1</v>
      </c>
      <c r="BE31" s="742">
        <f t="shared" si="81"/>
        <v>1041</v>
      </c>
      <c r="BF31" s="714">
        <f t="shared" si="81"/>
        <v>665</v>
      </c>
      <c r="BG31" s="705">
        <f t="shared" si="82"/>
        <v>-36.1</v>
      </c>
      <c r="BH31" s="742">
        <v>12992</v>
      </c>
      <c r="BI31" s="714">
        <v>5916</v>
      </c>
      <c r="BJ31" s="705">
        <f t="shared" si="83"/>
        <v>-54.5</v>
      </c>
      <c r="BK31" s="742">
        <f t="shared" si="84"/>
        <v>574</v>
      </c>
      <c r="BL31" s="714">
        <f t="shared" si="84"/>
        <v>1455</v>
      </c>
      <c r="BM31" s="705">
        <f t="shared" si="85"/>
        <v>153.5</v>
      </c>
      <c r="BN31" s="742">
        <v>13566</v>
      </c>
      <c r="BO31" s="714">
        <v>7371</v>
      </c>
      <c r="BP31" s="705">
        <f t="shared" si="86"/>
        <v>-45.7</v>
      </c>
      <c r="BQ31" s="742">
        <f t="shared" si="87"/>
        <v>371</v>
      </c>
      <c r="BR31" s="714">
        <f t="shared" si="87"/>
        <v>587</v>
      </c>
      <c r="BS31" s="705">
        <f t="shared" si="88"/>
        <v>58.2</v>
      </c>
      <c r="BT31" s="742">
        <v>13937</v>
      </c>
      <c r="BU31" s="714">
        <v>7958</v>
      </c>
      <c r="BV31" s="705">
        <f t="shared" si="89"/>
        <v>-42.9</v>
      </c>
    </row>
    <row r="32" spans="1:74" ht="13.5" customHeight="1">
      <c r="A32" s="96"/>
      <c r="B32" s="1176"/>
      <c r="C32" s="105" t="s">
        <v>54</v>
      </c>
      <c r="D32" s="98">
        <v>5083</v>
      </c>
      <c r="E32" s="98">
        <v>7080</v>
      </c>
      <c r="F32" s="98">
        <v>3699</v>
      </c>
      <c r="G32" s="98">
        <v>1261</v>
      </c>
      <c r="H32" s="98">
        <v>7927</v>
      </c>
      <c r="I32" s="98">
        <v>24891</v>
      </c>
      <c r="J32" s="98">
        <v>27150</v>
      </c>
      <c r="K32" s="98">
        <v>11648</v>
      </c>
      <c r="L32" s="421">
        <v>1265</v>
      </c>
      <c r="M32" s="386">
        <v>2366</v>
      </c>
      <c r="N32" s="265">
        <f t="shared" si="90"/>
        <v>87</v>
      </c>
      <c r="O32" s="421">
        <f t="shared" si="56"/>
        <v>1071</v>
      </c>
      <c r="P32" s="386">
        <f t="shared" si="56"/>
        <v>1954</v>
      </c>
      <c r="Q32" s="265">
        <f t="shared" si="57"/>
        <v>82.4</v>
      </c>
      <c r="R32" s="421">
        <v>2336</v>
      </c>
      <c r="S32" s="386">
        <v>4320</v>
      </c>
      <c r="T32" s="265">
        <f t="shared" si="58"/>
        <v>84.9</v>
      </c>
      <c r="U32" s="421">
        <f t="shared" si="59"/>
        <v>576</v>
      </c>
      <c r="V32" s="386">
        <f t="shared" si="60"/>
        <v>920</v>
      </c>
      <c r="W32" s="265">
        <f t="shared" si="61"/>
        <v>59.7</v>
      </c>
      <c r="X32" s="421">
        <v>2912</v>
      </c>
      <c r="Y32" s="386">
        <v>5240</v>
      </c>
      <c r="Z32" s="265">
        <f t="shared" si="62"/>
        <v>79.900000000000006</v>
      </c>
      <c r="AA32" s="421">
        <f t="shared" si="63"/>
        <v>571</v>
      </c>
      <c r="AB32" s="386">
        <f t="shared" si="64"/>
        <v>304</v>
      </c>
      <c r="AC32" s="265">
        <f t="shared" si="65"/>
        <v>-46.8</v>
      </c>
      <c r="AD32" s="421">
        <v>3483</v>
      </c>
      <c r="AE32" s="386">
        <v>5544</v>
      </c>
      <c r="AF32" s="265">
        <f t="shared" si="66"/>
        <v>59.2</v>
      </c>
      <c r="AG32" s="421">
        <f t="shared" si="67"/>
        <v>1714</v>
      </c>
      <c r="AH32" s="386">
        <f t="shared" si="67"/>
        <v>162</v>
      </c>
      <c r="AI32" s="265">
        <f t="shared" si="68"/>
        <v>-90.5</v>
      </c>
      <c r="AJ32" s="421">
        <v>5197</v>
      </c>
      <c r="AK32" s="386">
        <v>5706</v>
      </c>
      <c r="AL32" s="265">
        <f t="shared" si="69"/>
        <v>9.8000000000000007</v>
      </c>
      <c r="AM32" s="726">
        <f t="shared" si="70"/>
        <v>2265</v>
      </c>
      <c r="AN32" s="714">
        <f t="shared" si="71"/>
        <v>218</v>
      </c>
      <c r="AO32" s="705">
        <f t="shared" si="72"/>
        <v>-90.4</v>
      </c>
      <c r="AP32" s="742">
        <v>7462</v>
      </c>
      <c r="AQ32" s="714">
        <v>5924</v>
      </c>
      <c r="AR32" s="705">
        <f t="shared" si="73"/>
        <v>-20.6</v>
      </c>
      <c r="AS32" s="742">
        <f t="shared" si="74"/>
        <v>1744</v>
      </c>
      <c r="AT32" s="714">
        <f t="shared" si="74"/>
        <v>160</v>
      </c>
      <c r="AU32" s="705">
        <f t="shared" si="75"/>
        <v>-90.8</v>
      </c>
      <c r="AV32" s="999">
        <v>9206</v>
      </c>
      <c r="AW32" s="990">
        <v>6084</v>
      </c>
      <c r="AX32" s="705">
        <f t="shared" si="76"/>
        <v>-33.9</v>
      </c>
      <c r="AY32" s="742">
        <f t="shared" si="77"/>
        <v>504</v>
      </c>
      <c r="AZ32" s="714">
        <f t="shared" si="78"/>
        <v>398</v>
      </c>
      <c r="BA32" s="705">
        <f t="shared" si="79"/>
        <v>-21</v>
      </c>
      <c r="BB32" s="742">
        <v>9710</v>
      </c>
      <c r="BC32" s="714">
        <v>6482</v>
      </c>
      <c r="BD32" s="705">
        <f t="shared" si="80"/>
        <v>-33.200000000000003</v>
      </c>
      <c r="BE32" s="742">
        <f t="shared" si="81"/>
        <v>403</v>
      </c>
      <c r="BF32" s="714">
        <f t="shared" si="81"/>
        <v>867</v>
      </c>
      <c r="BG32" s="705">
        <f t="shared" si="82"/>
        <v>115.1</v>
      </c>
      <c r="BH32" s="742">
        <v>10113</v>
      </c>
      <c r="BI32" s="714">
        <v>7349</v>
      </c>
      <c r="BJ32" s="705">
        <f t="shared" si="83"/>
        <v>-27.3</v>
      </c>
      <c r="BK32" s="742">
        <f t="shared" si="84"/>
        <v>402</v>
      </c>
      <c r="BL32" s="714">
        <f t="shared" si="84"/>
        <v>2304</v>
      </c>
      <c r="BM32" s="705">
        <f t="shared" si="85"/>
        <v>473.1</v>
      </c>
      <c r="BN32" s="742">
        <v>10515</v>
      </c>
      <c r="BO32" s="714">
        <v>9653</v>
      </c>
      <c r="BP32" s="705">
        <f t="shared" si="86"/>
        <v>-8.1999999999999993</v>
      </c>
      <c r="BQ32" s="742">
        <f t="shared" si="87"/>
        <v>377</v>
      </c>
      <c r="BR32" s="714">
        <f t="shared" si="87"/>
        <v>2814</v>
      </c>
      <c r="BS32" s="705">
        <f t="shared" si="88"/>
        <v>646.4</v>
      </c>
      <c r="BT32" s="742">
        <v>10892</v>
      </c>
      <c r="BU32" s="714">
        <v>12467</v>
      </c>
      <c r="BV32" s="705">
        <f t="shared" si="89"/>
        <v>14.5</v>
      </c>
    </row>
    <row r="33" spans="1:74" ht="13.5" customHeight="1">
      <c r="A33" s="96"/>
      <c r="B33" s="1176"/>
      <c r="C33" s="105" t="s">
        <v>58</v>
      </c>
      <c r="D33" s="98">
        <v>2343</v>
      </c>
      <c r="E33" s="98">
        <v>1968</v>
      </c>
      <c r="F33" s="98">
        <v>3071</v>
      </c>
      <c r="G33" s="98">
        <v>2460</v>
      </c>
      <c r="H33" s="98">
        <v>1913</v>
      </c>
      <c r="I33" s="98">
        <v>5243</v>
      </c>
      <c r="J33" s="98">
        <v>5593</v>
      </c>
      <c r="K33" s="98">
        <v>10189</v>
      </c>
      <c r="L33" s="421">
        <v>902</v>
      </c>
      <c r="M33" s="386">
        <v>731</v>
      </c>
      <c r="N33" s="265">
        <f t="shared" si="90"/>
        <v>-19</v>
      </c>
      <c r="O33" s="421">
        <f t="shared" si="56"/>
        <v>1003</v>
      </c>
      <c r="P33" s="386">
        <f t="shared" si="56"/>
        <v>723</v>
      </c>
      <c r="Q33" s="265">
        <f t="shared" si="57"/>
        <v>-27.9</v>
      </c>
      <c r="R33" s="421">
        <v>1905</v>
      </c>
      <c r="S33" s="386">
        <v>1454</v>
      </c>
      <c r="T33" s="265">
        <f t="shared" si="58"/>
        <v>-23.7</v>
      </c>
      <c r="U33" s="421">
        <f t="shared" si="59"/>
        <v>1628</v>
      </c>
      <c r="V33" s="386">
        <f t="shared" si="60"/>
        <v>621</v>
      </c>
      <c r="W33" s="265">
        <f t="shared" si="61"/>
        <v>-61.9</v>
      </c>
      <c r="X33" s="421">
        <v>3533</v>
      </c>
      <c r="Y33" s="386">
        <v>2075</v>
      </c>
      <c r="Z33" s="265">
        <f t="shared" si="62"/>
        <v>-41.3</v>
      </c>
      <c r="AA33" s="421">
        <f t="shared" si="63"/>
        <v>588</v>
      </c>
      <c r="AB33" s="386">
        <f t="shared" si="64"/>
        <v>516</v>
      </c>
      <c r="AC33" s="265">
        <f t="shared" si="65"/>
        <v>-12.2</v>
      </c>
      <c r="AD33" s="421">
        <v>4121</v>
      </c>
      <c r="AE33" s="386">
        <v>2591</v>
      </c>
      <c r="AF33" s="265">
        <f t="shared" si="66"/>
        <v>-37.1</v>
      </c>
      <c r="AG33" s="421">
        <f t="shared" si="67"/>
        <v>775</v>
      </c>
      <c r="AH33" s="386">
        <f t="shared" si="67"/>
        <v>414</v>
      </c>
      <c r="AI33" s="265">
        <f t="shared" si="68"/>
        <v>-46.6</v>
      </c>
      <c r="AJ33" s="421">
        <v>4896</v>
      </c>
      <c r="AK33" s="386">
        <v>3005</v>
      </c>
      <c r="AL33" s="265">
        <f t="shared" si="69"/>
        <v>-38.6</v>
      </c>
      <c r="AM33" s="726">
        <f t="shared" si="70"/>
        <v>287</v>
      </c>
      <c r="AN33" s="714">
        <f t="shared" si="71"/>
        <v>619</v>
      </c>
      <c r="AO33" s="705">
        <f t="shared" si="72"/>
        <v>115.7</v>
      </c>
      <c r="AP33" s="742">
        <v>5183</v>
      </c>
      <c r="AQ33" s="714">
        <v>3624</v>
      </c>
      <c r="AR33" s="705">
        <f t="shared" si="73"/>
        <v>-30.1</v>
      </c>
      <c r="AS33" s="742">
        <f t="shared" si="74"/>
        <v>1353</v>
      </c>
      <c r="AT33" s="714">
        <f t="shared" si="74"/>
        <v>1390</v>
      </c>
      <c r="AU33" s="705">
        <f t="shared" si="75"/>
        <v>2.7</v>
      </c>
      <c r="AV33" s="999">
        <v>6536</v>
      </c>
      <c r="AW33" s="990">
        <v>5014</v>
      </c>
      <c r="AX33" s="705">
        <f t="shared" si="76"/>
        <v>-23.3</v>
      </c>
      <c r="AY33" s="742">
        <f t="shared" si="77"/>
        <v>896</v>
      </c>
      <c r="AZ33" s="714">
        <f t="shared" si="78"/>
        <v>421</v>
      </c>
      <c r="BA33" s="705">
        <f t="shared" si="79"/>
        <v>-53</v>
      </c>
      <c r="BB33" s="742">
        <v>7432</v>
      </c>
      <c r="BC33" s="714">
        <v>5435</v>
      </c>
      <c r="BD33" s="705">
        <f t="shared" si="80"/>
        <v>-26.9</v>
      </c>
      <c r="BE33" s="742">
        <f t="shared" si="81"/>
        <v>130</v>
      </c>
      <c r="BF33" s="714">
        <f t="shared" si="81"/>
        <v>813</v>
      </c>
      <c r="BG33" s="705">
        <f t="shared" si="82"/>
        <v>525.4</v>
      </c>
      <c r="BH33" s="742">
        <v>7562</v>
      </c>
      <c r="BI33" s="714">
        <v>6248</v>
      </c>
      <c r="BJ33" s="705">
        <f t="shared" si="83"/>
        <v>-17.399999999999999</v>
      </c>
      <c r="BK33" s="742">
        <f t="shared" si="84"/>
        <v>852</v>
      </c>
      <c r="BL33" s="714">
        <f t="shared" si="84"/>
        <v>428</v>
      </c>
      <c r="BM33" s="705">
        <f t="shared" si="85"/>
        <v>-49.8</v>
      </c>
      <c r="BN33" s="742">
        <v>8414</v>
      </c>
      <c r="BO33" s="714">
        <v>6676</v>
      </c>
      <c r="BP33" s="705">
        <f t="shared" si="86"/>
        <v>-20.7</v>
      </c>
      <c r="BQ33" s="742">
        <f t="shared" si="87"/>
        <v>975</v>
      </c>
      <c r="BR33" s="714">
        <f t="shared" si="87"/>
        <v>603</v>
      </c>
      <c r="BS33" s="705">
        <f t="shared" si="88"/>
        <v>-38.200000000000003</v>
      </c>
      <c r="BT33" s="742">
        <v>9389</v>
      </c>
      <c r="BU33" s="714">
        <v>7279</v>
      </c>
      <c r="BV33" s="705">
        <f t="shared" si="89"/>
        <v>-22.5</v>
      </c>
    </row>
    <row r="34" spans="1:74" ht="13.5" customHeight="1">
      <c r="A34" s="96"/>
      <c r="B34" s="1176"/>
      <c r="C34" s="105" t="s">
        <v>133</v>
      </c>
      <c r="D34" s="98">
        <v>0</v>
      </c>
      <c r="E34" s="98">
        <v>0</v>
      </c>
      <c r="F34" s="98">
        <v>783</v>
      </c>
      <c r="G34" s="98">
        <v>0</v>
      </c>
      <c r="H34" s="98">
        <v>5</v>
      </c>
      <c r="I34" s="98">
        <v>0</v>
      </c>
      <c r="J34" s="98">
        <v>7706</v>
      </c>
      <c r="K34" s="98">
        <v>5051</v>
      </c>
      <c r="L34" s="421">
        <v>390</v>
      </c>
      <c r="M34" s="386">
        <v>471</v>
      </c>
      <c r="N34" s="265">
        <f t="shared" si="90"/>
        <v>20.8</v>
      </c>
      <c r="O34" s="421">
        <f t="shared" si="56"/>
        <v>377</v>
      </c>
      <c r="P34" s="386">
        <f t="shared" si="56"/>
        <v>531</v>
      </c>
      <c r="Q34" s="265">
        <f t="shared" si="57"/>
        <v>40.799999999999997</v>
      </c>
      <c r="R34" s="421">
        <v>767</v>
      </c>
      <c r="S34" s="386">
        <v>1002</v>
      </c>
      <c r="T34" s="265">
        <f t="shared" si="58"/>
        <v>30.6</v>
      </c>
      <c r="U34" s="421">
        <f t="shared" si="59"/>
        <v>332</v>
      </c>
      <c r="V34" s="386">
        <f t="shared" si="60"/>
        <v>531</v>
      </c>
      <c r="W34" s="265">
        <f t="shared" si="61"/>
        <v>59.9</v>
      </c>
      <c r="X34" s="421">
        <v>1099</v>
      </c>
      <c r="Y34" s="386">
        <v>1533</v>
      </c>
      <c r="Z34" s="265">
        <f t="shared" si="62"/>
        <v>39.5</v>
      </c>
      <c r="AA34" s="421">
        <f t="shared" si="63"/>
        <v>509</v>
      </c>
      <c r="AB34" s="386">
        <f t="shared" si="64"/>
        <v>40</v>
      </c>
      <c r="AC34" s="265">
        <f t="shared" si="65"/>
        <v>-92.1</v>
      </c>
      <c r="AD34" s="421">
        <v>1608</v>
      </c>
      <c r="AE34" s="386">
        <v>1573</v>
      </c>
      <c r="AF34" s="265">
        <f t="shared" si="66"/>
        <v>-2.2000000000000002</v>
      </c>
      <c r="AG34" s="421">
        <f t="shared" si="67"/>
        <v>311</v>
      </c>
      <c r="AH34" s="386">
        <f t="shared" si="67"/>
        <v>196</v>
      </c>
      <c r="AI34" s="265">
        <f t="shared" si="68"/>
        <v>-37</v>
      </c>
      <c r="AJ34" s="421">
        <v>1919</v>
      </c>
      <c r="AK34" s="386">
        <v>1769</v>
      </c>
      <c r="AL34" s="265">
        <f t="shared" si="69"/>
        <v>-7.8</v>
      </c>
      <c r="AM34" s="726">
        <f t="shared" si="70"/>
        <v>471</v>
      </c>
      <c r="AN34" s="714">
        <f t="shared" si="71"/>
        <v>313</v>
      </c>
      <c r="AO34" s="705">
        <f t="shared" si="72"/>
        <v>-33.5</v>
      </c>
      <c r="AP34" s="742">
        <v>2390</v>
      </c>
      <c r="AQ34" s="714">
        <v>2082</v>
      </c>
      <c r="AR34" s="705">
        <f t="shared" si="73"/>
        <v>-12.9</v>
      </c>
      <c r="AS34" s="742">
        <f t="shared" si="74"/>
        <v>432</v>
      </c>
      <c r="AT34" s="714">
        <f t="shared" si="74"/>
        <v>257</v>
      </c>
      <c r="AU34" s="705">
        <f t="shared" si="75"/>
        <v>-40.5</v>
      </c>
      <c r="AV34" s="999">
        <v>2822</v>
      </c>
      <c r="AW34" s="990">
        <v>2339</v>
      </c>
      <c r="AX34" s="705">
        <f t="shared" si="76"/>
        <v>-17.100000000000001</v>
      </c>
      <c r="AY34" s="742">
        <f t="shared" si="77"/>
        <v>410</v>
      </c>
      <c r="AZ34" s="714">
        <f t="shared" si="78"/>
        <v>368</v>
      </c>
      <c r="BA34" s="705">
        <f t="shared" si="79"/>
        <v>-10.199999999999999</v>
      </c>
      <c r="BB34" s="742">
        <v>3232</v>
      </c>
      <c r="BC34" s="714">
        <v>2707</v>
      </c>
      <c r="BD34" s="705">
        <f t="shared" si="80"/>
        <v>-16.2</v>
      </c>
      <c r="BE34" s="742">
        <f t="shared" si="81"/>
        <v>583</v>
      </c>
      <c r="BF34" s="714">
        <f t="shared" si="81"/>
        <v>292</v>
      </c>
      <c r="BG34" s="705">
        <f t="shared" si="82"/>
        <v>-49.9</v>
      </c>
      <c r="BH34" s="742">
        <v>3815</v>
      </c>
      <c r="BI34" s="714">
        <v>2999</v>
      </c>
      <c r="BJ34" s="705">
        <f t="shared" si="83"/>
        <v>-21.4</v>
      </c>
      <c r="BK34" s="742">
        <f t="shared" si="84"/>
        <v>805</v>
      </c>
      <c r="BL34" s="714">
        <f t="shared" si="84"/>
        <v>309</v>
      </c>
      <c r="BM34" s="705">
        <f t="shared" si="85"/>
        <v>-61.6</v>
      </c>
      <c r="BN34" s="742">
        <v>4620</v>
      </c>
      <c r="BO34" s="714">
        <v>3308</v>
      </c>
      <c r="BP34" s="705">
        <f t="shared" si="86"/>
        <v>-28.4</v>
      </c>
      <c r="BQ34" s="742">
        <f t="shared" si="87"/>
        <v>0</v>
      </c>
      <c r="BR34" s="714">
        <f t="shared" si="87"/>
        <v>154</v>
      </c>
      <c r="BS34" s="751">
        <v>0</v>
      </c>
      <c r="BT34" s="742">
        <v>4620</v>
      </c>
      <c r="BU34" s="714">
        <v>3462</v>
      </c>
      <c r="BV34" s="705">
        <f t="shared" si="89"/>
        <v>-25.1</v>
      </c>
    </row>
    <row r="35" spans="1:74" ht="13.5" customHeight="1">
      <c r="A35" s="96"/>
      <c r="B35" s="1176"/>
      <c r="C35" s="105" t="s">
        <v>101</v>
      </c>
      <c r="D35" s="98">
        <v>304</v>
      </c>
      <c r="E35" s="98">
        <v>253</v>
      </c>
      <c r="F35" s="98">
        <v>39</v>
      </c>
      <c r="G35" s="98">
        <v>1049</v>
      </c>
      <c r="H35" s="98">
        <v>1357</v>
      </c>
      <c r="I35" s="98">
        <v>3625</v>
      </c>
      <c r="J35" s="98">
        <v>3110</v>
      </c>
      <c r="K35" s="98">
        <v>3431</v>
      </c>
      <c r="L35" s="421">
        <v>167</v>
      </c>
      <c r="M35" s="386">
        <v>422</v>
      </c>
      <c r="N35" s="265">
        <f t="shared" si="90"/>
        <v>152.69999999999999</v>
      </c>
      <c r="O35" s="421">
        <f t="shared" si="56"/>
        <v>230</v>
      </c>
      <c r="P35" s="386">
        <f t="shared" si="56"/>
        <v>300</v>
      </c>
      <c r="Q35" s="265">
        <f t="shared" si="57"/>
        <v>30.4</v>
      </c>
      <c r="R35" s="421">
        <v>397</v>
      </c>
      <c r="S35" s="386">
        <v>722</v>
      </c>
      <c r="T35" s="265">
        <f t="shared" si="58"/>
        <v>81.900000000000006</v>
      </c>
      <c r="U35" s="421">
        <f t="shared" si="59"/>
        <v>357</v>
      </c>
      <c r="V35" s="386">
        <f t="shared" si="60"/>
        <v>312</v>
      </c>
      <c r="W35" s="265">
        <f t="shared" si="61"/>
        <v>-12.6</v>
      </c>
      <c r="X35" s="421">
        <v>754</v>
      </c>
      <c r="Y35" s="386">
        <v>1034</v>
      </c>
      <c r="Z35" s="265">
        <f t="shared" si="62"/>
        <v>37.1</v>
      </c>
      <c r="AA35" s="421">
        <f t="shared" si="63"/>
        <v>289</v>
      </c>
      <c r="AB35" s="386">
        <f t="shared" si="64"/>
        <v>202</v>
      </c>
      <c r="AC35" s="265">
        <f t="shared" si="65"/>
        <v>-30.1</v>
      </c>
      <c r="AD35" s="421">
        <v>1043</v>
      </c>
      <c r="AE35" s="386">
        <v>1236</v>
      </c>
      <c r="AF35" s="265">
        <f t="shared" si="66"/>
        <v>18.5</v>
      </c>
      <c r="AG35" s="421">
        <f t="shared" si="67"/>
        <v>125</v>
      </c>
      <c r="AH35" s="386">
        <f t="shared" si="67"/>
        <v>58</v>
      </c>
      <c r="AI35" s="265">
        <f t="shared" si="68"/>
        <v>-53.6</v>
      </c>
      <c r="AJ35" s="421">
        <v>1168</v>
      </c>
      <c r="AK35" s="386">
        <v>1294</v>
      </c>
      <c r="AL35" s="265">
        <f t="shared" si="69"/>
        <v>10.8</v>
      </c>
      <c r="AM35" s="726">
        <f t="shared" si="70"/>
        <v>458</v>
      </c>
      <c r="AN35" s="714">
        <f t="shared" si="71"/>
        <v>249</v>
      </c>
      <c r="AO35" s="705">
        <f t="shared" si="72"/>
        <v>-45.6</v>
      </c>
      <c r="AP35" s="742">
        <v>1626</v>
      </c>
      <c r="AQ35" s="714">
        <v>1543</v>
      </c>
      <c r="AR35" s="705">
        <f t="shared" si="73"/>
        <v>-5.0999999999999996</v>
      </c>
      <c r="AS35" s="742">
        <f t="shared" si="74"/>
        <v>384</v>
      </c>
      <c r="AT35" s="714">
        <f t="shared" si="74"/>
        <v>380</v>
      </c>
      <c r="AU35" s="705">
        <f t="shared" si="75"/>
        <v>-1</v>
      </c>
      <c r="AV35" s="999">
        <v>2010</v>
      </c>
      <c r="AW35" s="990">
        <v>1923</v>
      </c>
      <c r="AX35" s="705">
        <f t="shared" si="76"/>
        <v>-4.3</v>
      </c>
      <c r="AY35" s="742">
        <f t="shared" si="77"/>
        <v>215</v>
      </c>
      <c r="AZ35" s="714">
        <f t="shared" si="78"/>
        <v>271</v>
      </c>
      <c r="BA35" s="705">
        <f t="shared" si="79"/>
        <v>26</v>
      </c>
      <c r="BB35" s="742">
        <v>2225</v>
      </c>
      <c r="BC35" s="714">
        <v>2194</v>
      </c>
      <c r="BD35" s="705">
        <f t="shared" si="80"/>
        <v>-1.4</v>
      </c>
      <c r="BE35" s="742">
        <f t="shared" si="81"/>
        <v>419</v>
      </c>
      <c r="BF35" s="714">
        <f t="shared" si="81"/>
        <v>509</v>
      </c>
      <c r="BG35" s="705">
        <f t="shared" si="82"/>
        <v>21.5</v>
      </c>
      <c r="BH35" s="742">
        <v>2644</v>
      </c>
      <c r="BI35" s="714">
        <v>2703</v>
      </c>
      <c r="BJ35" s="705">
        <f t="shared" si="83"/>
        <v>2.2000000000000002</v>
      </c>
      <c r="BK35" s="742">
        <f t="shared" si="84"/>
        <v>290</v>
      </c>
      <c r="BL35" s="714">
        <f t="shared" si="84"/>
        <v>336</v>
      </c>
      <c r="BM35" s="705">
        <f t="shared" si="85"/>
        <v>15.9</v>
      </c>
      <c r="BN35" s="742">
        <v>2934</v>
      </c>
      <c r="BO35" s="714">
        <v>3039</v>
      </c>
      <c r="BP35" s="705">
        <f t="shared" si="86"/>
        <v>3.6</v>
      </c>
      <c r="BQ35" s="742">
        <f t="shared" si="87"/>
        <v>251</v>
      </c>
      <c r="BR35" s="714">
        <f t="shared" si="87"/>
        <v>66</v>
      </c>
      <c r="BS35" s="705">
        <f t="shared" si="88"/>
        <v>-73.7</v>
      </c>
      <c r="BT35" s="742">
        <v>3185</v>
      </c>
      <c r="BU35" s="714">
        <v>3105</v>
      </c>
      <c r="BV35" s="705">
        <f t="shared" si="89"/>
        <v>-2.5</v>
      </c>
    </row>
    <row r="36" spans="1:74" ht="13.5" customHeight="1">
      <c r="A36" s="96"/>
      <c r="B36" s="1176"/>
      <c r="C36" s="105" t="s">
        <v>304</v>
      </c>
      <c r="D36" s="98">
        <v>0</v>
      </c>
      <c r="E36" s="98">
        <v>0</v>
      </c>
      <c r="F36" s="98">
        <v>0</v>
      </c>
      <c r="G36" s="98">
        <v>0</v>
      </c>
      <c r="H36" s="98">
        <v>20</v>
      </c>
      <c r="I36" s="98">
        <v>60</v>
      </c>
      <c r="J36" s="98">
        <v>1470</v>
      </c>
      <c r="K36" s="98">
        <v>2583</v>
      </c>
      <c r="L36" s="421">
        <v>239</v>
      </c>
      <c r="M36" s="386">
        <v>395</v>
      </c>
      <c r="N36" s="265">
        <f t="shared" si="90"/>
        <v>65.3</v>
      </c>
      <c r="O36" s="421">
        <f t="shared" si="56"/>
        <v>99</v>
      </c>
      <c r="P36" s="386">
        <f t="shared" si="56"/>
        <v>99</v>
      </c>
      <c r="Q36" s="265">
        <f t="shared" si="57"/>
        <v>0</v>
      </c>
      <c r="R36" s="421">
        <v>338</v>
      </c>
      <c r="S36" s="386">
        <v>494</v>
      </c>
      <c r="T36" s="265">
        <f t="shared" si="58"/>
        <v>46.2</v>
      </c>
      <c r="U36" s="421">
        <f t="shared" si="59"/>
        <v>240</v>
      </c>
      <c r="V36" s="386">
        <f t="shared" si="60"/>
        <v>396</v>
      </c>
      <c r="W36" s="265">
        <f t="shared" si="61"/>
        <v>65</v>
      </c>
      <c r="X36" s="421">
        <v>578</v>
      </c>
      <c r="Y36" s="386">
        <v>890</v>
      </c>
      <c r="Z36" s="265">
        <f t="shared" si="62"/>
        <v>54</v>
      </c>
      <c r="AA36" s="421">
        <f t="shared" si="63"/>
        <v>317</v>
      </c>
      <c r="AB36" s="386">
        <f t="shared" si="64"/>
        <v>495</v>
      </c>
      <c r="AC36" s="265">
        <f t="shared" si="65"/>
        <v>56.2</v>
      </c>
      <c r="AD36" s="421">
        <v>895</v>
      </c>
      <c r="AE36" s="386">
        <v>1385</v>
      </c>
      <c r="AF36" s="265">
        <f t="shared" si="66"/>
        <v>54.7</v>
      </c>
      <c r="AG36" s="421">
        <f t="shared" si="67"/>
        <v>60</v>
      </c>
      <c r="AH36" s="386">
        <f t="shared" si="67"/>
        <v>158</v>
      </c>
      <c r="AI36" s="265">
        <f t="shared" si="68"/>
        <v>163.30000000000001</v>
      </c>
      <c r="AJ36" s="421">
        <v>955</v>
      </c>
      <c r="AK36" s="386">
        <v>1543</v>
      </c>
      <c r="AL36" s="265">
        <f t="shared" si="69"/>
        <v>61.6</v>
      </c>
      <c r="AM36" s="726">
        <f t="shared" si="70"/>
        <v>198</v>
      </c>
      <c r="AN36" s="714">
        <f t="shared" si="71"/>
        <v>0</v>
      </c>
      <c r="AO36" s="705">
        <f t="shared" si="72"/>
        <v>-100</v>
      </c>
      <c r="AP36" s="742">
        <v>1153</v>
      </c>
      <c r="AQ36" s="714">
        <v>1543</v>
      </c>
      <c r="AR36" s="705">
        <f t="shared" si="73"/>
        <v>33.799999999999997</v>
      </c>
      <c r="AS36" s="742">
        <f t="shared" si="74"/>
        <v>99</v>
      </c>
      <c r="AT36" s="714">
        <f t="shared" si="74"/>
        <v>0</v>
      </c>
      <c r="AU36" s="705">
        <f t="shared" si="75"/>
        <v>-100</v>
      </c>
      <c r="AV36" s="999">
        <v>1252</v>
      </c>
      <c r="AW36" s="990">
        <v>1543</v>
      </c>
      <c r="AX36" s="705">
        <f t="shared" si="76"/>
        <v>23.2</v>
      </c>
      <c r="AY36" s="742">
        <f t="shared" si="77"/>
        <v>199</v>
      </c>
      <c r="AZ36" s="714">
        <f t="shared" si="78"/>
        <v>0</v>
      </c>
      <c r="BA36" s="705">
        <f t="shared" si="79"/>
        <v>-100</v>
      </c>
      <c r="BB36" s="742">
        <v>1451</v>
      </c>
      <c r="BC36" s="714">
        <v>1543</v>
      </c>
      <c r="BD36" s="705">
        <f t="shared" si="80"/>
        <v>6.3</v>
      </c>
      <c r="BE36" s="742">
        <f t="shared" si="81"/>
        <v>298</v>
      </c>
      <c r="BF36" s="714">
        <f t="shared" si="81"/>
        <v>0</v>
      </c>
      <c r="BG36" s="705">
        <f t="shared" si="82"/>
        <v>-100</v>
      </c>
      <c r="BH36" s="742">
        <v>1749</v>
      </c>
      <c r="BI36" s="714">
        <v>1543</v>
      </c>
      <c r="BJ36" s="705">
        <f t="shared" si="83"/>
        <v>-11.8</v>
      </c>
      <c r="BK36" s="742">
        <f t="shared" si="84"/>
        <v>396</v>
      </c>
      <c r="BL36" s="714">
        <f t="shared" si="84"/>
        <v>0</v>
      </c>
      <c r="BM36" s="705">
        <f t="shared" si="85"/>
        <v>-100</v>
      </c>
      <c r="BN36" s="742">
        <v>2145</v>
      </c>
      <c r="BO36" s="714">
        <v>1543</v>
      </c>
      <c r="BP36" s="705">
        <f t="shared" si="86"/>
        <v>-28.1</v>
      </c>
      <c r="BQ36" s="742">
        <f t="shared" si="87"/>
        <v>180</v>
      </c>
      <c r="BR36" s="714">
        <f t="shared" si="87"/>
        <v>0</v>
      </c>
      <c r="BS36" s="705">
        <f t="shared" si="88"/>
        <v>-100</v>
      </c>
      <c r="BT36" s="742">
        <v>2325</v>
      </c>
      <c r="BU36" s="714">
        <v>1543</v>
      </c>
      <c r="BV36" s="705">
        <f t="shared" si="89"/>
        <v>-33.6</v>
      </c>
    </row>
    <row r="37" spans="1:74" ht="13.5" customHeight="1">
      <c r="A37" s="96"/>
      <c r="B37" s="1176"/>
      <c r="C37" s="105" t="s">
        <v>216</v>
      </c>
      <c r="D37" s="98">
        <v>0</v>
      </c>
      <c r="E37" s="98">
        <v>476</v>
      </c>
      <c r="F37" s="98">
        <v>594</v>
      </c>
      <c r="G37" s="98">
        <v>0</v>
      </c>
      <c r="H37" s="98">
        <v>205</v>
      </c>
      <c r="I37" s="98">
        <v>0</v>
      </c>
      <c r="J37" s="98">
        <v>1733</v>
      </c>
      <c r="K37" s="98">
        <v>1836</v>
      </c>
      <c r="L37" s="421">
        <v>0</v>
      </c>
      <c r="M37" s="386">
        <v>203</v>
      </c>
      <c r="N37" s="179">
        <v>0</v>
      </c>
      <c r="O37" s="421">
        <f t="shared" si="56"/>
        <v>198</v>
      </c>
      <c r="P37" s="386">
        <f t="shared" si="56"/>
        <v>203</v>
      </c>
      <c r="Q37" s="265">
        <f t="shared" si="57"/>
        <v>2.5</v>
      </c>
      <c r="R37" s="421">
        <v>198</v>
      </c>
      <c r="S37" s="386">
        <v>406</v>
      </c>
      <c r="T37" s="265">
        <f t="shared" si="58"/>
        <v>105.1</v>
      </c>
      <c r="U37" s="421">
        <f t="shared" si="59"/>
        <v>0</v>
      </c>
      <c r="V37" s="386">
        <f t="shared" si="60"/>
        <v>203</v>
      </c>
      <c r="W37" s="523">
        <v>0</v>
      </c>
      <c r="X37" s="421">
        <v>198</v>
      </c>
      <c r="Y37" s="386">
        <v>609</v>
      </c>
      <c r="Z37" s="265">
        <f t="shared" si="62"/>
        <v>207.6</v>
      </c>
      <c r="AA37" s="421">
        <f t="shared" si="63"/>
        <v>205</v>
      </c>
      <c r="AB37" s="386">
        <f t="shared" si="64"/>
        <v>0</v>
      </c>
      <c r="AC37" s="265">
        <f t="shared" si="65"/>
        <v>-100</v>
      </c>
      <c r="AD37" s="421">
        <v>403</v>
      </c>
      <c r="AE37" s="386">
        <v>609</v>
      </c>
      <c r="AF37" s="265">
        <f t="shared" si="66"/>
        <v>51.1</v>
      </c>
      <c r="AG37" s="421">
        <f t="shared" si="67"/>
        <v>204</v>
      </c>
      <c r="AH37" s="386">
        <f t="shared" si="67"/>
        <v>0</v>
      </c>
      <c r="AI37" s="265">
        <f t="shared" si="68"/>
        <v>-100</v>
      </c>
      <c r="AJ37" s="421">
        <v>607</v>
      </c>
      <c r="AK37" s="386">
        <v>609</v>
      </c>
      <c r="AL37" s="265">
        <f t="shared" si="69"/>
        <v>0.3</v>
      </c>
      <c r="AM37" s="726">
        <f t="shared" si="70"/>
        <v>205</v>
      </c>
      <c r="AN37" s="714">
        <f t="shared" si="71"/>
        <v>203</v>
      </c>
      <c r="AO37" s="705">
        <f t="shared" si="72"/>
        <v>-1</v>
      </c>
      <c r="AP37" s="742">
        <v>812</v>
      </c>
      <c r="AQ37" s="714">
        <v>812</v>
      </c>
      <c r="AR37" s="705">
        <f t="shared" si="73"/>
        <v>0</v>
      </c>
      <c r="AS37" s="742">
        <f t="shared" si="74"/>
        <v>206</v>
      </c>
      <c r="AT37" s="714">
        <f t="shared" si="74"/>
        <v>204</v>
      </c>
      <c r="AU37" s="705">
        <f t="shared" si="75"/>
        <v>-1</v>
      </c>
      <c r="AV37" s="999">
        <v>1018</v>
      </c>
      <c r="AW37" s="990">
        <v>1016</v>
      </c>
      <c r="AX37" s="705">
        <f t="shared" si="76"/>
        <v>-0.2</v>
      </c>
      <c r="AY37" s="742">
        <f t="shared" si="77"/>
        <v>206</v>
      </c>
      <c r="AZ37" s="714">
        <f t="shared" si="78"/>
        <v>179</v>
      </c>
      <c r="BA37" s="705">
        <f t="shared" si="79"/>
        <v>-13.1</v>
      </c>
      <c r="BB37" s="742">
        <v>1224</v>
      </c>
      <c r="BC37" s="714">
        <v>1195</v>
      </c>
      <c r="BD37" s="705">
        <f t="shared" si="80"/>
        <v>-2.4</v>
      </c>
      <c r="BE37" s="742">
        <f t="shared" si="81"/>
        <v>205</v>
      </c>
      <c r="BF37" s="714">
        <f t="shared" si="81"/>
        <v>0</v>
      </c>
      <c r="BG37" s="705">
        <f t="shared" si="82"/>
        <v>-100</v>
      </c>
      <c r="BH37" s="742">
        <v>1429</v>
      </c>
      <c r="BI37" s="714">
        <v>1195</v>
      </c>
      <c r="BJ37" s="705">
        <f t="shared" si="83"/>
        <v>-16.399999999999999</v>
      </c>
      <c r="BK37" s="742">
        <f t="shared" si="84"/>
        <v>205</v>
      </c>
      <c r="BL37" s="714">
        <f t="shared" si="84"/>
        <v>202</v>
      </c>
      <c r="BM37" s="705">
        <f t="shared" si="85"/>
        <v>-1.5</v>
      </c>
      <c r="BN37" s="742">
        <v>1634</v>
      </c>
      <c r="BO37" s="714">
        <v>1397</v>
      </c>
      <c r="BP37" s="705">
        <f t="shared" si="86"/>
        <v>-14.5</v>
      </c>
      <c r="BQ37" s="742">
        <f t="shared" si="87"/>
        <v>0</v>
      </c>
      <c r="BR37" s="714">
        <f t="shared" si="87"/>
        <v>202</v>
      </c>
      <c r="BS37" s="751">
        <v>0</v>
      </c>
      <c r="BT37" s="742">
        <v>1634</v>
      </c>
      <c r="BU37" s="714">
        <v>1599</v>
      </c>
      <c r="BV37" s="705">
        <f t="shared" si="89"/>
        <v>-2.1</v>
      </c>
    </row>
    <row r="38" spans="1:74" ht="13.5" customHeight="1">
      <c r="A38" s="96"/>
      <c r="B38" s="1176"/>
      <c r="C38" s="345" t="s">
        <v>328</v>
      </c>
      <c r="D38" s="341">
        <v>0</v>
      </c>
      <c r="E38" s="341">
        <v>0</v>
      </c>
      <c r="F38" s="341">
        <v>0</v>
      </c>
      <c r="G38" s="341">
        <v>20</v>
      </c>
      <c r="H38" s="341">
        <v>0</v>
      </c>
      <c r="I38" s="341">
        <v>43</v>
      </c>
      <c r="J38" s="341">
        <v>888</v>
      </c>
      <c r="K38" s="341">
        <v>1566</v>
      </c>
      <c r="L38" s="423">
        <v>0</v>
      </c>
      <c r="M38" s="397">
        <v>156</v>
      </c>
      <c r="N38" s="179">
        <v>0</v>
      </c>
      <c r="O38" s="423">
        <f t="shared" si="56"/>
        <v>0</v>
      </c>
      <c r="P38" s="397">
        <f t="shared" si="56"/>
        <v>204</v>
      </c>
      <c r="Q38" s="179">
        <v>0</v>
      </c>
      <c r="R38" s="423">
        <v>0</v>
      </c>
      <c r="S38" s="397">
        <v>360</v>
      </c>
      <c r="T38" s="179">
        <v>0</v>
      </c>
      <c r="U38" s="423">
        <f t="shared" si="59"/>
        <v>123</v>
      </c>
      <c r="V38" s="397">
        <f t="shared" si="60"/>
        <v>0</v>
      </c>
      <c r="W38" s="265">
        <f t="shared" si="61"/>
        <v>-100</v>
      </c>
      <c r="X38" s="423">
        <v>123</v>
      </c>
      <c r="Y38" s="397">
        <v>360</v>
      </c>
      <c r="Z38" s="265">
        <f t="shared" si="62"/>
        <v>192.7</v>
      </c>
      <c r="AA38" s="423">
        <f t="shared" si="63"/>
        <v>122</v>
      </c>
      <c r="AB38" s="397">
        <f t="shared" si="64"/>
        <v>313</v>
      </c>
      <c r="AC38" s="265">
        <f t="shared" ref="AC38" si="91">ROUND(((AB38/AA38-1)*100), 1)</f>
        <v>156.6</v>
      </c>
      <c r="AD38" s="423">
        <v>245</v>
      </c>
      <c r="AE38" s="397">
        <v>673</v>
      </c>
      <c r="AF38" s="265">
        <f t="shared" si="66"/>
        <v>174.7</v>
      </c>
      <c r="AG38" s="423">
        <f t="shared" si="67"/>
        <v>122</v>
      </c>
      <c r="AH38" s="397">
        <f t="shared" si="67"/>
        <v>314</v>
      </c>
      <c r="AI38" s="265">
        <f t="shared" si="68"/>
        <v>157.4</v>
      </c>
      <c r="AJ38" s="423">
        <v>367</v>
      </c>
      <c r="AK38" s="397">
        <v>987</v>
      </c>
      <c r="AL38" s="265">
        <f t="shared" si="69"/>
        <v>168.9</v>
      </c>
      <c r="AM38" s="728">
        <f t="shared" si="70"/>
        <v>163</v>
      </c>
      <c r="AN38" s="716">
        <f t="shared" si="71"/>
        <v>319</v>
      </c>
      <c r="AO38" s="705">
        <f t="shared" si="72"/>
        <v>95.7</v>
      </c>
      <c r="AP38" s="743">
        <v>530</v>
      </c>
      <c r="AQ38" s="716">
        <v>1306</v>
      </c>
      <c r="AR38" s="705">
        <f t="shared" si="73"/>
        <v>146.4</v>
      </c>
      <c r="AS38" s="743">
        <f t="shared" si="74"/>
        <v>0</v>
      </c>
      <c r="AT38" s="716">
        <f t="shared" si="74"/>
        <v>105</v>
      </c>
      <c r="AU38" s="751">
        <v>0</v>
      </c>
      <c r="AV38" s="1001">
        <v>530</v>
      </c>
      <c r="AW38" s="1002">
        <v>1411</v>
      </c>
      <c r="AX38" s="705">
        <f t="shared" si="76"/>
        <v>166.2</v>
      </c>
      <c r="AY38" s="743">
        <f t="shared" si="77"/>
        <v>0</v>
      </c>
      <c r="AZ38" s="716">
        <f t="shared" si="78"/>
        <v>0</v>
      </c>
      <c r="BA38" s="751">
        <v>0</v>
      </c>
      <c r="BB38" s="743">
        <v>530</v>
      </c>
      <c r="BC38" s="716">
        <v>1411</v>
      </c>
      <c r="BD38" s="705">
        <f t="shared" si="80"/>
        <v>166.2</v>
      </c>
      <c r="BE38" s="743">
        <f t="shared" si="81"/>
        <v>677</v>
      </c>
      <c r="BF38" s="716">
        <f t="shared" si="81"/>
        <v>0</v>
      </c>
      <c r="BG38" s="705">
        <f t="shared" si="82"/>
        <v>-100</v>
      </c>
      <c r="BH38" s="743">
        <v>1207</v>
      </c>
      <c r="BI38" s="716">
        <v>1411</v>
      </c>
      <c r="BJ38" s="705">
        <f t="shared" si="83"/>
        <v>16.899999999999999</v>
      </c>
      <c r="BK38" s="743">
        <f t="shared" si="84"/>
        <v>0</v>
      </c>
      <c r="BL38" s="716">
        <f t="shared" si="84"/>
        <v>0</v>
      </c>
      <c r="BM38" s="705" t="e">
        <f t="shared" si="85"/>
        <v>#DIV/0!</v>
      </c>
      <c r="BN38" s="743">
        <v>1207</v>
      </c>
      <c r="BO38" s="716">
        <v>1411</v>
      </c>
      <c r="BP38" s="705">
        <f t="shared" si="86"/>
        <v>16.899999999999999</v>
      </c>
      <c r="BQ38" s="743">
        <f t="shared" si="87"/>
        <v>202</v>
      </c>
      <c r="BR38" s="716">
        <f t="shared" si="87"/>
        <v>0</v>
      </c>
      <c r="BS38" s="705">
        <f t="shared" si="88"/>
        <v>-100</v>
      </c>
      <c r="BT38" s="743">
        <v>1409</v>
      </c>
      <c r="BU38" s="716">
        <v>1411</v>
      </c>
      <c r="BV38" s="705">
        <f t="shared" si="89"/>
        <v>0.1</v>
      </c>
    </row>
    <row r="39" spans="1:74" ht="13.5" customHeight="1">
      <c r="A39" s="96"/>
      <c r="B39" s="1176"/>
      <c r="C39" s="105" t="s">
        <v>111</v>
      </c>
      <c r="D39" s="98">
        <v>1160</v>
      </c>
      <c r="E39" s="98">
        <v>1587</v>
      </c>
      <c r="F39" s="98">
        <v>1561</v>
      </c>
      <c r="G39" s="98">
        <v>861</v>
      </c>
      <c r="H39" s="98">
        <v>391</v>
      </c>
      <c r="I39" s="98">
        <v>0</v>
      </c>
      <c r="J39" s="98">
        <v>2447</v>
      </c>
      <c r="K39" s="98">
        <v>1284</v>
      </c>
      <c r="L39" s="421">
        <v>0</v>
      </c>
      <c r="M39" s="386">
        <v>173</v>
      </c>
      <c r="N39" s="179">
        <v>0</v>
      </c>
      <c r="O39" s="421">
        <f t="shared" si="56"/>
        <v>0</v>
      </c>
      <c r="P39" s="386">
        <f t="shared" si="56"/>
        <v>172</v>
      </c>
      <c r="Q39" s="179">
        <v>0</v>
      </c>
      <c r="R39" s="421">
        <v>0</v>
      </c>
      <c r="S39" s="386">
        <v>345</v>
      </c>
      <c r="T39" s="179">
        <v>0</v>
      </c>
      <c r="U39" s="421">
        <f t="shared" si="59"/>
        <v>0</v>
      </c>
      <c r="V39" s="386">
        <f t="shared" si="60"/>
        <v>435</v>
      </c>
      <c r="W39" s="179">
        <v>0</v>
      </c>
      <c r="X39" s="421">
        <v>0</v>
      </c>
      <c r="Y39" s="386">
        <v>780</v>
      </c>
      <c r="Z39" s="179">
        <v>0</v>
      </c>
      <c r="AA39" s="421">
        <f t="shared" si="63"/>
        <v>103</v>
      </c>
      <c r="AB39" s="386">
        <f t="shared" si="64"/>
        <v>0</v>
      </c>
      <c r="AC39" s="265">
        <f t="shared" si="65"/>
        <v>-100</v>
      </c>
      <c r="AD39" s="421">
        <v>103</v>
      </c>
      <c r="AE39" s="386">
        <v>780</v>
      </c>
      <c r="AF39" s="265">
        <f t="shared" si="66"/>
        <v>657.3</v>
      </c>
      <c r="AG39" s="421">
        <f t="shared" si="67"/>
        <v>103</v>
      </c>
      <c r="AH39" s="386">
        <f t="shared" si="67"/>
        <v>0</v>
      </c>
      <c r="AI39" s="265">
        <f t="shared" si="68"/>
        <v>-100</v>
      </c>
      <c r="AJ39" s="421">
        <v>206</v>
      </c>
      <c r="AK39" s="386">
        <v>780</v>
      </c>
      <c r="AL39" s="265">
        <f t="shared" si="69"/>
        <v>278.60000000000002</v>
      </c>
      <c r="AM39" s="726">
        <f t="shared" si="70"/>
        <v>207</v>
      </c>
      <c r="AN39" s="714">
        <f t="shared" si="71"/>
        <v>0</v>
      </c>
      <c r="AO39" s="705">
        <f t="shared" si="72"/>
        <v>-100</v>
      </c>
      <c r="AP39" s="742">
        <v>413</v>
      </c>
      <c r="AQ39" s="714">
        <v>780</v>
      </c>
      <c r="AR39" s="705">
        <f t="shared" si="73"/>
        <v>88.9</v>
      </c>
      <c r="AS39" s="742">
        <f t="shared" si="74"/>
        <v>175</v>
      </c>
      <c r="AT39" s="714">
        <f t="shared" si="74"/>
        <v>0</v>
      </c>
      <c r="AU39" s="705">
        <f t="shared" si="75"/>
        <v>-100</v>
      </c>
      <c r="AV39" s="999">
        <v>588</v>
      </c>
      <c r="AW39" s="990">
        <v>780</v>
      </c>
      <c r="AX39" s="705">
        <f t="shared" si="76"/>
        <v>32.700000000000003</v>
      </c>
      <c r="AY39" s="742">
        <f t="shared" si="77"/>
        <v>178</v>
      </c>
      <c r="AZ39" s="714">
        <f t="shared" si="78"/>
        <v>207</v>
      </c>
      <c r="BA39" s="705">
        <f t="shared" ref="BA39" si="92">ROUND(((AZ39/AY39-1)*100), 1)</f>
        <v>16.3</v>
      </c>
      <c r="BB39" s="742">
        <v>766</v>
      </c>
      <c r="BC39" s="714">
        <v>987</v>
      </c>
      <c r="BD39" s="705">
        <f t="shared" si="80"/>
        <v>28.9</v>
      </c>
      <c r="BE39" s="742">
        <f t="shared" si="81"/>
        <v>173</v>
      </c>
      <c r="BF39" s="714">
        <f t="shared" si="81"/>
        <v>0</v>
      </c>
      <c r="BG39" s="705">
        <f t="shared" si="82"/>
        <v>-100</v>
      </c>
      <c r="BH39" s="742">
        <v>939</v>
      </c>
      <c r="BI39" s="714">
        <v>987</v>
      </c>
      <c r="BJ39" s="705">
        <f t="shared" si="83"/>
        <v>5.0999999999999996</v>
      </c>
      <c r="BK39" s="742">
        <f t="shared" si="84"/>
        <v>173</v>
      </c>
      <c r="BL39" s="714">
        <f t="shared" si="84"/>
        <v>411</v>
      </c>
      <c r="BM39" s="705">
        <f t="shared" si="85"/>
        <v>137.6</v>
      </c>
      <c r="BN39" s="742">
        <v>1112</v>
      </c>
      <c r="BO39" s="714">
        <v>1398</v>
      </c>
      <c r="BP39" s="705">
        <f t="shared" si="86"/>
        <v>25.7</v>
      </c>
      <c r="BQ39" s="742">
        <f t="shared" si="87"/>
        <v>172</v>
      </c>
      <c r="BR39" s="714">
        <f t="shared" si="87"/>
        <v>207</v>
      </c>
      <c r="BS39" s="705">
        <f t="shared" si="88"/>
        <v>20.3</v>
      </c>
      <c r="BT39" s="742">
        <v>1284</v>
      </c>
      <c r="BU39" s="714">
        <v>1605</v>
      </c>
      <c r="BV39" s="705">
        <f t="shared" si="89"/>
        <v>25</v>
      </c>
    </row>
    <row r="40" spans="1:74" ht="13.5" customHeight="1">
      <c r="A40" s="96"/>
      <c r="B40" s="1176"/>
      <c r="C40" s="345" t="s">
        <v>53</v>
      </c>
      <c r="D40" s="341">
        <v>40</v>
      </c>
      <c r="E40" s="341">
        <v>40</v>
      </c>
      <c r="F40" s="341">
        <v>0</v>
      </c>
      <c r="G40" s="341">
        <v>801</v>
      </c>
      <c r="H40" s="341">
        <v>293</v>
      </c>
      <c r="I40" s="341">
        <v>235</v>
      </c>
      <c r="J40" s="341">
        <v>288</v>
      </c>
      <c r="K40" s="341">
        <v>1114</v>
      </c>
      <c r="L40" s="423">
        <v>74</v>
      </c>
      <c r="M40" s="397">
        <v>0</v>
      </c>
      <c r="N40" s="265">
        <f>ROUND(((M40/L40-1)*100), 1)</f>
        <v>-100</v>
      </c>
      <c r="O40" s="423">
        <f t="shared" si="56"/>
        <v>59</v>
      </c>
      <c r="P40" s="397">
        <f t="shared" si="56"/>
        <v>0</v>
      </c>
      <c r="Q40" s="265">
        <f>ROUND(((P40/O40-1)*100), 1)</f>
        <v>-100</v>
      </c>
      <c r="R40" s="423">
        <v>133</v>
      </c>
      <c r="S40" s="397">
        <v>0</v>
      </c>
      <c r="T40" s="265">
        <f>ROUND(((S40/R40-1)*100), 1)</f>
        <v>-100</v>
      </c>
      <c r="U40" s="423">
        <f t="shared" si="59"/>
        <v>37</v>
      </c>
      <c r="V40" s="397">
        <f t="shared" si="60"/>
        <v>22</v>
      </c>
      <c r="W40" s="265">
        <f>ROUND(((V40/U40-1)*100), 1)</f>
        <v>-40.5</v>
      </c>
      <c r="X40" s="423">
        <v>170</v>
      </c>
      <c r="Y40" s="397">
        <v>22</v>
      </c>
      <c r="Z40" s="265">
        <f>ROUND(((Y40/X40-1)*100), 1)</f>
        <v>-87.1</v>
      </c>
      <c r="AA40" s="423">
        <f t="shared" si="63"/>
        <v>75</v>
      </c>
      <c r="AB40" s="397">
        <f t="shared" si="64"/>
        <v>0</v>
      </c>
      <c r="AC40" s="265">
        <f>ROUND(((AB40/AA40-1)*100), 1)</f>
        <v>-100</v>
      </c>
      <c r="AD40" s="423">
        <v>245</v>
      </c>
      <c r="AE40" s="397">
        <v>22</v>
      </c>
      <c r="AF40" s="265">
        <f>ROUND(((AE40/AD40-1)*100), 1)</f>
        <v>-91</v>
      </c>
      <c r="AG40" s="423">
        <f t="shared" si="67"/>
        <v>173</v>
      </c>
      <c r="AH40" s="397">
        <f t="shared" si="67"/>
        <v>37</v>
      </c>
      <c r="AI40" s="265">
        <f>ROUND(((AH40/AG40-1)*100), 1)</f>
        <v>-78.599999999999994</v>
      </c>
      <c r="AJ40" s="423">
        <v>418</v>
      </c>
      <c r="AK40" s="397">
        <v>59</v>
      </c>
      <c r="AL40" s="265">
        <f>ROUND(((AK40/AJ40-1)*100), 1)</f>
        <v>-85.9</v>
      </c>
      <c r="AM40" s="728">
        <f t="shared" si="70"/>
        <v>74</v>
      </c>
      <c r="AN40" s="716">
        <f t="shared" si="71"/>
        <v>18</v>
      </c>
      <c r="AO40" s="705">
        <f>ROUND(((AN40/AM40-1)*100), 1)</f>
        <v>-75.7</v>
      </c>
      <c r="AP40" s="743">
        <v>492</v>
      </c>
      <c r="AQ40" s="716">
        <v>77</v>
      </c>
      <c r="AR40" s="705">
        <f>ROUND(((AQ40/AP40-1)*100), 1)</f>
        <v>-84.3</v>
      </c>
      <c r="AS40" s="743">
        <f t="shared" si="74"/>
        <v>173</v>
      </c>
      <c r="AT40" s="716">
        <f t="shared" si="74"/>
        <v>0</v>
      </c>
      <c r="AU40" s="705">
        <f>ROUND(((AT40/AS40-1)*100), 1)</f>
        <v>-100</v>
      </c>
      <c r="AV40" s="1001">
        <v>665</v>
      </c>
      <c r="AW40" s="1002">
        <v>77</v>
      </c>
      <c r="AX40" s="705">
        <f>ROUND(((AW40/AV40-1)*100), 1)</f>
        <v>-88.4</v>
      </c>
      <c r="AY40" s="743">
        <f t="shared" si="77"/>
        <v>110</v>
      </c>
      <c r="AZ40" s="716">
        <f t="shared" si="78"/>
        <v>26</v>
      </c>
      <c r="BA40" s="705">
        <f>ROUND(((AZ40/AY40-1)*100), 1)</f>
        <v>-76.400000000000006</v>
      </c>
      <c r="BB40" s="743">
        <v>775</v>
      </c>
      <c r="BC40" s="716">
        <v>103</v>
      </c>
      <c r="BD40" s="705">
        <f>ROUND(((BC40/BB40-1)*100), 1)</f>
        <v>-86.7</v>
      </c>
      <c r="BE40" s="743">
        <f t="shared" si="81"/>
        <v>92</v>
      </c>
      <c r="BF40" s="716">
        <f t="shared" si="81"/>
        <v>57</v>
      </c>
      <c r="BG40" s="705">
        <f>ROUND(((BF40/BE40-1)*100), 1)</f>
        <v>-38</v>
      </c>
      <c r="BH40" s="743">
        <v>867</v>
      </c>
      <c r="BI40" s="716">
        <v>160</v>
      </c>
      <c r="BJ40" s="705">
        <f>ROUND(((BI40/BH40-1)*100), 1)</f>
        <v>-81.5</v>
      </c>
      <c r="BK40" s="743">
        <f t="shared" si="84"/>
        <v>94</v>
      </c>
      <c r="BL40" s="716">
        <f t="shared" si="84"/>
        <v>18</v>
      </c>
      <c r="BM40" s="705">
        <f>ROUND(((BL40/BK40-1)*100), 1)</f>
        <v>-80.900000000000006</v>
      </c>
      <c r="BN40" s="743">
        <v>961</v>
      </c>
      <c r="BO40" s="716">
        <v>178</v>
      </c>
      <c r="BP40" s="705">
        <f>ROUND(((BO40/BN40-1)*100), 1)</f>
        <v>-81.5</v>
      </c>
      <c r="BQ40" s="743">
        <f t="shared" si="87"/>
        <v>37</v>
      </c>
      <c r="BR40" s="716">
        <f t="shared" si="87"/>
        <v>0</v>
      </c>
      <c r="BS40" s="705">
        <f>ROUND(((BR40/BQ40-1)*100), 1)</f>
        <v>-100</v>
      </c>
      <c r="BT40" s="743">
        <v>998</v>
      </c>
      <c r="BU40" s="716">
        <v>178</v>
      </c>
      <c r="BV40" s="705">
        <f>ROUND(((BU40/BT40-1)*100), 1)</f>
        <v>-82.2</v>
      </c>
    </row>
    <row r="41" spans="1:74" s="173" customFormat="1" ht="13.5" customHeight="1">
      <c r="A41" s="338"/>
      <c r="B41" s="1176"/>
      <c r="C41" s="105" t="s">
        <v>214</v>
      </c>
      <c r="D41" s="98"/>
      <c r="E41" s="98"/>
      <c r="F41" s="98">
        <v>453</v>
      </c>
      <c r="G41" s="98">
        <v>535</v>
      </c>
      <c r="H41" s="98">
        <v>1154</v>
      </c>
      <c r="I41" s="98">
        <v>1733</v>
      </c>
      <c r="J41" s="98">
        <v>1639</v>
      </c>
      <c r="K41" s="98">
        <v>1010</v>
      </c>
      <c r="L41" s="421">
        <v>0</v>
      </c>
      <c r="M41" s="386">
        <v>0</v>
      </c>
      <c r="N41" s="179">
        <v>0</v>
      </c>
      <c r="O41" s="421">
        <f t="shared" si="56"/>
        <v>0</v>
      </c>
      <c r="P41" s="386">
        <f t="shared" si="56"/>
        <v>424</v>
      </c>
      <c r="Q41" s="179">
        <v>0</v>
      </c>
      <c r="R41" s="421">
        <v>0</v>
      </c>
      <c r="S41" s="386">
        <v>424</v>
      </c>
      <c r="T41" s="179">
        <v>0</v>
      </c>
      <c r="U41" s="421">
        <f t="shared" si="59"/>
        <v>217</v>
      </c>
      <c r="V41" s="386">
        <f t="shared" si="60"/>
        <v>0</v>
      </c>
      <c r="W41" s="265">
        <f t="shared" ref="W41" si="93">ROUND(((V41/U41-1)*100), 1)</f>
        <v>-100</v>
      </c>
      <c r="X41" s="421">
        <v>217</v>
      </c>
      <c r="Y41" s="386">
        <v>424</v>
      </c>
      <c r="Z41" s="265">
        <f t="shared" ref="Z41" si="94">ROUND(((Y41/X41-1)*100), 1)</f>
        <v>95.4</v>
      </c>
      <c r="AA41" s="421">
        <f t="shared" si="63"/>
        <v>161</v>
      </c>
      <c r="AB41" s="386">
        <f t="shared" si="64"/>
        <v>219</v>
      </c>
      <c r="AC41" s="265">
        <f t="shared" ref="AC41" si="95">ROUND(((AB41/AA41-1)*100), 1)</f>
        <v>36</v>
      </c>
      <c r="AD41" s="421">
        <v>378</v>
      </c>
      <c r="AE41" s="386">
        <v>643</v>
      </c>
      <c r="AF41" s="265">
        <f t="shared" ref="AF41" si="96">ROUND(((AE41/AD41-1)*100), 1)</f>
        <v>70.099999999999994</v>
      </c>
      <c r="AG41" s="421">
        <f t="shared" si="67"/>
        <v>157</v>
      </c>
      <c r="AH41" s="386">
        <f t="shared" si="67"/>
        <v>174</v>
      </c>
      <c r="AI41" s="265">
        <f t="shared" ref="AI41" si="97">ROUND(((AH41/AG41-1)*100), 1)</f>
        <v>10.8</v>
      </c>
      <c r="AJ41" s="421">
        <v>535</v>
      </c>
      <c r="AK41" s="386">
        <v>817</v>
      </c>
      <c r="AL41" s="265">
        <f t="shared" ref="AL41" si="98">ROUND(((AK41/AJ41-1)*100), 1)</f>
        <v>52.7</v>
      </c>
      <c r="AM41" s="726">
        <f t="shared" si="70"/>
        <v>0</v>
      </c>
      <c r="AN41" s="714">
        <f t="shared" si="71"/>
        <v>153</v>
      </c>
      <c r="AO41" s="751">
        <v>0</v>
      </c>
      <c r="AP41" s="742">
        <v>535</v>
      </c>
      <c r="AQ41" s="714">
        <v>970</v>
      </c>
      <c r="AR41" s="705">
        <f t="shared" ref="AR41" si="99">ROUND(((AQ41/AP41-1)*100), 1)</f>
        <v>81.3</v>
      </c>
      <c r="AS41" s="742">
        <f t="shared" si="74"/>
        <v>0</v>
      </c>
      <c r="AT41" s="714">
        <f t="shared" si="74"/>
        <v>0</v>
      </c>
      <c r="AU41" s="751">
        <v>0</v>
      </c>
      <c r="AV41" s="999">
        <v>535</v>
      </c>
      <c r="AW41" s="990">
        <v>970</v>
      </c>
      <c r="AX41" s="705">
        <f>ROUND(((AW41/AV41-1)*100), 1)</f>
        <v>81.3</v>
      </c>
      <c r="AY41" s="742">
        <f t="shared" si="77"/>
        <v>0</v>
      </c>
      <c r="AZ41" s="714">
        <f t="shared" si="78"/>
        <v>0</v>
      </c>
      <c r="BA41" s="751">
        <v>0</v>
      </c>
      <c r="BB41" s="742">
        <v>535</v>
      </c>
      <c r="BC41" s="714">
        <v>970</v>
      </c>
      <c r="BD41" s="705">
        <f>ROUND(((BC41/BB41-1)*100), 1)</f>
        <v>81.3</v>
      </c>
      <c r="BE41" s="742">
        <f t="shared" si="81"/>
        <v>0</v>
      </c>
      <c r="BF41" s="714">
        <f t="shared" si="81"/>
        <v>130</v>
      </c>
      <c r="BG41" s="751">
        <v>0</v>
      </c>
      <c r="BH41" s="742">
        <v>535</v>
      </c>
      <c r="BI41" s="714">
        <v>1100</v>
      </c>
      <c r="BJ41" s="705">
        <f>ROUND(((BI41/BH41-1)*100), 1)</f>
        <v>105.6</v>
      </c>
      <c r="BK41" s="742">
        <f t="shared" si="84"/>
        <v>159</v>
      </c>
      <c r="BL41" s="714">
        <f t="shared" si="84"/>
        <v>138</v>
      </c>
      <c r="BM41" s="753">
        <f>ROUND(((BL41/BK41-1)*100), 1)</f>
        <v>-13.2</v>
      </c>
      <c r="BN41" s="742">
        <v>694</v>
      </c>
      <c r="BO41" s="714">
        <v>1238</v>
      </c>
      <c r="BP41" s="705">
        <f>ROUND(((BO41/BN41-1)*100), 1)</f>
        <v>78.400000000000006</v>
      </c>
      <c r="BQ41" s="742">
        <f t="shared" si="87"/>
        <v>158</v>
      </c>
      <c r="BR41" s="714">
        <f t="shared" si="87"/>
        <v>137</v>
      </c>
      <c r="BS41" s="753">
        <f>ROUND(((BR41/BQ41-1)*100), 1)</f>
        <v>-13.3</v>
      </c>
      <c r="BT41" s="742">
        <v>852</v>
      </c>
      <c r="BU41" s="714">
        <v>1375</v>
      </c>
      <c r="BV41" s="705">
        <f>ROUND(((BU41/BT41-1)*100), 1)</f>
        <v>61.4</v>
      </c>
    </row>
    <row r="42" spans="1:74" s="173" customFormat="1" ht="13.5" customHeight="1">
      <c r="A42" s="338"/>
      <c r="B42" s="1176"/>
      <c r="C42" s="105" t="s">
        <v>57</v>
      </c>
      <c r="D42" s="98">
        <v>159</v>
      </c>
      <c r="E42" s="98">
        <v>4618</v>
      </c>
      <c r="F42" s="98">
        <v>8236</v>
      </c>
      <c r="G42" s="98">
        <v>2464</v>
      </c>
      <c r="H42" s="98">
        <v>4324</v>
      </c>
      <c r="I42" s="98">
        <v>3434</v>
      </c>
      <c r="J42" s="98">
        <v>7834</v>
      </c>
      <c r="K42" s="98">
        <v>570</v>
      </c>
      <c r="L42" s="421">
        <v>104</v>
      </c>
      <c r="M42" s="386">
        <v>0</v>
      </c>
      <c r="N42" s="265">
        <f>ROUND(((M42/L42-1)*100), 1)</f>
        <v>-100</v>
      </c>
      <c r="O42" s="421">
        <f t="shared" si="56"/>
        <v>0</v>
      </c>
      <c r="P42" s="386">
        <f t="shared" si="56"/>
        <v>0</v>
      </c>
      <c r="Q42" s="523">
        <v>0</v>
      </c>
      <c r="R42" s="421">
        <v>104</v>
      </c>
      <c r="S42" s="386">
        <v>0</v>
      </c>
      <c r="T42" s="265">
        <f>ROUND(((S42/R42-1)*100), 1)</f>
        <v>-100</v>
      </c>
      <c r="U42" s="421">
        <f t="shared" si="59"/>
        <v>103</v>
      </c>
      <c r="V42" s="386">
        <f t="shared" si="60"/>
        <v>0</v>
      </c>
      <c r="W42" s="265">
        <f>ROUND(((V42/U42-1)*100), 1)</f>
        <v>-100</v>
      </c>
      <c r="X42" s="421">
        <v>207</v>
      </c>
      <c r="Y42" s="386">
        <v>0</v>
      </c>
      <c r="Z42" s="265">
        <f>ROUND(((Y42/X42-1)*100), 1)</f>
        <v>-100</v>
      </c>
      <c r="AA42" s="421">
        <f t="shared" si="63"/>
        <v>60</v>
      </c>
      <c r="AB42" s="386">
        <f t="shared" si="64"/>
        <v>0</v>
      </c>
      <c r="AC42" s="265">
        <f>ROUND(((AB42/AA42-1)*100), 1)</f>
        <v>-100</v>
      </c>
      <c r="AD42" s="421">
        <v>267</v>
      </c>
      <c r="AE42" s="386">
        <v>0</v>
      </c>
      <c r="AF42" s="265">
        <f>ROUND(((AE42/AD42-1)*100), 1)</f>
        <v>-100</v>
      </c>
      <c r="AG42" s="421">
        <f t="shared" si="67"/>
        <v>21</v>
      </c>
      <c r="AH42" s="386">
        <f t="shared" si="67"/>
        <v>37</v>
      </c>
      <c r="AI42" s="265">
        <f>ROUND(((AH42/AG42-1)*100), 1)</f>
        <v>76.2</v>
      </c>
      <c r="AJ42" s="421">
        <v>288</v>
      </c>
      <c r="AK42" s="386">
        <v>37</v>
      </c>
      <c r="AL42" s="265">
        <f>ROUND(((AK42/AJ42-1)*100), 1)</f>
        <v>-87.2</v>
      </c>
      <c r="AM42" s="726">
        <f t="shared" si="70"/>
        <v>41</v>
      </c>
      <c r="AN42" s="714">
        <f t="shared" si="71"/>
        <v>0</v>
      </c>
      <c r="AO42" s="705">
        <f>ROUND(((AN42/AM42-1)*100), 1)</f>
        <v>-100</v>
      </c>
      <c r="AP42" s="742">
        <v>329</v>
      </c>
      <c r="AQ42" s="714">
        <v>37</v>
      </c>
      <c r="AR42" s="705">
        <f>ROUND(((AQ42/AP42-1)*100), 1)</f>
        <v>-88.8</v>
      </c>
      <c r="AS42" s="742">
        <f t="shared" si="74"/>
        <v>80</v>
      </c>
      <c r="AT42" s="714">
        <f t="shared" si="74"/>
        <v>0</v>
      </c>
      <c r="AU42" s="705">
        <f>ROUND(((AT42/AS42-1)*100), 1)</f>
        <v>-100</v>
      </c>
      <c r="AV42" s="999">
        <v>409</v>
      </c>
      <c r="AW42" s="990">
        <v>37</v>
      </c>
      <c r="AX42" s="705">
        <f>ROUND(((AW42/AV42-1)*100), 1)</f>
        <v>-91</v>
      </c>
      <c r="AY42" s="742">
        <f t="shared" si="77"/>
        <v>161</v>
      </c>
      <c r="AZ42" s="714">
        <f t="shared" si="78"/>
        <v>0</v>
      </c>
      <c r="BA42" s="705">
        <f>ROUND(((AZ42/AY42-1)*100), 1)</f>
        <v>-100</v>
      </c>
      <c r="BB42" s="742">
        <v>570</v>
      </c>
      <c r="BC42" s="714">
        <v>37</v>
      </c>
      <c r="BD42" s="705">
        <f>ROUND(((BC42/BB42-1)*100), 1)</f>
        <v>-93.5</v>
      </c>
      <c r="BE42" s="742">
        <f t="shared" si="81"/>
        <v>0</v>
      </c>
      <c r="BF42" s="714">
        <f t="shared" si="81"/>
        <v>0</v>
      </c>
      <c r="BG42" s="751">
        <v>0</v>
      </c>
      <c r="BH42" s="742">
        <v>570</v>
      </c>
      <c r="BI42" s="714">
        <v>37</v>
      </c>
      <c r="BJ42" s="705">
        <f>ROUND(((BI42/BH42-1)*100), 1)</f>
        <v>-93.5</v>
      </c>
      <c r="BK42" s="742">
        <f t="shared" si="84"/>
        <v>0</v>
      </c>
      <c r="BL42" s="714">
        <f t="shared" si="84"/>
        <v>0</v>
      </c>
      <c r="BM42" s="751">
        <v>0</v>
      </c>
      <c r="BN42" s="742">
        <v>570</v>
      </c>
      <c r="BO42" s="714">
        <v>37</v>
      </c>
      <c r="BP42" s="705">
        <f>ROUND(((BO42/BN42-1)*100), 1)</f>
        <v>-93.5</v>
      </c>
      <c r="BQ42" s="742">
        <f t="shared" si="87"/>
        <v>0</v>
      </c>
      <c r="BR42" s="714">
        <f t="shared" si="87"/>
        <v>303</v>
      </c>
      <c r="BS42" s="751">
        <v>0</v>
      </c>
      <c r="BT42" s="742">
        <v>570</v>
      </c>
      <c r="BU42" s="714">
        <v>340</v>
      </c>
      <c r="BV42" s="705">
        <f>ROUND(((BU42/BT42-1)*100), 1)</f>
        <v>-40.4</v>
      </c>
    </row>
    <row r="43" spans="1:74" s="173" customFormat="1" ht="13.5" customHeight="1">
      <c r="A43" s="338"/>
      <c r="B43" s="1176"/>
      <c r="C43" s="345" t="s">
        <v>215</v>
      </c>
      <c r="D43" s="341">
        <v>923</v>
      </c>
      <c r="E43" s="341">
        <v>1924</v>
      </c>
      <c r="F43" s="341">
        <v>1894</v>
      </c>
      <c r="G43" s="341">
        <v>0</v>
      </c>
      <c r="H43" s="341">
        <v>862</v>
      </c>
      <c r="I43" s="341">
        <v>478</v>
      </c>
      <c r="J43" s="341">
        <v>158</v>
      </c>
      <c r="K43" s="341">
        <v>546</v>
      </c>
      <c r="L43" s="423">
        <v>45</v>
      </c>
      <c r="M43" s="397">
        <v>0</v>
      </c>
      <c r="N43" s="265">
        <f>ROUND(((M43/L43-1)*100), 1)</f>
        <v>-100</v>
      </c>
      <c r="O43" s="423">
        <f t="shared" si="56"/>
        <v>0</v>
      </c>
      <c r="P43" s="397">
        <f t="shared" si="56"/>
        <v>203</v>
      </c>
      <c r="Q43" s="523">
        <v>0</v>
      </c>
      <c r="R43" s="423">
        <v>45</v>
      </c>
      <c r="S43" s="397">
        <v>203</v>
      </c>
      <c r="T43" s="265">
        <f>ROUND(((S43/R43-1)*100), 1)</f>
        <v>351.1</v>
      </c>
      <c r="U43" s="423">
        <f t="shared" si="59"/>
        <v>113</v>
      </c>
      <c r="V43" s="397">
        <f t="shared" si="60"/>
        <v>90</v>
      </c>
      <c r="W43" s="265">
        <f>ROUND(((V43/U43-1)*100), 1)</f>
        <v>-20.399999999999999</v>
      </c>
      <c r="X43" s="423">
        <v>158</v>
      </c>
      <c r="Y43" s="397">
        <v>293</v>
      </c>
      <c r="Z43" s="265">
        <f>ROUND(((Y43/X43-1)*100), 1)</f>
        <v>85.4</v>
      </c>
      <c r="AA43" s="423">
        <f t="shared" si="63"/>
        <v>0</v>
      </c>
      <c r="AB43" s="397">
        <f t="shared" si="64"/>
        <v>293</v>
      </c>
      <c r="AC43" s="523">
        <v>0</v>
      </c>
      <c r="AD43" s="423">
        <v>158</v>
      </c>
      <c r="AE43" s="397">
        <v>586</v>
      </c>
      <c r="AF43" s="265">
        <f>ROUND(((AE43/AD43-1)*100), 1)</f>
        <v>270.89999999999998</v>
      </c>
      <c r="AG43" s="423">
        <f t="shared" si="67"/>
        <v>0</v>
      </c>
      <c r="AH43" s="397">
        <f t="shared" si="67"/>
        <v>247</v>
      </c>
      <c r="AI43" s="523">
        <v>0</v>
      </c>
      <c r="AJ43" s="423">
        <v>158</v>
      </c>
      <c r="AK43" s="397">
        <v>833</v>
      </c>
      <c r="AL43" s="265">
        <f>ROUND(((AK43/AJ43-1)*100), 1)</f>
        <v>427.2</v>
      </c>
      <c r="AM43" s="728">
        <f t="shared" si="70"/>
        <v>0</v>
      </c>
      <c r="AN43" s="716">
        <f t="shared" si="71"/>
        <v>135</v>
      </c>
      <c r="AO43" s="695">
        <v>0</v>
      </c>
      <c r="AP43" s="743">
        <v>158</v>
      </c>
      <c r="AQ43" s="716">
        <v>968</v>
      </c>
      <c r="AR43" s="705">
        <f>ROUND(((AQ43/AP43-1)*100), 1)</f>
        <v>512.70000000000005</v>
      </c>
      <c r="AS43" s="743">
        <f t="shared" si="74"/>
        <v>23</v>
      </c>
      <c r="AT43" s="716">
        <f t="shared" si="74"/>
        <v>46</v>
      </c>
      <c r="AU43" s="705">
        <f>ROUND(((AT43/AS43-1)*100), 1)</f>
        <v>100</v>
      </c>
      <c r="AV43" s="1001">
        <v>181</v>
      </c>
      <c r="AW43" s="1002">
        <v>1014</v>
      </c>
      <c r="AX43" s="705">
        <f>ROUND(((AW43/AV43-1)*100), 1)</f>
        <v>460.2</v>
      </c>
      <c r="AY43" s="743">
        <f t="shared" si="77"/>
        <v>23</v>
      </c>
      <c r="AZ43" s="716">
        <f t="shared" si="78"/>
        <v>706</v>
      </c>
      <c r="BA43" s="705">
        <f>ROUND(((AZ43/AY43-1)*100), 1)</f>
        <v>2969.6</v>
      </c>
      <c r="BB43" s="743">
        <v>204</v>
      </c>
      <c r="BC43" s="716">
        <v>1720</v>
      </c>
      <c r="BD43" s="705">
        <f>ROUND(((BC43/BB43-1)*100), 1)</f>
        <v>743.1</v>
      </c>
      <c r="BE43" s="743">
        <f t="shared" si="81"/>
        <v>251</v>
      </c>
      <c r="BF43" s="716">
        <f t="shared" si="81"/>
        <v>134</v>
      </c>
      <c r="BG43" s="705">
        <f>ROUND(((BF43/BE43-1)*100), 1)</f>
        <v>-46.6</v>
      </c>
      <c r="BH43" s="743">
        <v>455</v>
      </c>
      <c r="BI43" s="716">
        <v>1854</v>
      </c>
      <c r="BJ43" s="705">
        <f>ROUND(((BI43/BH43-1)*100), 1)</f>
        <v>307.5</v>
      </c>
      <c r="BK43" s="743">
        <f t="shared" si="84"/>
        <v>22</v>
      </c>
      <c r="BL43" s="716">
        <f t="shared" si="84"/>
        <v>291</v>
      </c>
      <c r="BM43" s="705">
        <f>ROUND(((BL43/BK43-1)*100), 1)</f>
        <v>1222.7</v>
      </c>
      <c r="BN43" s="743">
        <v>477</v>
      </c>
      <c r="BO43" s="716">
        <v>2145</v>
      </c>
      <c r="BP43" s="705">
        <f>ROUND(((BO43/BN43-1)*100), 1)</f>
        <v>349.7</v>
      </c>
      <c r="BQ43" s="743">
        <f t="shared" si="87"/>
        <v>0</v>
      </c>
      <c r="BR43" s="716">
        <f t="shared" si="87"/>
        <v>269</v>
      </c>
      <c r="BS43" s="751">
        <v>0</v>
      </c>
      <c r="BT43" s="743">
        <v>477</v>
      </c>
      <c r="BU43" s="716">
        <v>2414</v>
      </c>
      <c r="BV43" s="705">
        <f>ROUND(((BU43/BT43-1)*100), 1)</f>
        <v>406.1</v>
      </c>
    </row>
    <row r="44" spans="1:74" s="173" customFormat="1" ht="13.5" customHeight="1">
      <c r="A44" s="338"/>
      <c r="B44" s="1176"/>
      <c r="C44" s="345" t="s">
        <v>56</v>
      </c>
      <c r="D44" s="341">
        <v>0</v>
      </c>
      <c r="E44" s="341">
        <v>98</v>
      </c>
      <c r="F44" s="341">
        <v>20</v>
      </c>
      <c r="G44" s="341">
        <v>0</v>
      </c>
      <c r="H44" s="341">
        <v>348</v>
      </c>
      <c r="I44" s="341">
        <v>0</v>
      </c>
      <c r="J44" s="341">
        <v>0</v>
      </c>
      <c r="K44" s="341">
        <v>131</v>
      </c>
      <c r="L44" s="423">
        <v>0</v>
      </c>
      <c r="M44" s="397">
        <v>0</v>
      </c>
      <c r="N44" s="179">
        <v>0</v>
      </c>
      <c r="O44" s="423">
        <f t="shared" si="56"/>
        <v>0</v>
      </c>
      <c r="P44" s="397">
        <f t="shared" si="56"/>
        <v>0</v>
      </c>
      <c r="Q44" s="179">
        <v>0</v>
      </c>
      <c r="R44" s="423">
        <v>0</v>
      </c>
      <c r="S44" s="397">
        <v>0</v>
      </c>
      <c r="T44" s="179">
        <v>0</v>
      </c>
      <c r="U44" s="423">
        <f t="shared" si="59"/>
        <v>131</v>
      </c>
      <c r="V44" s="397">
        <f t="shared" si="60"/>
        <v>0</v>
      </c>
      <c r="W44" s="179">
        <v>0</v>
      </c>
      <c r="X44" s="423">
        <v>131</v>
      </c>
      <c r="Y44" s="397">
        <v>0</v>
      </c>
      <c r="Z44" s="265">
        <f t="shared" ref="Z44" si="100">ROUND(((Y44/X44-1)*100), 1)</f>
        <v>-100</v>
      </c>
      <c r="AA44" s="423">
        <f t="shared" si="63"/>
        <v>0</v>
      </c>
      <c r="AB44" s="397">
        <f t="shared" si="64"/>
        <v>0</v>
      </c>
      <c r="AC44" s="523">
        <v>0</v>
      </c>
      <c r="AD44" s="423">
        <v>131</v>
      </c>
      <c r="AE44" s="397">
        <v>0</v>
      </c>
      <c r="AF44" s="265">
        <f t="shared" ref="AF44" si="101">ROUND(((AE44/AD44-1)*100), 1)</f>
        <v>-100</v>
      </c>
      <c r="AG44" s="423">
        <f t="shared" si="67"/>
        <v>0</v>
      </c>
      <c r="AH44" s="397">
        <f t="shared" si="67"/>
        <v>20</v>
      </c>
      <c r="AI44" s="523">
        <v>0</v>
      </c>
      <c r="AJ44" s="423">
        <v>131</v>
      </c>
      <c r="AK44" s="397">
        <v>20</v>
      </c>
      <c r="AL44" s="265">
        <f t="shared" ref="AL44" si="102">ROUND(((AK44/AJ44-1)*100), 1)</f>
        <v>-84.7</v>
      </c>
      <c r="AM44" s="728">
        <f t="shared" si="70"/>
        <v>0</v>
      </c>
      <c r="AN44" s="716">
        <f t="shared" si="71"/>
        <v>0</v>
      </c>
      <c r="AO44" s="695">
        <v>0</v>
      </c>
      <c r="AP44" s="743">
        <v>131</v>
      </c>
      <c r="AQ44" s="716">
        <v>20</v>
      </c>
      <c r="AR44" s="705">
        <f t="shared" ref="AR44" si="103">ROUND(((AQ44/AP44-1)*100), 1)</f>
        <v>-84.7</v>
      </c>
      <c r="AS44" s="743">
        <f t="shared" si="74"/>
        <v>0</v>
      </c>
      <c r="AT44" s="716">
        <f t="shared" si="74"/>
        <v>0</v>
      </c>
      <c r="AU44" s="751">
        <v>0</v>
      </c>
      <c r="AV44" s="1001">
        <v>131</v>
      </c>
      <c r="AW44" s="1002">
        <v>20</v>
      </c>
      <c r="AX44" s="705">
        <f>ROUND(((AW44/AV44-1)*100), 1)</f>
        <v>-84.7</v>
      </c>
      <c r="AY44" s="743">
        <f t="shared" si="77"/>
        <v>0</v>
      </c>
      <c r="AZ44" s="716">
        <f t="shared" si="78"/>
        <v>0</v>
      </c>
      <c r="BA44" s="751">
        <v>0</v>
      </c>
      <c r="BB44" s="743">
        <v>131</v>
      </c>
      <c r="BC44" s="716">
        <v>20</v>
      </c>
      <c r="BD44" s="705">
        <f>ROUND(((BC44/BB44-1)*100), 1)</f>
        <v>-84.7</v>
      </c>
      <c r="BE44" s="743">
        <f t="shared" si="81"/>
        <v>0</v>
      </c>
      <c r="BF44" s="716">
        <f t="shared" si="81"/>
        <v>0</v>
      </c>
      <c r="BG44" s="751">
        <v>0</v>
      </c>
      <c r="BH44" s="743">
        <v>131</v>
      </c>
      <c r="BI44" s="716">
        <v>20</v>
      </c>
      <c r="BJ44" s="705">
        <f>ROUND(((BI44/BH44-1)*100), 1)</f>
        <v>-84.7</v>
      </c>
      <c r="BK44" s="743">
        <f t="shared" si="84"/>
        <v>0</v>
      </c>
      <c r="BL44" s="716">
        <f t="shared" si="84"/>
        <v>0</v>
      </c>
      <c r="BM44" s="751">
        <v>0</v>
      </c>
      <c r="BN44" s="743">
        <v>131</v>
      </c>
      <c r="BO44" s="716">
        <v>20</v>
      </c>
      <c r="BP44" s="705">
        <f>ROUND(((BO44/BN44-1)*100), 1)</f>
        <v>-84.7</v>
      </c>
      <c r="BQ44" s="743">
        <f t="shared" si="87"/>
        <v>0</v>
      </c>
      <c r="BR44" s="716">
        <f t="shared" si="87"/>
        <v>0</v>
      </c>
      <c r="BS44" s="751">
        <v>0</v>
      </c>
      <c r="BT44" s="743">
        <v>131</v>
      </c>
      <c r="BU44" s="716">
        <v>20</v>
      </c>
      <c r="BV44" s="705">
        <f>ROUND(((BU44/BT44-1)*100), 1)</f>
        <v>-84.7</v>
      </c>
    </row>
    <row r="45" spans="1:74" s="173" customFormat="1" ht="13.5" customHeight="1">
      <c r="A45" s="338"/>
      <c r="B45" s="1176"/>
      <c r="C45" s="345" t="s">
        <v>60</v>
      </c>
      <c r="D45" s="341">
        <v>266</v>
      </c>
      <c r="E45" s="341">
        <v>66</v>
      </c>
      <c r="F45" s="341">
        <v>618</v>
      </c>
      <c r="G45" s="341">
        <v>10</v>
      </c>
      <c r="H45" s="341">
        <v>0</v>
      </c>
      <c r="I45" s="341">
        <v>581</v>
      </c>
      <c r="J45" s="341">
        <v>21</v>
      </c>
      <c r="K45" s="341">
        <v>65</v>
      </c>
      <c r="L45" s="423">
        <v>0</v>
      </c>
      <c r="M45" s="397">
        <v>0</v>
      </c>
      <c r="N45" s="179">
        <v>0</v>
      </c>
      <c r="O45" s="423">
        <f t="shared" si="56"/>
        <v>0</v>
      </c>
      <c r="P45" s="397">
        <f t="shared" si="56"/>
        <v>0</v>
      </c>
      <c r="Q45" s="179">
        <v>0</v>
      </c>
      <c r="R45" s="423">
        <v>0</v>
      </c>
      <c r="S45" s="397">
        <v>0</v>
      </c>
      <c r="T45" s="179">
        <v>0</v>
      </c>
      <c r="U45" s="423">
        <f t="shared" si="59"/>
        <v>0</v>
      </c>
      <c r="V45" s="397">
        <f t="shared" si="60"/>
        <v>0</v>
      </c>
      <c r="W45" s="179">
        <v>0</v>
      </c>
      <c r="X45" s="423">
        <v>0</v>
      </c>
      <c r="Y45" s="397">
        <v>0</v>
      </c>
      <c r="Z45" s="179">
        <v>0</v>
      </c>
      <c r="AA45" s="423">
        <f t="shared" si="63"/>
        <v>0</v>
      </c>
      <c r="AB45" s="397">
        <f t="shared" si="64"/>
        <v>0</v>
      </c>
      <c r="AC45" s="523">
        <v>0</v>
      </c>
      <c r="AD45" s="423">
        <v>0</v>
      </c>
      <c r="AE45" s="397">
        <v>0</v>
      </c>
      <c r="AF45" s="523">
        <v>0</v>
      </c>
      <c r="AG45" s="423">
        <f t="shared" si="67"/>
        <v>0</v>
      </c>
      <c r="AH45" s="397">
        <f t="shared" si="67"/>
        <v>0</v>
      </c>
      <c r="AI45" s="523">
        <v>0</v>
      </c>
      <c r="AJ45" s="423">
        <v>0</v>
      </c>
      <c r="AK45" s="397">
        <v>0</v>
      </c>
      <c r="AL45" s="523">
        <v>0</v>
      </c>
      <c r="AM45" s="728">
        <f t="shared" si="70"/>
        <v>0</v>
      </c>
      <c r="AN45" s="716">
        <f t="shared" si="71"/>
        <v>0</v>
      </c>
      <c r="AO45" s="695">
        <v>0</v>
      </c>
      <c r="AP45" s="743">
        <v>0</v>
      </c>
      <c r="AQ45" s="716">
        <v>0</v>
      </c>
      <c r="AR45" s="695">
        <v>0</v>
      </c>
      <c r="AS45" s="743">
        <f t="shared" si="74"/>
        <v>0</v>
      </c>
      <c r="AT45" s="716">
        <f t="shared" si="74"/>
        <v>0</v>
      </c>
      <c r="AU45" s="751">
        <v>0</v>
      </c>
      <c r="AV45" s="1001">
        <v>0</v>
      </c>
      <c r="AW45" s="1002">
        <v>0</v>
      </c>
      <c r="AX45" s="751">
        <v>0</v>
      </c>
      <c r="AY45" s="743">
        <f t="shared" si="77"/>
        <v>0</v>
      </c>
      <c r="AZ45" s="716">
        <f t="shared" si="78"/>
        <v>22</v>
      </c>
      <c r="BA45" s="751">
        <v>0</v>
      </c>
      <c r="BB45" s="743">
        <v>0</v>
      </c>
      <c r="BC45" s="716">
        <v>22</v>
      </c>
      <c r="BD45" s="751">
        <v>0</v>
      </c>
      <c r="BE45" s="743">
        <f t="shared" si="81"/>
        <v>0</v>
      </c>
      <c r="BF45" s="716">
        <f t="shared" si="81"/>
        <v>43</v>
      </c>
      <c r="BG45" s="751">
        <v>0</v>
      </c>
      <c r="BH45" s="743">
        <v>0</v>
      </c>
      <c r="BI45" s="716">
        <v>65</v>
      </c>
      <c r="BJ45" s="751">
        <v>0</v>
      </c>
      <c r="BK45" s="743">
        <f t="shared" si="84"/>
        <v>0</v>
      </c>
      <c r="BL45" s="716">
        <f t="shared" si="84"/>
        <v>62</v>
      </c>
      <c r="BM45" s="751">
        <v>0</v>
      </c>
      <c r="BN45" s="743">
        <v>0</v>
      </c>
      <c r="BO45" s="716">
        <v>127</v>
      </c>
      <c r="BP45" s="751">
        <v>0</v>
      </c>
      <c r="BQ45" s="743">
        <f t="shared" si="87"/>
        <v>0</v>
      </c>
      <c r="BR45" s="716">
        <f t="shared" si="87"/>
        <v>19</v>
      </c>
      <c r="BS45" s="751">
        <v>0</v>
      </c>
      <c r="BT45" s="743">
        <v>0</v>
      </c>
      <c r="BU45" s="716">
        <v>146</v>
      </c>
      <c r="BV45" s="751">
        <v>0</v>
      </c>
    </row>
    <row r="46" spans="1:74" s="173" customFormat="1" ht="13.5" customHeight="1">
      <c r="A46" s="338"/>
      <c r="B46" s="1176"/>
      <c r="C46" s="345" t="s">
        <v>329</v>
      </c>
      <c r="D46" s="341">
        <v>1</v>
      </c>
      <c r="E46" s="341">
        <v>0</v>
      </c>
      <c r="F46" s="341">
        <v>0</v>
      </c>
      <c r="G46" s="341">
        <v>0</v>
      </c>
      <c r="H46" s="341">
        <v>0</v>
      </c>
      <c r="I46" s="341">
        <v>0</v>
      </c>
      <c r="J46" s="341">
        <v>792</v>
      </c>
      <c r="K46" s="341">
        <v>0</v>
      </c>
      <c r="L46" s="423">
        <v>0</v>
      </c>
      <c r="M46" s="397">
        <v>0</v>
      </c>
      <c r="N46" s="179">
        <v>0</v>
      </c>
      <c r="O46" s="423">
        <f t="shared" si="56"/>
        <v>0</v>
      </c>
      <c r="P46" s="397">
        <f t="shared" si="56"/>
        <v>0</v>
      </c>
      <c r="Q46" s="179">
        <v>0</v>
      </c>
      <c r="R46" s="423">
        <v>0</v>
      </c>
      <c r="S46" s="397">
        <v>0</v>
      </c>
      <c r="T46" s="179">
        <v>0</v>
      </c>
      <c r="U46" s="423">
        <f t="shared" si="59"/>
        <v>0</v>
      </c>
      <c r="V46" s="397">
        <f t="shared" si="60"/>
        <v>0</v>
      </c>
      <c r="W46" s="179">
        <v>0</v>
      </c>
      <c r="X46" s="423">
        <v>0</v>
      </c>
      <c r="Y46" s="397">
        <v>0</v>
      </c>
      <c r="Z46" s="179">
        <v>0</v>
      </c>
      <c r="AA46" s="423">
        <f t="shared" si="63"/>
        <v>0</v>
      </c>
      <c r="AB46" s="397">
        <f t="shared" si="64"/>
        <v>0</v>
      </c>
      <c r="AC46" s="523">
        <v>0</v>
      </c>
      <c r="AD46" s="423">
        <v>0</v>
      </c>
      <c r="AE46" s="397">
        <v>0</v>
      </c>
      <c r="AF46" s="523">
        <v>0</v>
      </c>
      <c r="AG46" s="423">
        <f t="shared" si="67"/>
        <v>0</v>
      </c>
      <c r="AH46" s="397">
        <f t="shared" si="67"/>
        <v>0</v>
      </c>
      <c r="AI46" s="523">
        <v>0</v>
      </c>
      <c r="AJ46" s="423">
        <v>0</v>
      </c>
      <c r="AK46" s="397">
        <v>0</v>
      </c>
      <c r="AL46" s="523">
        <v>0</v>
      </c>
      <c r="AM46" s="728">
        <f t="shared" si="70"/>
        <v>0</v>
      </c>
      <c r="AN46" s="716">
        <f t="shared" si="71"/>
        <v>0</v>
      </c>
      <c r="AO46" s="695">
        <v>0</v>
      </c>
      <c r="AP46" s="743">
        <v>0</v>
      </c>
      <c r="AQ46" s="716">
        <v>0</v>
      </c>
      <c r="AR46" s="695">
        <v>0</v>
      </c>
      <c r="AS46" s="743">
        <f t="shared" si="74"/>
        <v>0</v>
      </c>
      <c r="AT46" s="716">
        <f t="shared" si="74"/>
        <v>0</v>
      </c>
      <c r="AU46" s="751">
        <v>0</v>
      </c>
      <c r="AV46" s="1001">
        <v>0</v>
      </c>
      <c r="AW46" s="1002">
        <v>0</v>
      </c>
      <c r="AX46" s="751">
        <v>0</v>
      </c>
      <c r="AY46" s="743">
        <f t="shared" si="77"/>
        <v>0</v>
      </c>
      <c r="AZ46" s="716">
        <f t="shared" si="78"/>
        <v>0</v>
      </c>
      <c r="BA46" s="751">
        <v>0</v>
      </c>
      <c r="BB46" s="743">
        <v>0</v>
      </c>
      <c r="BC46" s="716">
        <v>0</v>
      </c>
      <c r="BD46" s="751">
        <v>0</v>
      </c>
      <c r="BE46" s="743">
        <f t="shared" si="81"/>
        <v>0</v>
      </c>
      <c r="BF46" s="716">
        <f t="shared" si="81"/>
        <v>0</v>
      </c>
      <c r="BG46" s="751">
        <v>0</v>
      </c>
      <c r="BH46" s="743">
        <v>0</v>
      </c>
      <c r="BI46" s="716">
        <v>0</v>
      </c>
      <c r="BJ46" s="751">
        <v>0</v>
      </c>
      <c r="BK46" s="743">
        <f t="shared" si="84"/>
        <v>0</v>
      </c>
      <c r="BL46" s="716">
        <f t="shared" si="84"/>
        <v>0</v>
      </c>
      <c r="BM46" s="751">
        <v>0</v>
      </c>
      <c r="BN46" s="743">
        <v>0</v>
      </c>
      <c r="BO46" s="716">
        <v>0</v>
      </c>
      <c r="BP46" s="751">
        <v>0</v>
      </c>
      <c r="BQ46" s="743">
        <f t="shared" si="87"/>
        <v>0</v>
      </c>
      <c r="BR46" s="716">
        <f t="shared" si="87"/>
        <v>0</v>
      </c>
      <c r="BS46" s="751">
        <v>0</v>
      </c>
      <c r="BT46" s="743">
        <v>0</v>
      </c>
      <c r="BU46" s="716">
        <v>0</v>
      </c>
      <c r="BV46" s="751">
        <v>0</v>
      </c>
    </row>
    <row r="47" spans="1:74" s="173" customFormat="1" ht="13.5" customHeight="1">
      <c r="A47" s="338"/>
      <c r="B47" s="1176"/>
      <c r="C47" s="345" t="s">
        <v>24</v>
      </c>
      <c r="D47" s="341">
        <f t="shared" ref="D47:I47" si="104">D48-SUM(D29:D46)</f>
        <v>529</v>
      </c>
      <c r="E47" s="341">
        <f t="shared" si="104"/>
        <v>1954</v>
      </c>
      <c r="F47" s="341">
        <f t="shared" si="104"/>
        <v>343</v>
      </c>
      <c r="G47" s="341">
        <f t="shared" si="104"/>
        <v>548</v>
      </c>
      <c r="H47" s="341">
        <f>H48-SUM(H29:H46)</f>
        <v>0</v>
      </c>
      <c r="I47" s="341">
        <f t="shared" si="104"/>
        <v>44</v>
      </c>
      <c r="J47" s="341">
        <f>J48-SUM(J29:J46)</f>
        <v>438</v>
      </c>
      <c r="K47" s="341">
        <f>K48-SUM(K29:K46)</f>
        <v>24</v>
      </c>
      <c r="L47" s="423">
        <f>L48-SUM(L29:L46)</f>
        <v>0</v>
      </c>
      <c r="M47" s="397">
        <f>M48-SUM(M29:M46)</f>
        <v>2</v>
      </c>
      <c r="N47" s="290">
        <v>0</v>
      </c>
      <c r="O47" s="423">
        <f>O48-SUM(O29:O46)</f>
        <v>0</v>
      </c>
      <c r="P47" s="397">
        <f>P48-SUM(P29:P46)</f>
        <v>21</v>
      </c>
      <c r="Q47" s="290">
        <v>0</v>
      </c>
      <c r="R47" s="423">
        <f>R48-SUM(R29:R46)</f>
        <v>0</v>
      </c>
      <c r="S47" s="397">
        <f>S48-SUM(S29:S46)</f>
        <v>23</v>
      </c>
      <c r="T47" s="290">
        <v>0</v>
      </c>
      <c r="U47" s="423">
        <f>U48-SUM(U29:U46)</f>
        <v>20</v>
      </c>
      <c r="V47" s="397">
        <f>V48-SUM(V29:V46)</f>
        <v>0</v>
      </c>
      <c r="W47" s="265">
        <f t="shared" ref="W47" si="105">ROUND(((V47/U47-1)*100), 1)</f>
        <v>-100</v>
      </c>
      <c r="X47" s="423">
        <f>X48-SUM(X29:X46)</f>
        <v>20</v>
      </c>
      <c r="Y47" s="397">
        <f>Y48-SUM(Y29:Y46)</f>
        <v>23</v>
      </c>
      <c r="Z47" s="265">
        <f t="shared" ref="Z47" si="106">ROUND(((Y47/X47-1)*100), 1)</f>
        <v>15</v>
      </c>
      <c r="AA47" s="423">
        <f>AA48-SUM(AA29:AA46)</f>
        <v>2</v>
      </c>
      <c r="AB47" s="397">
        <f>AB48-SUM(AB29:AB46)</f>
        <v>0</v>
      </c>
      <c r="AC47" s="265">
        <f t="shared" ref="AC47" si="107">ROUND(((AB47/AA47-1)*100), 1)</f>
        <v>-100</v>
      </c>
      <c r="AD47" s="423">
        <f>AD48-SUM(AD29:AD46)</f>
        <v>22</v>
      </c>
      <c r="AE47" s="397">
        <f>AE48-SUM(AE29:AE46)</f>
        <v>23</v>
      </c>
      <c r="AF47" s="265">
        <f t="shared" ref="AF47" si="108">ROUND(((AE47/AD47-1)*100), 1)</f>
        <v>4.5</v>
      </c>
      <c r="AG47" s="423">
        <f>AG48-SUM(AG29:AG46)</f>
        <v>0</v>
      </c>
      <c r="AH47" s="397">
        <f>AH48-SUM(AH29:AH46)</f>
        <v>0</v>
      </c>
      <c r="AI47" s="525">
        <v>0</v>
      </c>
      <c r="AJ47" s="423">
        <f>AJ48-SUM(AJ29:AJ46)</f>
        <v>22</v>
      </c>
      <c r="AK47" s="397">
        <f>AK48-SUM(AK29:AK46)</f>
        <v>23</v>
      </c>
      <c r="AL47" s="265">
        <f t="shared" ref="AL47" si="109">ROUND(((AK47/AJ47-1)*100), 1)</f>
        <v>4.5</v>
      </c>
      <c r="AM47" s="728">
        <f>AM48-SUM(AM29:AM46)</f>
        <v>0</v>
      </c>
      <c r="AN47" s="716">
        <f>AN48-SUM(AN29:AN46)</f>
        <v>1</v>
      </c>
      <c r="AO47" s="708">
        <v>0</v>
      </c>
      <c r="AP47" s="743">
        <f>AP48-SUM(AP29:AP46)</f>
        <v>22</v>
      </c>
      <c r="AQ47" s="716">
        <f>AQ48-SUM(AQ29:AQ46)</f>
        <v>24</v>
      </c>
      <c r="AR47" s="705">
        <f t="shared" ref="AR47" si="110">ROUND(((AQ47/AP47-1)*100), 1)</f>
        <v>9.1</v>
      </c>
      <c r="AS47" s="743">
        <f>AS48-SUM(AS29:AS46)</f>
        <v>0</v>
      </c>
      <c r="AT47" s="716">
        <f>AT48-SUM(AT29:AT46)</f>
        <v>0</v>
      </c>
      <c r="AU47" s="708">
        <v>0</v>
      </c>
      <c r="AV47" s="1001">
        <f>AV48-SUM(AV29:AV46)</f>
        <v>22</v>
      </c>
      <c r="AW47" s="1002">
        <f>AW48-SUM(AW29:AW46)</f>
        <v>24</v>
      </c>
      <c r="AX47" s="705">
        <f t="shared" ref="AX47:AX54" si="111">ROUND(((AW47/AV47-1)*100), 1)</f>
        <v>9.1</v>
      </c>
      <c r="AY47" s="743">
        <f>AY48-SUM(AY29:AY46)</f>
        <v>0</v>
      </c>
      <c r="AZ47" s="716">
        <f>AZ48-SUM(AZ29:AZ46)</f>
        <v>6</v>
      </c>
      <c r="BA47" s="708">
        <v>0</v>
      </c>
      <c r="BB47" s="743">
        <f>BB48-SUM(BB29:BB46)</f>
        <v>22</v>
      </c>
      <c r="BC47" s="716">
        <f>BC48-SUM(BC29:BC46)</f>
        <v>30</v>
      </c>
      <c r="BD47" s="705">
        <f t="shared" ref="BD47:BD54" si="112">ROUND(((BC47/BB47-1)*100), 1)</f>
        <v>36.4</v>
      </c>
      <c r="BE47" s="743">
        <f>BE48-SUM(BE29:BE46)</f>
        <v>0</v>
      </c>
      <c r="BF47" s="716">
        <f>BF48-SUM(BF29:BF46)</f>
        <v>24</v>
      </c>
      <c r="BG47" s="708">
        <v>0</v>
      </c>
      <c r="BH47" s="743">
        <f>BH48-SUM(BH29:BH46)</f>
        <v>22</v>
      </c>
      <c r="BI47" s="716">
        <f>BI48-SUM(BI29:BI46)</f>
        <v>54</v>
      </c>
      <c r="BJ47" s="705">
        <f t="shared" ref="BJ47:BJ54" si="113">ROUND(((BI47/BH47-1)*100), 1)</f>
        <v>145.5</v>
      </c>
      <c r="BK47" s="743">
        <f>BK48-SUM(BK29:BK46)</f>
        <v>1</v>
      </c>
      <c r="BL47" s="716">
        <f>BL48-SUM(BL29:BL46)</f>
        <v>141</v>
      </c>
      <c r="BM47" s="753">
        <f>ROUND(((BL47/BK47-1)*100), 1)</f>
        <v>14000</v>
      </c>
      <c r="BN47" s="743">
        <f>BN48-SUM(BN29:BN46)</f>
        <v>23</v>
      </c>
      <c r="BO47" s="716">
        <f>BO48-SUM(BO29:BO46)</f>
        <v>195</v>
      </c>
      <c r="BP47" s="705">
        <f t="shared" ref="BP47:BP54" si="114">ROUND(((BO47/BN47-1)*100), 1)</f>
        <v>747.8</v>
      </c>
      <c r="BQ47" s="743">
        <f>BQ48-SUM(BQ29:BQ46)</f>
        <v>1</v>
      </c>
      <c r="BR47" s="716">
        <f>BR48-SUM(BR29:BR46)</f>
        <v>312</v>
      </c>
      <c r="BS47" s="753">
        <f t="shared" ref="BS47:BS52" si="115">ROUND(((BR47/BQ47-1)*100), 1)</f>
        <v>31100</v>
      </c>
      <c r="BT47" s="743">
        <f>BT48-SUM(BT29:BT46)</f>
        <v>24</v>
      </c>
      <c r="BU47" s="716">
        <f>BU48-SUM(BU29:BU46)</f>
        <v>507</v>
      </c>
      <c r="BV47" s="705">
        <f t="shared" ref="BV47:BV54" si="116">ROUND(((BU47/BT47-1)*100), 1)</f>
        <v>2012.5</v>
      </c>
    </row>
    <row r="48" spans="1:74" s="173" customFormat="1" ht="13.5" customHeight="1">
      <c r="A48" s="338"/>
      <c r="B48" s="1177"/>
      <c r="C48" s="350" t="s">
        <v>212</v>
      </c>
      <c r="D48" s="351">
        <v>24192</v>
      </c>
      <c r="E48" s="351">
        <v>49108</v>
      </c>
      <c r="F48" s="351">
        <v>49655</v>
      </c>
      <c r="G48" s="351">
        <v>38020</v>
      </c>
      <c r="H48" s="351">
        <v>54583</v>
      </c>
      <c r="I48" s="351">
        <v>87651</v>
      </c>
      <c r="J48" s="351">
        <v>109399</v>
      </c>
      <c r="K48" s="351">
        <v>91079</v>
      </c>
      <c r="L48" s="424">
        <v>5666</v>
      </c>
      <c r="M48" s="425">
        <v>14543</v>
      </c>
      <c r="N48" s="352">
        <f>ROUND(((M48/L48-1)*100), 1)</f>
        <v>156.69999999999999</v>
      </c>
      <c r="O48" s="424">
        <f t="shared" ref="O48:P59" si="117">R48-L48</f>
        <v>5588</v>
      </c>
      <c r="P48" s="425">
        <f t="shared" si="117"/>
        <v>15514</v>
      </c>
      <c r="Q48" s="352">
        <f>ROUND(((P48/O48-1)*100), 1)</f>
        <v>177.6</v>
      </c>
      <c r="R48" s="424">
        <v>11254</v>
      </c>
      <c r="S48" s="425">
        <v>30057</v>
      </c>
      <c r="T48" s="352">
        <f>ROUND(((S48/R48-1)*100), 1)</f>
        <v>167.1</v>
      </c>
      <c r="U48" s="424">
        <f t="shared" ref="U48:U57" si="118">X48-R48</f>
        <v>8164</v>
      </c>
      <c r="V48" s="425">
        <f t="shared" ref="V48:V57" si="119">Y48-S48</f>
        <v>13355</v>
      </c>
      <c r="W48" s="352">
        <f>ROUND(((V48/U48-1)*100), 1)</f>
        <v>63.6</v>
      </c>
      <c r="X48" s="424">
        <v>19418</v>
      </c>
      <c r="Y48" s="425">
        <v>43412</v>
      </c>
      <c r="Z48" s="352">
        <f>ROUND(((Y48/X48-1)*100), 1)</f>
        <v>123.6</v>
      </c>
      <c r="AA48" s="424">
        <f t="shared" ref="AA48:AA57" si="120">AD48-X48</f>
        <v>5761</v>
      </c>
      <c r="AB48" s="425">
        <f t="shared" ref="AB48:AB57" si="121">AE48-Y48</f>
        <v>10327</v>
      </c>
      <c r="AC48" s="352">
        <f>ROUND(((AB48/AA48-1)*100), 1)</f>
        <v>79.3</v>
      </c>
      <c r="AD48" s="424">
        <v>25179</v>
      </c>
      <c r="AE48" s="425">
        <v>53739</v>
      </c>
      <c r="AF48" s="352">
        <f>ROUND(((AE48/AD48-1)*100), 1)</f>
        <v>113.4</v>
      </c>
      <c r="AG48" s="424">
        <f t="shared" ref="AG48:AH57" si="122">AJ48-AD48</f>
        <v>8672</v>
      </c>
      <c r="AH48" s="425">
        <f t="shared" si="122"/>
        <v>18865</v>
      </c>
      <c r="AI48" s="352">
        <f>ROUND(((AH48/AG48-1)*100), 1)</f>
        <v>117.5</v>
      </c>
      <c r="AJ48" s="424">
        <v>33851</v>
      </c>
      <c r="AK48" s="425">
        <v>72604</v>
      </c>
      <c r="AL48" s="352">
        <f>ROUND(((AK48/AJ48-1)*100), 1)</f>
        <v>114.5</v>
      </c>
      <c r="AM48" s="729">
        <f t="shared" ref="AM48:AM57" si="123">AP48-AJ48</f>
        <v>9157</v>
      </c>
      <c r="AN48" s="730">
        <f t="shared" ref="AN48:AN57" si="124">AQ48-AK48</f>
        <v>23270</v>
      </c>
      <c r="AO48" s="711">
        <f>ROUND(((AN48/AM48-1)*100), 1)</f>
        <v>154.1</v>
      </c>
      <c r="AP48" s="729">
        <v>43008</v>
      </c>
      <c r="AQ48" s="730">
        <v>95874</v>
      </c>
      <c r="AR48" s="711">
        <f t="shared" ref="AR48:AR54" si="125">ROUND(((AQ48/AP48-1)*100), 1)</f>
        <v>122.9</v>
      </c>
      <c r="AS48" s="729">
        <f t="shared" ref="AS48:AT57" si="126">AV48-AP48</f>
        <v>8411</v>
      </c>
      <c r="AT48" s="730">
        <f t="shared" si="126"/>
        <v>19633</v>
      </c>
      <c r="AU48" s="711">
        <f t="shared" ref="AU48:AU56" si="127">ROUND(((AT48/AS48-1)*100), 1)</f>
        <v>133.4</v>
      </c>
      <c r="AV48" s="1003">
        <v>51419</v>
      </c>
      <c r="AW48" s="1004">
        <v>115507</v>
      </c>
      <c r="AX48" s="711">
        <f t="shared" si="111"/>
        <v>124.6</v>
      </c>
      <c r="AY48" s="729">
        <f t="shared" ref="AY48:AY57" si="128">BB48-AV48</f>
        <v>5666</v>
      </c>
      <c r="AZ48" s="730">
        <f t="shared" ref="AZ48:AZ57" si="129">BC48-AW48</f>
        <v>15831</v>
      </c>
      <c r="BA48" s="711">
        <f t="shared" ref="BA48:BA56" si="130">ROUND(((AZ48/AY48-1)*100), 1)</f>
        <v>179.4</v>
      </c>
      <c r="BB48" s="729">
        <v>57085</v>
      </c>
      <c r="BC48" s="730">
        <v>131338</v>
      </c>
      <c r="BD48" s="711">
        <f t="shared" si="112"/>
        <v>130.1</v>
      </c>
      <c r="BE48" s="729">
        <f t="shared" ref="BE48:BF57" si="131">BH48-BB48</f>
        <v>6483</v>
      </c>
      <c r="BF48" s="730">
        <f t="shared" si="131"/>
        <v>17040</v>
      </c>
      <c r="BG48" s="711">
        <f t="shared" ref="BG48:BG56" si="132">ROUND(((BF48/BE48-1)*100), 1)</f>
        <v>162.80000000000001</v>
      </c>
      <c r="BH48" s="729">
        <v>63568</v>
      </c>
      <c r="BI48" s="730">
        <v>148378</v>
      </c>
      <c r="BJ48" s="711">
        <f t="shared" si="113"/>
        <v>133.4</v>
      </c>
      <c r="BK48" s="729">
        <f t="shared" ref="BK48:BL57" si="133">BN48-BH48</f>
        <v>6116</v>
      </c>
      <c r="BL48" s="730">
        <f t="shared" si="133"/>
        <v>16366</v>
      </c>
      <c r="BM48" s="711">
        <f t="shared" ref="BM48:BM51" si="134">ROUND(((BL48/BK48-1)*100), 1)</f>
        <v>167.6</v>
      </c>
      <c r="BN48" s="729">
        <v>69684</v>
      </c>
      <c r="BO48" s="730">
        <v>164744</v>
      </c>
      <c r="BP48" s="711">
        <f t="shared" si="114"/>
        <v>136.4</v>
      </c>
      <c r="BQ48" s="729">
        <f t="shared" ref="BQ48:BR57" si="135">BT48-BN48</f>
        <v>7757</v>
      </c>
      <c r="BR48" s="730">
        <f t="shared" si="135"/>
        <v>15587</v>
      </c>
      <c r="BS48" s="711">
        <f t="shared" si="115"/>
        <v>100.9</v>
      </c>
      <c r="BT48" s="729">
        <v>77441</v>
      </c>
      <c r="BU48" s="730">
        <v>180331</v>
      </c>
      <c r="BV48" s="711">
        <f t="shared" si="116"/>
        <v>132.9</v>
      </c>
    </row>
    <row r="49" spans="1:74" s="173" customFormat="1" ht="13.5" customHeight="1">
      <c r="A49" s="338"/>
      <c r="B49" s="1175" t="s">
        <v>347</v>
      </c>
      <c r="C49" s="353" t="s">
        <v>50</v>
      </c>
      <c r="D49" s="354">
        <v>243</v>
      </c>
      <c r="E49" s="354">
        <v>1240</v>
      </c>
      <c r="F49" s="354">
        <v>1851</v>
      </c>
      <c r="G49" s="354">
        <v>1628</v>
      </c>
      <c r="H49" s="354">
        <v>1766</v>
      </c>
      <c r="I49" s="354">
        <v>2365</v>
      </c>
      <c r="J49" s="354">
        <v>2486</v>
      </c>
      <c r="K49" s="354">
        <v>6158</v>
      </c>
      <c r="L49" s="426">
        <v>80</v>
      </c>
      <c r="M49" s="398">
        <v>3716</v>
      </c>
      <c r="N49" s="355">
        <f>ROUND(((M49/L49-1)*100), 1)</f>
        <v>4545</v>
      </c>
      <c r="O49" s="426">
        <f t="shared" si="117"/>
        <v>40</v>
      </c>
      <c r="P49" s="398">
        <f t="shared" si="117"/>
        <v>3715</v>
      </c>
      <c r="Q49" s="355">
        <f>ROUND(((P49/O49-1)*100), 1)</f>
        <v>9187.5</v>
      </c>
      <c r="R49" s="426">
        <v>120</v>
      </c>
      <c r="S49" s="398">
        <v>7431</v>
      </c>
      <c r="T49" s="355">
        <f>ROUND(((S49/R49-1)*100), 1)</f>
        <v>6092.5</v>
      </c>
      <c r="U49" s="426">
        <f t="shared" si="118"/>
        <v>177</v>
      </c>
      <c r="V49" s="398">
        <f t="shared" si="119"/>
        <v>4550</v>
      </c>
      <c r="W49" s="355">
        <f>ROUND(((V49/U49-1)*100), 1)</f>
        <v>2470.6</v>
      </c>
      <c r="X49" s="426">
        <v>297</v>
      </c>
      <c r="Y49" s="398">
        <v>11981</v>
      </c>
      <c r="Z49" s="355">
        <f>ROUND(((Y49/X49-1)*100), 1)</f>
        <v>3934</v>
      </c>
      <c r="AA49" s="426">
        <f t="shared" si="120"/>
        <v>83</v>
      </c>
      <c r="AB49" s="398">
        <f t="shared" si="121"/>
        <v>3534</v>
      </c>
      <c r="AC49" s="355">
        <f>ROUND(((AB49/AA49-1)*100), 1)</f>
        <v>4157.8</v>
      </c>
      <c r="AD49" s="426">
        <v>380</v>
      </c>
      <c r="AE49" s="398">
        <v>15515</v>
      </c>
      <c r="AF49" s="355">
        <f>ROUND(((AE49/AD49-1)*100), 1)</f>
        <v>3982.9</v>
      </c>
      <c r="AG49" s="426">
        <f t="shared" si="122"/>
        <v>197</v>
      </c>
      <c r="AH49" s="398">
        <f t="shared" si="122"/>
        <v>5296</v>
      </c>
      <c r="AI49" s="355">
        <f>ROUND(((AH49/AG49-1)*100), 1)</f>
        <v>2588.3000000000002</v>
      </c>
      <c r="AJ49" s="426">
        <v>577</v>
      </c>
      <c r="AK49" s="398">
        <v>20811</v>
      </c>
      <c r="AL49" s="355">
        <f>ROUND(((AK49/AJ49-1)*100), 1)</f>
        <v>3506.8</v>
      </c>
      <c r="AM49" s="731">
        <f t="shared" si="123"/>
        <v>175</v>
      </c>
      <c r="AN49" s="717">
        <f t="shared" si="124"/>
        <v>7834</v>
      </c>
      <c r="AO49" s="712">
        <f>ROUND(((AN49/AM49-1)*100), 1)</f>
        <v>4376.6000000000004</v>
      </c>
      <c r="AP49" s="744">
        <v>752</v>
      </c>
      <c r="AQ49" s="717">
        <v>28645</v>
      </c>
      <c r="AR49" s="712">
        <f t="shared" si="125"/>
        <v>3709.2</v>
      </c>
      <c r="AS49" s="744">
        <f t="shared" si="126"/>
        <v>183</v>
      </c>
      <c r="AT49" s="717">
        <f t="shared" si="126"/>
        <v>9562</v>
      </c>
      <c r="AU49" s="712">
        <f t="shared" si="127"/>
        <v>5125.1000000000004</v>
      </c>
      <c r="AV49" s="1005">
        <v>935</v>
      </c>
      <c r="AW49" s="1006">
        <v>38207</v>
      </c>
      <c r="AX49" s="712">
        <f t="shared" si="111"/>
        <v>3986.3</v>
      </c>
      <c r="AY49" s="744">
        <f t="shared" si="128"/>
        <v>295</v>
      </c>
      <c r="AZ49" s="717">
        <f t="shared" si="129"/>
        <v>8340</v>
      </c>
      <c r="BA49" s="712">
        <f t="shared" si="130"/>
        <v>2727.1</v>
      </c>
      <c r="BB49" s="744">
        <v>1230</v>
      </c>
      <c r="BC49" s="717">
        <v>46547</v>
      </c>
      <c r="BD49" s="712">
        <f t="shared" si="112"/>
        <v>3684.3</v>
      </c>
      <c r="BE49" s="744">
        <f t="shared" si="131"/>
        <v>267</v>
      </c>
      <c r="BF49" s="717">
        <f t="shared" si="131"/>
        <v>8564</v>
      </c>
      <c r="BG49" s="712">
        <f t="shared" si="132"/>
        <v>3107.5</v>
      </c>
      <c r="BH49" s="744">
        <v>1497</v>
      </c>
      <c r="BI49" s="717">
        <v>55111</v>
      </c>
      <c r="BJ49" s="712">
        <f t="shared" si="113"/>
        <v>3581.4</v>
      </c>
      <c r="BK49" s="744">
        <f t="shared" si="133"/>
        <v>619</v>
      </c>
      <c r="BL49" s="717">
        <f t="shared" si="133"/>
        <v>4762</v>
      </c>
      <c r="BM49" s="712">
        <f t="shared" si="134"/>
        <v>669.3</v>
      </c>
      <c r="BN49" s="744">
        <v>2116</v>
      </c>
      <c r="BO49" s="717">
        <v>59873</v>
      </c>
      <c r="BP49" s="712">
        <f t="shared" si="114"/>
        <v>2729.5</v>
      </c>
      <c r="BQ49" s="744">
        <f t="shared" si="135"/>
        <v>710</v>
      </c>
      <c r="BR49" s="717">
        <f t="shared" si="135"/>
        <v>5000</v>
      </c>
      <c r="BS49" s="712">
        <f t="shared" si="115"/>
        <v>604.20000000000005</v>
      </c>
      <c r="BT49" s="744">
        <v>2826</v>
      </c>
      <c r="BU49" s="717">
        <v>64873</v>
      </c>
      <c r="BV49" s="712">
        <f t="shared" si="116"/>
        <v>2195.6</v>
      </c>
    </row>
    <row r="50" spans="1:74" s="173" customFormat="1" ht="13.5" customHeight="1">
      <c r="A50" s="338"/>
      <c r="B50" s="1176"/>
      <c r="C50" s="345" t="s">
        <v>117</v>
      </c>
      <c r="D50" s="341">
        <v>0</v>
      </c>
      <c r="E50" s="341">
        <v>0</v>
      </c>
      <c r="F50" s="341">
        <v>0</v>
      </c>
      <c r="G50" s="341">
        <v>0</v>
      </c>
      <c r="H50" s="341">
        <v>0</v>
      </c>
      <c r="I50" s="341">
        <v>1071</v>
      </c>
      <c r="J50" s="341">
        <v>3897</v>
      </c>
      <c r="K50" s="341">
        <v>4979</v>
      </c>
      <c r="L50" s="423">
        <v>448</v>
      </c>
      <c r="M50" s="397">
        <v>342</v>
      </c>
      <c r="N50" s="347">
        <f>ROUND(((M50/L50-1)*100), 1)</f>
        <v>-23.7</v>
      </c>
      <c r="O50" s="423">
        <f t="shared" si="117"/>
        <v>467</v>
      </c>
      <c r="P50" s="397">
        <f t="shared" si="117"/>
        <v>470</v>
      </c>
      <c r="Q50" s="347">
        <f>ROUND(((P50/O50-1)*100), 1)</f>
        <v>0.6</v>
      </c>
      <c r="R50" s="423">
        <v>915</v>
      </c>
      <c r="S50" s="397">
        <v>812</v>
      </c>
      <c r="T50" s="347">
        <f>ROUND(((S50/R50-1)*100), 1)</f>
        <v>-11.3</v>
      </c>
      <c r="U50" s="423">
        <f t="shared" si="118"/>
        <v>421</v>
      </c>
      <c r="V50" s="397">
        <f t="shared" si="119"/>
        <v>679</v>
      </c>
      <c r="W50" s="347">
        <f>ROUND(((V50/U50-1)*100), 1)</f>
        <v>61.3</v>
      </c>
      <c r="X50" s="423">
        <v>1336</v>
      </c>
      <c r="Y50" s="397">
        <v>1491</v>
      </c>
      <c r="Z50" s="347">
        <f>ROUND(((Y50/X50-1)*100), 1)</f>
        <v>11.6</v>
      </c>
      <c r="AA50" s="423">
        <f t="shared" si="120"/>
        <v>617</v>
      </c>
      <c r="AB50" s="397">
        <f t="shared" si="121"/>
        <v>0</v>
      </c>
      <c r="AC50" s="347">
        <f>ROUND(((AB50/AA50-1)*100), 1)</f>
        <v>-100</v>
      </c>
      <c r="AD50" s="423">
        <v>1953</v>
      </c>
      <c r="AE50" s="397">
        <v>1491</v>
      </c>
      <c r="AF50" s="347">
        <f>ROUND(((AE50/AD50-1)*100), 1)</f>
        <v>-23.7</v>
      </c>
      <c r="AG50" s="423">
        <f t="shared" si="122"/>
        <v>528</v>
      </c>
      <c r="AH50" s="397">
        <f t="shared" si="122"/>
        <v>328</v>
      </c>
      <c r="AI50" s="347">
        <f>ROUND(((AH50/AG50-1)*100), 1)</f>
        <v>-37.9</v>
      </c>
      <c r="AJ50" s="423">
        <v>2481</v>
      </c>
      <c r="AK50" s="397">
        <v>1819</v>
      </c>
      <c r="AL50" s="347">
        <f>ROUND(((AK50/AJ50-1)*100), 1)</f>
        <v>-26.7</v>
      </c>
      <c r="AM50" s="728">
        <f t="shared" si="123"/>
        <v>530</v>
      </c>
      <c r="AN50" s="716">
        <f t="shared" si="124"/>
        <v>422</v>
      </c>
      <c r="AO50" s="710">
        <f>ROUND(((AN50/AM50-1)*100), 1)</f>
        <v>-20.399999999999999</v>
      </c>
      <c r="AP50" s="743">
        <v>3011</v>
      </c>
      <c r="AQ50" s="716">
        <v>2241</v>
      </c>
      <c r="AR50" s="710">
        <f t="shared" si="125"/>
        <v>-25.6</v>
      </c>
      <c r="AS50" s="743">
        <f t="shared" si="126"/>
        <v>531</v>
      </c>
      <c r="AT50" s="716">
        <f t="shared" si="126"/>
        <v>640</v>
      </c>
      <c r="AU50" s="710">
        <f t="shared" si="127"/>
        <v>20.5</v>
      </c>
      <c r="AV50" s="1001">
        <v>3542</v>
      </c>
      <c r="AW50" s="1002">
        <v>2881</v>
      </c>
      <c r="AX50" s="710">
        <f t="shared" si="111"/>
        <v>-18.7</v>
      </c>
      <c r="AY50" s="743">
        <f t="shared" si="128"/>
        <v>555</v>
      </c>
      <c r="AZ50" s="716">
        <f t="shared" si="129"/>
        <v>538</v>
      </c>
      <c r="BA50" s="710">
        <f t="shared" si="130"/>
        <v>-3.1</v>
      </c>
      <c r="BB50" s="743">
        <v>4097</v>
      </c>
      <c r="BC50" s="716">
        <v>3419</v>
      </c>
      <c r="BD50" s="710">
        <f t="shared" si="112"/>
        <v>-16.5</v>
      </c>
      <c r="BE50" s="743">
        <f t="shared" si="131"/>
        <v>50</v>
      </c>
      <c r="BF50" s="716">
        <f t="shared" si="131"/>
        <v>324</v>
      </c>
      <c r="BG50" s="710">
        <f t="shared" si="132"/>
        <v>548</v>
      </c>
      <c r="BH50" s="743">
        <v>4147</v>
      </c>
      <c r="BI50" s="716">
        <v>3743</v>
      </c>
      <c r="BJ50" s="710">
        <f t="shared" si="113"/>
        <v>-9.6999999999999993</v>
      </c>
      <c r="BK50" s="743">
        <f t="shared" si="133"/>
        <v>467</v>
      </c>
      <c r="BL50" s="716">
        <f t="shared" si="133"/>
        <v>461</v>
      </c>
      <c r="BM50" s="710">
        <f t="shared" si="134"/>
        <v>-1.3</v>
      </c>
      <c r="BN50" s="743">
        <v>4614</v>
      </c>
      <c r="BO50" s="716">
        <v>4204</v>
      </c>
      <c r="BP50" s="710">
        <f t="shared" si="114"/>
        <v>-8.9</v>
      </c>
      <c r="BQ50" s="743">
        <f t="shared" si="135"/>
        <v>315</v>
      </c>
      <c r="BR50" s="716">
        <f t="shared" si="135"/>
        <v>356</v>
      </c>
      <c r="BS50" s="710">
        <f t="shared" si="115"/>
        <v>13</v>
      </c>
      <c r="BT50" s="743">
        <v>4929</v>
      </c>
      <c r="BU50" s="716">
        <v>4560</v>
      </c>
      <c r="BV50" s="753">
        <f>ROUND(((BU50/BT50-1)*100), 1)</f>
        <v>-7.5</v>
      </c>
    </row>
    <row r="51" spans="1:74" s="173" customFormat="1" ht="13.5" customHeight="1">
      <c r="A51" s="338"/>
      <c r="B51" s="1176"/>
      <c r="C51" s="345" t="s">
        <v>51</v>
      </c>
      <c r="D51" s="341">
        <v>163</v>
      </c>
      <c r="E51" s="341">
        <v>71</v>
      </c>
      <c r="F51" s="341">
        <v>584</v>
      </c>
      <c r="G51" s="341">
        <v>2171</v>
      </c>
      <c r="H51" s="341">
        <v>1230</v>
      </c>
      <c r="I51" s="341">
        <v>1093</v>
      </c>
      <c r="J51" s="341">
        <v>3869</v>
      </c>
      <c r="K51" s="341">
        <v>2895</v>
      </c>
      <c r="L51" s="423">
        <v>558</v>
      </c>
      <c r="M51" s="397">
        <v>69</v>
      </c>
      <c r="N51" s="347">
        <f>ROUND(((M51/L51-1)*100), 1)</f>
        <v>-87.6</v>
      </c>
      <c r="O51" s="423">
        <f t="shared" si="117"/>
        <v>101</v>
      </c>
      <c r="P51" s="397">
        <f t="shared" si="117"/>
        <v>290</v>
      </c>
      <c r="Q51" s="347">
        <f>ROUND(((P51/O51-1)*100), 1)</f>
        <v>187.1</v>
      </c>
      <c r="R51" s="423">
        <v>659</v>
      </c>
      <c r="S51" s="397">
        <v>359</v>
      </c>
      <c r="T51" s="347">
        <f>ROUND(((S51/R51-1)*100), 1)</f>
        <v>-45.5</v>
      </c>
      <c r="U51" s="423">
        <f t="shared" si="118"/>
        <v>512</v>
      </c>
      <c r="V51" s="397">
        <f t="shared" si="119"/>
        <v>225</v>
      </c>
      <c r="W51" s="347">
        <f>ROUND(((V51/U51-1)*100), 1)</f>
        <v>-56.1</v>
      </c>
      <c r="X51" s="423">
        <v>1171</v>
      </c>
      <c r="Y51" s="397">
        <v>584</v>
      </c>
      <c r="Z51" s="347">
        <f>ROUND(((Y51/X51-1)*100), 1)</f>
        <v>-50.1</v>
      </c>
      <c r="AA51" s="423">
        <f t="shared" si="120"/>
        <v>332</v>
      </c>
      <c r="AB51" s="397">
        <f t="shared" si="121"/>
        <v>155</v>
      </c>
      <c r="AC51" s="347">
        <f>ROUND(((AB51/AA51-1)*100), 1)</f>
        <v>-53.3</v>
      </c>
      <c r="AD51" s="423">
        <v>1503</v>
      </c>
      <c r="AE51" s="397">
        <v>739</v>
      </c>
      <c r="AF51" s="347">
        <f>ROUND(((AE51/AD51-1)*100), 1)</f>
        <v>-50.8</v>
      </c>
      <c r="AG51" s="423">
        <f t="shared" si="122"/>
        <v>594</v>
      </c>
      <c r="AH51" s="397">
        <f t="shared" si="122"/>
        <v>36</v>
      </c>
      <c r="AI51" s="347">
        <f>ROUND(((AH51/AG51-1)*100), 1)</f>
        <v>-93.9</v>
      </c>
      <c r="AJ51" s="423">
        <v>2097</v>
      </c>
      <c r="AK51" s="397">
        <v>775</v>
      </c>
      <c r="AL51" s="347">
        <f>ROUND(((AK51/AJ51-1)*100), 1)</f>
        <v>-63</v>
      </c>
      <c r="AM51" s="728">
        <f t="shared" si="123"/>
        <v>27</v>
      </c>
      <c r="AN51" s="716">
        <f t="shared" si="124"/>
        <v>107</v>
      </c>
      <c r="AO51" s="710">
        <f>ROUND(((AN51/AM51-1)*100), 1)</f>
        <v>296.3</v>
      </c>
      <c r="AP51" s="743">
        <v>2124</v>
      </c>
      <c r="AQ51" s="716">
        <v>882</v>
      </c>
      <c r="AR51" s="710">
        <f t="shared" si="125"/>
        <v>-58.5</v>
      </c>
      <c r="AS51" s="743">
        <f t="shared" si="126"/>
        <v>85</v>
      </c>
      <c r="AT51" s="716">
        <f t="shared" si="126"/>
        <v>127</v>
      </c>
      <c r="AU51" s="710">
        <f t="shared" si="127"/>
        <v>49.4</v>
      </c>
      <c r="AV51" s="1001">
        <v>2209</v>
      </c>
      <c r="AW51" s="1002">
        <v>1009</v>
      </c>
      <c r="AX51" s="710">
        <f t="shared" si="111"/>
        <v>-54.3</v>
      </c>
      <c r="AY51" s="743">
        <f t="shared" si="128"/>
        <v>84</v>
      </c>
      <c r="AZ51" s="716">
        <f t="shared" si="129"/>
        <v>98</v>
      </c>
      <c r="BA51" s="710">
        <f t="shared" si="130"/>
        <v>16.7</v>
      </c>
      <c r="BB51" s="743">
        <v>2293</v>
      </c>
      <c r="BC51" s="716">
        <v>1107</v>
      </c>
      <c r="BD51" s="710">
        <f t="shared" si="112"/>
        <v>-51.7</v>
      </c>
      <c r="BE51" s="743">
        <f t="shared" si="131"/>
        <v>131</v>
      </c>
      <c r="BF51" s="716">
        <f t="shared" si="131"/>
        <v>54</v>
      </c>
      <c r="BG51" s="710">
        <f t="shared" si="132"/>
        <v>-58.8</v>
      </c>
      <c r="BH51" s="743">
        <v>2424</v>
      </c>
      <c r="BI51" s="716">
        <v>1161</v>
      </c>
      <c r="BJ51" s="710">
        <f t="shared" si="113"/>
        <v>-52.1</v>
      </c>
      <c r="BK51" s="743">
        <f t="shared" si="133"/>
        <v>208</v>
      </c>
      <c r="BL51" s="716">
        <f t="shared" si="133"/>
        <v>53</v>
      </c>
      <c r="BM51" s="710">
        <f t="shared" si="134"/>
        <v>-74.5</v>
      </c>
      <c r="BN51" s="743">
        <v>2632</v>
      </c>
      <c r="BO51" s="716">
        <v>1214</v>
      </c>
      <c r="BP51" s="710">
        <f t="shared" si="114"/>
        <v>-53.9</v>
      </c>
      <c r="BQ51" s="743">
        <f t="shared" ref="BQ51:BQ56" si="136">BT51-BN51</f>
        <v>176</v>
      </c>
      <c r="BR51" s="716">
        <f t="shared" ref="BR51:BR56" si="137">BU51-BO51</f>
        <v>126</v>
      </c>
      <c r="BS51" s="710">
        <f t="shared" si="115"/>
        <v>-28.4</v>
      </c>
      <c r="BT51" s="743">
        <v>2808</v>
      </c>
      <c r="BU51" s="716">
        <v>1340</v>
      </c>
      <c r="BV51" s="753">
        <f>ROUND(((BU51/BT51-1)*100), 1)</f>
        <v>-52.3</v>
      </c>
    </row>
    <row r="52" spans="1:74" s="173" customFormat="1" ht="13.5" customHeight="1">
      <c r="A52" s="338"/>
      <c r="B52" s="1176"/>
      <c r="C52" s="345" t="s">
        <v>55</v>
      </c>
      <c r="D52" s="341">
        <v>37</v>
      </c>
      <c r="E52" s="341">
        <v>62</v>
      </c>
      <c r="F52" s="341">
        <v>613</v>
      </c>
      <c r="G52" s="341">
        <v>1034</v>
      </c>
      <c r="H52" s="341">
        <v>1822</v>
      </c>
      <c r="I52" s="341">
        <v>1580</v>
      </c>
      <c r="J52" s="341">
        <v>2324</v>
      </c>
      <c r="K52" s="341">
        <v>2712</v>
      </c>
      <c r="L52" s="423">
        <v>205</v>
      </c>
      <c r="M52" s="397">
        <v>156</v>
      </c>
      <c r="N52" s="347">
        <f>ROUND(((M52/L52-1)*100), 1)</f>
        <v>-23.9</v>
      </c>
      <c r="O52" s="423">
        <f t="shared" si="117"/>
        <v>200</v>
      </c>
      <c r="P52" s="397">
        <f t="shared" si="117"/>
        <v>236</v>
      </c>
      <c r="Q52" s="347">
        <f>ROUND(((P52/O52-1)*100), 1)</f>
        <v>18</v>
      </c>
      <c r="R52" s="423">
        <v>405</v>
      </c>
      <c r="S52" s="397">
        <v>392</v>
      </c>
      <c r="T52" s="347">
        <f>ROUND(((S52/R52-1)*100), 1)</f>
        <v>-3.2</v>
      </c>
      <c r="U52" s="423">
        <f t="shared" si="118"/>
        <v>202</v>
      </c>
      <c r="V52" s="397">
        <f t="shared" si="119"/>
        <v>195</v>
      </c>
      <c r="W52" s="347">
        <f>ROUND(((V52/U52-1)*100), 1)</f>
        <v>-3.5</v>
      </c>
      <c r="X52" s="423">
        <v>607</v>
      </c>
      <c r="Y52" s="397">
        <v>587</v>
      </c>
      <c r="Z52" s="347">
        <f>ROUND(((Y52/X52-1)*100), 1)</f>
        <v>-3.3</v>
      </c>
      <c r="AA52" s="423">
        <f t="shared" si="120"/>
        <v>116</v>
      </c>
      <c r="AB52" s="397">
        <f t="shared" si="121"/>
        <v>46</v>
      </c>
      <c r="AC52" s="347">
        <f>ROUND(((AB52/AA52-1)*100), 1)</f>
        <v>-60.3</v>
      </c>
      <c r="AD52" s="423">
        <v>723</v>
      </c>
      <c r="AE52" s="397">
        <v>633</v>
      </c>
      <c r="AF52" s="347">
        <f>ROUND(((AE52/AD52-1)*100), 1)</f>
        <v>-12.4</v>
      </c>
      <c r="AG52" s="423">
        <f t="shared" si="122"/>
        <v>164</v>
      </c>
      <c r="AH52" s="397">
        <f t="shared" si="122"/>
        <v>139</v>
      </c>
      <c r="AI52" s="347">
        <f>ROUND(((AH52/AG52-1)*100), 1)</f>
        <v>-15.2</v>
      </c>
      <c r="AJ52" s="423">
        <v>887</v>
      </c>
      <c r="AK52" s="397">
        <v>772</v>
      </c>
      <c r="AL52" s="347">
        <f>ROUND(((AK52/AJ52-1)*100), 1)</f>
        <v>-13</v>
      </c>
      <c r="AM52" s="728">
        <f t="shared" si="123"/>
        <v>277</v>
      </c>
      <c r="AN52" s="716">
        <f t="shared" si="124"/>
        <v>352</v>
      </c>
      <c r="AO52" s="710">
        <f>ROUND(((AN52/AM52-1)*100), 1)</f>
        <v>27.1</v>
      </c>
      <c r="AP52" s="743">
        <v>1164</v>
      </c>
      <c r="AQ52" s="716">
        <v>1124</v>
      </c>
      <c r="AR52" s="710">
        <f t="shared" si="125"/>
        <v>-3.4</v>
      </c>
      <c r="AS52" s="743">
        <f t="shared" si="126"/>
        <v>328</v>
      </c>
      <c r="AT52" s="716">
        <f t="shared" si="126"/>
        <v>358</v>
      </c>
      <c r="AU52" s="710">
        <f t="shared" si="127"/>
        <v>9.1</v>
      </c>
      <c r="AV52" s="1001">
        <v>1492</v>
      </c>
      <c r="AW52" s="1002">
        <v>1482</v>
      </c>
      <c r="AX52" s="710">
        <f t="shared" si="111"/>
        <v>-0.7</v>
      </c>
      <c r="AY52" s="743">
        <f t="shared" si="128"/>
        <v>259</v>
      </c>
      <c r="AZ52" s="716">
        <f t="shared" si="129"/>
        <v>211</v>
      </c>
      <c r="BA52" s="710">
        <f t="shared" si="130"/>
        <v>-18.5</v>
      </c>
      <c r="BB52" s="743">
        <v>1751</v>
      </c>
      <c r="BC52" s="716">
        <v>1693</v>
      </c>
      <c r="BD52" s="710">
        <f t="shared" si="112"/>
        <v>-3.3</v>
      </c>
      <c r="BE52" s="743">
        <f t="shared" si="131"/>
        <v>0</v>
      </c>
      <c r="BF52" s="716">
        <f t="shared" si="131"/>
        <v>96</v>
      </c>
      <c r="BG52" s="751">
        <v>0</v>
      </c>
      <c r="BH52" s="743">
        <v>1751</v>
      </c>
      <c r="BI52" s="716">
        <v>1789</v>
      </c>
      <c r="BJ52" s="710">
        <f t="shared" si="113"/>
        <v>2.2000000000000002</v>
      </c>
      <c r="BK52" s="743">
        <f t="shared" si="133"/>
        <v>280</v>
      </c>
      <c r="BL52" s="716">
        <f t="shared" si="133"/>
        <v>408</v>
      </c>
      <c r="BM52" s="753">
        <f>ROUND(((BL52/BK52-1)*100), 1)</f>
        <v>45.7</v>
      </c>
      <c r="BN52" s="743">
        <v>2031</v>
      </c>
      <c r="BO52" s="716">
        <v>2197</v>
      </c>
      <c r="BP52" s="710">
        <f t="shared" si="114"/>
        <v>8.1999999999999993</v>
      </c>
      <c r="BQ52" s="743">
        <f t="shared" si="136"/>
        <v>289</v>
      </c>
      <c r="BR52" s="716">
        <f t="shared" si="137"/>
        <v>83</v>
      </c>
      <c r="BS52" s="753">
        <f t="shared" si="115"/>
        <v>-71.3</v>
      </c>
      <c r="BT52" s="743">
        <v>2320</v>
      </c>
      <c r="BU52" s="716">
        <v>2280</v>
      </c>
      <c r="BV52" s="753">
        <f>ROUND(((BU52/BT52-1)*100), 1)</f>
        <v>-1.7</v>
      </c>
    </row>
    <row r="53" spans="1:74" s="173" customFormat="1" ht="13.5" customHeight="1">
      <c r="A53" s="338"/>
      <c r="B53" s="1176"/>
      <c r="C53" s="345" t="s">
        <v>472</v>
      </c>
      <c r="D53" s="341">
        <v>0</v>
      </c>
      <c r="E53" s="341">
        <v>0</v>
      </c>
      <c r="F53" s="341">
        <v>0</v>
      </c>
      <c r="G53" s="341">
        <v>0</v>
      </c>
      <c r="H53" s="341">
        <v>0</v>
      </c>
      <c r="I53" s="341">
        <v>0</v>
      </c>
      <c r="J53" s="341">
        <v>0</v>
      </c>
      <c r="K53" s="341">
        <v>1208</v>
      </c>
      <c r="L53" s="423">
        <v>0</v>
      </c>
      <c r="M53" s="397">
        <v>0</v>
      </c>
      <c r="N53" s="179">
        <v>0</v>
      </c>
      <c r="O53" s="423">
        <f t="shared" si="117"/>
        <v>0</v>
      </c>
      <c r="P53" s="397">
        <f t="shared" si="117"/>
        <v>0</v>
      </c>
      <c r="Q53" s="179">
        <v>0</v>
      </c>
      <c r="R53" s="423">
        <v>0</v>
      </c>
      <c r="S53" s="397">
        <v>0</v>
      </c>
      <c r="T53" s="179">
        <v>0</v>
      </c>
      <c r="U53" s="423">
        <f t="shared" si="118"/>
        <v>0</v>
      </c>
      <c r="V53" s="397">
        <f t="shared" si="119"/>
        <v>147</v>
      </c>
      <c r="W53" s="179">
        <v>0</v>
      </c>
      <c r="X53" s="423">
        <v>0</v>
      </c>
      <c r="Y53" s="397">
        <v>147</v>
      </c>
      <c r="Z53" s="179">
        <v>0</v>
      </c>
      <c r="AA53" s="423">
        <f t="shared" si="120"/>
        <v>0</v>
      </c>
      <c r="AB53" s="397">
        <f t="shared" si="121"/>
        <v>0</v>
      </c>
      <c r="AC53" s="523">
        <v>0</v>
      </c>
      <c r="AD53" s="423">
        <v>0</v>
      </c>
      <c r="AE53" s="397">
        <v>147</v>
      </c>
      <c r="AF53" s="523">
        <v>0</v>
      </c>
      <c r="AG53" s="423">
        <f t="shared" si="122"/>
        <v>0</v>
      </c>
      <c r="AH53" s="397">
        <f t="shared" si="122"/>
        <v>637</v>
      </c>
      <c r="AI53" s="523">
        <v>0</v>
      </c>
      <c r="AJ53" s="423">
        <v>0</v>
      </c>
      <c r="AK53" s="397">
        <v>784</v>
      </c>
      <c r="AL53" s="523">
        <v>0</v>
      </c>
      <c r="AM53" s="728">
        <f t="shared" si="123"/>
        <v>168</v>
      </c>
      <c r="AN53" s="716">
        <f t="shared" si="124"/>
        <v>224</v>
      </c>
      <c r="AO53" s="695">
        <v>0</v>
      </c>
      <c r="AP53" s="743">
        <v>168</v>
      </c>
      <c r="AQ53" s="716">
        <v>1008</v>
      </c>
      <c r="AR53" s="705">
        <f t="shared" si="125"/>
        <v>500</v>
      </c>
      <c r="AS53" s="743">
        <f t="shared" si="126"/>
        <v>615</v>
      </c>
      <c r="AT53" s="716">
        <f t="shared" si="126"/>
        <v>75</v>
      </c>
      <c r="AU53" s="710">
        <f t="shared" si="127"/>
        <v>-87.8</v>
      </c>
      <c r="AV53" s="1001">
        <v>783</v>
      </c>
      <c r="AW53" s="1002">
        <v>1083</v>
      </c>
      <c r="AX53" s="705">
        <f t="shared" si="111"/>
        <v>38.299999999999997</v>
      </c>
      <c r="AY53" s="743">
        <f t="shared" si="128"/>
        <v>244</v>
      </c>
      <c r="AZ53" s="716">
        <f t="shared" si="129"/>
        <v>272</v>
      </c>
      <c r="BA53" s="710">
        <f t="shared" si="130"/>
        <v>11.5</v>
      </c>
      <c r="BB53" s="743">
        <v>1027</v>
      </c>
      <c r="BC53" s="716">
        <v>1355</v>
      </c>
      <c r="BD53" s="705">
        <f t="shared" si="112"/>
        <v>31.9</v>
      </c>
      <c r="BE53" s="743">
        <f t="shared" si="131"/>
        <v>181</v>
      </c>
      <c r="BF53" s="716">
        <f t="shared" si="131"/>
        <v>171</v>
      </c>
      <c r="BG53" s="710">
        <f t="shared" si="132"/>
        <v>-5.5</v>
      </c>
      <c r="BH53" s="743">
        <v>1208</v>
      </c>
      <c r="BI53" s="716">
        <v>1526</v>
      </c>
      <c r="BJ53" s="705">
        <f t="shared" si="113"/>
        <v>26.3</v>
      </c>
      <c r="BK53" s="743">
        <f t="shared" si="133"/>
        <v>0</v>
      </c>
      <c r="BL53" s="716">
        <f t="shared" si="133"/>
        <v>173</v>
      </c>
      <c r="BM53" s="751">
        <v>0</v>
      </c>
      <c r="BN53" s="743">
        <v>1208</v>
      </c>
      <c r="BO53" s="716">
        <v>1699</v>
      </c>
      <c r="BP53" s="705">
        <f t="shared" si="114"/>
        <v>40.6</v>
      </c>
      <c r="BQ53" s="743">
        <f t="shared" si="136"/>
        <v>0</v>
      </c>
      <c r="BR53" s="716">
        <f t="shared" si="137"/>
        <v>170</v>
      </c>
      <c r="BS53" s="751">
        <v>0</v>
      </c>
      <c r="BT53" s="743">
        <v>1208</v>
      </c>
      <c r="BU53" s="716">
        <v>1869</v>
      </c>
      <c r="BV53" s="705">
        <f t="shared" si="116"/>
        <v>54.7</v>
      </c>
    </row>
    <row r="54" spans="1:74" s="173" customFormat="1" ht="13.5" customHeight="1">
      <c r="A54" s="338"/>
      <c r="B54" s="1176"/>
      <c r="C54" s="345" t="s">
        <v>54</v>
      </c>
      <c r="D54" s="341">
        <v>392</v>
      </c>
      <c r="E54" s="341">
        <v>190</v>
      </c>
      <c r="F54" s="341">
        <v>126</v>
      </c>
      <c r="G54" s="341">
        <v>0</v>
      </c>
      <c r="H54" s="341">
        <v>1967</v>
      </c>
      <c r="I54" s="341">
        <v>1676</v>
      </c>
      <c r="J54" s="341">
        <v>750</v>
      </c>
      <c r="K54" s="341">
        <v>569</v>
      </c>
      <c r="L54" s="423">
        <v>40</v>
      </c>
      <c r="M54" s="397">
        <v>98</v>
      </c>
      <c r="N54" s="347">
        <f>ROUND(((M54/L54-1)*100), 1)</f>
        <v>145</v>
      </c>
      <c r="O54" s="423">
        <f t="shared" si="117"/>
        <v>61</v>
      </c>
      <c r="P54" s="397">
        <f t="shared" si="117"/>
        <v>20</v>
      </c>
      <c r="Q54" s="347">
        <f>ROUND(((P54/O54-1)*100), 1)</f>
        <v>-67.2</v>
      </c>
      <c r="R54" s="423">
        <v>101</v>
      </c>
      <c r="S54" s="397">
        <v>118</v>
      </c>
      <c r="T54" s="347">
        <f>ROUND(((S54/R54-1)*100), 1)</f>
        <v>16.8</v>
      </c>
      <c r="U54" s="423">
        <f t="shared" si="118"/>
        <v>83</v>
      </c>
      <c r="V54" s="397">
        <f t="shared" si="119"/>
        <v>99</v>
      </c>
      <c r="W54" s="347">
        <f>ROUND(((V54/U54-1)*100), 1)</f>
        <v>19.3</v>
      </c>
      <c r="X54" s="423">
        <v>184</v>
      </c>
      <c r="Y54" s="397">
        <v>217</v>
      </c>
      <c r="Z54" s="347">
        <f>ROUND(((Y54/X54-1)*100), 1)</f>
        <v>17.899999999999999</v>
      </c>
      <c r="AA54" s="423">
        <f t="shared" si="120"/>
        <v>64</v>
      </c>
      <c r="AB54" s="397">
        <f t="shared" si="121"/>
        <v>60</v>
      </c>
      <c r="AC54" s="347">
        <f>ROUND(((AB54/AA54-1)*100), 1)</f>
        <v>-6.3</v>
      </c>
      <c r="AD54" s="423">
        <v>248</v>
      </c>
      <c r="AE54" s="397">
        <v>277</v>
      </c>
      <c r="AF54" s="347">
        <f>ROUND(((AE54/AD54-1)*100), 1)</f>
        <v>11.7</v>
      </c>
      <c r="AG54" s="423">
        <f t="shared" si="122"/>
        <v>81</v>
      </c>
      <c r="AH54" s="397">
        <f t="shared" si="122"/>
        <v>39</v>
      </c>
      <c r="AI54" s="347">
        <f>ROUND(((AH54/AG54-1)*100), 1)</f>
        <v>-51.9</v>
      </c>
      <c r="AJ54" s="423">
        <v>329</v>
      </c>
      <c r="AK54" s="397">
        <v>316</v>
      </c>
      <c r="AL54" s="347">
        <f>ROUND(((AK54/AJ54-1)*100), 1)</f>
        <v>-4</v>
      </c>
      <c r="AM54" s="728">
        <f t="shared" si="123"/>
        <v>20</v>
      </c>
      <c r="AN54" s="716">
        <f t="shared" si="124"/>
        <v>40</v>
      </c>
      <c r="AO54" s="710">
        <f>ROUND(((AN54/AM54-1)*100), 1)</f>
        <v>100</v>
      </c>
      <c r="AP54" s="743">
        <v>349</v>
      </c>
      <c r="AQ54" s="716">
        <v>356</v>
      </c>
      <c r="AR54" s="710">
        <f t="shared" si="125"/>
        <v>2</v>
      </c>
      <c r="AS54" s="743">
        <f t="shared" si="126"/>
        <v>40</v>
      </c>
      <c r="AT54" s="716">
        <f t="shared" si="126"/>
        <v>9</v>
      </c>
      <c r="AU54" s="710">
        <f t="shared" si="127"/>
        <v>-77.5</v>
      </c>
      <c r="AV54" s="1001">
        <v>389</v>
      </c>
      <c r="AW54" s="1002">
        <v>365</v>
      </c>
      <c r="AX54" s="710">
        <f t="shared" si="111"/>
        <v>-6.2</v>
      </c>
      <c r="AY54" s="743">
        <f t="shared" si="128"/>
        <v>39</v>
      </c>
      <c r="AZ54" s="716">
        <f t="shared" si="129"/>
        <v>100</v>
      </c>
      <c r="BA54" s="710">
        <f t="shared" si="130"/>
        <v>156.4</v>
      </c>
      <c r="BB54" s="743">
        <v>428</v>
      </c>
      <c r="BC54" s="716">
        <v>465</v>
      </c>
      <c r="BD54" s="710">
        <f t="shared" si="112"/>
        <v>8.6</v>
      </c>
      <c r="BE54" s="743">
        <f t="shared" si="131"/>
        <v>38</v>
      </c>
      <c r="BF54" s="716">
        <f t="shared" si="131"/>
        <v>35</v>
      </c>
      <c r="BG54" s="710">
        <f t="shared" si="132"/>
        <v>-7.9</v>
      </c>
      <c r="BH54" s="743">
        <v>466</v>
      </c>
      <c r="BI54" s="716">
        <v>500</v>
      </c>
      <c r="BJ54" s="710">
        <f t="shared" si="113"/>
        <v>7.3</v>
      </c>
      <c r="BK54" s="743">
        <f t="shared" si="133"/>
        <v>64</v>
      </c>
      <c r="BL54" s="716">
        <f t="shared" si="133"/>
        <v>150</v>
      </c>
      <c r="BM54" s="710">
        <f t="shared" ref="BM54:BM55" si="138">ROUND(((BL54/BK54-1)*100), 1)</f>
        <v>134.4</v>
      </c>
      <c r="BN54" s="743">
        <v>530</v>
      </c>
      <c r="BO54" s="716">
        <v>650</v>
      </c>
      <c r="BP54" s="710">
        <f t="shared" si="114"/>
        <v>22.6</v>
      </c>
      <c r="BQ54" s="743">
        <f t="shared" si="136"/>
        <v>0</v>
      </c>
      <c r="BR54" s="716">
        <f t="shared" si="137"/>
        <v>125</v>
      </c>
      <c r="BS54" s="751">
        <v>0</v>
      </c>
      <c r="BT54" s="743">
        <v>530</v>
      </c>
      <c r="BU54" s="716">
        <v>775</v>
      </c>
      <c r="BV54" s="710">
        <f t="shared" si="116"/>
        <v>46.2</v>
      </c>
    </row>
    <row r="55" spans="1:74" s="173" customFormat="1" ht="13.5" customHeight="1">
      <c r="A55" s="338"/>
      <c r="B55" s="1176"/>
      <c r="C55" s="345" t="s">
        <v>52</v>
      </c>
      <c r="D55" s="341">
        <v>87</v>
      </c>
      <c r="E55" s="341">
        <v>0</v>
      </c>
      <c r="F55" s="341">
        <v>0</v>
      </c>
      <c r="G55" s="341">
        <v>0</v>
      </c>
      <c r="H55" s="341">
        <v>0</v>
      </c>
      <c r="I55" s="341">
        <v>25</v>
      </c>
      <c r="J55" s="341">
        <v>1</v>
      </c>
      <c r="K55" s="341">
        <v>305</v>
      </c>
      <c r="L55" s="423">
        <v>0</v>
      </c>
      <c r="M55" s="397">
        <v>0</v>
      </c>
      <c r="N55" s="179">
        <v>0</v>
      </c>
      <c r="O55" s="423">
        <f t="shared" si="117"/>
        <v>0</v>
      </c>
      <c r="P55" s="397">
        <f t="shared" si="117"/>
        <v>0</v>
      </c>
      <c r="Q55" s="179">
        <v>0</v>
      </c>
      <c r="R55" s="423">
        <v>0</v>
      </c>
      <c r="S55" s="397">
        <v>0</v>
      </c>
      <c r="T55" s="179">
        <v>0</v>
      </c>
      <c r="U55" s="423">
        <f t="shared" si="118"/>
        <v>0</v>
      </c>
      <c r="V55" s="397">
        <f t="shared" si="119"/>
        <v>0</v>
      </c>
      <c r="W55" s="179">
        <v>0</v>
      </c>
      <c r="X55" s="423">
        <v>0</v>
      </c>
      <c r="Y55" s="397">
        <v>0</v>
      </c>
      <c r="Z55" s="179">
        <v>0</v>
      </c>
      <c r="AA55" s="423">
        <f t="shared" si="120"/>
        <v>0</v>
      </c>
      <c r="AB55" s="397">
        <f t="shared" si="121"/>
        <v>0</v>
      </c>
      <c r="AC55" s="523">
        <v>0</v>
      </c>
      <c r="AD55" s="423">
        <v>0</v>
      </c>
      <c r="AE55" s="397">
        <v>0</v>
      </c>
      <c r="AF55" s="523">
        <v>0</v>
      </c>
      <c r="AG55" s="423">
        <f t="shared" si="122"/>
        <v>0</v>
      </c>
      <c r="AH55" s="397">
        <f t="shared" si="122"/>
        <v>0</v>
      </c>
      <c r="AI55" s="523">
        <v>0</v>
      </c>
      <c r="AJ55" s="423">
        <v>0</v>
      </c>
      <c r="AK55" s="397">
        <v>0</v>
      </c>
      <c r="AL55" s="523">
        <v>0</v>
      </c>
      <c r="AM55" s="728">
        <f t="shared" si="123"/>
        <v>0</v>
      </c>
      <c r="AN55" s="716">
        <f t="shared" si="124"/>
        <v>0</v>
      </c>
      <c r="AO55" s="695">
        <v>0</v>
      </c>
      <c r="AP55" s="743">
        <v>0</v>
      </c>
      <c r="AQ55" s="716">
        <v>0</v>
      </c>
      <c r="AR55" s="695">
        <v>0</v>
      </c>
      <c r="AS55" s="743">
        <f t="shared" si="126"/>
        <v>150</v>
      </c>
      <c r="AT55" s="716">
        <f t="shared" si="126"/>
        <v>0</v>
      </c>
      <c r="AU55" s="710">
        <f t="shared" si="127"/>
        <v>-100</v>
      </c>
      <c r="AV55" s="1001">
        <v>150</v>
      </c>
      <c r="AW55" s="1002">
        <v>0</v>
      </c>
      <c r="AX55" s="710">
        <f>ROUND(((AW55/AV55-1)*100), 1)</f>
        <v>-100</v>
      </c>
      <c r="AY55" s="743">
        <f t="shared" si="128"/>
        <v>0</v>
      </c>
      <c r="AZ55" s="716">
        <f t="shared" si="129"/>
        <v>0</v>
      </c>
      <c r="BA55" s="751">
        <v>0</v>
      </c>
      <c r="BB55" s="743">
        <v>150</v>
      </c>
      <c r="BC55" s="716">
        <v>0</v>
      </c>
      <c r="BD55" s="710">
        <f>ROUND(((BC55/BB55-1)*100), 1)</f>
        <v>-100</v>
      </c>
      <c r="BE55" s="743">
        <f t="shared" si="131"/>
        <v>66</v>
      </c>
      <c r="BF55" s="716">
        <f t="shared" si="131"/>
        <v>0</v>
      </c>
      <c r="BG55" s="705">
        <f t="shared" si="132"/>
        <v>-100</v>
      </c>
      <c r="BH55" s="743">
        <v>216</v>
      </c>
      <c r="BI55" s="716">
        <v>0</v>
      </c>
      <c r="BJ55" s="710">
        <f>ROUND(((BI55/BH55-1)*100), 1)</f>
        <v>-100</v>
      </c>
      <c r="BK55" s="743">
        <f t="shared" si="133"/>
        <v>89</v>
      </c>
      <c r="BL55" s="716">
        <f t="shared" si="133"/>
        <v>0</v>
      </c>
      <c r="BM55" s="705">
        <f t="shared" si="138"/>
        <v>-100</v>
      </c>
      <c r="BN55" s="743">
        <v>305</v>
      </c>
      <c r="BO55" s="716">
        <v>0</v>
      </c>
      <c r="BP55" s="710">
        <f>ROUND(((BO55/BN55-1)*100), 1)</f>
        <v>-100</v>
      </c>
      <c r="BQ55" s="743">
        <f t="shared" si="136"/>
        <v>0</v>
      </c>
      <c r="BR55" s="716">
        <f t="shared" si="137"/>
        <v>0</v>
      </c>
      <c r="BS55" s="751">
        <v>0</v>
      </c>
      <c r="BT55" s="743">
        <v>305</v>
      </c>
      <c r="BU55" s="716">
        <v>0</v>
      </c>
      <c r="BV55" s="753">
        <f>ROUND(((BU55/BT55-1)*100), 1)</f>
        <v>-100</v>
      </c>
    </row>
    <row r="56" spans="1:74" s="173" customFormat="1" ht="13.5" customHeight="1">
      <c r="A56" s="338"/>
      <c r="B56" s="1176"/>
      <c r="C56" s="105" t="s">
        <v>103</v>
      </c>
      <c r="D56" s="98">
        <v>0</v>
      </c>
      <c r="E56" s="98">
        <v>159</v>
      </c>
      <c r="F56" s="98">
        <v>527</v>
      </c>
      <c r="G56" s="98">
        <v>0</v>
      </c>
      <c r="H56" s="98">
        <v>3009</v>
      </c>
      <c r="I56" s="98">
        <v>3766</v>
      </c>
      <c r="J56" s="98">
        <v>0</v>
      </c>
      <c r="K56" s="98">
        <v>270</v>
      </c>
      <c r="L56" s="421">
        <v>0</v>
      </c>
      <c r="M56" s="386">
        <v>0</v>
      </c>
      <c r="N56" s="179">
        <v>0</v>
      </c>
      <c r="O56" s="421">
        <f t="shared" si="117"/>
        <v>0</v>
      </c>
      <c r="P56" s="386">
        <f t="shared" si="117"/>
        <v>0</v>
      </c>
      <c r="Q56" s="179">
        <v>0</v>
      </c>
      <c r="R56" s="421">
        <v>0</v>
      </c>
      <c r="S56" s="386">
        <v>0</v>
      </c>
      <c r="T56" s="179">
        <v>0</v>
      </c>
      <c r="U56" s="421">
        <f t="shared" si="118"/>
        <v>40</v>
      </c>
      <c r="V56" s="386">
        <f t="shared" si="119"/>
        <v>0</v>
      </c>
      <c r="W56" s="265">
        <f t="shared" ref="W56" si="139">ROUND(((V56/U56-1)*100), 1)</f>
        <v>-100</v>
      </c>
      <c r="X56" s="421">
        <v>40</v>
      </c>
      <c r="Y56" s="386">
        <v>0</v>
      </c>
      <c r="Z56" s="265">
        <f t="shared" ref="Z56" si="140">ROUND(((Y56/X56-1)*100), 1)</f>
        <v>-100</v>
      </c>
      <c r="AA56" s="421">
        <f t="shared" si="120"/>
        <v>20</v>
      </c>
      <c r="AB56" s="386">
        <f t="shared" si="121"/>
        <v>0</v>
      </c>
      <c r="AC56" s="265">
        <f t="shared" ref="AC56" si="141">ROUND(((AB56/AA56-1)*100), 1)</f>
        <v>-100</v>
      </c>
      <c r="AD56" s="421">
        <v>60</v>
      </c>
      <c r="AE56" s="386">
        <v>0</v>
      </c>
      <c r="AF56" s="265">
        <f t="shared" ref="AF56" si="142">ROUND(((AE56/AD56-1)*100), 1)</f>
        <v>-100</v>
      </c>
      <c r="AG56" s="421">
        <f t="shared" si="122"/>
        <v>19</v>
      </c>
      <c r="AH56" s="386">
        <f t="shared" si="122"/>
        <v>0</v>
      </c>
      <c r="AI56" s="265">
        <f t="shared" ref="AI56" si="143">ROUND(((AH56/AG56-1)*100), 1)</f>
        <v>-100</v>
      </c>
      <c r="AJ56" s="421">
        <v>79</v>
      </c>
      <c r="AK56" s="386">
        <v>0</v>
      </c>
      <c r="AL56" s="265">
        <f t="shared" ref="AL56" si="144">ROUND(((AK56/AJ56-1)*100), 1)</f>
        <v>-100</v>
      </c>
      <c r="AM56" s="726">
        <f t="shared" si="123"/>
        <v>39</v>
      </c>
      <c r="AN56" s="714">
        <f t="shared" si="124"/>
        <v>0</v>
      </c>
      <c r="AO56" s="705">
        <f t="shared" ref="AO56" si="145">ROUND(((AN56/AM56-1)*100), 1)</f>
        <v>-100</v>
      </c>
      <c r="AP56" s="742">
        <v>118</v>
      </c>
      <c r="AQ56" s="714">
        <v>0</v>
      </c>
      <c r="AR56" s="705">
        <f t="shared" ref="AR56" si="146">ROUND(((AQ56/AP56-1)*100), 1)</f>
        <v>-100</v>
      </c>
      <c r="AS56" s="742">
        <f t="shared" si="126"/>
        <v>38</v>
      </c>
      <c r="AT56" s="714">
        <f t="shared" si="126"/>
        <v>243</v>
      </c>
      <c r="AU56" s="705">
        <f t="shared" si="127"/>
        <v>539.5</v>
      </c>
      <c r="AV56" s="999">
        <v>156</v>
      </c>
      <c r="AW56" s="990">
        <v>243</v>
      </c>
      <c r="AX56" s="705">
        <f>ROUND(((AW56/AV56-1)*100), 1)</f>
        <v>55.8</v>
      </c>
      <c r="AY56" s="742">
        <f t="shared" si="128"/>
        <v>59</v>
      </c>
      <c r="AZ56" s="714">
        <f t="shared" si="129"/>
        <v>463</v>
      </c>
      <c r="BA56" s="705">
        <f t="shared" si="130"/>
        <v>684.7</v>
      </c>
      <c r="BB56" s="742">
        <v>215</v>
      </c>
      <c r="BC56" s="714">
        <v>706</v>
      </c>
      <c r="BD56" s="705">
        <f>ROUND(((BC56/BB56-1)*100), 1)</f>
        <v>228.4</v>
      </c>
      <c r="BE56" s="742">
        <f t="shared" si="131"/>
        <v>55</v>
      </c>
      <c r="BF56" s="714">
        <f t="shared" si="131"/>
        <v>344</v>
      </c>
      <c r="BG56" s="705">
        <f t="shared" si="132"/>
        <v>525.5</v>
      </c>
      <c r="BH56" s="742">
        <v>270</v>
      </c>
      <c r="BI56" s="714">
        <v>1050</v>
      </c>
      <c r="BJ56" s="705">
        <f>ROUND(((BI56/BH56-1)*100), 1)</f>
        <v>288.89999999999998</v>
      </c>
      <c r="BK56" s="742">
        <f t="shared" si="133"/>
        <v>0</v>
      </c>
      <c r="BL56" s="714">
        <f t="shared" si="133"/>
        <v>0</v>
      </c>
      <c r="BM56" s="751">
        <v>0</v>
      </c>
      <c r="BN56" s="742">
        <v>270</v>
      </c>
      <c r="BO56" s="714">
        <v>1050</v>
      </c>
      <c r="BP56" s="705">
        <f>ROUND(((BO56/BN56-1)*100), 1)</f>
        <v>288.89999999999998</v>
      </c>
      <c r="BQ56" s="743">
        <f t="shared" si="136"/>
        <v>0</v>
      </c>
      <c r="BR56" s="716">
        <f t="shared" si="137"/>
        <v>12</v>
      </c>
      <c r="BS56" s="751">
        <v>0</v>
      </c>
      <c r="BT56" s="742">
        <v>270</v>
      </c>
      <c r="BU56" s="714">
        <v>1062</v>
      </c>
      <c r="BV56" s="705">
        <f>ROUND(((BU56/BT56-1)*100), 1)</f>
        <v>293.3</v>
      </c>
    </row>
    <row r="57" spans="1:74" ht="14.25" customHeight="1">
      <c r="A57" s="96"/>
      <c r="B57" s="1176"/>
      <c r="C57" s="345" t="s">
        <v>324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380</v>
      </c>
      <c r="K57" s="341">
        <v>0</v>
      </c>
      <c r="L57" s="423">
        <v>0</v>
      </c>
      <c r="M57" s="397">
        <v>0</v>
      </c>
      <c r="N57" s="179">
        <v>0</v>
      </c>
      <c r="O57" s="423">
        <f t="shared" si="117"/>
        <v>0</v>
      </c>
      <c r="P57" s="397">
        <f t="shared" si="117"/>
        <v>0</v>
      </c>
      <c r="Q57" s="179">
        <v>0</v>
      </c>
      <c r="R57" s="423">
        <v>0</v>
      </c>
      <c r="S57" s="397">
        <v>0</v>
      </c>
      <c r="T57" s="179">
        <v>0</v>
      </c>
      <c r="U57" s="423">
        <f t="shared" si="118"/>
        <v>0</v>
      </c>
      <c r="V57" s="397">
        <f t="shared" si="119"/>
        <v>0</v>
      </c>
      <c r="W57" s="179">
        <v>0</v>
      </c>
      <c r="X57" s="423">
        <v>0</v>
      </c>
      <c r="Y57" s="397">
        <v>0</v>
      </c>
      <c r="Z57" s="179">
        <v>0</v>
      </c>
      <c r="AA57" s="423">
        <f t="shared" si="120"/>
        <v>0</v>
      </c>
      <c r="AB57" s="397">
        <f t="shared" si="121"/>
        <v>0</v>
      </c>
      <c r="AC57" s="523">
        <v>0</v>
      </c>
      <c r="AD57" s="423">
        <v>0</v>
      </c>
      <c r="AE57" s="397">
        <v>0</v>
      </c>
      <c r="AF57" s="523">
        <v>0</v>
      </c>
      <c r="AG57" s="423">
        <f t="shared" si="122"/>
        <v>0</v>
      </c>
      <c r="AH57" s="397">
        <f t="shared" si="122"/>
        <v>0</v>
      </c>
      <c r="AI57" s="523">
        <v>0</v>
      </c>
      <c r="AJ57" s="423">
        <v>0</v>
      </c>
      <c r="AK57" s="397">
        <v>0</v>
      </c>
      <c r="AL57" s="523">
        <v>0</v>
      </c>
      <c r="AM57" s="728">
        <f t="shared" si="123"/>
        <v>0</v>
      </c>
      <c r="AN57" s="716">
        <f t="shared" si="124"/>
        <v>0</v>
      </c>
      <c r="AO57" s="695">
        <v>0</v>
      </c>
      <c r="AP57" s="743">
        <v>0</v>
      </c>
      <c r="AQ57" s="716">
        <v>0</v>
      </c>
      <c r="AR57" s="695">
        <v>0</v>
      </c>
      <c r="AS57" s="743">
        <f t="shared" si="126"/>
        <v>0</v>
      </c>
      <c r="AT57" s="716">
        <f t="shared" si="126"/>
        <v>0</v>
      </c>
      <c r="AU57" s="751">
        <v>0</v>
      </c>
      <c r="AV57" s="1001">
        <v>0</v>
      </c>
      <c r="AW57" s="1002">
        <v>0</v>
      </c>
      <c r="AX57" s="751">
        <v>0</v>
      </c>
      <c r="AY57" s="743">
        <f t="shared" si="128"/>
        <v>0</v>
      </c>
      <c r="AZ57" s="716">
        <f t="shared" si="129"/>
        <v>0</v>
      </c>
      <c r="BA57" s="751">
        <v>0</v>
      </c>
      <c r="BB57" s="743">
        <v>0</v>
      </c>
      <c r="BC57" s="716">
        <v>0</v>
      </c>
      <c r="BD57" s="751">
        <v>0</v>
      </c>
      <c r="BE57" s="743">
        <f t="shared" si="131"/>
        <v>0</v>
      </c>
      <c r="BF57" s="716">
        <f t="shared" si="131"/>
        <v>0</v>
      </c>
      <c r="BG57" s="751">
        <v>0</v>
      </c>
      <c r="BH57" s="743">
        <v>0</v>
      </c>
      <c r="BI57" s="716">
        <v>0</v>
      </c>
      <c r="BJ57" s="751">
        <v>0</v>
      </c>
      <c r="BK57" s="743">
        <f t="shared" si="133"/>
        <v>0</v>
      </c>
      <c r="BL57" s="716">
        <f t="shared" si="133"/>
        <v>0</v>
      </c>
      <c r="BM57" s="751">
        <v>0</v>
      </c>
      <c r="BN57" s="743">
        <v>0</v>
      </c>
      <c r="BO57" s="716">
        <v>0</v>
      </c>
      <c r="BP57" s="751">
        <v>0</v>
      </c>
      <c r="BQ57" s="743">
        <f t="shared" si="135"/>
        <v>0</v>
      </c>
      <c r="BR57" s="716">
        <f t="shared" si="135"/>
        <v>0</v>
      </c>
      <c r="BS57" s="751">
        <v>0</v>
      </c>
      <c r="BT57" s="743">
        <v>0</v>
      </c>
      <c r="BU57" s="716">
        <v>0</v>
      </c>
      <c r="BV57" s="751">
        <v>0</v>
      </c>
    </row>
    <row r="58" spans="1:74" ht="13.5" customHeight="1">
      <c r="A58" s="96"/>
      <c r="B58" s="1176"/>
      <c r="C58" s="105" t="s">
        <v>24</v>
      </c>
      <c r="D58" s="98">
        <f t="shared" ref="D58:M58" si="147">D59-SUM(D49:D57)</f>
        <v>140</v>
      </c>
      <c r="E58" s="98">
        <f t="shared" si="147"/>
        <v>55</v>
      </c>
      <c r="F58" s="98">
        <f t="shared" si="147"/>
        <v>184</v>
      </c>
      <c r="G58" s="98">
        <f t="shared" si="147"/>
        <v>114</v>
      </c>
      <c r="H58" s="98">
        <f t="shared" si="147"/>
        <v>148</v>
      </c>
      <c r="I58" s="98">
        <f t="shared" si="147"/>
        <v>25</v>
      </c>
      <c r="J58" s="98">
        <f t="shared" si="147"/>
        <v>30</v>
      </c>
      <c r="K58" s="98">
        <f>K59-SUM(K49:K57)</f>
        <v>126</v>
      </c>
      <c r="L58" s="421">
        <f t="shared" si="147"/>
        <v>0</v>
      </c>
      <c r="M58" s="386">
        <f t="shared" si="147"/>
        <v>142</v>
      </c>
      <c r="N58" s="290">
        <v>0</v>
      </c>
      <c r="O58" s="421">
        <f>O59-SUM(O49:O57)</f>
        <v>0</v>
      </c>
      <c r="P58" s="421">
        <f>P59-SUM(P49:P57)</f>
        <v>215</v>
      </c>
      <c r="Q58" s="290">
        <v>0</v>
      </c>
      <c r="R58" s="421">
        <f>R59-SUM(R49:R57)</f>
        <v>0</v>
      </c>
      <c r="S58" s="386">
        <f>S59-SUM(S49:S57)</f>
        <v>357</v>
      </c>
      <c r="T58" s="290">
        <v>0</v>
      </c>
      <c r="U58" s="421">
        <f>U59-SUM(U49:U57)</f>
        <v>1</v>
      </c>
      <c r="V58" s="421">
        <f>V59-SUM(V49:V57)</f>
        <v>125</v>
      </c>
      <c r="W58" s="265">
        <f t="shared" ref="W58" si="148">ROUND(((V58/U58-1)*100), 1)</f>
        <v>12400</v>
      </c>
      <c r="X58" s="421">
        <f>X59-SUM(X49:X57)</f>
        <v>1</v>
      </c>
      <c r="Y58" s="386">
        <f>Y59-SUM(Y49:Y57)</f>
        <v>482</v>
      </c>
      <c r="Z58" s="265">
        <f t="shared" ref="Z58" si="149">ROUND(((Y58/X58-1)*100), 1)</f>
        <v>48100</v>
      </c>
      <c r="AA58" s="421">
        <f>AA59-SUM(AA49:AA57)</f>
        <v>0</v>
      </c>
      <c r="AB58" s="421">
        <f>AB59-SUM(AB49:AB57)</f>
        <v>0</v>
      </c>
      <c r="AC58" s="525">
        <v>0</v>
      </c>
      <c r="AD58" s="421">
        <f>AD59-SUM(AD49:AD57)</f>
        <v>1</v>
      </c>
      <c r="AE58" s="386">
        <f>AE59-SUM(AE49:AE57)</f>
        <v>482</v>
      </c>
      <c r="AF58" s="265">
        <f t="shared" ref="AF58" si="150">ROUND(((AE58/AD58-1)*100), 1)</f>
        <v>48100</v>
      </c>
      <c r="AG58" s="421">
        <f>AG59-SUM(AG49:AG57)</f>
        <v>0</v>
      </c>
      <c r="AH58" s="421">
        <f>AH59-SUM(AH49:AH57)</f>
        <v>1</v>
      </c>
      <c r="AI58" s="265" t="e">
        <f t="shared" ref="AI58" si="151">ROUND(((AH58/AG58-1)*100), 1)</f>
        <v>#DIV/0!</v>
      </c>
      <c r="AJ58" s="421">
        <f>AJ59-SUM(AJ49:AJ57)</f>
        <v>1</v>
      </c>
      <c r="AK58" s="386">
        <f>AK59-SUM(AK49:AK57)</f>
        <v>483</v>
      </c>
      <c r="AL58" s="265">
        <f t="shared" ref="AL58" si="152">ROUND(((AK58/AJ58-1)*100), 1)</f>
        <v>48200</v>
      </c>
      <c r="AM58" s="726">
        <f>AM59-SUM(AM49:AM57)</f>
        <v>48</v>
      </c>
      <c r="AN58" s="726">
        <f>AN59-SUM(AN49:AN57)</f>
        <v>1</v>
      </c>
      <c r="AO58" s="705">
        <f t="shared" ref="AO58" si="153">ROUND(((AN58/AM58-1)*100), 1)</f>
        <v>-97.9</v>
      </c>
      <c r="AP58" s="742">
        <f>AP59-SUM(AP49:AP57)</f>
        <v>49</v>
      </c>
      <c r="AQ58" s="714">
        <f>AQ59-SUM(AQ49:AQ57)</f>
        <v>484</v>
      </c>
      <c r="AR58" s="705">
        <f t="shared" ref="AR58" si="154">ROUND(((AQ58/AP58-1)*100), 1)</f>
        <v>887.8</v>
      </c>
      <c r="AS58" s="742">
        <f>AS59-SUM(AS49:AS57)</f>
        <v>6</v>
      </c>
      <c r="AT58" s="742">
        <f>AT59-SUM(AT49:AT57)</f>
        <v>1</v>
      </c>
      <c r="AU58" s="705">
        <f>ROUND(((AT58/AS58-1)*100), 1)</f>
        <v>-83.3</v>
      </c>
      <c r="AV58" s="999">
        <f>AV59-SUM(AV49:AV57)</f>
        <v>55</v>
      </c>
      <c r="AW58" s="990">
        <f>AW59-SUM(AW49:AW57)</f>
        <v>485</v>
      </c>
      <c r="AX58" s="705">
        <f>ROUND(((AW58/AV58-1)*100), 1)</f>
        <v>781.8</v>
      </c>
      <c r="AY58" s="742">
        <f>AY59-SUM(AY49:AY57)</f>
        <v>45</v>
      </c>
      <c r="AZ58" s="742">
        <f>AZ59-SUM(AZ49:AZ57)</f>
        <v>61</v>
      </c>
      <c r="BA58" s="705">
        <f>ROUND(((AZ58/AY58-1)*100), 1)</f>
        <v>35.6</v>
      </c>
      <c r="BB58" s="742">
        <f>BB59-SUM(BB49:BB57)</f>
        <v>100</v>
      </c>
      <c r="BC58" s="714">
        <f>BC59-SUM(BC49:BC57)</f>
        <v>546</v>
      </c>
      <c r="BD58" s="705">
        <f>ROUND(((BC58/BB58-1)*100), 1)</f>
        <v>446</v>
      </c>
      <c r="BE58" s="742">
        <f>BE59-SUM(BE49:BE57)</f>
        <v>25</v>
      </c>
      <c r="BF58" s="742">
        <f>BF59-SUM(BF49:BF57)</f>
        <v>67</v>
      </c>
      <c r="BG58" s="705">
        <f>ROUND(((BF58/BE58-1)*100), 1)</f>
        <v>168</v>
      </c>
      <c r="BH58" s="742">
        <f>BH59-SUM(BH49:BH57)</f>
        <v>125</v>
      </c>
      <c r="BI58" s="714">
        <f>BI59-SUM(BI49:BI57)</f>
        <v>613</v>
      </c>
      <c r="BJ58" s="705">
        <f>ROUND(((BI58/BH58-1)*100), 1)</f>
        <v>390.4</v>
      </c>
      <c r="BK58" s="1185">
        <f>BK59-SUM(BK49:BK57)</f>
        <v>0</v>
      </c>
      <c r="BL58" s="742">
        <f>BL59-SUM(BL49:BL57)</f>
        <v>2</v>
      </c>
      <c r="BM58" s="708">
        <v>0</v>
      </c>
      <c r="BN58" s="1185">
        <f>BN59-SUM(BN49:BN57)</f>
        <v>125</v>
      </c>
      <c r="BO58" s="770">
        <f>BO59-SUM(BO49:BO57)</f>
        <v>615</v>
      </c>
      <c r="BP58" s="705">
        <f>ROUND(((BO58/BN58-1)*100), 1)</f>
        <v>392</v>
      </c>
      <c r="BQ58" s="1185">
        <f>BQ59-SUM(BQ49:BQ57)</f>
        <v>1</v>
      </c>
      <c r="BR58" s="742">
        <f>BR59-SUM(BR49:BR57)</f>
        <v>1</v>
      </c>
      <c r="BS58" s="708">
        <v>0</v>
      </c>
      <c r="BT58" s="1185">
        <f>BT59-SUM(BT49:BT57)</f>
        <v>126</v>
      </c>
      <c r="BU58" s="742">
        <f>BU59-SUM(BU49:BU57)</f>
        <v>616</v>
      </c>
      <c r="BV58" s="705">
        <f>ROUND(((BU58/BT58-1)*100), 1)</f>
        <v>388.9</v>
      </c>
    </row>
    <row r="59" spans="1:74" ht="13.5" customHeight="1">
      <c r="A59" s="96"/>
      <c r="B59" s="1177"/>
      <c r="C59" s="45" t="s">
        <v>212</v>
      </c>
      <c r="D59" s="99">
        <v>1062</v>
      </c>
      <c r="E59" s="99">
        <v>1777</v>
      </c>
      <c r="F59" s="99">
        <v>3885</v>
      </c>
      <c r="G59" s="99">
        <v>4947</v>
      </c>
      <c r="H59" s="99">
        <v>9942</v>
      </c>
      <c r="I59" s="99">
        <v>11601</v>
      </c>
      <c r="J59" s="99">
        <v>13737</v>
      </c>
      <c r="K59" s="99">
        <v>19222</v>
      </c>
      <c r="L59" s="422">
        <v>1331</v>
      </c>
      <c r="M59" s="387">
        <v>4523</v>
      </c>
      <c r="N59" s="259">
        <f>ROUND(((M59/L59-1)*100), 1)</f>
        <v>239.8</v>
      </c>
      <c r="O59" s="424">
        <f t="shared" si="117"/>
        <v>869</v>
      </c>
      <c r="P59" s="387">
        <f t="shared" si="117"/>
        <v>4946</v>
      </c>
      <c r="Q59" s="270">
        <f>ROUND(((P59/O59-1)*100), 1)</f>
        <v>469.2</v>
      </c>
      <c r="R59" s="422">
        <v>2200</v>
      </c>
      <c r="S59" s="387">
        <v>9469</v>
      </c>
      <c r="T59" s="270">
        <f>ROUND(((S59/R59-1)*100), 1)</f>
        <v>330.4</v>
      </c>
      <c r="U59" s="424">
        <f t="shared" ref="U59" si="155">X59-R59</f>
        <v>1436</v>
      </c>
      <c r="V59" s="387">
        <f t="shared" ref="V59" si="156">Y59-S59</f>
        <v>6020</v>
      </c>
      <c r="W59" s="270">
        <f>ROUND(((V59/U59-1)*100), 1)</f>
        <v>319.2</v>
      </c>
      <c r="X59" s="422">
        <v>3636</v>
      </c>
      <c r="Y59" s="387">
        <v>15489</v>
      </c>
      <c r="Z59" s="270">
        <f>ROUND(((Y59/X59-1)*100), 1)</f>
        <v>326</v>
      </c>
      <c r="AA59" s="424">
        <f t="shared" ref="AA59" si="157">AD59-X59</f>
        <v>1232</v>
      </c>
      <c r="AB59" s="387">
        <f t="shared" ref="AB59" si="158">AE59-Y59</f>
        <v>3795</v>
      </c>
      <c r="AC59" s="270">
        <f>ROUND(((AB59/AA59-1)*100), 1)</f>
        <v>208</v>
      </c>
      <c r="AD59" s="422">
        <v>4868</v>
      </c>
      <c r="AE59" s="387">
        <v>19284</v>
      </c>
      <c r="AF59" s="270">
        <f>ROUND(((AE59/AD59-1)*100), 1)</f>
        <v>296.10000000000002</v>
      </c>
      <c r="AG59" s="424">
        <f t="shared" ref="AG59:AH59" si="159">AJ59-AD59</f>
        <v>1583</v>
      </c>
      <c r="AH59" s="387">
        <f t="shared" si="159"/>
        <v>6476</v>
      </c>
      <c r="AI59" s="270">
        <f>ROUND(((AH59/AG59-1)*100), 1)</f>
        <v>309.10000000000002</v>
      </c>
      <c r="AJ59" s="422">
        <v>6451</v>
      </c>
      <c r="AK59" s="387">
        <v>25760</v>
      </c>
      <c r="AL59" s="270">
        <f>ROUND(((AK59/AJ59-1)*100), 1)</f>
        <v>299.3</v>
      </c>
      <c r="AM59" s="729">
        <f t="shared" ref="AM59" si="160">AP59-AJ59</f>
        <v>1284</v>
      </c>
      <c r="AN59" s="715">
        <f t="shared" ref="AN59" si="161">AQ59-AK59</f>
        <v>8980</v>
      </c>
      <c r="AO59" s="699">
        <f>ROUND(((AN59/AM59-1)*100), 1)</f>
        <v>599.4</v>
      </c>
      <c r="AP59" s="727">
        <v>7735</v>
      </c>
      <c r="AQ59" s="715">
        <v>34740</v>
      </c>
      <c r="AR59" s="699">
        <f>ROUND(((AQ59/AP59-1)*100), 1)</f>
        <v>349.1</v>
      </c>
      <c r="AS59" s="729">
        <f>AV59-AP59</f>
        <v>1976</v>
      </c>
      <c r="AT59" s="715">
        <f>AW59-AQ59</f>
        <v>11015</v>
      </c>
      <c r="AU59" s="699">
        <f>ROUND(((AT59/AS59-1)*100), 1)</f>
        <v>457.4</v>
      </c>
      <c r="AV59" s="1000">
        <v>9711</v>
      </c>
      <c r="AW59" s="994">
        <v>45755</v>
      </c>
      <c r="AX59" s="699">
        <f>ROUND(((AW59/AV59-1)*100), 1)</f>
        <v>371.2</v>
      </c>
      <c r="AY59" s="729">
        <f>BB59-AV59</f>
        <v>1580</v>
      </c>
      <c r="AZ59" s="715">
        <f>BC59-AW59</f>
        <v>10083</v>
      </c>
      <c r="BA59" s="699">
        <f>ROUND(((AZ59/AY59-1)*100), 1)</f>
        <v>538.20000000000005</v>
      </c>
      <c r="BB59" s="727">
        <v>11291</v>
      </c>
      <c r="BC59" s="715">
        <v>55838</v>
      </c>
      <c r="BD59" s="699">
        <f>ROUND(((BC59/BB59-1)*100), 1)</f>
        <v>394.5</v>
      </c>
      <c r="BE59" s="729">
        <f>BH59-BB59</f>
        <v>813</v>
      </c>
      <c r="BF59" s="715">
        <f>BI59-BC59</f>
        <v>9655</v>
      </c>
      <c r="BG59" s="699">
        <f>ROUND(((BF59/BE59-1)*100), 1)</f>
        <v>1087.5999999999999</v>
      </c>
      <c r="BH59" s="727">
        <v>12104</v>
      </c>
      <c r="BI59" s="715">
        <v>65493</v>
      </c>
      <c r="BJ59" s="699">
        <f>ROUND(((BI59/BH59-1)*100), 1)</f>
        <v>441.1</v>
      </c>
      <c r="BK59" s="729">
        <f>BN59-BH59</f>
        <v>1727</v>
      </c>
      <c r="BL59" s="715">
        <f>BO59-BI59</f>
        <v>6009</v>
      </c>
      <c r="BM59" s="699">
        <f>ROUND(((BL59/BK59-1)*100), 1)</f>
        <v>247.9</v>
      </c>
      <c r="BN59" s="727">
        <v>13831</v>
      </c>
      <c r="BO59" s="715">
        <v>71502</v>
      </c>
      <c r="BP59" s="699">
        <f>ROUND(((BO59/BN59-1)*100), 1)</f>
        <v>417</v>
      </c>
      <c r="BQ59" s="729">
        <f>BT59-BN59</f>
        <v>1491</v>
      </c>
      <c r="BR59" s="715">
        <f>BU59-BO59</f>
        <v>5873</v>
      </c>
      <c r="BS59" s="699">
        <f>ROUND(((BR59/BQ59-1)*100), 1)</f>
        <v>293.89999999999998</v>
      </c>
      <c r="BT59" s="727">
        <v>15322</v>
      </c>
      <c r="BU59" s="715">
        <v>77375</v>
      </c>
      <c r="BV59" s="699">
        <f>ROUND(((BU59/BT59-1)*100), 1)</f>
        <v>405</v>
      </c>
    </row>
    <row r="60" spans="1:74" ht="13.5" customHeight="1">
      <c r="A60" s="9"/>
      <c r="B60" s="1162" t="s">
        <v>39</v>
      </c>
      <c r="C60" s="1121"/>
      <c r="D60" s="107">
        <f t="shared" ref="D60:M60" si="162">SUM(D12+D28+D48+D59)</f>
        <v>56919</v>
      </c>
      <c r="E60" s="107">
        <f t="shared" si="162"/>
        <v>81370</v>
      </c>
      <c r="F60" s="107">
        <f t="shared" si="162"/>
        <v>90005</v>
      </c>
      <c r="G60" s="107">
        <f t="shared" si="162"/>
        <v>76548</v>
      </c>
      <c r="H60" s="107">
        <f t="shared" si="162"/>
        <v>93607</v>
      </c>
      <c r="I60" s="107">
        <f t="shared" si="162"/>
        <v>133260</v>
      </c>
      <c r="J60" s="107">
        <f t="shared" si="162"/>
        <v>216004</v>
      </c>
      <c r="K60" s="107">
        <f t="shared" si="162"/>
        <v>216968</v>
      </c>
      <c r="L60" s="108">
        <f t="shared" si="162"/>
        <v>18000</v>
      </c>
      <c r="M60" s="406">
        <f t="shared" si="162"/>
        <v>24433</v>
      </c>
      <c r="N60" s="270">
        <f>ROUND(((M60/L60-1)*100), 1)</f>
        <v>35.700000000000003</v>
      </c>
      <c r="O60" s="108">
        <f>R60-L60</f>
        <v>15845</v>
      </c>
      <c r="P60" s="406">
        <f>S60-M60</f>
        <v>28631</v>
      </c>
      <c r="Q60" s="270">
        <f>ROUND(((P60/O60-1)*100), 1)</f>
        <v>80.7</v>
      </c>
      <c r="R60" s="108">
        <f>SUM(R12+R28+R48+R59)</f>
        <v>33845</v>
      </c>
      <c r="S60" s="406">
        <f>SUM(S12+S28+S48+S59)</f>
        <v>53064</v>
      </c>
      <c r="T60" s="270">
        <f>ROUND(((S60/R60-1)*100), 1)</f>
        <v>56.8</v>
      </c>
      <c r="U60" s="108">
        <f>X60-R60</f>
        <v>21872</v>
      </c>
      <c r="V60" s="406">
        <f>Y60-S60</f>
        <v>27028</v>
      </c>
      <c r="W60" s="270">
        <f>ROUND(((V60/U60-1)*100), 1)</f>
        <v>23.6</v>
      </c>
      <c r="X60" s="108">
        <f>SUM(X12+X28+X48+X59)</f>
        <v>55717</v>
      </c>
      <c r="Y60" s="406">
        <f>SUM(Y12+Y28+Y48+Y59)</f>
        <v>80092</v>
      </c>
      <c r="Z60" s="270">
        <f>ROUND(((Y60/X60-1)*100), 1)</f>
        <v>43.7</v>
      </c>
      <c r="AA60" s="108">
        <f>AD60-X60</f>
        <v>17038</v>
      </c>
      <c r="AB60" s="406">
        <f>AE60-Y60</f>
        <v>17293</v>
      </c>
      <c r="AC60" s="270">
        <f>ROUND(((AB60/AA60-1)*100), 1)</f>
        <v>1.5</v>
      </c>
      <c r="AD60" s="108">
        <f>SUM(AD12+AD28+AD48+AD59)</f>
        <v>72755</v>
      </c>
      <c r="AE60" s="406">
        <f>SUM(AE12+AE28+AE48+AE59)</f>
        <v>97385</v>
      </c>
      <c r="AF60" s="270">
        <f>ROUND(((AE60/AD60-1)*100), 1)</f>
        <v>33.9</v>
      </c>
      <c r="AG60" s="108">
        <f>AJ60-AD60</f>
        <v>19313</v>
      </c>
      <c r="AH60" s="406">
        <f>AK60-AE60</f>
        <v>29674</v>
      </c>
      <c r="AI60" s="270">
        <f>ROUND(((AH60/AG60-1)*100), 1)</f>
        <v>53.6</v>
      </c>
      <c r="AJ60" s="108">
        <f>SUM(AJ12+AJ28+AJ48+AJ59)</f>
        <v>92068</v>
      </c>
      <c r="AK60" s="406">
        <f>SUM(AK12+AK28+AK48+AK59)</f>
        <v>127059</v>
      </c>
      <c r="AL60" s="270">
        <f>ROUND(((AK60/AJ60-1)*100), 1)</f>
        <v>38</v>
      </c>
      <c r="AM60" s="693">
        <f>AP60-AJ60</f>
        <v>19052</v>
      </c>
      <c r="AN60" s="718">
        <f>AQ60-AK60</f>
        <v>37847</v>
      </c>
      <c r="AO60" s="699">
        <f>ROUND(((AN60/AM60-1)*100), 1)</f>
        <v>98.7</v>
      </c>
      <c r="AP60" s="693">
        <f>SUM(AP12+AP28+AP48+AP59)</f>
        <v>111120</v>
      </c>
      <c r="AQ60" s="718">
        <f>SUM(AQ12+AQ28+AQ48+AQ59)</f>
        <v>164906</v>
      </c>
      <c r="AR60" s="699">
        <f>ROUND(((AQ60/AP60-1)*100), 1)</f>
        <v>48.4</v>
      </c>
      <c r="AS60" s="693">
        <f>AV60-AP60</f>
        <v>19211</v>
      </c>
      <c r="AT60" s="718">
        <f>AW60-AQ60</f>
        <v>37067</v>
      </c>
      <c r="AU60" s="699">
        <f>ROUND(((AT60/AS60-1)*100), 1)</f>
        <v>92.9</v>
      </c>
      <c r="AV60" s="1007">
        <f>SUM(AV12+AV28+AV48+AV59)</f>
        <v>130331</v>
      </c>
      <c r="AW60" s="1008">
        <f>SUM(AW12+AW28+AW48+AW59)</f>
        <v>201973</v>
      </c>
      <c r="AX60" s="699">
        <f>ROUND(((AW60/AV60-1)*100), 1)</f>
        <v>55</v>
      </c>
      <c r="AY60" s="693">
        <f>BB60-AV60</f>
        <v>15919</v>
      </c>
      <c r="AZ60" s="718">
        <f>BC60-AW60</f>
        <v>33606</v>
      </c>
      <c r="BA60" s="699">
        <f>ROUND(((AZ60/AY60-1)*100), 1)</f>
        <v>111.1</v>
      </c>
      <c r="BB60" s="693">
        <f>SUM(BB12+BB28+BB48+BB59)</f>
        <v>146250</v>
      </c>
      <c r="BC60" s="718">
        <f>SUM(BC12+BC28+BC48+BC59)</f>
        <v>235579</v>
      </c>
      <c r="BD60" s="699">
        <f>ROUND(((BC60/BB60-1)*100), 1)</f>
        <v>61.1</v>
      </c>
      <c r="BE60" s="693">
        <f>BH60-BB60</f>
        <v>14976</v>
      </c>
      <c r="BF60" s="718">
        <f>BI60-BC60</f>
        <v>34681</v>
      </c>
      <c r="BG60" s="699">
        <f>ROUND(((BF60/BE60-1)*100), 1)</f>
        <v>131.6</v>
      </c>
      <c r="BH60" s="693">
        <f>SUM(BH12+BH28+BH48+BH59)</f>
        <v>161226</v>
      </c>
      <c r="BI60" s="718">
        <f>SUM(BI12+BI28+BI48+BI59)</f>
        <v>270260</v>
      </c>
      <c r="BJ60" s="699">
        <f>ROUND(((BI60/BH60-1)*100), 1)</f>
        <v>67.599999999999994</v>
      </c>
      <c r="BK60" s="693">
        <f>BN60-BH60</f>
        <v>17785</v>
      </c>
      <c r="BL60" s="718">
        <f>BO60-BI60</f>
        <v>28877</v>
      </c>
      <c r="BM60" s="699">
        <f>ROUND(((BL60/BK60-1)*100), 1)</f>
        <v>62.4</v>
      </c>
      <c r="BN60" s="693">
        <f>SUM(BN12+BN28+BN48+BN59)</f>
        <v>179011</v>
      </c>
      <c r="BO60" s="718">
        <f>SUM(BO12+BO28+BO48+BO59)</f>
        <v>299137</v>
      </c>
      <c r="BP60" s="699">
        <f>ROUND(((BO60/BN60-1)*100), 1)</f>
        <v>67.099999999999994</v>
      </c>
      <c r="BQ60" s="693">
        <f>BT60-BN60</f>
        <v>14463</v>
      </c>
      <c r="BR60" s="718">
        <f>BU60-BO60</f>
        <v>27421</v>
      </c>
      <c r="BS60" s="699">
        <f>ROUND(((BR60/BQ60-1)*100), 1)</f>
        <v>89.6</v>
      </c>
      <c r="BT60" s="693">
        <f>SUM(BT12+BT28+BT48+BT59)</f>
        <v>193474</v>
      </c>
      <c r="BU60" s="718">
        <f>SUM(BU12+BU28+BU48+BU59)</f>
        <v>326558</v>
      </c>
      <c r="BV60" s="699">
        <f>ROUND(((BU60/BT60-1)*100), 1)</f>
        <v>68.8</v>
      </c>
    </row>
    <row r="61" spans="1:74">
      <c r="N61" s="256"/>
    </row>
    <row r="62" spans="1:74">
      <c r="N62" s="256"/>
    </row>
    <row r="63" spans="1:74">
      <c r="A63" s="30"/>
      <c r="B63" s="30"/>
      <c r="D63" s="75"/>
      <c r="E63" s="75"/>
      <c r="F63" s="75"/>
      <c r="G63" s="75"/>
      <c r="H63" s="75"/>
      <c r="I63" s="75"/>
      <c r="J63" s="279"/>
      <c r="K63" s="279"/>
      <c r="L63" s="279"/>
      <c r="M63" s="279"/>
      <c r="N63" s="257" t="s">
        <v>94</v>
      </c>
      <c r="O63" s="279"/>
      <c r="P63" s="279"/>
      <c r="Q63" s="274"/>
      <c r="R63" s="279"/>
      <c r="S63" s="279"/>
      <c r="T63" s="274" t="s">
        <v>94</v>
      </c>
      <c r="U63" s="279"/>
      <c r="V63" s="279"/>
      <c r="W63" s="274"/>
      <c r="X63" s="279"/>
      <c r="Y63" s="279"/>
      <c r="Z63" s="274" t="s">
        <v>94</v>
      </c>
      <c r="AA63" s="279"/>
      <c r="AB63" s="279"/>
      <c r="AC63" s="274"/>
      <c r="AD63" s="279"/>
      <c r="AE63" s="279"/>
      <c r="AF63" s="274" t="s">
        <v>94</v>
      </c>
      <c r="AG63" s="279"/>
      <c r="AH63" s="279"/>
      <c r="AI63" s="274"/>
      <c r="AJ63" s="279"/>
      <c r="AK63" s="279"/>
      <c r="AL63" s="274" t="s">
        <v>94</v>
      </c>
      <c r="AM63" s="691"/>
      <c r="AN63" s="691"/>
      <c r="AO63" s="697"/>
      <c r="AP63" s="746"/>
      <c r="AQ63" s="746"/>
      <c r="AR63" s="697" t="s">
        <v>94</v>
      </c>
      <c r="AS63" s="746"/>
      <c r="AT63" s="746"/>
      <c r="AU63" s="755"/>
      <c r="AV63" s="961"/>
      <c r="AW63" s="961"/>
      <c r="AX63" s="755" t="s">
        <v>94</v>
      </c>
      <c r="AY63" s="746"/>
      <c r="AZ63" s="746"/>
      <c r="BA63" s="755"/>
      <c r="BB63" s="746"/>
      <c r="BC63" s="746"/>
      <c r="BD63" s="755" t="s">
        <v>94</v>
      </c>
      <c r="BE63" s="746"/>
      <c r="BF63" s="746"/>
      <c r="BG63" s="755"/>
      <c r="BH63" s="746"/>
      <c r="BI63" s="746"/>
      <c r="BJ63" s="755" t="s">
        <v>94</v>
      </c>
      <c r="BK63" s="746"/>
      <c r="BL63" s="746"/>
      <c r="BM63" s="755"/>
      <c r="BN63" s="746"/>
      <c r="BO63" s="746"/>
      <c r="BP63" s="755" t="s">
        <v>94</v>
      </c>
      <c r="BQ63" s="746"/>
      <c r="BR63" s="746"/>
      <c r="BS63" s="755"/>
      <c r="BT63" s="746"/>
      <c r="BU63" s="746"/>
      <c r="BV63" s="755" t="s">
        <v>94</v>
      </c>
    </row>
    <row r="64" spans="1:74">
      <c r="A64" s="1082" t="s">
        <v>95</v>
      </c>
      <c r="B64" s="1082"/>
      <c r="C64" s="1082"/>
      <c r="D64" s="1170" t="s">
        <v>3</v>
      </c>
      <c r="E64" s="1170" t="s">
        <v>4</v>
      </c>
      <c r="F64" s="1170" t="s">
        <v>5</v>
      </c>
      <c r="G64" s="1170" t="s">
        <v>6</v>
      </c>
      <c r="H64" s="1170" t="s">
        <v>7</v>
      </c>
      <c r="I64" s="1170" t="s">
        <v>8</v>
      </c>
      <c r="J64" s="1170" t="s">
        <v>83</v>
      </c>
      <c r="K64" s="1172" t="s">
        <v>315</v>
      </c>
      <c r="L64" s="1171" t="s">
        <v>40</v>
      </c>
      <c r="M64" s="1170"/>
      <c r="N64" s="1082"/>
      <c r="O64" s="1155" t="s">
        <v>505</v>
      </c>
      <c r="P64" s="1156"/>
      <c r="Q64" s="1157"/>
      <c r="R64" s="1155" t="s">
        <v>506</v>
      </c>
      <c r="S64" s="1156"/>
      <c r="T64" s="1157"/>
      <c r="U64" s="1155" t="s">
        <v>513</v>
      </c>
      <c r="V64" s="1156"/>
      <c r="W64" s="1157"/>
      <c r="X64" s="1155" t="s">
        <v>514</v>
      </c>
      <c r="Y64" s="1156"/>
      <c r="Z64" s="1157"/>
      <c r="AA64" s="1155" t="s">
        <v>531</v>
      </c>
      <c r="AB64" s="1156"/>
      <c r="AC64" s="1157"/>
      <c r="AD64" s="1155" t="s">
        <v>533</v>
      </c>
      <c r="AE64" s="1156"/>
      <c r="AF64" s="1157"/>
      <c r="AG64" s="1155" t="s">
        <v>555</v>
      </c>
      <c r="AH64" s="1156"/>
      <c r="AI64" s="1157"/>
      <c r="AJ64" s="1155" t="s">
        <v>556</v>
      </c>
      <c r="AK64" s="1156"/>
      <c r="AL64" s="1157"/>
      <c r="AM64" s="1155" t="s">
        <v>583</v>
      </c>
      <c r="AN64" s="1156"/>
      <c r="AO64" s="1157"/>
      <c r="AP64" s="1155" t="s">
        <v>584</v>
      </c>
      <c r="AQ64" s="1156"/>
      <c r="AR64" s="1157"/>
      <c r="AS64" s="1155" t="s">
        <v>621</v>
      </c>
      <c r="AT64" s="1156"/>
      <c r="AU64" s="1157"/>
      <c r="AV64" s="1155" t="s">
        <v>622</v>
      </c>
      <c r="AW64" s="1156"/>
      <c r="AX64" s="1157"/>
      <c r="AY64" s="1155" t="s">
        <v>626</v>
      </c>
      <c r="AZ64" s="1156"/>
      <c r="BA64" s="1157"/>
      <c r="BB64" s="1155" t="s">
        <v>628</v>
      </c>
      <c r="BC64" s="1156"/>
      <c r="BD64" s="1157"/>
      <c r="BE64" s="1155" t="s">
        <v>650</v>
      </c>
      <c r="BF64" s="1156"/>
      <c r="BG64" s="1157"/>
      <c r="BH64" s="1155" t="s">
        <v>651</v>
      </c>
      <c r="BI64" s="1156"/>
      <c r="BJ64" s="1157"/>
      <c r="BK64" s="1155" t="s">
        <v>674</v>
      </c>
      <c r="BL64" s="1156"/>
      <c r="BM64" s="1157"/>
      <c r="BN64" s="1155" t="s">
        <v>677</v>
      </c>
      <c r="BO64" s="1156"/>
      <c r="BP64" s="1157"/>
      <c r="BQ64" s="1155" t="s">
        <v>712</v>
      </c>
      <c r="BR64" s="1156"/>
      <c r="BS64" s="1157"/>
      <c r="BT64" s="1155" t="s">
        <v>749</v>
      </c>
      <c r="BU64" s="1156"/>
      <c r="BV64" s="1157"/>
    </row>
    <row r="65" spans="1:74">
      <c r="A65" s="1082"/>
      <c r="B65" s="1082"/>
      <c r="C65" s="1082"/>
      <c r="D65" s="1170"/>
      <c r="E65" s="1170"/>
      <c r="F65" s="1170"/>
      <c r="G65" s="1170"/>
      <c r="H65" s="1170"/>
      <c r="I65" s="1170"/>
      <c r="J65" s="1170"/>
      <c r="K65" s="1173"/>
      <c r="L65" s="418" t="s">
        <v>445</v>
      </c>
      <c r="M65" s="427" t="s">
        <v>446</v>
      </c>
      <c r="N65" s="277" t="s">
        <v>10</v>
      </c>
      <c r="O65" s="418" t="s">
        <v>445</v>
      </c>
      <c r="P65" s="427" t="s">
        <v>446</v>
      </c>
      <c r="Q65" s="277" t="s">
        <v>10</v>
      </c>
      <c r="R65" s="418" t="s">
        <v>445</v>
      </c>
      <c r="S65" s="427" t="s">
        <v>446</v>
      </c>
      <c r="T65" s="277" t="s">
        <v>10</v>
      </c>
      <c r="U65" s="418" t="s">
        <v>445</v>
      </c>
      <c r="V65" s="427" t="s">
        <v>446</v>
      </c>
      <c r="W65" s="277" t="s">
        <v>10</v>
      </c>
      <c r="X65" s="418" t="s">
        <v>445</v>
      </c>
      <c r="Y65" s="427" t="s">
        <v>446</v>
      </c>
      <c r="Z65" s="277" t="s">
        <v>10</v>
      </c>
      <c r="AA65" s="418" t="s">
        <v>445</v>
      </c>
      <c r="AB65" s="427" t="s">
        <v>446</v>
      </c>
      <c r="AC65" s="277" t="s">
        <v>10</v>
      </c>
      <c r="AD65" s="418" t="s">
        <v>445</v>
      </c>
      <c r="AE65" s="427" t="s">
        <v>446</v>
      </c>
      <c r="AF65" s="277" t="s">
        <v>10</v>
      </c>
      <c r="AG65" s="418" t="s">
        <v>445</v>
      </c>
      <c r="AH65" s="427" t="s">
        <v>446</v>
      </c>
      <c r="AI65" s="277" t="s">
        <v>10</v>
      </c>
      <c r="AJ65" s="418" t="s">
        <v>445</v>
      </c>
      <c r="AK65" s="427" t="s">
        <v>446</v>
      </c>
      <c r="AL65" s="277" t="s">
        <v>10</v>
      </c>
      <c r="AM65" s="723" t="s">
        <v>445</v>
      </c>
      <c r="AN65" s="732" t="s">
        <v>446</v>
      </c>
      <c r="AO65" s="702" t="s">
        <v>10</v>
      </c>
      <c r="AP65" s="815" t="s">
        <v>445</v>
      </c>
      <c r="AQ65" s="816" t="s">
        <v>446</v>
      </c>
      <c r="AR65" s="702" t="s">
        <v>10</v>
      </c>
      <c r="AS65" s="815" t="s">
        <v>445</v>
      </c>
      <c r="AT65" s="816" t="s">
        <v>446</v>
      </c>
      <c r="AU65" s="757" t="s">
        <v>10</v>
      </c>
      <c r="AV65" s="996" t="s">
        <v>445</v>
      </c>
      <c r="AW65" s="1009" t="s">
        <v>446</v>
      </c>
      <c r="AX65" s="757" t="s">
        <v>10</v>
      </c>
      <c r="AY65" s="815" t="s">
        <v>445</v>
      </c>
      <c r="AZ65" s="816" t="s">
        <v>446</v>
      </c>
      <c r="BA65" s="757" t="s">
        <v>10</v>
      </c>
      <c r="BB65" s="815" t="s">
        <v>445</v>
      </c>
      <c r="BC65" s="816" t="s">
        <v>446</v>
      </c>
      <c r="BD65" s="757" t="s">
        <v>10</v>
      </c>
      <c r="BE65" s="815" t="s">
        <v>669</v>
      </c>
      <c r="BF65" s="816" t="s">
        <v>671</v>
      </c>
      <c r="BG65" s="757" t="s">
        <v>10</v>
      </c>
      <c r="BH65" s="815" t="s">
        <v>669</v>
      </c>
      <c r="BI65" s="816" t="s">
        <v>671</v>
      </c>
      <c r="BJ65" s="757" t="s">
        <v>10</v>
      </c>
      <c r="BK65" s="815" t="s">
        <v>696</v>
      </c>
      <c r="BL65" s="816" t="s">
        <v>697</v>
      </c>
      <c r="BM65" s="757" t="s">
        <v>10</v>
      </c>
      <c r="BN65" s="815" t="s">
        <v>698</v>
      </c>
      <c r="BO65" s="816" t="s">
        <v>697</v>
      </c>
      <c r="BP65" s="757" t="s">
        <v>10</v>
      </c>
      <c r="BQ65" s="815" t="s">
        <v>445</v>
      </c>
      <c r="BR65" s="816" t="s">
        <v>446</v>
      </c>
      <c r="BS65" s="757" t="s">
        <v>10</v>
      </c>
      <c r="BT65" s="815" t="s">
        <v>445</v>
      </c>
      <c r="BU65" s="816" t="s">
        <v>446</v>
      </c>
      <c r="BV65" s="757" t="s">
        <v>10</v>
      </c>
    </row>
    <row r="66" spans="1:74">
      <c r="A66" s="96"/>
      <c r="B66" s="1175" t="s">
        <v>294</v>
      </c>
      <c r="C66" s="105" t="s">
        <v>52</v>
      </c>
      <c r="D66" s="98">
        <v>104219</v>
      </c>
      <c r="E66" s="98">
        <v>145581</v>
      </c>
      <c r="F66" s="98">
        <v>150455</v>
      </c>
      <c r="G66" s="98">
        <v>247028</v>
      </c>
      <c r="H66" s="98">
        <v>278401</v>
      </c>
      <c r="I66" s="98">
        <v>385816</v>
      </c>
      <c r="J66" s="98">
        <v>390858</v>
      </c>
      <c r="K66" s="98">
        <v>400049</v>
      </c>
      <c r="L66" s="417">
        <v>28470</v>
      </c>
      <c r="M66" s="386">
        <v>37692</v>
      </c>
      <c r="N66" s="265">
        <f t="shared" ref="N66:N74" si="163">ROUND(((M66/L66-1)*100), 1)</f>
        <v>32.4</v>
      </c>
      <c r="O66" s="417">
        <f t="shared" ref="O66:P89" si="164">R66-L66</f>
        <v>16748</v>
      </c>
      <c r="P66" s="386">
        <f t="shared" si="164"/>
        <v>29342</v>
      </c>
      <c r="Q66" s="265">
        <f t="shared" ref="Q66:Q73" si="165">ROUND(((P66/O66-1)*100), 1)</f>
        <v>75.2</v>
      </c>
      <c r="R66" s="417">
        <v>45218</v>
      </c>
      <c r="S66" s="386">
        <v>67034</v>
      </c>
      <c r="T66" s="265">
        <f t="shared" ref="T66:T73" si="166">ROUND(((S66/R66-1)*100), 1)</f>
        <v>48.2</v>
      </c>
      <c r="U66" s="417">
        <f t="shared" ref="U66:U89" si="167">X66-R66</f>
        <v>25303</v>
      </c>
      <c r="V66" s="386">
        <f t="shared" ref="V66:V89" si="168">Y66-S66</f>
        <v>39074</v>
      </c>
      <c r="W66" s="265">
        <f t="shared" ref="W66:W73" si="169">ROUND(((V66/U66-1)*100), 1)</f>
        <v>54.4</v>
      </c>
      <c r="X66" s="417">
        <v>70521</v>
      </c>
      <c r="Y66" s="386">
        <v>106108</v>
      </c>
      <c r="Z66" s="265">
        <f t="shared" ref="Z66:Z73" si="170">ROUND(((Y66/X66-1)*100), 1)</f>
        <v>50.5</v>
      </c>
      <c r="AA66" s="417">
        <f t="shared" ref="AA66:AA89" si="171">AD66-X66</f>
        <v>28534</v>
      </c>
      <c r="AB66" s="386">
        <f t="shared" ref="AB66:AB89" si="172">AE66-Y66</f>
        <v>36254</v>
      </c>
      <c r="AC66" s="265">
        <f t="shared" ref="AC66:AC72" si="173">ROUND(((AB66/AA66-1)*100), 1)</f>
        <v>27.1</v>
      </c>
      <c r="AD66" s="417">
        <v>99055</v>
      </c>
      <c r="AE66" s="386">
        <v>142362</v>
      </c>
      <c r="AF66" s="265">
        <f t="shared" ref="AF66:AF73" si="174">ROUND(((AE66/AD66-1)*100), 1)</f>
        <v>43.7</v>
      </c>
      <c r="AG66" s="417">
        <f t="shared" ref="AG66:AH89" si="175">AJ66-AD66</f>
        <v>30809</v>
      </c>
      <c r="AH66" s="386">
        <f t="shared" si="175"/>
        <v>32604</v>
      </c>
      <c r="AI66" s="265">
        <f t="shared" ref="AI66:AI73" si="176">ROUND(((AH66/AG66-1)*100), 1)</f>
        <v>5.8</v>
      </c>
      <c r="AJ66" s="417">
        <v>129864</v>
      </c>
      <c r="AK66" s="386">
        <v>174966</v>
      </c>
      <c r="AL66" s="265">
        <f t="shared" ref="AL66:AL73" si="177">ROUND(((AK66/AJ66-1)*100), 1)</f>
        <v>34.700000000000003</v>
      </c>
      <c r="AM66" s="722">
        <f t="shared" ref="AM66:AM89" si="178">AP66-AJ66</f>
        <v>34477</v>
      </c>
      <c r="AN66" s="714">
        <f t="shared" ref="AN66:AN89" si="179">AQ66-AK66</f>
        <v>32557</v>
      </c>
      <c r="AO66" s="705">
        <f t="shared" ref="AO66:AO73" si="180">ROUND(((AN66/AM66-1)*100), 1)</f>
        <v>-5.6</v>
      </c>
      <c r="AP66" s="770">
        <v>164341</v>
      </c>
      <c r="AQ66" s="714">
        <v>207523</v>
      </c>
      <c r="AR66" s="705">
        <f t="shared" ref="AR66:AR73" si="181">ROUND(((AQ66/AP66-1)*100), 1)</f>
        <v>26.3</v>
      </c>
      <c r="AS66" s="770">
        <f t="shared" ref="AS66:AT89" si="182">AV66-AP66</f>
        <v>38729</v>
      </c>
      <c r="AT66" s="714">
        <f t="shared" si="182"/>
        <v>24653</v>
      </c>
      <c r="AU66" s="705">
        <f t="shared" ref="AU66:AU73" si="183">ROUND(((AT66/AS66-1)*100), 1)</f>
        <v>-36.299999999999997</v>
      </c>
      <c r="AV66" s="992">
        <v>203070</v>
      </c>
      <c r="AW66" s="990">
        <v>232176</v>
      </c>
      <c r="AX66" s="705">
        <f t="shared" ref="AX66:AX81" si="184">ROUND(((AW66/AV66-1)*100), 1)</f>
        <v>14.3</v>
      </c>
      <c r="AY66" s="770">
        <f t="shared" ref="AY66:AY89" si="185">BB66-AV66</f>
        <v>36152</v>
      </c>
      <c r="AZ66" s="714">
        <f t="shared" ref="AZ66:AZ89" si="186">BC66-AW66</f>
        <v>30307</v>
      </c>
      <c r="BA66" s="705">
        <f t="shared" ref="BA66:BA73" si="187">ROUND(((AZ66/AY66-1)*100), 1)</f>
        <v>-16.2</v>
      </c>
      <c r="BB66" s="770">
        <v>239222</v>
      </c>
      <c r="BC66" s="714">
        <v>262483</v>
      </c>
      <c r="BD66" s="705">
        <f t="shared" ref="BD66:BD81" si="188">ROUND(((BC66/BB66-1)*100), 1)</f>
        <v>9.6999999999999993</v>
      </c>
      <c r="BE66" s="770">
        <f t="shared" ref="BE66:BF89" si="189">BH66-BB66</f>
        <v>34157</v>
      </c>
      <c r="BF66" s="714">
        <f t="shared" si="189"/>
        <v>28812</v>
      </c>
      <c r="BG66" s="705">
        <f t="shared" ref="BG66:BG73" si="190">ROUND(((BF66/BE66-1)*100), 1)</f>
        <v>-15.6</v>
      </c>
      <c r="BH66" s="770">
        <v>273379</v>
      </c>
      <c r="BI66" s="714">
        <v>291295</v>
      </c>
      <c r="BJ66" s="705">
        <f t="shared" ref="BJ66:BJ82" si="191">ROUND(((BI66/BH66-1)*100), 1)</f>
        <v>6.6</v>
      </c>
      <c r="BK66" s="770">
        <f t="shared" ref="BK66:BL89" si="192">BN66-BH66</f>
        <v>45695</v>
      </c>
      <c r="BL66" s="714">
        <f t="shared" si="192"/>
        <v>32112</v>
      </c>
      <c r="BM66" s="705">
        <f t="shared" ref="BM66:BM73" si="193">ROUND(((BL66/BK66-1)*100), 1)</f>
        <v>-29.7</v>
      </c>
      <c r="BN66" s="770">
        <v>319074</v>
      </c>
      <c r="BO66" s="714">
        <v>323407</v>
      </c>
      <c r="BP66" s="705">
        <f t="shared" ref="BP66:BP82" si="194">ROUND(((BO66/BN66-1)*100), 1)</f>
        <v>1.4</v>
      </c>
      <c r="BQ66" s="770">
        <f t="shared" ref="BQ66:BR89" si="195">BT66-BN66</f>
        <v>41536</v>
      </c>
      <c r="BR66" s="714">
        <f t="shared" si="195"/>
        <v>30442</v>
      </c>
      <c r="BS66" s="705">
        <f>ROUND(((BR66/BQ66-1)*100), 1)</f>
        <v>-26.7</v>
      </c>
      <c r="BT66" s="770">
        <v>360610</v>
      </c>
      <c r="BU66" s="714">
        <v>353849</v>
      </c>
      <c r="BV66" s="705">
        <f t="shared" ref="BV66:BV82" si="196">ROUND(((BU66/BT66-1)*100), 1)</f>
        <v>-1.9</v>
      </c>
    </row>
    <row r="67" spans="1:74">
      <c r="A67" s="96" t="s">
        <v>110</v>
      </c>
      <c r="B67" s="1176"/>
      <c r="C67" s="105" t="s">
        <v>61</v>
      </c>
      <c r="D67" s="98">
        <v>269833</v>
      </c>
      <c r="E67" s="98">
        <v>323157</v>
      </c>
      <c r="F67" s="98">
        <v>239496</v>
      </c>
      <c r="G67" s="98">
        <v>330988</v>
      </c>
      <c r="H67" s="98">
        <v>428637</v>
      </c>
      <c r="I67" s="98">
        <v>318656</v>
      </c>
      <c r="J67" s="98">
        <v>283402</v>
      </c>
      <c r="K67" s="98">
        <v>274210</v>
      </c>
      <c r="L67" s="417">
        <v>29797</v>
      </c>
      <c r="M67" s="386">
        <v>24290</v>
      </c>
      <c r="N67" s="265">
        <f t="shared" si="163"/>
        <v>-18.5</v>
      </c>
      <c r="O67" s="417">
        <f t="shared" si="164"/>
        <v>25470</v>
      </c>
      <c r="P67" s="386">
        <f t="shared" si="164"/>
        <v>27401</v>
      </c>
      <c r="Q67" s="265">
        <f t="shared" si="165"/>
        <v>7.6</v>
      </c>
      <c r="R67" s="417">
        <v>55267</v>
      </c>
      <c r="S67" s="386">
        <v>51691</v>
      </c>
      <c r="T67" s="265">
        <f t="shared" si="166"/>
        <v>-6.5</v>
      </c>
      <c r="U67" s="417">
        <f t="shared" si="167"/>
        <v>20871</v>
      </c>
      <c r="V67" s="386">
        <f t="shared" si="168"/>
        <v>28009</v>
      </c>
      <c r="W67" s="265">
        <f t="shared" si="169"/>
        <v>34.200000000000003</v>
      </c>
      <c r="X67" s="417">
        <v>76138</v>
      </c>
      <c r="Y67" s="386">
        <v>79700</v>
      </c>
      <c r="Z67" s="265">
        <f t="shared" si="170"/>
        <v>4.7</v>
      </c>
      <c r="AA67" s="417">
        <f t="shared" si="171"/>
        <v>24899</v>
      </c>
      <c r="AB67" s="386">
        <f t="shared" si="172"/>
        <v>36428</v>
      </c>
      <c r="AC67" s="265">
        <f t="shared" si="173"/>
        <v>46.3</v>
      </c>
      <c r="AD67" s="417">
        <v>101037</v>
      </c>
      <c r="AE67" s="386">
        <v>116128</v>
      </c>
      <c r="AF67" s="265">
        <f t="shared" si="174"/>
        <v>14.9</v>
      </c>
      <c r="AG67" s="417">
        <f t="shared" si="175"/>
        <v>19976</v>
      </c>
      <c r="AH67" s="386">
        <f t="shared" si="175"/>
        <v>28638</v>
      </c>
      <c r="AI67" s="265">
        <f t="shared" si="176"/>
        <v>43.4</v>
      </c>
      <c r="AJ67" s="417">
        <v>121013</v>
      </c>
      <c r="AK67" s="386">
        <v>144766</v>
      </c>
      <c r="AL67" s="265">
        <f t="shared" si="177"/>
        <v>19.600000000000001</v>
      </c>
      <c r="AM67" s="722">
        <f t="shared" si="178"/>
        <v>19022</v>
      </c>
      <c r="AN67" s="714">
        <f t="shared" si="179"/>
        <v>37960</v>
      </c>
      <c r="AO67" s="705">
        <f t="shared" si="180"/>
        <v>99.6</v>
      </c>
      <c r="AP67" s="770">
        <v>140035</v>
      </c>
      <c r="AQ67" s="714">
        <v>182726</v>
      </c>
      <c r="AR67" s="705">
        <f t="shared" si="181"/>
        <v>30.5</v>
      </c>
      <c r="AS67" s="770">
        <f t="shared" si="182"/>
        <v>18200</v>
      </c>
      <c r="AT67" s="714">
        <f t="shared" si="182"/>
        <v>25520</v>
      </c>
      <c r="AU67" s="705">
        <f t="shared" si="183"/>
        <v>40.200000000000003</v>
      </c>
      <c r="AV67" s="992">
        <v>158235</v>
      </c>
      <c r="AW67" s="990">
        <v>208246</v>
      </c>
      <c r="AX67" s="705">
        <f t="shared" si="184"/>
        <v>31.6</v>
      </c>
      <c r="AY67" s="770">
        <f t="shared" si="185"/>
        <v>21417</v>
      </c>
      <c r="AZ67" s="714">
        <f t="shared" si="186"/>
        <v>26376</v>
      </c>
      <c r="BA67" s="705">
        <f t="shared" si="187"/>
        <v>23.2</v>
      </c>
      <c r="BB67" s="770">
        <v>179652</v>
      </c>
      <c r="BC67" s="714">
        <v>234622</v>
      </c>
      <c r="BD67" s="705">
        <f t="shared" si="188"/>
        <v>30.6</v>
      </c>
      <c r="BE67" s="770">
        <f t="shared" si="189"/>
        <v>22175</v>
      </c>
      <c r="BF67" s="714">
        <f t="shared" si="189"/>
        <v>34458</v>
      </c>
      <c r="BG67" s="705">
        <f t="shared" si="190"/>
        <v>55.4</v>
      </c>
      <c r="BH67" s="770">
        <v>201827</v>
      </c>
      <c r="BI67" s="714">
        <v>269080</v>
      </c>
      <c r="BJ67" s="705">
        <f t="shared" si="191"/>
        <v>33.299999999999997</v>
      </c>
      <c r="BK67" s="770">
        <f t="shared" si="192"/>
        <v>23392</v>
      </c>
      <c r="BL67" s="714">
        <f t="shared" si="192"/>
        <v>35557</v>
      </c>
      <c r="BM67" s="705">
        <f t="shared" si="193"/>
        <v>52</v>
      </c>
      <c r="BN67" s="770">
        <v>225219</v>
      </c>
      <c r="BO67" s="714">
        <v>304637</v>
      </c>
      <c r="BP67" s="705">
        <f t="shared" si="194"/>
        <v>35.299999999999997</v>
      </c>
      <c r="BQ67" s="770">
        <f t="shared" si="195"/>
        <v>23611</v>
      </c>
      <c r="BR67" s="714">
        <f t="shared" si="195"/>
        <v>31810</v>
      </c>
      <c r="BS67" s="705">
        <f>ROUND(((BR67/BQ67-1)*100), 1)</f>
        <v>34.700000000000003</v>
      </c>
      <c r="BT67" s="770">
        <v>248830</v>
      </c>
      <c r="BU67" s="714">
        <v>336447</v>
      </c>
      <c r="BV67" s="705">
        <f t="shared" si="196"/>
        <v>35.200000000000003</v>
      </c>
    </row>
    <row r="68" spans="1:74">
      <c r="A68" s="96"/>
      <c r="B68" s="1176"/>
      <c r="C68" s="105" t="s">
        <v>56</v>
      </c>
      <c r="D68" s="98">
        <v>18604</v>
      </c>
      <c r="E68" s="98">
        <v>91808</v>
      </c>
      <c r="F68" s="98">
        <v>101640</v>
      </c>
      <c r="G68" s="98">
        <v>103767</v>
      </c>
      <c r="H68" s="98">
        <v>52966</v>
      </c>
      <c r="I68" s="98">
        <v>71663</v>
      </c>
      <c r="J68" s="98">
        <v>107538</v>
      </c>
      <c r="K68" s="98">
        <v>120043</v>
      </c>
      <c r="L68" s="417">
        <v>9499</v>
      </c>
      <c r="M68" s="386">
        <v>12057</v>
      </c>
      <c r="N68" s="265">
        <f t="shared" si="163"/>
        <v>26.9</v>
      </c>
      <c r="O68" s="417">
        <f t="shared" si="164"/>
        <v>9445</v>
      </c>
      <c r="P68" s="386">
        <f t="shared" si="164"/>
        <v>9143</v>
      </c>
      <c r="Q68" s="265">
        <f t="shared" si="165"/>
        <v>-3.2</v>
      </c>
      <c r="R68" s="417">
        <v>18944</v>
      </c>
      <c r="S68" s="386">
        <v>21200</v>
      </c>
      <c r="T68" s="265">
        <f t="shared" si="166"/>
        <v>11.9</v>
      </c>
      <c r="U68" s="417">
        <f t="shared" si="167"/>
        <v>13891</v>
      </c>
      <c r="V68" s="386">
        <f t="shared" si="168"/>
        <v>10770</v>
      </c>
      <c r="W68" s="265">
        <f t="shared" si="169"/>
        <v>-22.5</v>
      </c>
      <c r="X68" s="417">
        <v>32835</v>
      </c>
      <c r="Y68" s="386">
        <v>31970</v>
      </c>
      <c r="Z68" s="265">
        <f t="shared" si="170"/>
        <v>-2.6</v>
      </c>
      <c r="AA68" s="417">
        <f t="shared" si="171"/>
        <v>9682</v>
      </c>
      <c r="AB68" s="386">
        <f t="shared" si="172"/>
        <v>7605</v>
      </c>
      <c r="AC68" s="265">
        <f t="shared" si="173"/>
        <v>-21.5</v>
      </c>
      <c r="AD68" s="417">
        <v>42517</v>
      </c>
      <c r="AE68" s="386">
        <v>39575</v>
      </c>
      <c r="AF68" s="265">
        <f t="shared" si="174"/>
        <v>-6.9</v>
      </c>
      <c r="AG68" s="417">
        <f t="shared" si="175"/>
        <v>13557</v>
      </c>
      <c r="AH68" s="386">
        <f t="shared" si="175"/>
        <v>7564</v>
      </c>
      <c r="AI68" s="265">
        <f t="shared" si="176"/>
        <v>-44.2</v>
      </c>
      <c r="AJ68" s="417">
        <v>56074</v>
      </c>
      <c r="AK68" s="386">
        <v>47139</v>
      </c>
      <c r="AL68" s="265">
        <f t="shared" si="177"/>
        <v>-15.9</v>
      </c>
      <c r="AM68" s="722">
        <f t="shared" si="178"/>
        <v>7390</v>
      </c>
      <c r="AN68" s="714">
        <f t="shared" si="179"/>
        <v>4554</v>
      </c>
      <c r="AO68" s="705">
        <f t="shared" si="180"/>
        <v>-38.4</v>
      </c>
      <c r="AP68" s="770">
        <v>63464</v>
      </c>
      <c r="AQ68" s="714">
        <v>51693</v>
      </c>
      <c r="AR68" s="705">
        <f t="shared" si="181"/>
        <v>-18.5</v>
      </c>
      <c r="AS68" s="770">
        <f t="shared" si="182"/>
        <v>7307</v>
      </c>
      <c r="AT68" s="714">
        <f t="shared" si="182"/>
        <v>9945</v>
      </c>
      <c r="AU68" s="705">
        <f t="shared" si="183"/>
        <v>36.1</v>
      </c>
      <c r="AV68" s="992">
        <v>70771</v>
      </c>
      <c r="AW68" s="990">
        <v>61638</v>
      </c>
      <c r="AX68" s="705">
        <f t="shared" si="184"/>
        <v>-12.9</v>
      </c>
      <c r="AY68" s="770">
        <f t="shared" si="185"/>
        <v>8526</v>
      </c>
      <c r="AZ68" s="714">
        <f t="shared" si="186"/>
        <v>7625</v>
      </c>
      <c r="BA68" s="705">
        <f t="shared" si="187"/>
        <v>-10.6</v>
      </c>
      <c r="BB68" s="770">
        <v>79297</v>
      </c>
      <c r="BC68" s="714">
        <v>69263</v>
      </c>
      <c r="BD68" s="705">
        <f t="shared" si="188"/>
        <v>-12.7</v>
      </c>
      <c r="BE68" s="770">
        <f t="shared" si="189"/>
        <v>5041</v>
      </c>
      <c r="BF68" s="714">
        <f t="shared" si="189"/>
        <v>6689</v>
      </c>
      <c r="BG68" s="705">
        <f t="shared" si="190"/>
        <v>32.700000000000003</v>
      </c>
      <c r="BH68" s="770">
        <v>84338</v>
      </c>
      <c r="BI68" s="714">
        <v>75952</v>
      </c>
      <c r="BJ68" s="705">
        <f t="shared" si="191"/>
        <v>-9.9</v>
      </c>
      <c r="BK68" s="770">
        <f t="shared" si="192"/>
        <v>11526</v>
      </c>
      <c r="BL68" s="714">
        <f t="shared" si="192"/>
        <v>5265</v>
      </c>
      <c r="BM68" s="705">
        <f t="shared" si="193"/>
        <v>-54.3</v>
      </c>
      <c r="BN68" s="770">
        <v>95864</v>
      </c>
      <c r="BO68" s="714">
        <v>81217</v>
      </c>
      <c r="BP68" s="705">
        <f t="shared" si="194"/>
        <v>-15.3</v>
      </c>
      <c r="BQ68" s="770">
        <f t="shared" si="195"/>
        <v>12829</v>
      </c>
      <c r="BR68" s="714">
        <f t="shared" si="195"/>
        <v>4915</v>
      </c>
      <c r="BS68" s="705">
        <f>ROUND(((BR68/BQ68-1)*100), 1)</f>
        <v>-61.7</v>
      </c>
      <c r="BT68" s="770">
        <v>108693</v>
      </c>
      <c r="BU68" s="714">
        <v>86132</v>
      </c>
      <c r="BV68" s="705">
        <f t="shared" si="196"/>
        <v>-20.8</v>
      </c>
    </row>
    <row r="69" spans="1:74">
      <c r="A69" s="96"/>
      <c r="B69" s="1176"/>
      <c r="C69" s="105" t="s">
        <v>86</v>
      </c>
      <c r="D69" s="98">
        <v>224689</v>
      </c>
      <c r="E69" s="98">
        <v>121825</v>
      </c>
      <c r="F69" s="98">
        <v>124537</v>
      </c>
      <c r="G69" s="98">
        <v>88703</v>
      </c>
      <c r="H69" s="98">
        <v>38976</v>
      </c>
      <c r="I69" s="98">
        <v>48926</v>
      </c>
      <c r="J69" s="98">
        <v>17567</v>
      </c>
      <c r="K69" s="98">
        <v>116288</v>
      </c>
      <c r="L69" s="417">
        <v>3902</v>
      </c>
      <c r="M69" s="386">
        <v>5623</v>
      </c>
      <c r="N69" s="265">
        <f t="shared" si="163"/>
        <v>44.1</v>
      </c>
      <c r="O69" s="417">
        <f t="shared" si="164"/>
        <v>2549</v>
      </c>
      <c r="P69" s="386">
        <f t="shared" si="164"/>
        <v>3871</v>
      </c>
      <c r="Q69" s="265">
        <f t="shared" si="165"/>
        <v>51.9</v>
      </c>
      <c r="R69" s="417">
        <v>6451</v>
      </c>
      <c r="S69" s="386">
        <v>9494</v>
      </c>
      <c r="T69" s="265">
        <f t="shared" si="166"/>
        <v>47.2</v>
      </c>
      <c r="U69" s="417">
        <f t="shared" si="167"/>
        <v>5769</v>
      </c>
      <c r="V69" s="386">
        <f t="shared" si="168"/>
        <v>5949</v>
      </c>
      <c r="W69" s="265">
        <f t="shared" si="169"/>
        <v>3.1</v>
      </c>
      <c r="X69" s="417">
        <v>12220</v>
      </c>
      <c r="Y69" s="386">
        <v>15443</v>
      </c>
      <c r="Z69" s="265">
        <f t="shared" si="170"/>
        <v>26.4</v>
      </c>
      <c r="AA69" s="417">
        <f t="shared" si="171"/>
        <v>8265</v>
      </c>
      <c r="AB69" s="386">
        <f t="shared" si="172"/>
        <v>2288</v>
      </c>
      <c r="AC69" s="265">
        <f t="shared" si="173"/>
        <v>-72.3</v>
      </c>
      <c r="AD69" s="417">
        <v>20485</v>
      </c>
      <c r="AE69" s="386">
        <v>17731</v>
      </c>
      <c r="AF69" s="265">
        <f t="shared" si="174"/>
        <v>-13.4</v>
      </c>
      <c r="AG69" s="417">
        <f t="shared" si="175"/>
        <v>18959</v>
      </c>
      <c r="AH69" s="386">
        <f t="shared" si="175"/>
        <v>4143</v>
      </c>
      <c r="AI69" s="265">
        <f t="shared" si="176"/>
        <v>-78.099999999999994</v>
      </c>
      <c r="AJ69" s="417">
        <v>39444</v>
      </c>
      <c r="AK69" s="386">
        <v>21874</v>
      </c>
      <c r="AL69" s="265">
        <f t="shared" si="177"/>
        <v>-44.5</v>
      </c>
      <c r="AM69" s="722">
        <f t="shared" si="178"/>
        <v>17338</v>
      </c>
      <c r="AN69" s="714">
        <f t="shared" si="179"/>
        <v>1376</v>
      </c>
      <c r="AO69" s="705">
        <f t="shared" si="180"/>
        <v>-92.1</v>
      </c>
      <c r="AP69" s="770">
        <v>56782</v>
      </c>
      <c r="AQ69" s="714">
        <v>23250</v>
      </c>
      <c r="AR69" s="705">
        <f t="shared" si="181"/>
        <v>-59.1</v>
      </c>
      <c r="AS69" s="770">
        <f t="shared" si="182"/>
        <v>10662</v>
      </c>
      <c r="AT69" s="714">
        <f t="shared" si="182"/>
        <v>4049</v>
      </c>
      <c r="AU69" s="705">
        <f t="shared" si="183"/>
        <v>-62</v>
      </c>
      <c r="AV69" s="992">
        <v>67444</v>
      </c>
      <c r="AW69" s="990">
        <v>27299</v>
      </c>
      <c r="AX69" s="705">
        <f t="shared" si="184"/>
        <v>-59.5</v>
      </c>
      <c r="AY69" s="770">
        <f t="shared" si="185"/>
        <v>13952</v>
      </c>
      <c r="AZ69" s="714">
        <f t="shared" si="186"/>
        <v>504</v>
      </c>
      <c r="BA69" s="705">
        <f t="shared" si="187"/>
        <v>-96.4</v>
      </c>
      <c r="BB69" s="770">
        <v>81396</v>
      </c>
      <c r="BC69" s="714">
        <v>27803</v>
      </c>
      <c r="BD69" s="705">
        <f t="shared" si="188"/>
        <v>-65.8</v>
      </c>
      <c r="BE69" s="770">
        <f t="shared" si="189"/>
        <v>8068</v>
      </c>
      <c r="BF69" s="714">
        <f t="shared" si="189"/>
        <v>3961</v>
      </c>
      <c r="BG69" s="705">
        <f t="shared" si="190"/>
        <v>-50.9</v>
      </c>
      <c r="BH69" s="770">
        <v>89464</v>
      </c>
      <c r="BI69" s="714">
        <v>31764</v>
      </c>
      <c r="BJ69" s="705">
        <f t="shared" si="191"/>
        <v>-64.5</v>
      </c>
      <c r="BK69" s="770">
        <f t="shared" si="192"/>
        <v>11906</v>
      </c>
      <c r="BL69" s="714">
        <f t="shared" si="192"/>
        <v>1363</v>
      </c>
      <c r="BM69" s="705">
        <f t="shared" si="193"/>
        <v>-88.6</v>
      </c>
      <c r="BN69" s="770">
        <v>101370</v>
      </c>
      <c r="BO69" s="714">
        <v>33127</v>
      </c>
      <c r="BP69" s="705">
        <f t="shared" si="194"/>
        <v>-67.3</v>
      </c>
      <c r="BQ69" s="770">
        <f t="shared" si="195"/>
        <v>8699</v>
      </c>
      <c r="BR69" s="714">
        <f t="shared" si="195"/>
        <v>3661</v>
      </c>
      <c r="BS69" s="705">
        <f>ROUND(((BR69/BQ69-1)*100), 1)</f>
        <v>-57.9</v>
      </c>
      <c r="BT69" s="770">
        <v>110069</v>
      </c>
      <c r="BU69" s="714">
        <v>36788</v>
      </c>
      <c r="BV69" s="705">
        <f t="shared" si="196"/>
        <v>-66.599999999999994</v>
      </c>
    </row>
    <row r="70" spans="1:74">
      <c r="A70" s="96"/>
      <c r="B70" s="1176"/>
      <c r="C70" s="105" t="s">
        <v>145</v>
      </c>
      <c r="D70" s="98">
        <v>200</v>
      </c>
      <c r="E70" s="98">
        <v>37541</v>
      </c>
      <c r="F70" s="98">
        <v>104932</v>
      </c>
      <c r="G70" s="98">
        <v>111391</v>
      </c>
      <c r="H70" s="98">
        <v>99553</v>
      </c>
      <c r="I70" s="98">
        <v>32164</v>
      </c>
      <c r="J70" s="98">
        <v>44662</v>
      </c>
      <c r="K70" s="98">
        <v>32489</v>
      </c>
      <c r="L70" s="417">
        <v>4310</v>
      </c>
      <c r="M70" s="386">
        <v>1104</v>
      </c>
      <c r="N70" s="265">
        <f t="shared" si="163"/>
        <v>-74.400000000000006</v>
      </c>
      <c r="O70" s="417">
        <f t="shared" si="164"/>
        <v>7806</v>
      </c>
      <c r="P70" s="386">
        <f t="shared" si="164"/>
        <v>2446</v>
      </c>
      <c r="Q70" s="265">
        <f t="shared" si="165"/>
        <v>-68.7</v>
      </c>
      <c r="R70" s="417">
        <v>12116</v>
      </c>
      <c r="S70" s="386">
        <v>3550</v>
      </c>
      <c r="T70" s="265">
        <f t="shared" si="166"/>
        <v>-70.7</v>
      </c>
      <c r="U70" s="417">
        <f t="shared" si="167"/>
        <v>6799</v>
      </c>
      <c r="V70" s="386">
        <f t="shared" si="168"/>
        <v>549</v>
      </c>
      <c r="W70" s="265">
        <f t="shared" si="169"/>
        <v>-91.9</v>
      </c>
      <c r="X70" s="417">
        <v>18915</v>
      </c>
      <c r="Y70" s="386">
        <v>4099</v>
      </c>
      <c r="Z70" s="265">
        <f t="shared" si="170"/>
        <v>-78.3</v>
      </c>
      <c r="AA70" s="417">
        <f t="shared" si="171"/>
        <v>3470</v>
      </c>
      <c r="AB70" s="386">
        <f t="shared" si="172"/>
        <v>2662</v>
      </c>
      <c r="AC70" s="265">
        <f t="shared" si="173"/>
        <v>-23.3</v>
      </c>
      <c r="AD70" s="417">
        <v>22385</v>
      </c>
      <c r="AE70" s="386">
        <v>6761</v>
      </c>
      <c r="AF70" s="265">
        <f t="shared" si="174"/>
        <v>-69.8</v>
      </c>
      <c r="AG70" s="417">
        <f t="shared" si="175"/>
        <v>3964</v>
      </c>
      <c r="AH70" s="386">
        <f t="shared" si="175"/>
        <v>2500</v>
      </c>
      <c r="AI70" s="265">
        <f t="shared" si="176"/>
        <v>-36.9</v>
      </c>
      <c r="AJ70" s="417">
        <v>26349</v>
      </c>
      <c r="AK70" s="386">
        <v>9261</v>
      </c>
      <c r="AL70" s="265">
        <f t="shared" si="177"/>
        <v>-64.900000000000006</v>
      </c>
      <c r="AM70" s="722">
        <f t="shared" si="178"/>
        <v>25</v>
      </c>
      <c r="AN70" s="714">
        <f t="shared" si="179"/>
        <v>7134</v>
      </c>
      <c r="AO70" s="705">
        <f t="shared" si="180"/>
        <v>28436</v>
      </c>
      <c r="AP70" s="770">
        <v>26374</v>
      </c>
      <c r="AQ70" s="714">
        <v>16395</v>
      </c>
      <c r="AR70" s="705">
        <f t="shared" si="181"/>
        <v>-37.799999999999997</v>
      </c>
      <c r="AS70" s="770">
        <f t="shared" si="182"/>
        <v>1259</v>
      </c>
      <c r="AT70" s="714">
        <f t="shared" si="182"/>
        <v>2149</v>
      </c>
      <c r="AU70" s="705">
        <f t="shared" si="183"/>
        <v>70.7</v>
      </c>
      <c r="AV70" s="992">
        <v>27633</v>
      </c>
      <c r="AW70" s="990">
        <v>18544</v>
      </c>
      <c r="AX70" s="705">
        <f t="shared" si="184"/>
        <v>-32.9</v>
      </c>
      <c r="AY70" s="770">
        <f t="shared" si="185"/>
        <v>0</v>
      </c>
      <c r="AZ70" s="714">
        <f t="shared" si="186"/>
        <v>1803</v>
      </c>
      <c r="BA70" s="751">
        <v>0</v>
      </c>
      <c r="BB70" s="770">
        <v>27633</v>
      </c>
      <c r="BC70" s="714">
        <v>20347</v>
      </c>
      <c r="BD70" s="705">
        <f t="shared" si="188"/>
        <v>-26.4</v>
      </c>
      <c r="BE70" s="770">
        <f t="shared" si="189"/>
        <v>1312</v>
      </c>
      <c r="BF70" s="714">
        <f t="shared" si="189"/>
        <v>5142</v>
      </c>
      <c r="BG70" s="705">
        <f t="shared" si="190"/>
        <v>291.89999999999998</v>
      </c>
      <c r="BH70" s="770">
        <v>28945</v>
      </c>
      <c r="BI70" s="714">
        <v>25489</v>
      </c>
      <c r="BJ70" s="705">
        <f t="shared" si="191"/>
        <v>-11.9</v>
      </c>
      <c r="BK70" s="770">
        <f t="shared" si="192"/>
        <v>0</v>
      </c>
      <c r="BL70" s="714">
        <f t="shared" si="192"/>
        <v>2186</v>
      </c>
      <c r="BM70" s="751">
        <v>0</v>
      </c>
      <c r="BN70" s="770">
        <v>28945</v>
      </c>
      <c r="BO70" s="714">
        <v>27675</v>
      </c>
      <c r="BP70" s="705">
        <f t="shared" si="194"/>
        <v>-4.4000000000000004</v>
      </c>
      <c r="BQ70" s="770">
        <f t="shared" si="195"/>
        <v>1950</v>
      </c>
      <c r="BR70" s="714">
        <f t="shared" si="195"/>
        <v>4587</v>
      </c>
      <c r="BS70" s="753">
        <f>ROUND(((BR70/BQ70-1)*100), 1)</f>
        <v>135.19999999999999</v>
      </c>
      <c r="BT70" s="770">
        <v>30895</v>
      </c>
      <c r="BU70" s="714">
        <v>32262</v>
      </c>
      <c r="BV70" s="705">
        <f t="shared" si="196"/>
        <v>4.4000000000000004</v>
      </c>
    </row>
    <row r="71" spans="1:74">
      <c r="A71" s="96"/>
      <c r="B71" s="1176"/>
      <c r="C71" s="105" t="s">
        <v>90</v>
      </c>
      <c r="D71" s="98">
        <v>22608</v>
      </c>
      <c r="E71" s="98">
        <v>38603</v>
      </c>
      <c r="F71" s="98">
        <v>18422</v>
      </c>
      <c r="G71" s="98">
        <v>3225</v>
      </c>
      <c r="H71" s="98">
        <v>19533</v>
      </c>
      <c r="I71" s="98">
        <v>27031</v>
      </c>
      <c r="J71" s="98">
        <v>22296</v>
      </c>
      <c r="K71" s="98">
        <v>29666</v>
      </c>
      <c r="L71" s="417">
        <v>3441</v>
      </c>
      <c r="M71" s="386">
        <v>2479</v>
      </c>
      <c r="N71" s="265">
        <f t="shared" si="163"/>
        <v>-28</v>
      </c>
      <c r="O71" s="417">
        <f t="shared" si="164"/>
        <v>321</v>
      </c>
      <c r="P71" s="386">
        <f t="shared" si="164"/>
        <v>619</v>
      </c>
      <c r="Q71" s="265">
        <f t="shared" si="165"/>
        <v>92.8</v>
      </c>
      <c r="R71" s="417">
        <v>3762</v>
      </c>
      <c r="S71" s="386">
        <v>3098</v>
      </c>
      <c r="T71" s="265">
        <f t="shared" si="166"/>
        <v>-17.7</v>
      </c>
      <c r="U71" s="417">
        <f t="shared" si="167"/>
        <v>1477</v>
      </c>
      <c r="V71" s="386">
        <f t="shared" si="168"/>
        <v>297</v>
      </c>
      <c r="W71" s="265">
        <f t="shared" si="169"/>
        <v>-79.900000000000006</v>
      </c>
      <c r="X71" s="417">
        <v>5239</v>
      </c>
      <c r="Y71" s="386">
        <v>3395</v>
      </c>
      <c r="Z71" s="265">
        <f t="shared" si="170"/>
        <v>-35.200000000000003</v>
      </c>
      <c r="AA71" s="417">
        <f t="shared" si="171"/>
        <v>848</v>
      </c>
      <c r="AB71" s="386">
        <f t="shared" si="172"/>
        <v>2851</v>
      </c>
      <c r="AC71" s="265">
        <f t="shared" si="173"/>
        <v>236.2</v>
      </c>
      <c r="AD71" s="417">
        <v>6087</v>
      </c>
      <c r="AE71" s="386">
        <v>6246</v>
      </c>
      <c r="AF71" s="265">
        <f t="shared" si="174"/>
        <v>2.6</v>
      </c>
      <c r="AG71" s="417">
        <f t="shared" si="175"/>
        <v>3365</v>
      </c>
      <c r="AH71" s="386">
        <f t="shared" si="175"/>
        <v>3947</v>
      </c>
      <c r="AI71" s="265">
        <f t="shared" si="176"/>
        <v>17.3</v>
      </c>
      <c r="AJ71" s="417">
        <v>9452</v>
      </c>
      <c r="AK71" s="386">
        <v>10193</v>
      </c>
      <c r="AL71" s="265">
        <f t="shared" si="177"/>
        <v>7.8</v>
      </c>
      <c r="AM71" s="722">
        <f t="shared" si="178"/>
        <v>4638</v>
      </c>
      <c r="AN71" s="714">
        <f t="shared" si="179"/>
        <v>4711</v>
      </c>
      <c r="AO71" s="705">
        <f t="shared" si="180"/>
        <v>1.6</v>
      </c>
      <c r="AP71" s="770">
        <v>14090</v>
      </c>
      <c r="AQ71" s="714">
        <v>14904</v>
      </c>
      <c r="AR71" s="705">
        <f t="shared" si="181"/>
        <v>5.8</v>
      </c>
      <c r="AS71" s="770">
        <f t="shared" si="182"/>
        <v>2866</v>
      </c>
      <c r="AT71" s="714">
        <f t="shared" si="182"/>
        <v>4129</v>
      </c>
      <c r="AU71" s="705">
        <f t="shared" si="183"/>
        <v>44.1</v>
      </c>
      <c r="AV71" s="992">
        <v>16956</v>
      </c>
      <c r="AW71" s="990">
        <v>19033</v>
      </c>
      <c r="AX71" s="705">
        <f t="shared" si="184"/>
        <v>12.2</v>
      </c>
      <c r="AY71" s="770">
        <f t="shared" si="185"/>
        <v>2927</v>
      </c>
      <c r="AZ71" s="714">
        <f t="shared" si="186"/>
        <v>7479</v>
      </c>
      <c r="BA71" s="705">
        <f t="shared" si="187"/>
        <v>155.5</v>
      </c>
      <c r="BB71" s="770">
        <v>19883</v>
      </c>
      <c r="BC71" s="714">
        <v>26512</v>
      </c>
      <c r="BD71" s="705">
        <f t="shared" si="188"/>
        <v>33.299999999999997</v>
      </c>
      <c r="BE71" s="770">
        <f t="shared" si="189"/>
        <v>2864</v>
      </c>
      <c r="BF71" s="714">
        <f t="shared" si="189"/>
        <v>5772</v>
      </c>
      <c r="BG71" s="705">
        <f t="shared" si="190"/>
        <v>101.5</v>
      </c>
      <c r="BH71" s="770">
        <v>22747</v>
      </c>
      <c r="BI71" s="714">
        <v>32284</v>
      </c>
      <c r="BJ71" s="705">
        <f t="shared" si="191"/>
        <v>41.9</v>
      </c>
      <c r="BK71" s="770">
        <f t="shared" si="192"/>
        <v>2746</v>
      </c>
      <c r="BL71" s="714">
        <f t="shared" si="192"/>
        <v>5169</v>
      </c>
      <c r="BM71" s="705">
        <f t="shared" si="193"/>
        <v>88.2</v>
      </c>
      <c r="BN71" s="770">
        <v>25493</v>
      </c>
      <c r="BO71" s="714">
        <v>37453</v>
      </c>
      <c r="BP71" s="705">
        <f t="shared" si="194"/>
        <v>46.9</v>
      </c>
      <c r="BQ71" s="770">
        <f t="shared" si="195"/>
        <v>1843</v>
      </c>
      <c r="BR71" s="714">
        <f t="shared" si="195"/>
        <v>6966</v>
      </c>
      <c r="BS71" s="705">
        <f t="shared" ref="BS71:BS76" si="197">ROUND(((BR71/BQ71-1)*100), 1)</f>
        <v>278</v>
      </c>
      <c r="BT71" s="770">
        <v>27336</v>
      </c>
      <c r="BU71" s="714">
        <v>44419</v>
      </c>
      <c r="BV71" s="705">
        <f t="shared" si="196"/>
        <v>62.5</v>
      </c>
    </row>
    <row r="72" spans="1:74">
      <c r="A72" s="96"/>
      <c r="B72" s="1176"/>
      <c r="C72" s="105" t="s">
        <v>64</v>
      </c>
      <c r="D72" s="98">
        <v>104516</v>
      </c>
      <c r="E72" s="98">
        <v>71571</v>
      </c>
      <c r="F72" s="98">
        <v>79562</v>
      </c>
      <c r="G72" s="98">
        <v>74682</v>
      </c>
      <c r="H72" s="98">
        <v>56630</v>
      </c>
      <c r="I72" s="98">
        <v>54062</v>
      </c>
      <c r="J72" s="98">
        <v>47562</v>
      </c>
      <c r="K72" s="98">
        <v>23877</v>
      </c>
      <c r="L72" s="417">
        <v>1481</v>
      </c>
      <c r="M72" s="386">
        <v>2383</v>
      </c>
      <c r="N72" s="265">
        <f t="shared" si="163"/>
        <v>60.9</v>
      </c>
      <c r="O72" s="417">
        <f t="shared" si="164"/>
        <v>1741</v>
      </c>
      <c r="P72" s="386">
        <f t="shared" si="164"/>
        <v>963</v>
      </c>
      <c r="Q72" s="265">
        <f t="shared" si="165"/>
        <v>-44.7</v>
      </c>
      <c r="R72" s="417">
        <v>3222</v>
      </c>
      <c r="S72" s="386">
        <v>3346</v>
      </c>
      <c r="T72" s="265">
        <f t="shared" si="166"/>
        <v>3.8</v>
      </c>
      <c r="U72" s="417">
        <f t="shared" si="167"/>
        <v>555</v>
      </c>
      <c r="V72" s="386">
        <f t="shared" si="168"/>
        <v>1086</v>
      </c>
      <c r="W72" s="265">
        <f t="shared" si="169"/>
        <v>95.7</v>
      </c>
      <c r="X72" s="417">
        <v>3777</v>
      </c>
      <c r="Y72" s="386">
        <v>4432</v>
      </c>
      <c r="Z72" s="265">
        <f t="shared" si="170"/>
        <v>17.3</v>
      </c>
      <c r="AA72" s="417">
        <f t="shared" si="171"/>
        <v>3799</v>
      </c>
      <c r="AB72" s="386">
        <f t="shared" si="172"/>
        <v>493</v>
      </c>
      <c r="AC72" s="265">
        <f t="shared" si="173"/>
        <v>-87</v>
      </c>
      <c r="AD72" s="417">
        <v>7576</v>
      </c>
      <c r="AE72" s="386">
        <v>4925</v>
      </c>
      <c r="AF72" s="265">
        <f t="shared" si="174"/>
        <v>-35</v>
      </c>
      <c r="AG72" s="417">
        <f t="shared" si="175"/>
        <v>4032</v>
      </c>
      <c r="AH72" s="386">
        <f t="shared" si="175"/>
        <v>307</v>
      </c>
      <c r="AI72" s="265">
        <f t="shared" si="176"/>
        <v>-92.4</v>
      </c>
      <c r="AJ72" s="417">
        <v>11608</v>
      </c>
      <c r="AK72" s="386">
        <v>5232</v>
      </c>
      <c r="AL72" s="265">
        <f t="shared" si="177"/>
        <v>-54.9</v>
      </c>
      <c r="AM72" s="722">
        <f t="shared" si="178"/>
        <v>2787</v>
      </c>
      <c r="AN72" s="714">
        <f t="shared" si="179"/>
        <v>198</v>
      </c>
      <c r="AO72" s="705">
        <f t="shared" si="180"/>
        <v>-92.9</v>
      </c>
      <c r="AP72" s="770">
        <v>14395</v>
      </c>
      <c r="AQ72" s="714">
        <v>5430</v>
      </c>
      <c r="AR72" s="705">
        <f t="shared" si="181"/>
        <v>-62.3</v>
      </c>
      <c r="AS72" s="770">
        <f t="shared" si="182"/>
        <v>3111</v>
      </c>
      <c r="AT72" s="714">
        <f t="shared" si="182"/>
        <v>1101</v>
      </c>
      <c r="AU72" s="705">
        <f t="shared" si="183"/>
        <v>-64.599999999999994</v>
      </c>
      <c r="AV72" s="992">
        <v>17506</v>
      </c>
      <c r="AW72" s="990">
        <v>6531</v>
      </c>
      <c r="AX72" s="705">
        <f t="shared" si="184"/>
        <v>-62.7</v>
      </c>
      <c r="AY72" s="770">
        <f t="shared" si="185"/>
        <v>2145</v>
      </c>
      <c r="AZ72" s="714">
        <f t="shared" si="186"/>
        <v>1614</v>
      </c>
      <c r="BA72" s="705">
        <f t="shared" si="187"/>
        <v>-24.8</v>
      </c>
      <c r="BB72" s="770">
        <v>19651</v>
      </c>
      <c r="BC72" s="714">
        <v>8145</v>
      </c>
      <c r="BD72" s="705">
        <f t="shared" si="188"/>
        <v>-58.6</v>
      </c>
      <c r="BE72" s="770">
        <f t="shared" si="189"/>
        <v>1493</v>
      </c>
      <c r="BF72" s="714">
        <f t="shared" si="189"/>
        <v>2433</v>
      </c>
      <c r="BG72" s="705">
        <f t="shared" si="190"/>
        <v>63</v>
      </c>
      <c r="BH72" s="770">
        <v>21144</v>
      </c>
      <c r="BI72" s="714">
        <v>10578</v>
      </c>
      <c r="BJ72" s="705">
        <f t="shared" si="191"/>
        <v>-50</v>
      </c>
      <c r="BK72" s="770">
        <f t="shared" si="192"/>
        <v>257</v>
      </c>
      <c r="BL72" s="714">
        <f t="shared" si="192"/>
        <v>2586</v>
      </c>
      <c r="BM72" s="705">
        <f t="shared" si="193"/>
        <v>906.2</v>
      </c>
      <c r="BN72" s="770">
        <v>21401</v>
      </c>
      <c r="BO72" s="714">
        <v>13164</v>
      </c>
      <c r="BP72" s="705">
        <f t="shared" si="194"/>
        <v>-38.5</v>
      </c>
      <c r="BQ72" s="770">
        <f t="shared" si="195"/>
        <v>1493</v>
      </c>
      <c r="BR72" s="714">
        <f t="shared" si="195"/>
        <v>949</v>
      </c>
      <c r="BS72" s="705">
        <f t="shared" si="197"/>
        <v>-36.4</v>
      </c>
      <c r="BT72" s="770">
        <v>22894</v>
      </c>
      <c r="BU72" s="714">
        <v>14113</v>
      </c>
      <c r="BV72" s="705">
        <f t="shared" si="196"/>
        <v>-38.4</v>
      </c>
    </row>
    <row r="73" spans="1:74">
      <c r="A73" s="96"/>
      <c r="B73" s="1176"/>
      <c r="C73" s="105" t="s">
        <v>91</v>
      </c>
      <c r="D73" s="98">
        <v>10281</v>
      </c>
      <c r="E73" s="98">
        <v>6806</v>
      </c>
      <c r="F73" s="98">
        <v>2291</v>
      </c>
      <c r="G73" s="98">
        <v>3948</v>
      </c>
      <c r="H73" s="98">
        <v>25649</v>
      </c>
      <c r="I73" s="98">
        <v>14391</v>
      </c>
      <c r="J73" s="98">
        <v>4137</v>
      </c>
      <c r="K73" s="98">
        <v>22574</v>
      </c>
      <c r="L73" s="417">
        <v>0</v>
      </c>
      <c r="M73" s="386">
        <v>1448</v>
      </c>
      <c r="N73" s="179">
        <v>0</v>
      </c>
      <c r="O73" s="417">
        <f t="shared" si="164"/>
        <v>275</v>
      </c>
      <c r="P73" s="386">
        <f t="shared" si="164"/>
        <v>2517</v>
      </c>
      <c r="Q73" s="265">
        <f t="shared" si="165"/>
        <v>815.3</v>
      </c>
      <c r="R73" s="417">
        <v>275</v>
      </c>
      <c r="S73" s="386">
        <v>3965</v>
      </c>
      <c r="T73" s="265">
        <f t="shared" si="166"/>
        <v>1341.8</v>
      </c>
      <c r="U73" s="417">
        <f t="shared" si="167"/>
        <v>400</v>
      </c>
      <c r="V73" s="386">
        <f t="shared" si="168"/>
        <v>1596</v>
      </c>
      <c r="W73" s="265">
        <f t="shared" si="169"/>
        <v>299</v>
      </c>
      <c r="X73" s="417">
        <v>675</v>
      </c>
      <c r="Y73" s="386">
        <v>5561</v>
      </c>
      <c r="Z73" s="265">
        <f t="shared" si="170"/>
        <v>723.9</v>
      </c>
      <c r="AA73" s="417">
        <f t="shared" si="171"/>
        <v>0</v>
      </c>
      <c r="AB73" s="386">
        <f t="shared" si="172"/>
        <v>1697</v>
      </c>
      <c r="AC73" s="523">
        <v>0</v>
      </c>
      <c r="AD73" s="417">
        <v>675</v>
      </c>
      <c r="AE73" s="386">
        <v>7258</v>
      </c>
      <c r="AF73" s="265">
        <f t="shared" si="174"/>
        <v>975.3</v>
      </c>
      <c r="AG73" s="417">
        <f t="shared" si="175"/>
        <v>4591</v>
      </c>
      <c r="AH73" s="386">
        <f t="shared" si="175"/>
        <v>1596</v>
      </c>
      <c r="AI73" s="265">
        <f t="shared" si="176"/>
        <v>-65.2</v>
      </c>
      <c r="AJ73" s="417">
        <v>5266</v>
      </c>
      <c r="AK73" s="386">
        <v>8854</v>
      </c>
      <c r="AL73" s="265">
        <f t="shared" si="177"/>
        <v>68.099999999999994</v>
      </c>
      <c r="AM73" s="722">
        <f t="shared" si="178"/>
        <v>2900</v>
      </c>
      <c r="AN73" s="714">
        <f t="shared" si="179"/>
        <v>803</v>
      </c>
      <c r="AO73" s="705">
        <f t="shared" si="180"/>
        <v>-72.3</v>
      </c>
      <c r="AP73" s="770">
        <v>8166</v>
      </c>
      <c r="AQ73" s="714">
        <v>9657</v>
      </c>
      <c r="AR73" s="705">
        <f t="shared" si="181"/>
        <v>18.3</v>
      </c>
      <c r="AS73" s="770">
        <f t="shared" si="182"/>
        <v>3650</v>
      </c>
      <c r="AT73" s="714">
        <f t="shared" si="182"/>
        <v>2597</v>
      </c>
      <c r="AU73" s="705">
        <f t="shared" si="183"/>
        <v>-28.8</v>
      </c>
      <c r="AV73" s="992">
        <v>11816</v>
      </c>
      <c r="AW73" s="990">
        <v>12254</v>
      </c>
      <c r="AX73" s="705">
        <f t="shared" si="184"/>
        <v>3.7</v>
      </c>
      <c r="AY73" s="770">
        <f t="shared" si="185"/>
        <v>799</v>
      </c>
      <c r="AZ73" s="714">
        <f t="shared" si="186"/>
        <v>796</v>
      </c>
      <c r="BA73" s="705">
        <f t="shared" si="187"/>
        <v>-0.4</v>
      </c>
      <c r="BB73" s="770">
        <v>12615</v>
      </c>
      <c r="BC73" s="714">
        <v>13050</v>
      </c>
      <c r="BD73" s="705">
        <f t="shared" si="188"/>
        <v>3.4</v>
      </c>
      <c r="BE73" s="770">
        <f t="shared" si="189"/>
        <v>5193</v>
      </c>
      <c r="BF73" s="714">
        <f t="shared" si="189"/>
        <v>50</v>
      </c>
      <c r="BG73" s="705">
        <f t="shared" si="190"/>
        <v>-99</v>
      </c>
      <c r="BH73" s="770">
        <v>17808</v>
      </c>
      <c r="BI73" s="714">
        <v>13100</v>
      </c>
      <c r="BJ73" s="705">
        <f t="shared" si="191"/>
        <v>-26.4</v>
      </c>
      <c r="BK73" s="770">
        <f t="shared" si="192"/>
        <v>1771</v>
      </c>
      <c r="BL73" s="714">
        <f t="shared" si="192"/>
        <v>1797</v>
      </c>
      <c r="BM73" s="705">
        <f t="shared" si="193"/>
        <v>1.5</v>
      </c>
      <c r="BN73" s="770">
        <v>19579</v>
      </c>
      <c r="BO73" s="714">
        <v>14897</v>
      </c>
      <c r="BP73" s="705">
        <f t="shared" si="194"/>
        <v>-23.9</v>
      </c>
      <c r="BQ73" s="770">
        <f t="shared" si="195"/>
        <v>900</v>
      </c>
      <c r="BR73" s="714">
        <f t="shared" si="195"/>
        <v>698</v>
      </c>
      <c r="BS73" s="705">
        <f t="shared" si="197"/>
        <v>-22.4</v>
      </c>
      <c r="BT73" s="770">
        <v>20479</v>
      </c>
      <c r="BU73" s="714">
        <v>15595</v>
      </c>
      <c r="BV73" s="705">
        <f t="shared" si="196"/>
        <v>-23.8</v>
      </c>
    </row>
    <row r="74" spans="1:74">
      <c r="A74" s="96"/>
      <c r="B74" s="1176"/>
      <c r="C74" s="105" t="s">
        <v>72</v>
      </c>
      <c r="D74" s="98">
        <v>17823</v>
      </c>
      <c r="E74" s="98">
        <v>49243</v>
      </c>
      <c r="F74" s="98">
        <v>17899</v>
      </c>
      <c r="G74" s="98">
        <v>2934</v>
      </c>
      <c r="H74" s="98">
        <v>122049</v>
      </c>
      <c r="I74" s="98">
        <v>122093</v>
      </c>
      <c r="J74" s="98">
        <v>61376</v>
      </c>
      <c r="K74" s="98">
        <v>21072</v>
      </c>
      <c r="L74" s="417">
        <v>3286</v>
      </c>
      <c r="M74" s="386">
        <v>0</v>
      </c>
      <c r="N74" s="265">
        <f t="shared" si="163"/>
        <v>-100</v>
      </c>
      <c r="O74" s="417">
        <f t="shared" si="164"/>
        <v>4018</v>
      </c>
      <c r="P74" s="386">
        <f t="shared" si="164"/>
        <v>0</v>
      </c>
      <c r="Q74" s="265">
        <f>ROUND(((P74/O74-1)*100), 1)</f>
        <v>-100</v>
      </c>
      <c r="R74" s="417">
        <v>7304</v>
      </c>
      <c r="S74" s="386">
        <v>0</v>
      </c>
      <c r="T74" s="265">
        <f>ROUND(((S74/R74-1)*100), 1)</f>
        <v>-100</v>
      </c>
      <c r="U74" s="417">
        <f t="shared" si="167"/>
        <v>4621</v>
      </c>
      <c r="V74" s="386">
        <f t="shared" si="168"/>
        <v>0</v>
      </c>
      <c r="W74" s="265">
        <f>ROUND(((V74/U74-1)*100), 1)</f>
        <v>-100</v>
      </c>
      <c r="X74" s="417">
        <v>11925</v>
      </c>
      <c r="Y74" s="386">
        <v>0</v>
      </c>
      <c r="Z74" s="265">
        <f>ROUND(((Y74/X74-1)*100), 1)</f>
        <v>-100</v>
      </c>
      <c r="AA74" s="417">
        <f t="shared" si="171"/>
        <v>4450</v>
      </c>
      <c r="AB74" s="386">
        <f t="shared" si="172"/>
        <v>0</v>
      </c>
      <c r="AC74" s="265">
        <f>ROUND(((AB74/AA74-1)*100), 1)</f>
        <v>-100</v>
      </c>
      <c r="AD74" s="417">
        <v>16375</v>
      </c>
      <c r="AE74" s="386">
        <v>0</v>
      </c>
      <c r="AF74" s="265">
        <f>ROUND(((AE74/AD74-1)*100), 1)</f>
        <v>-100</v>
      </c>
      <c r="AG74" s="417">
        <f t="shared" si="175"/>
        <v>423</v>
      </c>
      <c r="AH74" s="386">
        <f t="shared" si="175"/>
        <v>0</v>
      </c>
      <c r="AI74" s="265">
        <f>ROUND(((AH74/AG74-1)*100), 1)</f>
        <v>-100</v>
      </c>
      <c r="AJ74" s="417">
        <v>16798</v>
      </c>
      <c r="AK74" s="386">
        <v>0</v>
      </c>
      <c r="AL74" s="265">
        <f>ROUND(((AK74/AJ74-1)*100), 1)</f>
        <v>-100</v>
      </c>
      <c r="AM74" s="722">
        <f t="shared" si="178"/>
        <v>1024</v>
      </c>
      <c r="AN74" s="714">
        <f t="shared" si="179"/>
        <v>0</v>
      </c>
      <c r="AO74" s="705">
        <f>ROUND(((AN74/AM74-1)*100), 1)</f>
        <v>-100</v>
      </c>
      <c r="AP74" s="770">
        <v>17822</v>
      </c>
      <c r="AQ74" s="714">
        <v>0</v>
      </c>
      <c r="AR74" s="705">
        <f>ROUND(((AQ74/AP74-1)*100), 1)</f>
        <v>-100</v>
      </c>
      <c r="AS74" s="770">
        <f t="shared" si="182"/>
        <v>92</v>
      </c>
      <c r="AT74" s="714">
        <f t="shared" si="182"/>
        <v>0</v>
      </c>
      <c r="AU74" s="705">
        <f>ROUND(((AT74/AS74-1)*100), 1)</f>
        <v>-100</v>
      </c>
      <c r="AV74" s="992">
        <v>17914</v>
      </c>
      <c r="AW74" s="990">
        <v>0</v>
      </c>
      <c r="AX74" s="705">
        <f t="shared" si="184"/>
        <v>-100</v>
      </c>
      <c r="AY74" s="770">
        <f t="shared" si="185"/>
        <v>714</v>
      </c>
      <c r="AZ74" s="714">
        <f t="shared" si="186"/>
        <v>0</v>
      </c>
      <c r="BA74" s="705">
        <f>ROUND(((AZ74/AY74-1)*100), 1)</f>
        <v>-100</v>
      </c>
      <c r="BB74" s="770">
        <v>18628</v>
      </c>
      <c r="BC74" s="714">
        <v>0</v>
      </c>
      <c r="BD74" s="705">
        <f t="shared" si="188"/>
        <v>-100</v>
      </c>
      <c r="BE74" s="770">
        <f t="shared" si="189"/>
        <v>605</v>
      </c>
      <c r="BF74" s="714">
        <f t="shared" si="189"/>
        <v>0</v>
      </c>
      <c r="BG74" s="705">
        <f>ROUND(((BF74/BE74-1)*100), 1)</f>
        <v>-100</v>
      </c>
      <c r="BH74" s="770">
        <v>19233</v>
      </c>
      <c r="BI74" s="714">
        <v>0</v>
      </c>
      <c r="BJ74" s="705">
        <f t="shared" si="191"/>
        <v>-100</v>
      </c>
      <c r="BK74" s="770">
        <f t="shared" si="192"/>
        <v>1</v>
      </c>
      <c r="BL74" s="714">
        <f t="shared" si="192"/>
        <v>0</v>
      </c>
      <c r="BM74" s="705">
        <f>ROUND(((BL74/BK74-1)*100), 1)</f>
        <v>-100</v>
      </c>
      <c r="BN74" s="770">
        <v>19234</v>
      </c>
      <c r="BO74" s="714">
        <v>0</v>
      </c>
      <c r="BP74" s="705">
        <f t="shared" si="194"/>
        <v>-100</v>
      </c>
      <c r="BQ74" s="770">
        <f t="shared" si="195"/>
        <v>1096</v>
      </c>
      <c r="BR74" s="714">
        <f t="shared" si="195"/>
        <v>0</v>
      </c>
      <c r="BS74" s="705">
        <f t="shared" si="197"/>
        <v>-100</v>
      </c>
      <c r="BT74" s="770">
        <v>20330</v>
      </c>
      <c r="BU74" s="714">
        <v>0</v>
      </c>
      <c r="BV74" s="705">
        <f t="shared" si="196"/>
        <v>-100</v>
      </c>
    </row>
    <row r="75" spans="1:74">
      <c r="A75" s="96"/>
      <c r="B75" s="1176"/>
      <c r="C75" s="105" t="s">
        <v>218</v>
      </c>
      <c r="D75" s="98">
        <v>23309</v>
      </c>
      <c r="E75" s="98">
        <v>26346</v>
      </c>
      <c r="F75" s="98">
        <v>73523</v>
      </c>
      <c r="G75" s="98">
        <v>26708</v>
      </c>
      <c r="H75" s="98">
        <v>35018</v>
      </c>
      <c r="I75" s="98">
        <v>3139</v>
      </c>
      <c r="J75" s="98">
        <v>4902</v>
      </c>
      <c r="K75" s="98">
        <v>12284</v>
      </c>
      <c r="L75" s="417">
        <v>0</v>
      </c>
      <c r="M75" s="386">
        <v>2002</v>
      </c>
      <c r="N75" s="179">
        <v>0</v>
      </c>
      <c r="O75" s="417">
        <f t="shared" si="164"/>
        <v>274</v>
      </c>
      <c r="P75" s="386">
        <f t="shared" si="164"/>
        <v>0</v>
      </c>
      <c r="Q75" s="265">
        <f>ROUND(((P75/O75-1)*100), 1)</f>
        <v>-100</v>
      </c>
      <c r="R75" s="417">
        <v>274</v>
      </c>
      <c r="S75" s="386">
        <v>2002</v>
      </c>
      <c r="T75" s="265">
        <f>ROUND(((S75/R75-1)*100), 1)</f>
        <v>630.70000000000005</v>
      </c>
      <c r="U75" s="417">
        <f t="shared" si="167"/>
        <v>0</v>
      </c>
      <c r="V75" s="386">
        <f t="shared" si="168"/>
        <v>1</v>
      </c>
      <c r="W75" s="265" t="e">
        <f>ROUND(((V75/U75-1)*100), 1)</f>
        <v>#DIV/0!</v>
      </c>
      <c r="X75" s="417">
        <v>274</v>
      </c>
      <c r="Y75" s="386">
        <v>2003</v>
      </c>
      <c r="Z75" s="265">
        <f>ROUND(((Y75/X75-1)*100), 1)</f>
        <v>631</v>
      </c>
      <c r="AA75" s="417">
        <f t="shared" si="171"/>
        <v>1824</v>
      </c>
      <c r="AB75" s="386">
        <f t="shared" si="172"/>
        <v>0</v>
      </c>
      <c r="AC75" s="265">
        <f>ROUND(((AB75/AA75-1)*100), 1)</f>
        <v>-100</v>
      </c>
      <c r="AD75" s="417">
        <v>2098</v>
      </c>
      <c r="AE75" s="386">
        <v>2003</v>
      </c>
      <c r="AF75" s="265">
        <f>ROUND(((AE75/AD75-1)*100), 1)</f>
        <v>-4.5</v>
      </c>
      <c r="AG75" s="417">
        <f t="shared" si="175"/>
        <v>994</v>
      </c>
      <c r="AH75" s="386">
        <f t="shared" si="175"/>
        <v>3022</v>
      </c>
      <c r="AI75" s="265">
        <f>ROUND(((AH75/AG75-1)*100), 1)</f>
        <v>204</v>
      </c>
      <c r="AJ75" s="417">
        <v>3092</v>
      </c>
      <c r="AK75" s="386">
        <v>5025</v>
      </c>
      <c r="AL75" s="265">
        <f>ROUND(((AK75/AJ75-1)*100), 1)</f>
        <v>62.5</v>
      </c>
      <c r="AM75" s="722">
        <f t="shared" si="178"/>
        <v>25</v>
      </c>
      <c r="AN75" s="714">
        <f t="shared" si="179"/>
        <v>40</v>
      </c>
      <c r="AO75" s="705">
        <f>ROUND(((AN75/AM75-1)*100), 1)</f>
        <v>60</v>
      </c>
      <c r="AP75" s="770">
        <v>3117</v>
      </c>
      <c r="AQ75" s="714">
        <v>5065</v>
      </c>
      <c r="AR75" s="705">
        <f>ROUND(((AQ75/AP75-1)*100), 1)</f>
        <v>62.5</v>
      </c>
      <c r="AS75" s="770">
        <f t="shared" si="182"/>
        <v>846</v>
      </c>
      <c r="AT75" s="714">
        <f t="shared" si="182"/>
        <v>0</v>
      </c>
      <c r="AU75" s="705">
        <f>ROUND(((AT75/AS75-1)*100), 1)</f>
        <v>-100</v>
      </c>
      <c r="AV75" s="992">
        <v>3963</v>
      </c>
      <c r="AW75" s="990">
        <v>5065</v>
      </c>
      <c r="AX75" s="705">
        <f t="shared" si="184"/>
        <v>27.8</v>
      </c>
      <c r="AY75" s="770">
        <f t="shared" si="185"/>
        <v>3476</v>
      </c>
      <c r="AZ75" s="714">
        <f t="shared" si="186"/>
        <v>0</v>
      </c>
      <c r="BA75" s="705">
        <f>ROUND(((AZ75/AY75-1)*100), 1)</f>
        <v>-100</v>
      </c>
      <c r="BB75" s="770">
        <v>7439</v>
      </c>
      <c r="BC75" s="714">
        <v>5065</v>
      </c>
      <c r="BD75" s="705">
        <f t="shared" si="188"/>
        <v>-31.9</v>
      </c>
      <c r="BE75" s="770">
        <f t="shared" si="189"/>
        <v>2171</v>
      </c>
      <c r="BF75" s="714">
        <f t="shared" si="189"/>
        <v>0</v>
      </c>
      <c r="BG75" s="705">
        <f>ROUND(((BF75/BE75-1)*100), 1)</f>
        <v>-100</v>
      </c>
      <c r="BH75" s="770">
        <v>9610</v>
      </c>
      <c r="BI75" s="714">
        <v>5065</v>
      </c>
      <c r="BJ75" s="705">
        <f t="shared" si="191"/>
        <v>-47.3</v>
      </c>
      <c r="BK75" s="770">
        <f t="shared" si="192"/>
        <v>406</v>
      </c>
      <c r="BL75" s="714">
        <f t="shared" si="192"/>
        <v>0</v>
      </c>
      <c r="BM75" s="705">
        <f>ROUND(((BL75/BK75-1)*100), 1)</f>
        <v>-100</v>
      </c>
      <c r="BN75" s="770">
        <v>10016</v>
      </c>
      <c r="BO75" s="714">
        <v>5065</v>
      </c>
      <c r="BP75" s="705">
        <f t="shared" si="194"/>
        <v>-49.4</v>
      </c>
      <c r="BQ75" s="770">
        <f t="shared" si="195"/>
        <v>2268</v>
      </c>
      <c r="BR75" s="714">
        <f t="shared" si="195"/>
        <v>74</v>
      </c>
      <c r="BS75" s="705">
        <f t="shared" si="197"/>
        <v>-96.7</v>
      </c>
      <c r="BT75" s="770">
        <v>12284</v>
      </c>
      <c r="BU75" s="714">
        <v>5139</v>
      </c>
      <c r="BV75" s="705">
        <f t="shared" si="196"/>
        <v>-58.2</v>
      </c>
    </row>
    <row r="76" spans="1:74">
      <c r="A76" s="96"/>
      <c r="B76" s="1176"/>
      <c r="C76" s="105" t="s">
        <v>146</v>
      </c>
      <c r="D76" s="98">
        <v>12114</v>
      </c>
      <c r="E76" s="98">
        <v>4484</v>
      </c>
      <c r="F76" s="98">
        <v>4751</v>
      </c>
      <c r="G76" s="98">
        <v>0</v>
      </c>
      <c r="H76" s="98">
        <v>4054</v>
      </c>
      <c r="I76" s="98">
        <v>7698</v>
      </c>
      <c r="J76" s="98">
        <v>4626</v>
      </c>
      <c r="K76" s="98">
        <v>9954</v>
      </c>
      <c r="L76" s="417">
        <v>0</v>
      </c>
      <c r="M76" s="386">
        <v>2218</v>
      </c>
      <c r="N76" s="179">
        <v>0</v>
      </c>
      <c r="O76" s="417">
        <f t="shared" si="164"/>
        <v>0</v>
      </c>
      <c r="P76" s="386">
        <f t="shared" si="164"/>
        <v>0</v>
      </c>
      <c r="Q76" s="179">
        <v>0</v>
      </c>
      <c r="R76" s="417">
        <v>0</v>
      </c>
      <c r="S76" s="386">
        <v>2218</v>
      </c>
      <c r="T76" s="179">
        <v>0</v>
      </c>
      <c r="U76" s="417">
        <f t="shared" si="167"/>
        <v>0</v>
      </c>
      <c r="V76" s="386">
        <f t="shared" si="168"/>
        <v>0</v>
      </c>
      <c r="W76" s="179">
        <v>0</v>
      </c>
      <c r="X76" s="417">
        <v>0</v>
      </c>
      <c r="Y76" s="386">
        <v>2218</v>
      </c>
      <c r="Z76" s="179">
        <v>0</v>
      </c>
      <c r="AA76" s="417">
        <f t="shared" si="171"/>
        <v>0</v>
      </c>
      <c r="AB76" s="386">
        <f t="shared" si="172"/>
        <v>0</v>
      </c>
      <c r="AC76" s="523">
        <v>0</v>
      </c>
      <c r="AD76" s="417">
        <v>0</v>
      </c>
      <c r="AE76" s="386">
        <v>2218</v>
      </c>
      <c r="AF76" s="523">
        <v>0</v>
      </c>
      <c r="AG76" s="417">
        <f t="shared" si="175"/>
        <v>0</v>
      </c>
      <c r="AH76" s="386">
        <f t="shared" si="175"/>
        <v>905</v>
      </c>
      <c r="AI76" s="523">
        <v>0</v>
      </c>
      <c r="AJ76" s="417">
        <v>0</v>
      </c>
      <c r="AK76" s="386">
        <v>3123</v>
      </c>
      <c r="AL76" s="523">
        <v>0</v>
      </c>
      <c r="AM76" s="722">
        <f t="shared" si="178"/>
        <v>817</v>
      </c>
      <c r="AN76" s="714">
        <f t="shared" si="179"/>
        <v>349</v>
      </c>
      <c r="AO76" s="705">
        <f>ROUND(((AN76/AM76-1)*100), 1)</f>
        <v>-57.3</v>
      </c>
      <c r="AP76" s="770">
        <v>817</v>
      </c>
      <c r="AQ76" s="714">
        <v>3472</v>
      </c>
      <c r="AR76" s="705">
        <f>ROUND(((AQ76/AP76-1)*100), 1)</f>
        <v>325</v>
      </c>
      <c r="AS76" s="770">
        <f t="shared" si="182"/>
        <v>274</v>
      </c>
      <c r="AT76" s="714">
        <f t="shared" si="182"/>
        <v>0</v>
      </c>
      <c r="AU76" s="705">
        <f>ROUND(((AT76/AS76-1)*100), 1)</f>
        <v>-100</v>
      </c>
      <c r="AV76" s="992">
        <v>1091</v>
      </c>
      <c r="AW76" s="990">
        <v>3472</v>
      </c>
      <c r="AX76" s="705">
        <f t="shared" si="184"/>
        <v>218.2</v>
      </c>
      <c r="AY76" s="770">
        <f t="shared" si="185"/>
        <v>1598</v>
      </c>
      <c r="AZ76" s="714">
        <f t="shared" si="186"/>
        <v>1011</v>
      </c>
      <c r="BA76" s="705">
        <f>ROUND(((AZ76/AY76-1)*100), 1)</f>
        <v>-36.700000000000003</v>
      </c>
      <c r="BB76" s="770">
        <v>2689</v>
      </c>
      <c r="BC76" s="714">
        <v>4483</v>
      </c>
      <c r="BD76" s="705">
        <f t="shared" si="188"/>
        <v>66.7</v>
      </c>
      <c r="BE76" s="770">
        <f t="shared" si="189"/>
        <v>3203</v>
      </c>
      <c r="BF76" s="714">
        <f t="shared" si="189"/>
        <v>1158</v>
      </c>
      <c r="BG76" s="705">
        <f>ROUND(((BF76/BE76-1)*100), 1)</f>
        <v>-63.8</v>
      </c>
      <c r="BH76" s="770">
        <v>5892</v>
      </c>
      <c r="BI76" s="714">
        <v>5641</v>
      </c>
      <c r="BJ76" s="705">
        <f t="shared" si="191"/>
        <v>-4.3</v>
      </c>
      <c r="BK76" s="770">
        <f t="shared" si="192"/>
        <v>1974</v>
      </c>
      <c r="BL76" s="714">
        <f t="shared" si="192"/>
        <v>1</v>
      </c>
      <c r="BM76" s="705">
        <f>ROUND(((BL76/BK76-1)*100), 1)</f>
        <v>-99.9</v>
      </c>
      <c r="BN76" s="770">
        <v>7866</v>
      </c>
      <c r="BO76" s="714">
        <v>5642</v>
      </c>
      <c r="BP76" s="705">
        <f t="shared" si="194"/>
        <v>-28.3</v>
      </c>
      <c r="BQ76" s="770">
        <f t="shared" si="195"/>
        <v>1078</v>
      </c>
      <c r="BR76" s="714">
        <f t="shared" si="195"/>
        <v>506</v>
      </c>
      <c r="BS76" s="705">
        <f t="shared" si="197"/>
        <v>-53.1</v>
      </c>
      <c r="BT76" s="770">
        <v>8944</v>
      </c>
      <c r="BU76" s="714">
        <v>6148</v>
      </c>
      <c r="BV76" s="705">
        <f t="shared" si="196"/>
        <v>-31.3</v>
      </c>
    </row>
    <row r="77" spans="1:74">
      <c r="A77" s="96"/>
      <c r="B77" s="1176"/>
      <c r="C77" s="105" t="s">
        <v>50</v>
      </c>
      <c r="D77" s="98">
        <v>40830</v>
      </c>
      <c r="E77" s="98">
        <v>19904</v>
      </c>
      <c r="F77" s="98">
        <v>21324</v>
      </c>
      <c r="G77" s="98">
        <v>10497</v>
      </c>
      <c r="H77" s="98">
        <v>4512</v>
      </c>
      <c r="I77" s="98">
        <v>9969</v>
      </c>
      <c r="J77" s="98">
        <v>1358</v>
      </c>
      <c r="K77" s="98">
        <v>2801</v>
      </c>
      <c r="L77" s="417">
        <v>0</v>
      </c>
      <c r="M77" s="386">
        <v>2217</v>
      </c>
      <c r="N77" s="179">
        <v>0</v>
      </c>
      <c r="O77" s="417">
        <f t="shared" si="164"/>
        <v>0</v>
      </c>
      <c r="P77" s="386">
        <f t="shared" si="164"/>
        <v>0</v>
      </c>
      <c r="Q77" s="179">
        <v>0</v>
      </c>
      <c r="R77" s="417">
        <v>0</v>
      </c>
      <c r="S77" s="386">
        <v>2217</v>
      </c>
      <c r="T77" s="179">
        <v>0</v>
      </c>
      <c r="U77" s="417">
        <f t="shared" si="167"/>
        <v>872</v>
      </c>
      <c r="V77" s="386">
        <f t="shared" si="168"/>
        <v>40</v>
      </c>
      <c r="W77" s="265">
        <f t="shared" ref="W77" si="198">ROUND(((V77/U77-1)*100), 1)</f>
        <v>-95.4</v>
      </c>
      <c r="X77" s="417">
        <v>872</v>
      </c>
      <c r="Y77" s="386">
        <v>2257</v>
      </c>
      <c r="Z77" s="265">
        <f>ROUND(((Y77/X77-1)*100), 1)</f>
        <v>158.80000000000001</v>
      </c>
      <c r="AA77" s="417">
        <f t="shared" si="171"/>
        <v>571</v>
      </c>
      <c r="AB77" s="386">
        <f t="shared" si="172"/>
        <v>8</v>
      </c>
      <c r="AC77" s="265">
        <f t="shared" ref="AC77" si="199">ROUND(((AB77/AA77-1)*100), 1)</f>
        <v>-98.6</v>
      </c>
      <c r="AD77" s="417">
        <v>1443</v>
      </c>
      <c r="AE77" s="386">
        <v>2265</v>
      </c>
      <c r="AF77" s="265">
        <f>ROUND(((AE77/AD77-1)*100), 1)</f>
        <v>57</v>
      </c>
      <c r="AG77" s="417">
        <f t="shared" si="175"/>
        <v>79</v>
      </c>
      <c r="AH77" s="386">
        <f t="shared" si="175"/>
        <v>0</v>
      </c>
      <c r="AI77" s="265">
        <f t="shared" ref="AI77" si="200">ROUND(((AH77/AG77-1)*100), 1)</f>
        <v>-100</v>
      </c>
      <c r="AJ77" s="417">
        <v>1522</v>
      </c>
      <c r="AK77" s="386">
        <v>2265</v>
      </c>
      <c r="AL77" s="265">
        <f>ROUND(((AK77/AJ77-1)*100), 1)</f>
        <v>48.8</v>
      </c>
      <c r="AM77" s="722">
        <f t="shared" si="178"/>
        <v>25</v>
      </c>
      <c r="AN77" s="714">
        <f t="shared" si="179"/>
        <v>1</v>
      </c>
      <c r="AO77" s="705">
        <f t="shared" ref="AO77:AO78" si="201">ROUND(((AN77/AM77-1)*100), 1)</f>
        <v>-96</v>
      </c>
      <c r="AP77" s="770">
        <v>1547</v>
      </c>
      <c r="AQ77" s="714">
        <v>2266</v>
      </c>
      <c r="AR77" s="705">
        <f>ROUND(((AQ77/AP77-1)*100), 1)</f>
        <v>46.5</v>
      </c>
      <c r="AS77" s="770">
        <f t="shared" si="182"/>
        <v>108</v>
      </c>
      <c r="AT77" s="714">
        <f t="shared" si="182"/>
        <v>10</v>
      </c>
      <c r="AU77" s="705">
        <f>ROUND(((AT77/AS77-1)*100), 1)</f>
        <v>-90.7</v>
      </c>
      <c r="AV77" s="992">
        <v>1655</v>
      </c>
      <c r="AW77" s="990">
        <v>2276</v>
      </c>
      <c r="AX77" s="705">
        <f t="shared" si="184"/>
        <v>37.5</v>
      </c>
      <c r="AY77" s="770">
        <f t="shared" si="185"/>
        <v>1130</v>
      </c>
      <c r="AZ77" s="714">
        <f t="shared" si="186"/>
        <v>2</v>
      </c>
      <c r="BA77" s="705">
        <f>ROUND(((AZ77/AY77-1)*100), 1)</f>
        <v>-99.8</v>
      </c>
      <c r="BB77" s="770">
        <v>2785</v>
      </c>
      <c r="BC77" s="714">
        <v>2278</v>
      </c>
      <c r="BD77" s="705">
        <f t="shared" si="188"/>
        <v>-18.2</v>
      </c>
      <c r="BE77" s="770">
        <f t="shared" si="189"/>
        <v>7</v>
      </c>
      <c r="BF77" s="714">
        <f t="shared" si="189"/>
        <v>0</v>
      </c>
      <c r="BG77" s="705">
        <f>ROUND(((BF77/BE77-1)*100), 1)</f>
        <v>-100</v>
      </c>
      <c r="BH77" s="770">
        <v>2792</v>
      </c>
      <c r="BI77" s="714">
        <v>2278</v>
      </c>
      <c r="BJ77" s="705">
        <f t="shared" si="191"/>
        <v>-18.399999999999999</v>
      </c>
      <c r="BK77" s="770">
        <f t="shared" si="192"/>
        <v>0</v>
      </c>
      <c r="BL77" s="714">
        <f t="shared" si="192"/>
        <v>0</v>
      </c>
      <c r="BM77" s="751">
        <v>0</v>
      </c>
      <c r="BN77" s="770">
        <v>2792</v>
      </c>
      <c r="BO77" s="714">
        <v>2278</v>
      </c>
      <c r="BP77" s="705">
        <f t="shared" si="194"/>
        <v>-18.399999999999999</v>
      </c>
      <c r="BQ77" s="770">
        <f t="shared" si="195"/>
        <v>9</v>
      </c>
      <c r="BR77" s="714">
        <f t="shared" si="195"/>
        <v>2</v>
      </c>
      <c r="BS77" s="753">
        <f>ROUND(((BR77/BQ77-1)*100), 1)</f>
        <v>-77.8</v>
      </c>
      <c r="BT77" s="770">
        <v>2801</v>
      </c>
      <c r="BU77" s="714">
        <v>2280</v>
      </c>
      <c r="BV77" s="705">
        <f t="shared" si="196"/>
        <v>-18.600000000000001</v>
      </c>
    </row>
    <row r="78" spans="1:74">
      <c r="A78" s="96"/>
      <c r="B78" s="1176"/>
      <c r="C78" s="105" t="s">
        <v>107</v>
      </c>
      <c r="D78" s="98">
        <v>57</v>
      </c>
      <c r="E78" s="98">
        <v>225</v>
      </c>
      <c r="F78" s="98">
        <v>550</v>
      </c>
      <c r="G78" s="98">
        <v>592</v>
      </c>
      <c r="H78" s="98">
        <v>327</v>
      </c>
      <c r="I78" s="98">
        <v>486</v>
      </c>
      <c r="J78" s="98">
        <v>708</v>
      </c>
      <c r="K78" s="98">
        <v>1247</v>
      </c>
      <c r="L78" s="417">
        <v>61</v>
      </c>
      <c r="M78" s="386">
        <v>22</v>
      </c>
      <c r="N78" s="265">
        <f>ROUND(((M78/L78-1)*100), 1)</f>
        <v>-63.9</v>
      </c>
      <c r="O78" s="417">
        <f t="shared" si="164"/>
        <v>59</v>
      </c>
      <c r="P78" s="386">
        <f t="shared" si="164"/>
        <v>2</v>
      </c>
      <c r="Q78" s="265">
        <f>ROUND(((P78/O78-1)*100), 1)</f>
        <v>-96.6</v>
      </c>
      <c r="R78" s="417">
        <v>120</v>
      </c>
      <c r="S78" s="386">
        <v>24</v>
      </c>
      <c r="T78" s="265">
        <f>ROUND(((S78/R78-1)*100), 1)</f>
        <v>-80</v>
      </c>
      <c r="U78" s="417">
        <f t="shared" si="167"/>
        <v>59</v>
      </c>
      <c r="V78" s="386">
        <f t="shared" si="168"/>
        <v>22</v>
      </c>
      <c r="W78" s="265">
        <f>ROUND(((V78/U78-1)*100), 1)</f>
        <v>-62.7</v>
      </c>
      <c r="X78" s="417">
        <v>179</v>
      </c>
      <c r="Y78" s="386">
        <v>46</v>
      </c>
      <c r="Z78" s="265">
        <f>ROUND(((Y78/X78-1)*100), 1)</f>
        <v>-74.3</v>
      </c>
      <c r="AA78" s="417">
        <f t="shared" si="171"/>
        <v>839</v>
      </c>
      <c r="AB78" s="386">
        <f t="shared" si="172"/>
        <v>65</v>
      </c>
      <c r="AC78" s="265">
        <f>ROUND(((AB78/AA78-1)*100), 1)</f>
        <v>-92.3</v>
      </c>
      <c r="AD78" s="417">
        <v>1018</v>
      </c>
      <c r="AE78" s="386">
        <v>111</v>
      </c>
      <c r="AF78" s="265">
        <f>ROUND(((AE78/AD78-1)*100), 1)</f>
        <v>-89.1</v>
      </c>
      <c r="AG78" s="417">
        <f t="shared" si="175"/>
        <v>0</v>
      </c>
      <c r="AH78" s="386">
        <f t="shared" si="175"/>
        <v>27</v>
      </c>
      <c r="AI78" s="523">
        <v>0</v>
      </c>
      <c r="AJ78" s="417">
        <v>1018</v>
      </c>
      <c r="AK78" s="386">
        <v>138</v>
      </c>
      <c r="AL78" s="265">
        <f>ROUND(((AK78/AJ78-1)*100), 1)</f>
        <v>-86.4</v>
      </c>
      <c r="AM78" s="722">
        <f t="shared" si="178"/>
        <v>22</v>
      </c>
      <c r="AN78" s="714">
        <f t="shared" si="179"/>
        <v>42</v>
      </c>
      <c r="AO78" s="705">
        <f t="shared" si="201"/>
        <v>90.9</v>
      </c>
      <c r="AP78" s="770">
        <v>1040</v>
      </c>
      <c r="AQ78" s="714">
        <v>180</v>
      </c>
      <c r="AR78" s="705">
        <f>ROUND(((AQ78/AP78-1)*100), 1)</f>
        <v>-82.7</v>
      </c>
      <c r="AS78" s="770">
        <f t="shared" si="182"/>
        <v>21</v>
      </c>
      <c r="AT78" s="714">
        <f t="shared" si="182"/>
        <v>20</v>
      </c>
      <c r="AU78" s="705">
        <f>ROUND(((AT78/AS78-1)*100), 1)</f>
        <v>-4.8</v>
      </c>
      <c r="AV78" s="992">
        <v>1061</v>
      </c>
      <c r="AW78" s="990">
        <v>200</v>
      </c>
      <c r="AX78" s="705">
        <f t="shared" si="184"/>
        <v>-81.099999999999994</v>
      </c>
      <c r="AY78" s="770">
        <f t="shared" si="185"/>
        <v>79</v>
      </c>
      <c r="AZ78" s="714">
        <f t="shared" si="186"/>
        <v>4</v>
      </c>
      <c r="BA78" s="705">
        <f>ROUND(((AZ78/AY78-1)*100), 1)</f>
        <v>-94.9</v>
      </c>
      <c r="BB78" s="770">
        <v>1140</v>
      </c>
      <c r="BC78" s="714">
        <v>204</v>
      </c>
      <c r="BD78" s="705">
        <f t="shared" si="188"/>
        <v>-82.1</v>
      </c>
      <c r="BE78" s="770">
        <f t="shared" si="189"/>
        <v>41</v>
      </c>
      <c r="BF78" s="714">
        <f t="shared" si="189"/>
        <v>22</v>
      </c>
      <c r="BG78" s="705">
        <f>ROUND(((BF78/BE78-1)*100), 1)</f>
        <v>-46.3</v>
      </c>
      <c r="BH78" s="770">
        <v>1181</v>
      </c>
      <c r="BI78" s="714">
        <v>226</v>
      </c>
      <c r="BJ78" s="705">
        <f t="shared" si="191"/>
        <v>-80.900000000000006</v>
      </c>
      <c r="BK78" s="770">
        <f t="shared" si="192"/>
        <v>61</v>
      </c>
      <c r="BL78" s="714">
        <f t="shared" si="192"/>
        <v>4</v>
      </c>
      <c r="BM78" s="705">
        <f>ROUND(((BL78/BK78-1)*100), 1)</f>
        <v>-93.4</v>
      </c>
      <c r="BN78" s="770">
        <v>1242</v>
      </c>
      <c r="BO78" s="714">
        <v>230</v>
      </c>
      <c r="BP78" s="705">
        <f t="shared" si="194"/>
        <v>-81.5</v>
      </c>
      <c r="BQ78" s="770">
        <f t="shared" si="195"/>
        <v>0</v>
      </c>
      <c r="BR78" s="714">
        <f t="shared" si="195"/>
        <v>22</v>
      </c>
      <c r="BS78" s="751">
        <v>0</v>
      </c>
      <c r="BT78" s="770">
        <v>1242</v>
      </c>
      <c r="BU78" s="714">
        <v>252</v>
      </c>
      <c r="BV78" s="705">
        <f t="shared" si="196"/>
        <v>-79.7</v>
      </c>
    </row>
    <row r="79" spans="1:74">
      <c r="A79" s="96"/>
      <c r="B79" s="1176"/>
      <c r="C79" s="105" t="s">
        <v>219</v>
      </c>
      <c r="D79" s="98">
        <v>1514</v>
      </c>
      <c r="E79" s="98">
        <v>0</v>
      </c>
      <c r="F79" s="98">
        <v>0</v>
      </c>
      <c r="G79" s="98">
        <v>1012</v>
      </c>
      <c r="H79" s="98">
        <v>1249</v>
      </c>
      <c r="I79" s="98">
        <v>2838</v>
      </c>
      <c r="J79" s="98">
        <v>0</v>
      </c>
      <c r="K79" s="98">
        <v>1121</v>
      </c>
      <c r="L79" s="417">
        <v>0</v>
      </c>
      <c r="M79" s="386">
        <v>0</v>
      </c>
      <c r="N79" s="179">
        <v>0</v>
      </c>
      <c r="O79" s="417">
        <f t="shared" si="164"/>
        <v>0</v>
      </c>
      <c r="P79" s="386">
        <f t="shared" si="164"/>
        <v>0</v>
      </c>
      <c r="Q79" s="179">
        <v>0</v>
      </c>
      <c r="R79" s="417">
        <v>0</v>
      </c>
      <c r="S79" s="386">
        <v>0</v>
      </c>
      <c r="T79" s="179">
        <v>0</v>
      </c>
      <c r="U79" s="417">
        <f t="shared" si="167"/>
        <v>0</v>
      </c>
      <c r="V79" s="386">
        <f t="shared" si="168"/>
        <v>0</v>
      </c>
      <c r="W79" s="179">
        <v>0</v>
      </c>
      <c r="X79" s="417">
        <v>0</v>
      </c>
      <c r="Y79" s="386">
        <v>0</v>
      </c>
      <c r="Z79" s="179">
        <v>0</v>
      </c>
      <c r="AA79" s="417">
        <f t="shared" si="171"/>
        <v>923</v>
      </c>
      <c r="AB79" s="386">
        <f t="shared" si="172"/>
        <v>0</v>
      </c>
      <c r="AC79" s="265">
        <f t="shared" ref="AC79" si="202">ROUND(((AB79/AA79-1)*100), 1)</f>
        <v>-100</v>
      </c>
      <c r="AD79" s="417">
        <v>923</v>
      </c>
      <c r="AE79" s="386">
        <v>0</v>
      </c>
      <c r="AF79" s="265">
        <f t="shared" ref="AF79" si="203">ROUND(((AE79/AD79-1)*100), 1)</f>
        <v>-100</v>
      </c>
      <c r="AG79" s="417">
        <f t="shared" si="175"/>
        <v>198</v>
      </c>
      <c r="AH79" s="386">
        <f t="shared" si="175"/>
        <v>0</v>
      </c>
      <c r="AI79" s="265">
        <f t="shared" ref="AI79" si="204">ROUND(((AH79/AG79-1)*100), 1)</f>
        <v>-100</v>
      </c>
      <c r="AJ79" s="417">
        <v>1121</v>
      </c>
      <c r="AK79" s="386">
        <v>0</v>
      </c>
      <c r="AL79" s="265">
        <f t="shared" ref="AL79" si="205">ROUND(((AK79/AJ79-1)*100), 1)</f>
        <v>-100</v>
      </c>
      <c r="AM79" s="722">
        <f t="shared" si="178"/>
        <v>0</v>
      </c>
      <c r="AN79" s="714">
        <f t="shared" si="179"/>
        <v>0</v>
      </c>
      <c r="AO79" s="751">
        <v>0</v>
      </c>
      <c r="AP79" s="770">
        <v>1121</v>
      </c>
      <c r="AQ79" s="714">
        <v>0</v>
      </c>
      <c r="AR79" s="705">
        <f t="shared" ref="AR79" si="206">ROUND(((AQ79/AP79-1)*100), 1)</f>
        <v>-100</v>
      </c>
      <c r="AS79" s="770">
        <f t="shared" si="182"/>
        <v>0</v>
      </c>
      <c r="AT79" s="714">
        <f t="shared" si="182"/>
        <v>0</v>
      </c>
      <c r="AU79" s="751">
        <v>0</v>
      </c>
      <c r="AV79" s="992">
        <v>1121</v>
      </c>
      <c r="AW79" s="990">
        <v>0</v>
      </c>
      <c r="AX79" s="705">
        <f t="shared" si="184"/>
        <v>-100</v>
      </c>
      <c r="AY79" s="770">
        <f t="shared" si="185"/>
        <v>0</v>
      </c>
      <c r="AZ79" s="714">
        <f t="shared" si="186"/>
        <v>0</v>
      </c>
      <c r="BA79" s="751">
        <v>0</v>
      </c>
      <c r="BB79" s="770">
        <v>1121</v>
      </c>
      <c r="BC79" s="714">
        <v>0</v>
      </c>
      <c r="BD79" s="705">
        <f t="shared" si="188"/>
        <v>-100</v>
      </c>
      <c r="BE79" s="770">
        <f t="shared" si="189"/>
        <v>0</v>
      </c>
      <c r="BF79" s="714">
        <f t="shared" si="189"/>
        <v>0</v>
      </c>
      <c r="BG79" s="751">
        <v>0</v>
      </c>
      <c r="BH79" s="770">
        <v>1121</v>
      </c>
      <c r="BI79" s="714">
        <v>0</v>
      </c>
      <c r="BJ79" s="705">
        <f t="shared" si="191"/>
        <v>-100</v>
      </c>
      <c r="BK79" s="770">
        <f t="shared" si="192"/>
        <v>0</v>
      </c>
      <c r="BL79" s="714">
        <f t="shared" si="192"/>
        <v>0</v>
      </c>
      <c r="BM79" s="751">
        <v>0</v>
      </c>
      <c r="BN79" s="770">
        <v>1121</v>
      </c>
      <c r="BO79" s="714">
        <v>0</v>
      </c>
      <c r="BP79" s="705">
        <f t="shared" si="194"/>
        <v>-100</v>
      </c>
      <c r="BQ79" s="770">
        <f t="shared" si="195"/>
        <v>0</v>
      </c>
      <c r="BR79" s="714">
        <f t="shared" si="195"/>
        <v>0</v>
      </c>
      <c r="BS79" s="751">
        <v>0</v>
      </c>
      <c r="BT79" s="770">
        <v>1121</v>
      </c>
      <c r="BU79" s="714">
        <v>0</v>
      </c>
      <c r="BV79" s="705">
        <f t="shared" si="196"/>
        <v>-100</v>
      </c>
    </row>
    <row r="80" spans="1:74">
      <c r="A80" s="96"/>
      <c r="B80" s="1176"/>
      <c r="C80" s="105" t="s">
        <v>137</v>
      </c>
      <c r="D80" s="98">
        <v>45522</v>
      </c>
      <c r="E80" s="98">
        <v>41716</v>
      </c>
      <c r="F80" s="98">
        <v>52506</v>
      </c>
      <c r="G80" s="98">
        <v>36051</v>
      </c>
      <c r="H80" s="98">
        <v>9481</v>
      </c>
      <c r="I80" s="98">
        <v>4356</v>
      </c>
      <c r="J80" s="98">
        <v>1620</v>
      </c>
      <c r="K80" s="98">
        <v>969</v>
      </c>
      <c r="L80" s="417">
        <v>0</v>
      </c>
      <c r="M80" s="386">
        <v>1140</v>
      </c>
      <c r="N80" s="179">
        <v>0</v>
      </c>
      <c r="O80" s="417">
        <f t="shared" si="164"/>
        <v>0</v>
      </c>
      <c r="P80" s="386">
        <f t="shared" si="164"/>
        <v>0</v>
      </c>
      <c r="Q80" s="179">
        <v>0</v>
      </c>
      <c r="R80" s="417">
        <v>0</v>
      </c>
      <c r="S80" s="386">
        <v>1140</v>
      </c>
      <c r="T80" s="179">
        <v>0</v>
      </c>
      <c r="U80" s="417">
        <f t="shared" si="167"/>
        <v>0</v>
      </c>
      <c r="V80" s="386">
        <f t="shared" si="168"/>
        <v>0</v>
      </c>
      <c r="W80" s="179">
        <v>0</v>
      </c>
      <c r="X80" s="417">
        <v>0</v>
      </c>
      <c r="Y80" s="386">
        <v>1140</v>
      </c>
      <c r="Z80" s="179">
        <v>0</v>
      </c>
      <c r="AA80" s="417">
        <f t="shared" si="171"/>
        <v>0</v>
      </c>
      <c r="AB80" s="386">
        <f t="shared" si="172"/>
        <v>0</v>
      </c>
      <c r="AC80" s="523">
        <v>0</v>
      </c>
      <c r="AD80" s="417">
        <v>0</v>
      </c>
      <c r="AE80" s="386">
        <v>1140</v>
      </c>
      <c r="AF80" s="523">
        <v>0</v>
      </c>
      <c r="AG80" s="417">
        <f t="shared" si="175"/>
        <v>102</v>
      </c>
      <c r="AH80" s="386">
        <f t="shared" si="175"/>
        <v>0</v>
      </c>
      <c r="AI80" s="265">
        <f>ROUND(((AH80/AG80-1)*100), 1)</f>
        <v>-100</v>
      </c>
      <c r="AJ80" s="417">
        <v>102</v>
      </c>
      <c r="AK80" s="386">
        <v>1140</v>
      </c>
      <c r="AL80" s="265">
        <f>ROUND(((AK80/AJ80-1)*100), 1)</f>
        <v>1017.6</v>
      </c>
      <c r="AM80" s="722">
        <f t="shared" si="178"/>
        <v>0</v>
      </c>
      <c r="AN80" s="714">
        <f t="shared" si="179"/>
        <v>0</v>
      </c>
      <c r="AO80" s="751">
        <v>0</v>
      </c>
      <c r="AP80" s="770">
        <v>102</v>
      </c>
      <c r="AQ80" s="714">
        <v>1140</v>
      </c>
      <c r="AR80" s="705">
        <f>ROUND(((AQ80/AP80-1)*100), 1)</f>
        <v>1017.6</v>
      </c>
      <c r="AS80" s="770">
        <f t="shared" si="182"/>
        <v>0</v>
      </c>
      <c r="AT80" s="714">
        <f t="shared" si="182"/>
        <v>0</v>
      </c>
      <c r="AU80" s="751">
        <v>0</v>
      </c>
      <c r="AV80" s="992">
        <v>102</v>
      </c>
      <c r="AW80" s="990">
        <v>1140</v>
      </c>
      <c r="AX80" s="705">
        <f t="shared" si="184"/>
        <v>1017.6</v>
      </c>
      <c r="AY80" s="770">
        <f t="shared" si="185"/>
        <v>0</v>
      </c>
      <c r="AZ80" s="714">
        <f t="shared" si="186"/>
        <v>0</v>
      </c>
      <c r="BA80" s="751">
        <v>0</v>
      </c>
      <c r="BB80" s="770">
        <v>102</v>
      </c>
      <c r="BC80" s="714">
        <v>1140</v>
      </c>
      <c r="BD80" s="705">
        <f t="shared" si="188"/>
        <v>1017.6</v>
      </c>
      <c r="BE80" s="770">
        <f t="shared" si="189"/>
        <v>0</v>
      </c>
      <c r="BF80" s="714">
        <f t="shared" si="189"/>
        <v>0</v>
      </c>
      <c r="BG80" s="751">
        <v>0</v>
      </c>
      <c r="BH80" s="770">
        <v>102</v>
      </c>
      <c r="BI80" s="714">
        <v>1140</v>
      </c>
      <c r="BJ80" s="705">
        <f t="shared" si="191"/>
        <v>1017.6</v>
      </c>
      <c r="BK80" s="770">
        <f t="shared" si="192"/>
        <v>0</v>
      </c>
      <c r="BL80" s="714">
        <f t="shared" si="192"/>
        <v>0</v>
      </c>
      <c r="BM80" s="751">
        <v>0</v>
      </c>
      <c r="BN80" s="770">
        <v>102</v>
      </c>
      <c r="BO80" s="714">
        <v>1140</v>
      </c>
      <c r="BP80" s="705">
        <f t="shared" si="194"/>
        <v>1017.6</v>
      </c>
      <c r="BQ80" s="770">
        <f t="shared" si="195"/>
        <v>0</v>
      </c>
      <c r="BR80" s="714">
        <f t="shared" si="195"/>
        <v>0</v>
      </c>
      <c r="BS80" s="751">
        <v>0</v>
      </c>
      <c r="BT80" s="770">
        <v>102</v>
      </c>
      <c r="BU80" s="714">
        <v>1140</v>
      </c>
      <c r="BV80" s="705">
        <f t="shared" si="196"/>
        <v>1017.6</v>
      </c>
    </row>
    <row r="81" spans="1:74">
      <c r="A81" s="96"/>
      <c r="B81" s="1176"/>
      <c r="C81" s="105" t="s">
        <v>58</v>
      </c>
      <c r="D81" s="98">
        <v>298</v>
      </c>
      <c r="E81" s="98">
        <v>0</v>
      </c>
      <c r="F81" s="98">
        <v>11321</v>
      </c>
      <c r="G81" s="98">
        <v>2874</v>
      </c>
      <c r="H81" s="98">
        <v>8949</v>
      </c>
      <c r="I81" s="98">
        <v>14078</v>
      </c>
      <c r="J81" s="98">
        <v>9662</v>
      </c>
      <c r="K81" s="98">
        <v>323</v>
      </c>
      <c r="L81" s="417">
        <v>0</v>
      </c>
      <c r="M81" s="386">
        <v>401</v>
      </c>
      <c r="N81" s="179">
        <v>0</v>
      </c>
      <c r="O81" s="417">
        <f t="shared" si="164"/>
        <v>0</v>
      </c>
      <c r="P81" s="386">
        <f t="shared" si="164"/>
        <v>497</v>
      </c>
      <c r="Q81" s="179">
        <v>0</v>
      </c>
      <c r="R81" s="417">
        <v>0</v>
      </c>
      <c r="S81" s="386">
        <v>898</v>
      </c>
      <c r="T81" s="179">
        <v>0</v>
      </c>
      <c r="U81" s="417">
        <f t="shared" si="167"/>
        <v>0</v>
      </c>
      <c r="V81" s="386">
        <f t="shared" si="168"/>
        <v>102</v>
      </c>
      <c r="W81" s="179">
        <v>0</v>
      </c>
      <c r="X81" s="417">
        <v>0</v>
      </c>
      <c r="Y81" s="386">
        <v>1000</v>
      </c>
      <c r="Z81" s="179">
        <v>0</v>
      </c>
      <c r="AA81" s="417">
        <f t="shared" si="171"/>
        <v>0</v>
      </c>
      <c r="AB81" s="386">
        <f t="shared" si="172"/>
        <v>0</v>
      </c>
      <c r="AC81" s="523">
        <v>0</v>
      </c>
      <c r="AD81" s="417">
        <v>0</v>
      </c>
      <c r="AE81" s="386">
        <v>1000</v>
      </c>
      <c r="AF81" s="523">
        <v>0</v>
      </c>
      <c r="AG81" s="417">
        <f t="shared" si="175"/>
        <v>323</v>
      </c>
      <c r="AH81" s="386">
        <f t="shared" si="175"/>
        <v>0</v>
      </c>
      <c r="AI81" s="265">
        <f>ROUND(((AH81/AG81-1)*100), 1)</f>
        <v>-100</v>
      </c>
      <c r="AJ81" s="417">
        <v>323</v>
      </c>
      <c r="AK81" s="386">
        <v>1000</v>
      </c>
      <c r="AL81" s="265">
        <f>ROUND(((AK81/AJ81-1)*100), 1)</f>
        <v>209.6</v>
      </c>
      <c r="AM81" s="722">
        <f t="shared" si="178"/>
        <v>0</v>
      </c>
      <c r="AN81" s="714">
        <f t="shared" si="179"/>
        <v>0</v>
      </c>
      <c r="AO81" s="751">
        <v>0</v>
      </c>
      <c r="AP81" s="770">
        <v>323</v>
      </c>
      <c r="AQ81" s="714">
        <v>1000</v>
      </c>
      <c r="AR81" s="705">
        <f>ROUND(((AQ81/AP81-1)*100), 1)</f>
        <v>209.6</v>
      </c>
      <c r="AS81" s="770">
        <f t="shared" si="182"/>
        <v>0</v>
      </c>
      <c r="AT81" s="714">
        <f t="shared" si="182"/>
        <v>0</v>
      </c>
      <c r="AU81" s="751">
        <v>0</v>
      </c>
      <c r="AV81" s="992">
        <v>323</v>
      </c>
      <c r="AW81" s="990">
        <v>1000</v>
      </c>
      <c r="AX81" s="705">
        <f t="shared" si="184"/>
        <v>209.6</v>
      </c>
      <c r="AY81" s="770">
        <f t="shared" si="185"/>
        <v>0</v>
      </c>
      <c r="AZ81" s="714">
        <f t="shared" si="186"/>
        <v>0</v>
      </c>
      <c r="BA81" s="751">
        <v>0</v>
      </c>
      <c r="BB81" s="770">
        <v>323</v>
      </c>
      <c r="BC81" s="714">
        <v>1000</v>
      </c>
      <c r="BD81" s="705">
        <f t="shared" si="188"/>
        <v>209.6</v>
      </c>
      <c r="BE81" s="770">
        <f t="shared" si="189"/>
        <v>0</v>
      </c>
      <c r="BF81" s="714">
        <f t="shared" si="189"/>
        <v>0</v>
      </c>
      <c r="BG81" s="751">
        <v>0</v>
      </c>
      <c r="BH81" s="770">
        <v>323</v>
      </c>
      <c r="BI81" s="714">
        <v>1000</v>
      </c>
      <c r="BJ81" s="705">
        <f t="shared" si="191"/>
        <v>209.6</v>
      </c>
      <c r="BK81" s="770">
        <f t="shared" si="192"/>
        <v>0</v>
      </c>
      <c r="BL81" s="714">
        <f t="shared" si="192"/>
        <v>0</v>
      </c>
      <c r="BM81" s="751">
        <v>0</v>
      </c>
      <c r="BN81" s="770">
        <v>323</v>
      </c>
      <c r="BO81" s="714">
        <v>1000</v>
      </c>
      <c r="BP81" s="705">
        <f t="shared" si="194"/>
        <v>209.6</v>
      </c>
      <c r="BQ81" s="770">
        <f t="shared" si="195"/>
        <v>0</v>
      </c>
      <c r="BR81" s="714">
        <f t="shared" si="195"/>
        <v>0</v>
      </c>
      <c r="BS81" s="751">
        <v>0</v>
      </c>
      <c r="BT81" s="770">
        <v>323</v>
      </c>
      <c r="BU81" s="714">
        <v>1000</v>
      </c>
      <c r="BV81" s="705">
        <f t="shared" si="196"/>
        <v>209.6</v>
      </c>
    </row>
    <row r="82" spans="1:74">
      <c r="A82" s="96"/>
      <c r="B82" s="1176"/>
      <c r="C82" s="105" t="s">
        <v>106</v>
      </c>
      <c r="D82" s="98">
        <v>3655</v>
      </c>
      <c r="E82" s="98">
        <v>789</v>
      </c>
      <c r="F82" s="98">
        <v>3119</v>
      </c>
      <c r="G82" s="98">
        <v>401</v>
      </c>
      <c r="H82" s="98">
        <v>759</v>
      </c>
      <c r="I82" s="98">
        <v>151</v>
      </c>
      <c r="J82" s="98">
        <v>0</v>
      </c>
      <c r="K82" s="98">
        <v>151</v>
      </c>
      <c r="L82" s="417">
        <v>0</v>
      </c>
      <c r="M82" s="386">
        <v>0</v>
      </c>
      <c r="N82" s="179">
        <v>0</v>
      </c>
      <c r="O82" s="417">
        <f t="shared" si="164"/>
        <v>0</v>
      </c>
      <c r="P82" s="386">
        <f t="shared" si="164"/>
        <v>0</v>
      </c>
      <c r="Q82" s="179">
        <v>0</v>
      </c>
      <c r="R82" s="417">
        <v>0</v>
      </c>
      <c r="S82" s="386">
        <v>0</v>
      </c>
      <c r="T82" s="179">
        <v>0</v>
      </c>
      <c r="U82" s="417">
        <f t="shared" si="167"/>
        <v>0</v>
      </c>
      <c r="V82" s="386">
        <f t="shared" si="168"/>
        <v>74</v>
      </c>
      <c r="W82" s="179">
        <v>0</v>
      </c>
      <c r="X82" s="417">
        <v>0</v>
      </c>
      <c r="Y82" s="386">
        <v>74</v>
      </c>
      <c r="Z82" s="179">
        <v>0</v>
      </c>
      <c r="AA82" s="417">
        <f t="shared" si="171"/>
        <v>0</v>
      </c>
      <c r="AB82" s="386">
        <f t="shared" si="172"/>
        <v>0</v>
      </c>
      <c r="AC82" s="523">
        <v>0</v>
      </c>
      <c r="AD82" s="417">
        <v>0</v>
      </c>
      <c r="AE82" s="386">
        <v>74</v>
      </c>
      <c r="AF82" s="523">
        <v>0</v>
      </c>
      <c r="AG82" s="417">
        <f t="shared" si="175"/>
        <v>0</v>
      </c>
      <c r="AH82" s="386">
        <f t="shared" si="175"/>
        <v>0</v>
      </c>
      <c r="AI82" s="523">
        <v>0</v>
      </c>
      <c r="AJ82" s="417">
        <v>0</v>
      </c>
      <c r="AK82" s="386">
        <v>74</v>
      </c>
      <c r="AL82" s="523">
        <v>0</v>
      </c>
      <c r="AM82" s="722">
        <f t="shared" si="178"/>
        <v>0</v>
      </c>
      <c r="AN82" s="714">
        <f t="shared" si="179"/>
        <v>0</v>
      </c>
      <c r="AO82" s="695">
        <v>0</v>
      </c>
      <c r="AP82" s="770">
        <v>0</v>
      </c>
      <c r="AQ82" s="714">
        <v>74</v>
      </c>
      <c r="AR82" s="695">
        <v>0</v>
      </c>
      <c r="AS82" s="770">
        <f t="shared" si="182"/>
        <v>0</v>
      </c>
      <c r="AT82" s="714">
        <f t="shared" si="182"/>
        <v>0</v>
      </c>
      <c r="AU82" s="751">
        <v>0</v>
      </c>
      <c r="AV82" s="992">
        <v>0</v>
      </c>
      <c r="AW82" s="990">
        <v>74</v>
      </c>
      <c r="AX82" s="751">
        <v>0</v>
      </c>
      <c r="AY82" s="770">
        <f t="shared" si="185"/>
        <v>0</v>
      </c>
      <c r="AZ82" s="714">
        <f t="shared" si="186"/>
        <v>0</v>
      </c>
      <c r="BA82" s="751">
        <v>0</v>
      </c>
      <c r="BB82" s="770">
        <v>0</v>
      </c>
      <c r="BC82" s="714">
        <v>74</v>
      </c>
      <c r="BD82" s="751">
        <v>0</v>
      </c>
      <c r="BE82" s="770">
        <f t="shared" si="189"/>
        <v>151</v>
      </c>
      <c r="BF82" s="714">
        <f t="shared" si="189"/>
        <v>0</v>
      </c>
      <c r="BG82" s="705">
        <f t="shared" ref="BG82" si="207">ROUND(((BF82/BE82-1)*100), 1)</f>
        <v>-100</v>
      </c>
      <c r="BH82" s="770">
        <v>151</v>
      </c>
      <c r="BI82" s="714">
        <v>74</v>
      </c>
      <c r="BJ82" s="705">
        <f t="shared" si="191"/>
        <v>-51</v>
      </c>
      <c r="BK82" s="770">
        <f t="shared" si="192"/>
        <v>0</v>
      </c>
      <c r="BL82" s="714">
        <f t="shared" si="192"/>
        <v>0</v>
      </c>
      <c r="BM82" s="751">
        <v>0</v>
      </c>
      <c r="BN82" s="770">
        <v>151</v>
      </c>
      <c r="BO82" s="714">
        <v>74</v>
      </c>
      <c r="BP82" s="705">
        <f t="shared" si="194"/>
        <v>-51</v>
      </c>
      <c r="BQ82" s="770">
        <f t="shared" si="195"/>
        <v>0</v>
      </c>
      <c r="BR82" s="714">
        <f t="shared" si="195"/>
        <v>0</v>
      </c>
      <c r="BS82" s="751">
        <v>0</v>
      </c>
      <c r="BT82" s="770">
        <v>151</v>
      </c>
      <c r="BU82" s="714">
        <v>74</v>
      </c>
      <c r="BV82" s="705">
        <f t="shared" si="196"/>
        <v>-51</v>
      </c>
    </row>
    <row r="83" spans="1:74">
      <c r="A83" s="96"/>
      <c r="B83" s="1176"/>
      <c r="C83" s="105" t="s">
        <v>53</v>
      </c>
      <c r="D83" s="98">
        <v>172</v>
      </c>
      <c r="E83" s="98">
        <v>43</v>
      </c>
      <c r="F83" s="98">
        <v>2753</v>
      </c>
      <c r="G83" s="98">
        <v>2925</v>
      </c>
      <c r="H83" s="98">
        <v>0</v>
      </c>
      <c r="I83" s="98">
        <v>1505</v>
      </c>
      <c r="J83" s="98">
        <v>7</v>
      </c>
      <c r="K83" s="98">
        <v>99</v>
      </c>
      <c r="L83" s="417">
        <v>0</v>
      </c>
      <c r="M83" s="386">
        <v>22</v>
      </c>
      <c r="N83" s="179">
        <v>0</v>
      </c>
      <c r="O83" s="417">
        <f t="shared" si="164"/>
        <v>0</v>
      </c>
      <c r="P83" s="386">
        <f t="shared" si="164"/>
        <v>0</v>
      </c>
      <c r="Q83" s="179">
        <v>0</v>
      </c>
      <c r="R83" s="417">
        <v>0</v>
      </c>
      <c r="S83" s="386">
        <v>22</v>
      </c>
      <c r="T83" s="179">
        <v>0</v>
      </c>
      <c r="U83" s="417">
        <f t="shared" si="167"/>
        <v>0</v>
      </c>
      <c r="V83" s="386">
        <f t="shared" si="168"/>
        <v>1</v>
      </c>
      <c r="W83" s="179">
        <v>0</v>
      </c>
      <c r="X83" s="417">
        <v>0</v>
      </c>
      <c r="Y83" s="386">
        <v>23</v>
      </c>
      <c r="Z83" s="179">
        <v>0</v>
      </c>
      <c r="AA83" s="417">
        <f t="shared" si="171"/>
        <v>20</v>
      </c>
      <c r="AB83" s="386">
        <f t="shared" si="172"/>
        <v>0</v>
      </c>
      <c r="AC83" s="265">
        <f t="shared" ref="AC83" si="208">ROUND(((AB83/AA83-1)*100), 1)</f>
        <v>-100</v>
      </c>
      <c r="AD83" s="417">
        <v>20</v>
      </c>
      <c r="AE83" s="386">
        <v>23</v>
      </c>
      <c r="AF83" s="265">
        <f t="shared" ref="AF83" si="209">ROUND(((AE83/AD83-1)*100), 1)</f>
        <v>15</v>
      </c>
      <c r="AG83" s="417">
        <f t="shared" si="175"/>
        <v>0</v>
      </c>
      <c r="AH83" s="386">
        <f t="shared" si="175"/>
        <v>0</v>
      </c>
      <c r="AI83" s="523">
        <v>0</v>
      </c>
      <c r="AJ83" s="417">
        <v>20</v>
      </c>
      <c r="AK83" s="386">
        <v>23</v>
      </c>
      <c r="AL83" s="265">
        <f t="shared" ref="AL83" si="210">ROUND(((AK83/AJ83-1)*100), 1)</f>
        <v>15</v>
      </c>
      <c r="AM83" s="722">
        <f t="shared" si="178"/>
        <v>0</v>
      </c>
      <c r="AN83" s="714">
        <f t="shared" si="179"/>
        <v>0</v>
      </c>
      <c r="AO83" s="695">
        <v>0</v>
      </c>
      <c r="AP83" s="770">
        <v>20</v>
      </c>
      <c r="AQ83" s="714">
        <v>23</v>
      </c>
      <c r="AR83" s="705">
        <f t="shared" ref="AR83" si="211">ROUND(((AQ83/AP83-1)*100), 1)</f>
        <v>15</v>
      </c>
      <c r="AS83" s="770">
        <f t="shared" si="182"/>
        <v>75</v>
      </c>
      <c r="AT83" s="714">
        <f t="shared" si="182"/>
        <v>0</v>
      </c>
      <c r="AU83" s="710">
        <f>ROUND(((AT83/AS83-1)*100), 1)</f>
        <v>-100</v>
      </c>
      <c r="AV83" s="992">
        <v>95</v>
      </c>
      <c r="AW83" s="990">
        <v>23</v>
      </c>
      <c r="AX83" s="705">
        <f>ROUND(((AW83/AV83-1)*100), 1)</f>
        <v>-75.8</v>
      </c>
      <c r="AY83" s="770">
        <f t="shared" si="185"/>
        <v>0</v>
      </c>
      <c r="AZ83" s="714">
        <f t="shared" si="186"/>
        <v>0</v>
      </c>
      <c r="BA83" s="751">
        <v>0</v>
      </c>
      <c r="BB83" s="770">
        <v>95</v>
      </c>
      <c r="BC83" s="714">
        <v>23</v>
      </c>
      <c r="BD83" s="705">
        <f>ROUND(((BC83/BB83-1)*100), 1)</f>
        <v>-75.8</v>
      </c>
      <c r="BE83" s="770">
        <f t="shared" si="189"/>
        <v>0</v>
      </c>
      <c r="BF83" s="714">
        <f t="shared" si="189"/>
        <v>0</v>
      </c>
      <c r="BG83" s="751">
        <v>0</v>
      </c>
      <c r="BH83" s="689">
        <v>95</v>
      </c>
      <c r="BI83" s="770">
        <v>23</v>
      </c>
      <c r="BJ83" s="705">
        <f>ROUND(((BI83/BH83-1)*100), 1)</f>
        <v>-75.8</v>
      </c>
      <c r="BK83" s="770">
        <f t="shared" si="192"/>
        <v>0</v>
      </c>
      <c r="BL83" s="714">
        <f t="shared" si="192"/>
        <v>0</v>
      </c>
      <c r="BM83" s="751">
        <v>0</v>
      </c>
      <c r="BN83" s="770">
        <v>95</v>
      </c>
      <c r="BO83" s="770">
        <v>23</v>
      </c>
      <c r="BP83" s="705">
        <f>ROUND(((BO83/BN83-1)*100), 1)</f>
        <v>-75.8</v>
      </c>
      <c r="BQ83" s="770">
        <f t="shared" si="195"/>
        <v>0</v>
      </c>
      <c r="BR83" s="714">
        <f t="shared" si="195"/>
        <v>0</v>
      </c>
      <c r="BS83" s="751">
        <v>0</v>
      </c>
      <c r="BT83" s="770">
        <v>95</v>
      </c>
      <c r="BU83" s="714">
        <v>23</v>
      </c>
      <c r="BV83" s="705">
        <f>ROUND(((BU83/BT83-1)*100), 1)</f>
        <v>-75.8</v>
      </c>
    </row>
    <row r="84" spans="1:74">
      <c r="A84" s="96"/>
      <c r="B84" s="1176"/>
      <c r="C84" s="105" t="s">
        <v>98</v>
      </c>
      <c r="D84" s="98">
        <v>281</v>
      </c>
      <c r="E84" s="98">
        <v>2</v>
      </c>
      <c r="F84" s="98">
        <v>2373</v>
      </c>
      <c r="G84" s="98">
        <v>2316</v>
      </c>
      <c r="H84" s="98">
        <v>928</v>
      </c>
      <c r="I84" s="98">
        <v>519</v>
      </c>
      <c r="J84" s="98">
        <v>582</v>
      </c>
      <c r="K84" s="98">
        <v>20</v>
      </c>
      <c r="L84" s="417">
        <v>20</v>
      </c>
      <c r="M84" s="386">
        <v>0</v>
      </c>
      <c r="N84" s="265">
        <f>ROUND(((M84/L84-1)*100), 1)</f>
        <v>-100</v>
      </c>
      <c r="O84" s="417">
        <f t="shared" si="164"/>
        <v>0</v>
      </c>
      <c r="P84" s="386">
        <f t="shared" si="164"/>
        <v>0</v>
      </c>
      <c r="Q84" s="523">
        <v>0</v>
      </c>
      <c r="R84" s="417">
        <v>20</v>
      </c>
      <c r="S84" s="386">
        <v>0</v>
      </c>
      <c r="T84" s="265">
        <f>ROUND(((S84/R84-1)*100), 1)</f>
        <v>-100</v>
      </c>
      <c r="U84" s="417">
        <f t="shared" si="167"/>
        <v>0</v>
      </c>
      <c r="V84" s="386">
        <f t="shared" si="168"/>
        <v>0</v>
      </c>
      <c r="W84" s="523">
        <v>0</v>
      </c>
      <c r="X84" s="417">
        <v>20</v>
      </c>
      <c r="Y84" s="386">
        <v>0</v>
      </c>
      <c r="Z84" s="265">
        <f>ROUND(((Y84/X84-1)*100), 1)</f>
        <v>-100</v>
      </c>
      <c r="AA84" s="417">
        <f t="shared" si="171"/>
        <v>0</v>
      </c>
      <c r="AB84" s="386">
        <f t="shared" si="172"/>
        <v>0</v>
      </c>
      <c r="AC84" s="523">
        <v>0</v>
      </c>
      <c r="AD84" s="417">
        <v>20</v>
      </c>
      <c r="AE84" s="386">
        <v>0</v>
      </c>
      <c r="AF84" s="265">
        <f>ROUND(((AE84/AD84-1)*100), 1)</f>
        <v>-100</v>
      </c>
      <c r="AG84" s="417">
        <f t="shared" si="175"/>
        <v>0</v>
      </c>
      <c r="AH84" s="386">
        <f t="shared" si="175"/>
        <v>0</v>
      </c>
      <c r="AI84" s="523">
        <v>0</v>
      </c>
      <c r="AJ84" s="417">
        <v>20</v>
      </c>
      <c r="AK84" s="386">
        <v>0</v>
      </c>
      <c r="AL84" s="265">
        <f>ROUND(((AK84/AJ84-1)*100), 1)</f>
        <v>-100</v>
      </c>
      <c r="AM84" s="722">
        <f t="shared" si="178"/>
        <v>0</v>
      </c>
      <c r="AN84" s="714">
        <f t="shared" si="179"/>
        <v>0</v>
      </c>
      <c r="AO84" s="695">
        <v>0</v>
      </c>
      <c r="AP84" s="770">
        <v>20</v>
      </c>
      <c r="AQ84" s="714">
        <v>0</v>
      </c>
      <c r="AR84" s="705">
        <f>ROUND(((AQ84/AP84-1)*100), 1)</f>
        <v>-100</v>
      </c>
      <c r="AS84" s="770">
        <f t="shared" si="182"/>
        <v>0</v>
      </c>
      <c r="AT84" s="714">
        <f t="shared" si="182"/>
        <v>0</v>
      </c>
      <c r="AU84" s="751">
        <v>0</v>
      </c>
      <c r="AV84" s="992">
        <v>20</v>
      </c>
      <c r="AW84" s="990">
        <v>0</v>
      </c>
      <c r="AX84" s="705">
        <f>ROUND(((AW84/AV84-1)*100), 1)</f>
        <v>-100</v>
      </c>
      <c r="AY84" s="770">
        <f t="shared" si="185"/>
        <v>0</v>
      </c>
      <c r="AZ84" s="714">
        <f t="shared" si="186"/>
        <v>0</v>
      </c>
      <c r="BA84" s="751">
        <v>0</v>
      </c>
      <c r="BB84" s="770">
        <v>20</v>
      </c>
      <c r="BC84" s="714">
        <v>0</v>
      </c>
      <c r="BD84" s="705">
        <f>ROUND(((BC84/BB84-1)*100), 1)</f>
        <v>-100</v>
      </c>
      <c r="BE84" s="770">
        <f t="shared" si="189"/>
        <v>0</v>
      </c>
      <c r="BF84" s="714">
        <f t="shared" si="189"/>
        <v>0</v>
      </c>
      <c r="BG84" s="751">
        <v>0</v>
      </c>
      <c r="BH84" s="689">
        <v>20</v>
      </c>
      <c r="BI84" s="770">
        <v>0</v>
      </c>
      <c r="BJ84" s="705">
        <f>ROUND(((BI84/BH84-1)*100), 1)</f>
        <v>-100</v>
      </c>
      <c r="BK84" s="770">
        <f t="shared" si="192"/>
        <v>0</v>
      </c>
      <c r="BL84" s="714">
        <f t="shared" si="192"/>
        <v>0</v>
      </c>
      <c r="BM84" s="751">
        <v>0</v>
      </c>
      <c r="BN84" s="770">
        <v>20</v>
      </c>
      <c r="BO84" s="770">
        <v>0</v>
      </c>
      <c r="BP84" s="705">
        <f>ROUND(((BO84/BN84-1)*100), 1)</f>
        <v>-100</v>
      </c>
      <c r="BQ84" s="770">
        <f t="shared" si="195"/>
        <v>0</v>
      </c>
      <c r="BR84" s="714">
        <f t="shared" si="195"/>
        <v>0</v>
      </c>
      <c r="BS84" s="751">
        <v>0</v>
      </c>
      <c r="BT84" s="770">
        <v>20</v>
      </c>
      <c r="BU84" s="714">
        <v>0</v>
      </c>
      <c r="BV84" s="705">
        <f>ROUND(((BU84/BT84-1)*100), 1)</f>
        <v>-100</v>
      </c>
    </row>
    <row r="85" spans="1:74">
      <c r="A85" s="96"/>
      <c r="B85" s="1176"/>
      <c r="C85" s="105" t="s">
        <v>104</v>
      </c>
      <c r="D85" s="98">
        <v>15483</v>
      </c>
      <c r="E85" s="98">
        <v>10937</v>
      </c>
      <c r="F85" s="98">
        <v>0</v>
      </c>
      <c r="G85" s="98">
        <v>0</v>
      </c>
      <c r="H85" s="98">
        <v>6684</v>
      </c>
      <c r="I85" s="98">
        <v>15117</v>
      </c>
      <c r="J85" s="98">
        <v>5673</v>
      </c>
      <c r="K85" s="98">
        <v>0</v>
      </c>
      <c r="L85" s="417">
        <v>0</v>
      </c>
      <c r="M85" s="386">
        <v>0</v>
      </c>
      <c r="N85" s="179">
        <v>0</v>
      </c>
      <c r="O85" s="417">
        <f t="shared" si="164"/>
        <v>0</v>
      </c>
      <c r="P85" s="386">
        <f t="shared" si="164"/>
        <v>0</v>
      </c>
      <c r="Q85" s="179">
        <v>0</v>
      </c>
      <c r="R85" s="417">
        <v>0</v>
      </c>
      <c r="S85" s="386">
        <v>0</v>
      </c>
      <c r="T85" s="179">
        <v>0</v>
      </c>
      <c r="U85" s="417">
        <f t="shared" si="167"/>
        <v>0</v>
      </c>
      <c r="V85" s="386">
        <f t="shared" si="168"/>
        <v>0</v>
      </c>
      <c r="W85" s="179">
        <v>0</v>
      </c>
      <c r="X85" s="417">
        <v>0</v>
      </c>
      <c r="Y85" s="386">
        <v>0</v>
      </c>
      <c r="Z85" s="179">
        <v>0</v>
      </c>
      <c r="AA85" s="417">
        <f t="shared" si="171"/>
        <v>0</v>
      </c>
      <c r="AB85" s="386">
        <f t="shared" si="172"/>
        <v>0</v>
      </c>
      <c r="AC85" s="523">
        <v>0</v>
      </c>
      <c r="AD85" s="417">
        <v>0</v>
      </c>
      <c r="AE85" s="386">
        <v>0</v>
      </c>
      <c r="AF85" s="523">
        <v>0</v>
      </c>
      <c r="AG85" s="417">
        <f t="shared" si="175"/>
        <v>0</v>
      </c>
      <c r="AH85" s="386">
        <f t="shared" si="175"/>
        <v>0</v>
      </c>
      <c r="AI85" s="523">
        <v>0</v>
      </c>
      <c r="AJ85" s="417">
        <v>0</v>
      </c>
      <c r="AK85" s="386">
        <v>0</v>
      </c>
      <c r="AL85" s="523">
        <v>0</v>
      </c>
      <c r="AM85" s="722">
        <f t="shared" si="178"/>
        <v>0</v>
      </c>
      <c r="AN85" s="714">
        <f t="shared" si="179"/>
        <v>0</v>
      </c>
      <c r="AO85" s="695">
        <v>0</v>
      </c>
      <c r="AP85" s="770">
        <v>0</v>
      </c>
      <c r="AQ85" s="714">
        <v>0</v>
      </c>
      <c r="AR85" s="695">
        <v>0</v>
      </c>
      <c r="AS85" s="770">
        <f t="shared" si="182"/>
        <v>0</v>
      </c>
      <c r="AT85" s="714">
        <f t="shared" si="182"/>
        <v>0</v>
      </c>
      <c r="AU85" s="751">
        <v>0</v>
      </c>
      <c r="AV85" s="992">
        <v>0</v>
      </c>
      <c r="AW85" s="990">
        <v>0</v>
      </c>
      <c r="AX85" s="751">
        <v>0</v>
      </c>
      <c r="AY85" s="770">
        <f t="shared" si="185"/>
        <v>0</v>
      </c>
      <c r="AZ85" s="714">
        <f t="shared" si="186"/>
        <v>0</v>
      </c>
      <c r="BA85" s="751">
        <v>0</v>
      </c>
      <c r="BB85" s="770">
        <v>0</v>
      </c>
      <c r="BC85" s="714">
        <v>0</v>
      </c>
      <c r="BD85" s="751">
        <v>0</v>
      </c>
      <c r="BE85" s="770">
        <f t="shared" si="189"/>
        <v>0</v>
      </c>
      <c r="BF85" s="714">
        <f t="shared" si="189"/>
        <v>0</v>
      </c>
      <c r="BG85" s="751">
        <v>0</v>
      </c>
      <c r="BH85" s="689">
        <v>0</v>
      </c>
      <c r="BI85" s="770">
        <v>0</v>
      </c>
      <c r="BJ85" s="751">
        <v>0</v>
      </c>
      <c r="BK85" s="770">
        <f t="shared" si="192"/>
        <v>0</v>
      </c>
      <c r="BL85" s="714">
        <f t="shared" si="192"/>
        <v>0</v>
      </c>
      <c r="BM85" s="751">
        <v>0</v>
      </c>
      <c r="BN85" s="770">
        <v>0</v>
      </c>
      <c r="BO85" s="770">
        <v>0</v>
      </c>
      <c r="BP85" s="751">
        <v>0</v>
      </c>
      <c r="BQ85" s="770">
        <f t="shared" si="195"/>
        <v>0</v>
      </c>
      <c r="BR85" s="714">
        <f t="shared" si="195"/>
        <v>0</v>
      </c>
      <c r="BS85" s="751">
        <v>0</v>
      </c>
      <c r="BT85" s="770">
        <v>0</v>
      </c>
      <c r="BU85" s="714">
        <v>0</v>
      </c>
      <c r="BV85" s="751">
        <v>0</v>
      </c>
    </row>
    <row r="86" spans="1:74">
      <c r="A86" s="96"/>
      <c r="B86" s="1176"/>
      <c r="C86" s="105" t="s">
        <v>220</v>
      </c>
      <c r="D86" s="98">
        <v>553</v>
      </c>
      <c r="E86" s="98">
        <v>970</v>
      </c>
      <c r="F86" s="98">
        <v>0</v>
      </c>
      <c r="G86" s="98">
        <v>0</v>
      </c>
      <c r="H86" s="98">
        <v>24</v>
      </c>
      <c r="I86" s="98">
        <v>69</v>
      </c>
      <c r="J86" s="98">
        <v>46</v>
      </c>
      <c r="K86" s="98">
        <v>0</v>
      </c>
      <c r="L86" s="417">
        <v>0</v>
      </c>
      <c r="M86" s="386">
        <v>0</v>
      </c>
      <c r="N86" s="179">
        <v>0</v>
      </c>
      <c r="O86" s="417">
        <f t="shared" si="164"/>
        <v>0</v>
      </c>
      <c r="P86" s="386">
        <f t="shared" si="164"/>
        <v>0</v>
      </c>
      <c r="Q86" s="179">
        <v>0</v>
      </c>
      <c r="R86" s="417">
        <v>0</v>
      </c>
      <c r="S86" s="386">
        <v>0</v>
      </c>
      <c r="T86" s="179">
        <v>0</v>
      </c>
      <c r="U86" s="417">
        <f t="shared" si="167"/>
        <v>0</v>
      </c>
      <c r="V86" s="386">
        <f t="shared" si="168"/>
        <v>0</v>
      </c>
      <c r="W86" s="179">
        <v>0</v>
      </c>
      <c r="X86" s="417">
        <v>0</v>
      </c>
      <c r="Y86" s="386">
        <v>0</v>
      </c>
      <c r="Z86" s="179">
        <v>0</v>
      </c>
      <c r="AA86" s="417">
        <f t="shared" si="171"/>
        <v>0</v>
      </c>
      <c r="AB86" s="386">
        <f t="shared" si="172"/>
        <v>0</v>
      </c>
      <c r="AC86" s="523">
        <v>0</v>
      </c>
      <c r="AD86" s="417">
        <v>0</v>
      </c>
      <c r="AE86" s="386">
        <v>0</v>
      </c>
      <c r="AF86" s="523">
        <v>0</v>
      </c>
      <c r="AG86" s="417">
        <f t="shared" si="175"/>
        <v>0</v>
      </c>
      <c r="AH86" s="386">
        <f t="shared" si="175"/>
        <v>0</v>
      </c>
      <c r="AI86" s="523">
        <v>0</v>
      </c>
      <c r="AJ86" s="417">
        <v>0</v>
      </c>
      <c r="AK86" s="386">
        <v>0</v>
      </c>
      <c r="AL86" s="523">
        <v>0</v>
      </c>
      <c r="AM86" s="722">
        <f t="shared" si="178"/>
        <v>0</v>
      </c>
      <c r="AN86" s="714">
        <f t="shared" si="179"/>
        <v>0</v>
      </c>
      <c r="AO86" s="695">
        <v>0</v>
      </c>
      <c r="AP86" s="770">
        <v>0</v>
      </c>
      <c r="AQ86" s="714">
        <v>0</v>
      </c>
      <c r="AR86" s="695">
        <v>0</v>
      </c>
      <c r="AS86" s="770">
        <f t="shared" si="182"/>
        <v>0</v>
      </c>
      <c r="AT86" s="714">
        <f t="shared" si="182"/>
        <v>0</v>
      </c>
      <c r="AU86" s="751">
        <v>0</v>
      </c>
      <c r="AV86" s="992">
        <v>0</v>
      </c>
      <c r="AW86" s="990">
        <v>0</v>
      </c>
      <c r="AX86" s="751">
        <v>0</v>
      </c>
      <c r="AY86" s="770">
        <f t="shared" si="185"/>
        <v>0</v>
      </c>
      <c r="AZ86" s="714">
        <f t="shared" si="186"/>
        <v>0</v>
      </c>
      <c r="BA86" s="751">
        <v>0</v>
      </c>
      <c r="BB86" s="770">
        <v>0</v>
      </c>
      <c r="BC86" s="714">
        <v>0</v>
      </c>
      <c r="BD86" s="751">
        <v>0</v>
      </c>
      <c r="BE86" s="770">
        <f t="shared" si="189"/>
        <v>0</v>
      </c>
      <c r="BF86" s="714">
        <f t="shared" si="189"/>
        <v>0</v>
      </c>
      <c r="BG86" s="751">
        <v>0</v>
      </c>
      <c r="BH86" s="689">
        <v>0</v>
      </c>
      <c r="BI86" s="770">
        <v>0</v>
      </c>
      <c r="BJ86" s="751">
        <v>0</v>
      </c>
      <c r="BK86" s="770">
        <f t="shared" si="192"/>
        <v>0</v>
      </c>
      <c r="BL86" s="714">
        <f t="shared" si="192"/>
        <v>0</v>
      </c>
      <c r="BM86" s="751">
        <v>0</v>
      </c>
      <c r="BN86" s="770">
        <v>0</v>
      </c>
      <c r="BO86" s="770">
        <v>0</v>
      </c>
      <c r="BP86" s="751">
        <v>0</v>
      </c>
      <c r="BQ86" s="770">
        <f t="shared" si="195"/>
        <v>0</v>
      </c>
      <c r="BR86" s="714">
        <f t="shared" si="195"/>
        <v>0</v>
      </c>
      <c r="BS86" s="751">
        <v>0</v>
      </c>
      <c r="BT86" s="770">
        <v>0</v>
      </c>
      <c r="BU86" s="714">
        <v>0</v>
      </c>
      <c r="BV86" s="751">
        <v>0</v>
      </c>
    </row>
    <row r="87" spans="1:74">
      <c r="A87" s="96"/>
      <c r="B87" s="1176"/>
      <c r="C87" s="105" t="s">
        <v>217</v>
      </c>
      <c r="D87" s="98">
        <v>1120</v>
      </c>
      <c r="E87" s="98">
        <v>78</v>
      </c>
      <c r="F87" s="98">
        <v>1407</v>
      </c>
      <c r="G87" s="98">
        <v>1982</v>
      </c>
      <c r="H87" s="98">
        <v>3222</v>
      </c>
      <c r="I87" s="98">
        <v>3516</v>
      </c>
      <c r="J87" s="98">
        <v>0</v>
      </c>
      <c r="K87" s="98">
        <v>0</v>
      </c>
      <c r="L87" s="417">
        <v>0</v>
      </c>
      <c r="M87" s="386">
        <v>0</v>
      </c>
      <c r="N87" s="179">
        <v>0</v>
      </c>
      <c r="O87" s="417">
        <f t="shared" si="164"/>
        <v>0</v>
      </c>
      <c r="P87" s="386">
        <f t="shared" si="164"/>
        <v>0</v>
      </c>
      <c r="Q87" s="179">
        <v>0</v>
      </c>
      <c r="R87" s="417">
        <v>0</v>
      </c>
      <c r="S87" s="386">
        <v>0</v>
      </c>
      <c r="T87" s="179">
        <v>0</v>
      </c>
      <c r="U87" s="417">
        <f t="shared" si="167"/>
        <v>0</v>
      </c>
      <c r="V87" s="386">
        <f t="shared" si="168"/>
        <v>0</v>
      </c>
      <c r="W87" s="179">
        <v>0</v>
      </c>
      <c r="X87" s="417">
        <v>0</v>
      </c>
      <c r="Y87" s="386">
        <v>0</v>
      </c>
      <c r="Z87" s="179">
        <v>0</v>
      </c>
      <c r="AA87" s="417">
        <f t="shared" si="171"/>
        <v>0</v>
      </c>
      <c r="AB87" s="386">
        <f t="shared" si="172"/>
        <v>0</v>
      </c>
      <c r="AC87" s="523">
        <v>0</v>
      </c>
      <c r="AD87" s="417">
        <v>0</v>
      </c>
      <c r="AE87" s="386">
        <v>0</v>
      </c>
      <c r="AF87" s="523">
        <v>0</v>
      </c>
      <c r="AG87" s="417">
        <f t="shared" si="175"/>
        <v>0</v>
      </c>
      <c r="AH87" s="386">
        <f t="shared" si="175"/>
        <v>0</v>
      </c>
      <c r="AI87" s="523">
        <v>0</v>
      </c>
      <c r="AJ87" s="417">
        <v>0</v>
      </c>
      <c r="AK87" s="386">
        <v>0</v>
      </c>
      <c r="AL87" s="523">
        <v>0</v>
      </c>
      <c r="AM87" s="722">
        <f t="shared" si="178"/>
        <v>0</v>
      </c>
      <c r="AN87" s="714">
        <f t="shared" si="179"/>
        <v>0</v>
      </c>
      <c r="AO87" s="695">
        <v>0</v>
      </c>
      <c r="AP87" s="770">
        <v>0</v>
      </c>
      <c r="AQ87" s="714">
        <v>0</v>
      </c>
      <c r="AR87" s="695">
        <v>0</v>
      </c>
      <c r="AS87" s="770">
        <f t="shared" si="182"/>
        <v>0</v>
      </c>
      <c r="AT87" s="714">
        <f t="shared" si="182"/>
        <v>0</v>
      </c>
      <c r="AU87" s="751">
        <v>0</v>
      </c>
      <c r="AV87" s="992">
        <v>0</v>
      </c>
      <c r="AW87" s="990">
        <v>0</v>
      </c>
      <c r="AX87" s="751">
        <v>0</v>
      </c>
      <c r="AY87" s="770">
        <f t="shared" si="185"/>
        <v>0</v>
      </c>
      <c r="AZ87" s="714">
        <f t="shared" si="186"/>
        <v>0</v>
      </c>
      <c r="BA87" s="751">
        <v>0</v>
      </c>
      <c r="BB87" s="770">
        <v>0</v>
      </c>
      <c r="BC87" s="714">
        <v>0</v>
      </c>
      <c r="BD87" s="751">
        <v>0</v>
      </c>
      <c r="BE87" s="770">
        <f t="shared" si="189"/>
        <v>0</v>
      </c>
      <c r="BF87" s="714">
        <f t="shared" si="189"/>
        <v>0</v>
      </c>
      <c r="BG87" s="751">
        <v>0</v>
      </c>
      <c r="BH87" s="689">
        <v>0</v>
      </c>
      <c r="BI87" s="770">
        <v>0</v>
      </c>
      <c r="BJ87" s="751">
        <v>0</v>
      </c>
      <c r="BK87" s="770">
        <f t="shared" si="192"/>
        <v>0</v>
      </c>
      <c r="BL87" s="714">
        <f t="shared" si="192"/>
        <v>0</v>
      </c>
      <c r="BM87" s="751">
        <v>0</v>
      </c>
      <c r="BN87" s="770">
        <v>0</v>
      </c>
      <c r="BO87" s="770">
        <v>0</v>
      </c>
      <c r="BP87" s="751">
        <v>0</v>
      </c>
      <c r="BQ87" s="770">
        <f t="shared" si="195"/>
        <v>0</v>
      </c>
      <c r="BR87" s="714">
        <f t="shared" si="195"/>
        <v>0</v>
      </c>
      <c r="BS87" s="751">
        <v>0</v>
      </c>
      <c r="BT87" s="770">
        <v>0</v>
      </c>
      <c r="BU87" s="714">
        <v>0</v>
      </c>
      <c r="BV87" s="751">
        <v>0</v>
      </c>
    </row>
    <row r="88" spans="1:74">
      <c r="A88" s="96"/>
      <c r="B88" s="1176"/>
      <c r="C88" s="105" t="s">
        <v>100</v>
      </c>
      <c r="D88" s="98">
        <v>386</v>
      </c>
      <c r="E88" s="98">
        <v>189</v>
      </c>
      <c r="F88" s="98">
        <v>348</v>
      </c>
      <c r="G88" s="98">
        <v>80</v>
      </c>
      <c r="H88" s="98">
        <v>0</v>
      </c>
      <c r="I88" s="98">
        <v>2095</v>
      </c>
      <c r="J88" s="98">
        <v>0</v>
      </c>
      <c r="K88" s="98">
        <v>0</v>
      </c>
      <c r="L88" s="417">
        <v>0</v>
      </c>
      <c r="M88" s="386">
        <v>0</v>
      </c>
      <c r="N88" s="179">
        <v>0</v>
      </c>
      <c r="O88" s="417">
        <f t="shared" si="164"/>
        <v>0</v>
      </c>
      <c r="P88" s="386">
        <f t="shared" si="164"/>
        <v>0</v>
      </c>
      <c r="Q88" s="179">
        <v>0</v>
      </c>
      <c r="R88" s="417">
        <v>0</v>
      </c>
      <c r="S88" s="386">
        <v>0</v>
      </c>
      <c r="T88" s="179">
        <v>0</v>
      </c>
      <c r="U88" s="417">
        <f t="shared" si="167"/>
        <v>0</v>
      </c>
      <c r="V88" s="386">
        <f t="shared" si="168"/>
        <v>0</v>
      </c>
      <c r="W88" s="179">
        <v>0</v>
      </c>
      <c r="X88" s="417">
        <v>0</v>
      </c>
      <c r="Y88" s="386">
        <v>0</v>
      </c>
      <c r="Z88" s="179">
        <v>0</v>
      </c>
      <c r="AA88" s="417">
        <f t="shared" si="171"/>
        <v>0</v>
      </c>
      <c r="AB88" s="386">
        <f t="shared" si="172"/>
        <v>98</v>
      </c>
      <c r="AC88" s="523">
        <v>0</v>
      </c>
      <c r="AD88" s="417">
        <v>0</v>
      </c>
      <c r="AE88" s="386">
        <v>98</v>
      </c>
      <c r="AF88" s="523">
        <v>0</v>
      </c>
      <c r="AG88" s="417">
        <f t="shared" si="175"/>
        <v>0</v>
      </c>
      <c r="AH88" s="386">
        <f t="shared" si="175"/>
        <v>24</v>
      </c>
      <c r="AI88" s="523">
        <v>0</v>
      </c>
      <c r="AJ88" s="417">
        <v>0</v>
      </c>
      <c r="AK88" s="386">
        <v>122</v>
      </c>
      <c r="AL88" s="523">
        <v>0</v>
      </c>
      <c r="AM88" s="722">
        <f t="shared" si="178"/>
        <v>0</v>
      </c>
      <c r="AN88" s="714">
        <f t="shared" si="179"/>
        <v>24</v>
      </c>
      <c r="AO88" s="695">
        <v>0</v>
      </c>
      <c r="AP88" s="770">
        <v>0</v>
      </c>
      <c r="AQ88" s="714">
        <v>146</v>
      </c>
      <c r="AR88" s="695">
        <v>0</v>
      </c>
      <c r="AS88" s="770">
        <f t="shared" si="182"/>
        <v>0</v>
      </c>
      <c r="AT88" s="714">
        <f t="shared" si="182"/>
        <v>0</v>
      </c>
      <c r="AU88" s="751">
        <v>0</v>
      </c>
      <c r="AV88" s="992">
        <v>0</v>
      </c>
      <c r="AW88" s="990">
        <v>146</v>
      </c>
      <c r="AX88" s="751">
        <v>0</v>
      </c>
      <c r="AY88" s="770">
        <f t="shared" si="185"/>
        <v>0</v>
      </c>
      <c r="AZ88" s="714">
        <f t="shared" si="186"/>
        <v>0</v>
      </c>
      <c r="BA88" s="751">
        <v>0</v>
      </c>
      <c r="BB88" s="770">
        <v>0</v>
      </c>
      <c r="BC88" s="714">
        <v>146</v>
      </c>
      <c r="BD88" s="751">
        <v>0</v>
      </c>
      <c r="BE88" s="770">
        <f t="shared" si="189"/>
        <v>0</v>
      </c>
      <c r="BF88" s="714">
        <f t="shared" si="189"/>
        <v>0</v>
      </c>
      <c r="BG88" s="751">
        <v>0</v>
      </c>
      <c r="BH88" s="689">
        <v>0</v>
      </c>
      <c r="BI88" s="770">
        <v>146</v>
      </c>
      <c r="BJ88" s="751">
        <v>0</v>
      </c>
      <c r="BK88" s="770">
        <f t="shared" si="192"/>
        <v>0</v>
      </c>
      <c r="BL88" s="714">
        <f t="shared" si="192"/>
        <v>0</v>
      </c>
      <c r="BM88" s="751">
        <v>0</v>
      </c>
      <c r="BN88" s="770">
        <v>0</v>
      </c>
      <c r="BO88" s="770">
        <v>146</v>
      </c>
      <c r="BP88" s="751">
        <v>0</v>
      </c>
      <c r="BQ88" s="770">
        <f t="shared" si="195"/>
        <v>0</v>
      </c>
      <c r="BR88" s="714">
        <f t="shared" si="195"/>
        <v>0</v>
      </c>
      <c r="BS88" s="751">
        <v>0</v>
      </c>
      <c r="BT88" s="770">
        <v>0</v>
      </c>
      <c r="BU88" s="714">
        <v>146</v>
      </c>
      <c r="BV88" s="751">
        <v>0</v>
      </c>
    </row>
    <row r="89" spans="1:74">
      <c r="A89" s="96"/>
      <c r="B89" s="1176"/>
      <c r="C89" s="105" t="s">
        <v>211</v>
      </c>
      <c r="D89" s="98">
        <v>0</v>
      </c>
      <c r="E89" s="98">
        <v>489</v>
      </c>
      <c r="F89" s="98">
        <v>23</v>
      </c>
      <c r="G89" s="98">
        <v>69</v>
      </c>
      <c r="H89" s="98">
        <v>86</v>
      </c>
      <c r="I89" s="98">
        <v>21</v>
      </c>
      <c r="J89" s="98">
        <v>0</v>
      </c>
      <c r="K89" s="98">
        <v>0</v>
      </c>
      <c r="L89" s="417">
        <v>0</v>
      </c>
      <c r="M89" s="386">
        <v>0</v>
      </c>
      <c r="N89" s="179">
        <v>0</v>
      </c>
      <c r="O89" s="417">
        <f t="shared" si="164"/>
        <v>0</v>
      </c>
      <c r="P89" s="386">
        <f t="shared" si="164"/>
        <v>0</v>
      </c>
      <c r="Q89" s="179">
        <v>0</v>
      </c>
      <c r="R89" s="417">
        <v>0</v>
      </c>
      <c r="S89" s="386">
        <v>0</v>
      </c>
      <c r="T89" s="179">
        <v>0</v>
      </c>
      <c r="U89" s="417">
        <f t="shared" si="167"/>
        <v>0</v>
      </c>
      <c r="V89" s="386">
        <f t="shared" si="168"/>
        <v>0</v>
      </c>
      <c r="W89" s="179">
        <v>0</v>
      </c>
      <c r="X89" s="417">
        <v>0</v>
      </c>
      <c r="Y89" s="386">
        <v>0</v>
      </c>
      <c r="Z89" s="179">
        <v>0</v>
      </c>
      <c r="AA89" s="417">
        <f t="shared" si="171"/>
        <v>0</v>
      </c>
      <c r="AB89" s="386">
        <f t="shared" si="172"/>
        <v>0</v>
      </c>
      <c r="AC89" s="523">
        <v>0</v>
      </c>
      <c r="AD89" s="417">
        <v>0</v>
      </c>
      <c r="AE89" s="386">
        <v>0</v>
      </c>
      <c r="AF89" s="523">
        <v>0</v>
      </c>
      <c r="AG89" s="417">
        <f t="shared" si="175"/>
        <v>0</v>
      </c>
      <c r="AH89" s="386">
        <f t="shared" si="175"/>
        <v>0</v>
      </c>
      <c r="AI89" s="523">
        <v>0</v>
      </c>
      <c r="AJ89" s="417">
        <v>0</v>
      </c>
      <c r="AK89" s="386">
        <v>0</v>
      </c>
      <c r="AL89" s="523">
        <v>0</v>
      </c>
      <c r="AM89" s="722">
        <f t="shared" si="178"/>
        <v>0</v>
      </c>
      <c r="AN89" s="714">
        <f t="shared" si="179"/>
        <v>0</v>
      </c>
      <c r="AO89" s="695">
        <v>0</v>
      </c>
      <c r="AP89" s="770">
        <v>0</v>
      </c>
      <c r="AQ89" s="714">
        <v>0</v>
      </c>
      <c r="AR89" s="695">
        <v>0</v>
      </c>
      <c r="AS89" s="770">
        <f t="shared" si="182"/>
        <v>0</v>
      </c>
      <c r="AT89" s="714">
        <f t="shared" si="182"/>
        <v>0</v>
      </c>
      <c r="AU89" s="751">
        <v>0</v>
      </c>
      <c r="AV89" s="992">
        <v>0</v>
      </c>
      <c r="AW89" s="990">
        <v>0</v>
      </c>
      <c r="AX89" s="751">
        <v>0</v>
      </c>
      <c r="AY89" s="770">
        <f t="shared" si="185"/>
        <v>0</v>
      </c>
      <c r="AZ89" s="714">
        <f t="shared" si="186"/>
        <v>0</v>
      </c>
      <c r="BA89" s="751">
        <v>0</v>
      </c>
      <c r="BB89" s="770">
        <v>0</v>
      </c>
      <c r="BC89" s="714">
        <v>0</v>
      </c>
      <c r="BD89" s="751">
        <v>0</v>
      </c>
      <c r="BE89" s="770">
        <f t="shared" si="189"/>
        <v>0</v>
      </c>
      <c r="BF89" s="714">
        <f t="shared" si="189"/>
        <v>0</v>
      </c>
      <c r="BG89" s="751">
        <v>0</v>
      </c>
      <c r="BH89" s="689">
        <v>0</v>
      </c>
      <c r="BI89" s="770">
        <v>0</v>
      </c>
      <c r="BJ89" s="751">
        <v>0</v>
      </c>
      <c r="BK89" s="770">
        <f t="shared" si="192"/>
        <v>0</v>
      </c>
      <c r="BL89" s="714">
        <f t="shared" si="192"/>
        <v>0</v>
      </c>
      <c r="BM89" s="751">
        <v>0</v>
      </c>
      <c r="BN89" s="770">
        <v>0</v>
      </c>
      <c r="BO89" s="770">
        <v>0</v>
      </c>
      <c r="BP89" s="751">
        <v>0</v>
      </c>
      <c r="BQ89" s="770">
        <f t="shared" si="195"/>
        <v>0</v>
      </c>
      <c r="BR89" s="714">
        <f t="shared" si="195"/>
        <v>0</v>
      </c>
      <c r="BS89" s="751">
        <v>0</v>
      </c>
      <c r="BT89" s="770">
        <v>0</v>
      </c>
      <c r="BU89" s="714">
        <v>0</v>
      </c>
      <c r="BV89" s="751">
        <v>0</v>
      </c>
    </row>
    <row r="90" spans="1:74">
      <c r="A90" s="96"/>
      <c r="B90" s="1176"/>
      <c r="C90" s="105" t="s">
        <v>24</v>
      </c>
      <c r="D90" s="98">
        <f t="shared" ref="D90:I90" si="212">D91-SUM(D66:D89)</f>
        <v>40210</v>
      </c>
      <c r="E90" s="98">
        <f t="shared" si="212"/>
        <v>18932</v>
      </c>
      <c r="F90" s="98">
        <f t="shared" si="212"/>
        <v>3329</v>
      </c>
      <c r="G90" s="98">
        <f t="shared" si="212"/>
        <v>0</v>
      </c>
      <c r="H90" s="98">
        <f>H91-SUM(H66:H89)</f>
        <v>76</v>
      </c>
      <c r="I90" s="98">
        <f t="shared" si="212"/>
        <v>1563</v>
      </c>
      <c r="J90" s="98">
        <f>J91-SUM(J66:J89)</f>
        <v>291</v>
      </c>
      <c r="K90" s="98">
        <f>K91-SUM(K66:K89)</f>
        <v>52</v>
      </c>
      <c r="L90" s="417">
        <f>L91-SUM(L66:L89)</f>
        <v>0</v>
      </c>
      <c r="M90" s="417">
        <f>M91-SUM(M66:M89)</f>
        <v>0</v>
      </c>
      <c r="N90" s="290">
        <v>0</v>
      </c>
      <c r="O90" s="417">
        <f>O91-SUM(O66:O89)</f>
        <v>0</v>
      </c>
      <c r="P90" s="417">
        <f>P91-SUM(P66:P89)</f>
        <v>0</v>
      </c>
      <c r="Q90" s="290">
        <v>0</v>
      </c>
      <c r="R90" s="417">
        <f>R91-SUM(R66:R89)</f>
        <v>0</v>
      </c>
      <c r="S90" s="417">
        <f>S91-SUM(S66:S89)</f>
        <v>0</v>
      </c>
      <c r="T90" s="290">
        <v>0</v>
      </c>
      <c r="U90" s="417">
        <f>U91-SUM(U66:U89)</f>
        <v>2</v>
      </c>
      <c r="V90" s="417">
        <f>V91-SUM(V66:V89)</f>
        <v>0</v>
      </c>
      <c r="W90" s="265">
        <f t="shared" ref="W90" si="213">ROUND(((V90/U90-1)*100), 1)</f>
        <v>-100</v>
      </c>
      <c r="X90" s="417">
        <f>X91-SUM(X66:X89)</f>
        <v>2</v>
      </c>
      <c r="Y90" s="417">
        <f>Y91-SUM(Y66:Y89)</f>
        <v>0</v>
      </c>
      <c r="Z90" s="265">
        <f>ROUND(((Y90/X90-1)*100), 1)</f>
        <v>-100</v>
      </c>
      <c r="AA90" s="417">
        <f>AA91-SUM(AA66:AA89)</f>
        <v>0</v>
      </c>
      <c r="AB90" s="417">
        <f>AB91-SUM(AB66:AB89)</f>
        <v>0</v>
      </c>
      <c r="AC90" s="525">
        <v>0</v>
      </c>
      <c r="AD90" s="417">
        <f>AD91-SUM(AD66:AD89)</f>
        <v>2</v>
      </c>
      <c r="AE90" s="417">
        <f>AE91-SUM(AE66:AE89)</f>
        <v>0</v>
      </c>
      <c r="AF90" s="265">
        <f>ROUND(((AE90/AD90-1)*100), 1)</f>
        <v>-100</v>
      </c>
      <c r="AG90" s="417">
        <f>AG91-SUM(AG66:AG89)</f>
        <v>2</v>
      </c>
      <c r="AH90" s="417">
        <f>AH91-SUM(AH66:AH89)</f>
        <v>0</v>
      </c>
      <c r="AI90" s="265">
        <f t="shared" ref="AI90" si="214">ROUND(((AH90/AG90-1)*100), 1)</f>
        <v>-100</v>
      </c>
      <c r="AJ90" s="417">
        <f>AJ91-SUM(AJ66:AJ89)</f>
        <v>4</v>
      </c>
      <c r="AK90" s="417">
        <f>AK91-SUM(AK66:AK89)</f>
        <v>0</v>
      </c>
      <c r="AL90" s="265">
        <f>ROUND(((AK90/AJ90-1)*100), 1)</f>
        <v>-100</v>
      </c>
      <c r="AM90" s="722">
        <f>AM91-SUM(AM66:AM89)</f>
        <v>0</v>
      </c>
      <c r="AN90" s="722">
        <f>AN91-SUM(AN66:AN89)</f>
        <v>0</v>
      </c>
      <c r="AO90" s="708">
        <v>0</v>
      </c>
      <c r="AP90" s="770">
        <f>AP91-SUM(AP66:AP89)</f>
        <v>4</v>
      </c>
      <c r="AQ90" s="770">
        <f>AQ91-SUM(AQ66:AQ89)</f>
        <v>0</v>
      </c>
      <c r="AR90" s="705">
        <f t="shared" ref="AR90:AR99" si="215">ROUND(((AQ90/AP90-1)*100), 1)</f>
        <v>-100</v>
      </c>
      <c r="AS90" s="770">
        <f>AS91-SUM(AS66:AS89)</f>
        <v>47</v>
      </c>
      <c r="AT90" s="770">
        <f>AT91-SUM(AT66:AT89)</f>
        <v>0</v>
      </c>
      <c r="AU90" s="710">
        <f>ROUND(((AT90/AS90-1)*100), 1)</f>
        <v>-100</v>
      </c>
      <c r="AV90" s="992">
        <f>AV91-SUM(AV66:AV89)</f>
        <v>51</v>
      </c>
      <c r="AW90" s="992">
        <f>AW91-SUM(AW66:AW89)</f>
        <v>0</v>
      </c>
      <c r="AX90" s="705">
        <f t="shared" ref="AX90:AX100" si="216">ROUND(((AW90/AV90-1)*100), 1)</f>
        <v>-100</v>
      </c>
      <c r="AY90" s="770">
        <f>AY91-SUM(AY66:AY89)</f>
        <v>0</v>
      </c>
      <c r="AZ90" s="770">
        <f>AZ91-SUM(AZ66:AZ89)</f>
        <v>0</v>
      </c>
      <c r="BA90" s="708">
        <v>0</v>
      </c>
      <c r="BB90" s="770">
        <f>BB91-SUM(BB66:BB89)</f>
        <v>51</v>
      </c>
      <c r="BC90" s="770">
        <f>BC91-SUM(BC66:BC89)</f>
        <v>0</v>
      </c>
      <c r="BD90" s="705">
        <f t="shared" ref="BD90:BD100" si="217">ROUND(((BC90/BB90-1)*100), 1)</f>
        <v>-100</v>
      </c>
      <c r="BE90" s="770">
        <f>BE91-SUM(BE66:BE89)</f>
        <v>0</v>
      </c>
      <c r="BF90" s="770">
        <f>BF91-SUM(BF66:BF89)</f>
        <v>0</v>
      </c>
      <c r="BG90" s="708">
        <v>0</v>
      </c>
      <c r="BH90" s="689">
        <f>BH91-SUM(BH66:BH89)</f>
        <v>51</v>
      </c>
      <c r="BI90" s="770">
        <f>BI91-SUM(BI66:BI89)</f>
        <v>0</v>
      </c>
      <c r="BJ90" s="705">
        <f t="shared" ref="BJ90:BJ100" si="218">ROUND(((BI90/BH90-1)*100), 1)</f>
        <v>-100</v>
      </c>
      <c r="BK90" s="770">
        <f>BK91-SUM(BK66:BK89)</f>
        <v>0</v>
      </c>
      <c r="BL90" s="770">
        <f>BL91-SUM(BL66:BL89)</f>
        <v>98</v>
      </c>
      <c r="BM90" s="708">
        <v>0</v>
      </c>
      <c r="BN90" s="689">
        <f>BN91-SUM(BN66:BN89)</f>
        <v>51</v>
      </c>
      <c r="BO90" s="770">
        <f>BO91-SUM(BO66:BO89)</f>
        <v>98</v>
      </c>
      <c r="BP90" s="705">
        <f t="shared" ref="BP90:BP100" si="219">ROUND(((BO90/BN90-1)*100), 1)</f>
        <v>92.2</v>
      </c>
      <c r="BQ90" s="770">
        <f>BQ91-SUM(BQ66:BQ89)</f>
        <v>0</v>
      </c>
      <c r="BR90" s="770">
        <f>BR91-SUM(BR66:BR89)</f>
        <v>152</v>
      </c>
      <c r="BS90" s="708">
        <v>0</v>
      </c>
      <c r="BT90" s="689">
        <f>BT91-SUM(BT66:BT89)</f>
        <v>51</v>
      </c>
      <c r="BU90" s="770">
        <f>BU91-SUM(BU66:BU89)</f>
        <v>250</v>
      </c>
      <c r="BV90" s="705">
        <f t="shared" ref="BV90:BV100" si="220">ROUND(((BU90/BT90-1)*100), 1)</f>
        <v>390.2</v>
      </c>
    </row>
    <row r="91" spans="1:74">
      <c r="A91" s="96"/>
      <c r="B91" s="1177"/>
      <c r="C91" s="45" t="s">
        <v>212</v>
      </c>
      <c r="D91" s="99">
        <v>958277</v>
      </c>
      <c r="E91" s="99">
        <v>1011239</v>
      </c>
      <c r="F91" s="99">
        <v>1016561</v>
      </c>
      <c r="G91" s="99">
        <v>1052173</v>
      </c>
      <c r="H91" s="99">
        <v>1197763</v>
      </c>
      <c r="I91" s="99">
        <v>1141922</v>
      </c>
      <c r="J91" s="99">
        <v>1008873</v>
      </c>
      <c r="K91" s="99">
        <v>1069289</v>
      </c>
      <c r="L91" s="409">
        <v>84267</v>
      </c>
      <c r="M91" s="387">
        <v>95098</v>
      </c>
      <c r="N91" s="266">
        <f>ROUND(((M91/L91-1)*100), 1)</f>
        <v>12.9</v>
      </c>
      <c r="O91" s="409">
        <f t="shared" ref="O91:P103" si="221">R91-L91</f>
        <v>68706</v>
      </c>
      <c r="P91" s="387">
        <f t="shared" si="221"/>
        <v>76801</v>
      </c>
      <c r="Q91" s="266">
        <f>ROUND(((P91/O91-1)*100), 1)</f>
        <v>11.8</v>
      </c>
      <c r="R91" s="409">
        <v>152973</v>
      </c>
      <c r="S91" s="387">
        <v>171899</v>
      </c>
      <c r="T91" s="266">
        <f>ROUND(((S91/R91-1)*100), 1)</f>
        <v>12.4</v>
      </c>
      <c r="U91" s="409">
        <f t="shared" ref="U91:U103" si="222">X91-R91</f>
        <v>80619</v>
      </c>
      <c r="V91" s="387">
        <f t="shared" ref="V91:V103" si="223">Y91-S91</f>
        <v>87570</v>
      </c>
      <c r="W91" s="266">
        <f>ROUND(((V91/U91-1)*100), 1)</f>
        <v>8.6</v>
      </c>
      <c r="X91" s="409">
        <v>233592</v>
      </c>
      <c r="Y91" s="387">
        <v>259469</v>
      </c>
      <c r="Z91" s="266">
        <f>ROUND(((Y91/X91-1)*100), 1)</f>
        <v>11.1</v>
      </c>
      <c r="AA91" s="409">
        <f t="shared" ref="AA91:AA103" si="224">AD91-X91</f>
        <v>88124</v>
      </c>
      <c r="AB91" s="387">
        <f t="shared" ref="AB91:AB103" si="225">AE91-Y91</f>
        <v>90449</v>
      </c>
      <c r="AC91" s="266">
        <f>ROUND(((AB91/AA91-1)*100), 1)</f>
        <v>2.6</v>
      </c>
      <c r="AD91" s="409">
        <v>321716</v>
      </c>
      <c r="AE91" s="387">
        <v>349918</v>
      </c>
      <c r="AF91" s="266">
        <f>ROUND(((AE91/AD91-1)*100), 1)</f>
        <v>8.8000000000000007</v>
      </c>
      <c r="AG91" s="409">
        <f t="shared" ref="AG91:AH103" si="226">AJ91-AD91</f>
        <v>101374</v>
      </c>
      <c r="AH91" s="387">
        <f t="shared" si="226"/>
        <v>85277</v>
      </c>
      <c r="AI91" s="266">
        <f>ROUND(((AH91/AG91-1)*100), 1)</f>
        <v>-15.9</v>
      </c>
      <c r="AJ91" s="409">
        <v>423090</v>
      </c>
      <c r="AK91" s="387">
        <v>435195</v>
      </c>
      <c r="AL91" s="266">
        <f>ROUND(((AK91/AJ91-1)*100), 1)</f>
        <v>2.9</v>
      </c>
      <c r="AM91" s="721">
        <f t="shared" ref="AM91:AM103" si="227">AP91-AJ91</f>
        <v>90490</v>
      </c>
      <c r="AN91" s="715">
        <f t="shared" ref="AN91:AN103" si="228">AQ91-AK91</f>
        <v>89749</v>
      </c>
      <c r="AO91" s="706">
        <f t="shared" ref="AO91:AO96" si="229">ROUND(((AN91/AM91-1)*100), 1)</f>
        <v>-0.8</v>
      </c>
      <c r="AP91" s="721">
        <v>513580</v>
      </c>
      <c r="AQ91" s="715">
        <v>524944</v>
      </c>
      <c r="AR91" s="706">
        <f t="shared" si="215"/>
        <v>2.2000000000000002</v>
      </c>
      <c r="AS91" s="721">
        <f t="shared" ref="AS91:AT103" si="230">AV91-AP91</f>
        <v>87247</v>
      </c>
      <c r="AT91" s="715">
        <f t="shared" si="230"/>
        <v>74173</v>
      </c>
      <c r="AU91" s="706">
        <f t="shared" ref="AU91:AU97" si="231">ROUND(((AT91/AS91-1)*100), 1)</f>
        <v>-15</v>
      </c>
      <c r="AV91" s="1010">
        <v>600827</v>
      </c>
      <c r="AW91" s="994">
        <v>599117</v>
      </c>
      <c r="AX91" s="706">
        <f t="shared" si="216"/>
        <v>-0.3</v>
      </c>
      <c r="AY91" s="721">
        <f t="shared" ref="AY91:AY103" si="232">BB91-AV91</f>
        <v>92915</v>
      </c>
      <c r="AZ91" s="715">
        <f t="shared" ref="AZ91:AZ103" si="233">BC91-AW91</f>
        <v>77521</v>
      </c>
      <c r="BA91" s="706">
        <f t="shared" ref="BA91:BA94" si="234">ROUND(((AZ91/AY91-1)*100), 1)</f>
        <v>-16.600000000000001</v>
      </c>
      <c r="BB91" s="721">
        <v>693742</v>
      </c>
      <c r="BC91" s="715">
        <v>676638</v>
      </c>
      <c r="BD91" s="706">
        <f t="shared" si="217"/>
        <v>-2.5</v>
      </c>
      <c r="BE91" s="721">
        <f t="shared" ref="BE91:BF103" si="235">BH91-BB91</f>
        <v>86481</v>
      </c>
      <c r="BF91" s="715">
        <f t="shared" si="235"/>
        <v>88497</v>
      </c>
      <c r="BG91" s="706">
        <f t="shared" ref="BG91:BG94" si="236">ROUND(((BF91/BE91-1)*100), 1)</f>
        <v>2.2999999999999998</v>
      </c>
      <c r="BH91" s="684">
        <v>780223</v>
      </c>
      <c r="BI91" s="721">
        <v>765135</v>
      </c>
      <c r="BJ91" s="706">
        <f t="shared" si="218"/>
        <v>-1.9</v>
      </c>
      <c r="BK91" s="721">
        <f t="shared" ref="BK91:BL103" si="237">BN91-BH91</f>
        <v>99735</v>
      </c>
      <c r="BL91" s="715">
        <f t="shared" si="237"/>
        <v>86138</v>
      </c>
      <c r="BM91" s="706">
        <f t="shared" ref="BM91:BM94" si="238">ROUND(((BL91/BK91-1)*100), 1)</f>
        <v>-13.6</v>
      </c>
      <c r="BN91" s="684">
        <v>879958</v>
      </c>
      <c r="BO91" s="721">
        <v>851273</v>
      </c>
      <c r="BP91" s="706">
        <f t="shared" si="219"/>
        <v>-3.3</v>
      </c>
      <c r="BQ91" s="721">
        <f t="shared" ref="BQ91:BR103" si="239">BT91-BN91</f>
        <v>97312</v>
      </c>
      <c r="BR91" s="715">
        <f t="shared" si="239"/>
        <v>84784</v>
      </c>
      <c r="BS91" s="706">
        <f t="shared" ref="BS91:BS99" si="240">ROUND(((BR91/BQ91-1)*100), 1)</f>
        <v>-12.9</v>
      </c>
      <c r="BT91" s="684">
        <v>977270</v>
      </c>
      <c r="BU91" s="721">
        <v>936057</v>
      </c>
      <c r="BV91" s="706">
        <f t="shared" si="220"/>
        <v>-4.2</v>
      </c>
    </row>
    <row r="92" spans="1:74">
      <c r="A92" s="96"/>
      <c r="B92" s="1178" t="s">
        <v>295</v>
      </c>
      <c r="C92" s="105" t="s">
        <v>90</v>
      </c>
      <c r="D92" s="98">
        <v>6179</v>
      </c>
      <c r="E92" s="98">
        <v>4762</v>
      </c>
      <c r="F92" s="98">
        <v>5089</v>
      </c>
      <c r="G92" s="98">
        <v>5193</v>
      </c>
      <c r="H92" s="98">
        <v>9159</v>
      </c>
      <c r="I92" s="98">
        <v>8613</v>
      </c>
      <c r="J92" s="98">
        <v>9557</v>
      </c>
      <c r="K92" s="98">
        <v>10692</v>
      </c>
      <c r="L92" s="417">
        <v>361</v>
      </c>
      <c r="M92" s="386">
        <v>760</v>
      </c>
      <c r="N92" s="265">
        <f>ROUND(((M92/L92-1)*100), 1)</f>
        <v>110.5</v>
      </c>
      <c r="O92" s="417">
        <f t="shared" si="221"/>
        <v>838</v>
      </c>
      <c r="P92" s="386">
        <f t="shared" si="221"/>
        <v>1014</v>
      </c>
      <c r="Q92" s="265">
        <f>ROUND(((P92/O92-1)*100), 1)</f>
        <v>21</v>
      </c>
      <c r="R92" s="417">
        <v>1199</v>
      </c>
      <c r="S92" s="386">
        <v>1774</v>
      </c>
      <c r="T92" s="265">
        <f>ROUND(((S92/R92-1)*100), 1)</f>
        <v>48</v>
      </c>
      <c r="U92" s="417">
        <f t="shared" si="222"/>
        <v>925</v>
      </c>
      <c r="V92" s="386">
        <f t="shared" si="223"/>
        <v>783</v>
      </c>
      <c r="W92" s="265">
        <f>ROUND(((V92/U92-1)*100), 1)</f>
        <v>-15.4</v>
      </c>
      <c r="X92" s="417">
        <v>2124</v>
      </c>
      <c r="Y92" s="386">
        <v>2557</v>
      </c>
      <c r="Z92" s="265">
        <f>ROUND(((Y92/X92-1)*100), 1)</f>
        <v>20.399999999999999</v>
      </c>
      <c r="AA92" s="417">
        <f t="shared" si="224"/>
        <v>947</v>
      </c>
      <c r="AB92" s="386">
        <f t="shared" si="225"/>
        <v>1024</v>
      </c>
      <c r="AC92" s="265">
        <f>ROUND(((AB92/AA92-1)*100), 1)</f>
        <v>8.1</v>
      </c>
      <c r="AD92" s="417">
        <v>3071</v>
      </c>
      <c r="AE92" s="386">
        <v>3581</v>
      </c>
      <c r="AF92" s="265">
        <f>ROUND(((AE92/AD92-1)*100), 1)</f>
        <v>16.600000000000001</v>
      </c>
      <c r="AG92" s="417">
        <f t="shared" si="226"/>
        <v>1021</v>
      </c>
      <c r="AH92" s="386">
        <f t="shared" si="226"/>
        <v>763</v>
      </c>
      <c r="AI92" s="265">
        <f>ROUND(((AH92/AG92-1)*100), 1)</f>
        <v>-25.3</v>
      </c>
      <c r="AJ92" s="417">
        <v>4092</v>
      </c>
      <c r="AK92" s="386">
        <v>4344</v>
      </c>
      <c r="AL92" s="265">
        <f>ROUND(((AK92/AJ92-1)*100), 1)</f>
        <v>6.2</v>
      </c>
      <c r="AM92" s="722">
        <f t="shared" si="227"/>
        <v>2173</v>
      </c>
      <c r="AN92" s="714">
        <f t="shared" si="228"/>
        <v>675</v>
      </c>
      <c r="AO92" s="705">
        <f t="shared" si="229"/>
        <v>-68.900000000000006</v>
      </c>
      <c r="AP92" s="770">
        <v>6265</v>
      </c>
      <c r="AQ92" s="714">
        <v>5019</v>
      </c>
      <c r="AR92" s="705">
        <f t="shared" si="215"/>
        <v>-19.899999999999999</v>
      </c>
      <c r="AS92" s="770">
        <f t="shared" si="230"/>
        <v>785</v>
      </c>
      <c r="AT92" s="714">
        <f t="shared" si="230"/>
        <v>382</v>
      </c>
      <c r="AU92" s="705">
        <f t="shared" si="231"/>
        <v>-51.3</v>
      </c>
      <c r="AV92" s="992">
        <v>7050</v>
      </c>
      <c r="AW92" s="990">
        <v>5401</v>
      </c>
      <c r="AX92" s="705">
        <f t="shared" si="216"/>
        <v>-23.4</v>
      </c>
      <c r="AY92" s="770">
        <f t="shared" si="232"/>
        <v>712</v>
      </c>
      <c r="AZ92" s="714">
        <f t="shared" si="233"/>
        <v>451</v>
      </c>
      <c r="BA92" s="705">
        <f t="shared" si="234"/>
        <v>-36.700000000000003</v>
      </c>
      <c r="BB92" s="770">
        <v>7762</v>
      </c>
      <c r="BC92" s="714">
        <v>5852</v>
      </c>
      <c r="BD92" s="705">
        <f t="shared" si="217"/>
        <v>-24.6</v>
      </c>
      <c r="BE92" s="770">
        <f t="shared" si="235"/>
        <v>497</v>
      </c>
      <c r="BF92" s="714">
        <f t="shared" si="235"/>
        <v>1031</v>
      </c>
      <c r="BG92" s="705">
        <f t="shared" si="236"/>
        <v>107.4</v>
      </c>
      <c r="BH92" s="689">
        <v>8259</v>
      </c>
      <c r="BI92" s="770">
        <v>6883</v>
      </c>
      <c r="BJ92" s="705">
        <f t="shared" si="218"/>
        <v>-16.7</v>
      </c>
      <c r="BK92" s="770">
        <f t="shared" si="237"/>
        <v>564</v>
      </c>
      <c r="BL92" s="714">
        <f t="shared" si="237"/>
        <v>0</v>
      </c>
      <c r="BM92" s="705">
        <f t="shared" si="238"/>
        <v>-100</v>
      </c>
      <c r="BN92" s="689">
        <v>8823</v>
      </c>
      <c r="BO92" s="770">
        <v>6883</v>
      </c>
      <c r="BP92" s="705">
        <f t="shared" si="219"/>
        <v>-22</v>
      </c>
      <c r="BQ92" s="770">
        <f t="shared" si="239"/>
        <v>805</v>
      </c>
      <c r="BR92" s="714">
        <f t="shared" si="239"/>
        <v>234</v>
      </c>
      <c r="BS92" s="705">
        <f t="shared" si="240"/>
        <v>-70.900000000000006</v>
      </c>
      <c r="BT92" s="689">
        <v>9628</v>
      </c>
      <c r="BU92" s="770">
        <v>7117</v>
      </c>
      <c r="BV92" s="705">
        <f t="shared" si="220"/>
        <v>-26.1</v>
      </c>
    </row>
    <row r="93" spans="1:74">
      <c r="A93" s="96"/>
      <c r="B93" s="1176"/>
      <c r="C93" s="105" t="s">
        <v>146</v>
      </c>
      <c r="D93" s="98">
        <v>6493</v>
      </c>
      <c r="E93" s="98">
        <v>11501</v>
      </c>
      <c r="F93" s="98">
        <v>12753</v>
      </c>
      <c r="G93" s="98">
        <v>11517</v>
      </c>
      <c r="H93" s="98">
        <v>9589</v>
      </c>
      <c r="I93" s="98">
        <v>8584</v>
      </c>
      <c r="J93" s="98">
        <v>5644</v>
      </c>
      <c r="K93" s="98">
        <v>2325</v>
      </c>
      <c r="L93" s="417">
        <v>306</v>
      </c>
      <c r="M93" s="386">
        <v>100</v>
      </c>
      <c r="N93" s="265">
        <f>ROUND(((M93/L93-1)*100), 1)</f>
        <v>-67.3</v>
      </c>
      <c r="O93" s="417">
        <f t="shared" si="221"/>
        <v>405</v>
      </c>
      <c r="P93" s="386">
        <f t="shared" si="221"/>
        <v>0</v>
      </c>
      <c r="Q93" s="265">
        <f>ROUND(((P93/O93-1)*100), 1)</f>
        <v>-100</v>
      </c>
      <c r="R93" s="417">
        <v>711</v>
      </c>
      <c r="S93" s="386">
        <v>100</v>
      </c>
      <c r="T93" s="265">
        <f>ROUND(((S93/R93-1)*100), 1)</f>
        <v>-85.9</v>
      </c>
      <c r="U93" s="417">
        <f t="shared" si="222"/>
        <v>297</v>
      </c>
      <c r="V93" s="386">
        <f t="shared" si="223"/>
        <v>98</v>
      </c>
      <c r="W93" s="265">
        <f>ROUND(((V93/U93-1)*100), 1)</f>
        <v>-67</v>
      </c>
      <c r="X93" s="417">
        <v>1008</v>
      </c>
      <c r="Y93" s="386">
        <v>198</v>
      </c>
      <c r="Z93" s="265">
        <f>ROUND(((Y93/X93-1)*100), 1)</f>
        <v>-80.400000000000006</v>
      </c>
      <c r="AA93" s="417">
        <f t="shared" si="224"/>
        <v>100</v>
      </c>
      <c r="AB93" s="386">
        <f t="shared" si="225"/>
        <v>97</v>
      </c>
      <c r="AC93" s="265">
        <f>ROUND(((AB93/AA93-1)*100), 1)</f>
        <v>-3</v>
      </c>
      <c r="AD93" s="417">
        <v>1108</v>
      </c>
      <c r="AE93" s="386">
        <v>295</v>
      </c>
      <c r="AF93" s="265">
        <f>ROUND(((AE93/AD93-1)*100), 1)</f>
        <v>-73.400000000000006</v>
      </c>
      <c r="AG93" s="417">
        <f t="shared" si="226"/>
        <v>504</v>
      </c>
      <c r="AH93" s="386">
        <f t="shared" si="226"/>
        <v>98</v>
      </c>
      <c r="AI93" s="265">
        <f>ROUND(((AH93/AG93-1)*100), 1)</f>
        <v>-80.599999999999994</v>
      </c>
      <c r="AJ93" s="417">
        <v>1612</v>
      </c>
      <c r="AK93" s="386">
        <v>393</v>
      </c>
      <c r="AL93" s="265">
        <f>ROUND(((AK93/AJ93-1)*100), 1)</f>
        <v>-75.599999999999994</v>
      </c>
      <c r="AM93" s="722">
        <f t="shared" si="227"/>
        <v>304</v>
      </c>
      <c r="AN93" s="714">
        <f t="shared" si="228"/>
        <v>98</v>
      </c>
      <c r="AO93" s="705">
        <f t="shared" si="229"/>
        <v>-67.8</v>
      </c>
      <c r="AP93" s="770">
        <v>1916</v>
      </c>
      <c r="AQ93" s="714">
        <v>491</v>
      </c>
      <c r="AR93" s="705">
        <f t="shared" si="215"/>
        <v>-74.400000000000006</v>
      </c>
      <c r="AS93" s="770">
        <f t="shared" si="230"/>
        <v>105</v>
      </c>
      <c r="AT93" s="714">
        <f t="shared" si="230"/>
        <v>0</v>
      </c>
      <c r="AU93" s="705">
        <f t="shared" si="231"/>
        <v>-100</v>
      </c>
      <c r="AV93" s="992">
        <v>2021</v>
      </c>
      <c r="AW93" s="990">
        <v>491</v>
      </c>
      <c r="AX93" s="705">
        <f t="shared" si="216"/>
        <v>-75.7</v>
      </c>
      <c r="AY93" s="770">
        <f t="shared" si="232"/>
        <v>0</v>
      </c>
      <c r="AZ93" s="714">
        <f t="shared" si="233"/>
        <v>0</v>
      </c>
      <c r="BA93" s="751">
        <v>0</v>
      </c>
      <c r="BB93" s="770">
        <v>2021</v>
      </c>
      <c r="BC93" s="714">
        <v>491</v>
      </c>
      <c r="BD93" s="705">
        <f t="shared" si="217"/>
        <v>-75.7</v>
      </c>
      <c r="BE93" s="770">
        <f t="shared" si="235"/>
        <v>100</v>
      </c>
      <c r="BF93" s="714">
        <f t="shared" si="235"/>
        <v>0</v>
      </c>
      <c r="BG93" s="705">
        <f t="shared" si="236"/>
        <v>-100</v>
      </c>
      <c r="BH93" s="689">
        <v>2121</v>
      </c>
      <c r="BI93" s="770">
        <v>491</v>
      </c>
      <c r="BJ93" s="705">
        <f t="shared" si="218"/>
        <v>-76.900000000000006</v>
      </c>
      <c r="BK93" s="770">
        <f t="shared" si="237"/>
        <v>0</v>
      </c>
      <c r="BL93" s="714">
        <f t="shared" si="237"/>
        <v>0</v>
      </c>
      <c r="BM93" s="751">
        <v>0</v>
      </c>
      <c r="BN93" s="689">
        <v>2121</v>
      </c>
      <c r="BO93" s="770">
        <v>491</v>
      </c>
      <c r="BP93" s="705">
        <f t="shared" si="219"/>
        <v>-76.900000000000006</v>
      </c>
      <c r="BQ93" s="770">
        <f t="shared" si="239"/>
        <v>102</v>
      </c>
      <c r="BR93" s="714">
        <f t="shared" si="239"/>
        <v>0</v>
      </c>
      <c r="BS93" s="753">
        <f t="shared" si="240"/>
        <v>-100</v>
      </c>
      <c r="BT93" s="689">
        <v>2223</v>
      </c>
      <c r="BU93" s="770">
        <v>491</v>
      </c>
      <c r="BV93" s="705">
        <f t="shared" si="220"/>
        <v>-77.900000000000006</v>
      </c>
    </row>
    <row r="94" spans="1:74">
      <c r="A94" s="96"/>
      <c r="B94" s="1176"/>
      <c r="C94" s="105" t="s">
        <v>64</v>
      </c>
      <c r="D94" s="98">
        <v>136</v>
      </c>
      <c r="E94" s="98">
        <v>2431</v>
      </c>
      <c r="F94" s="98">
        <v>996</v>
      </c>
      <c r="G94" s="98">
        <v>2097</v>
      </c>
      <c r="H94" s="98">
        <v>1365</v>
      </c>
      <c r="I94" s="98">
        <v>1617</v>
      </c>
      <c r="J94" s="98">
        <v>2646</v>
      </c>
      <c r="K94" s="98">
        <v>1446</v>
      </c>
      <c r="L94" s="417">
        <v>353</v>
      </c>
      <c r="M94" s="386">
        <v>118</v>
      </c>
      <c r="N94" s="265">
        <f>ROUND(((M94/L94-1)*100), 1)</f>
        <v>-66.599999999999994</v>
      </c>
      <c r="O94" s="417">
        <f t="shared" si="221"/>
        <v>39</v>
      </c>
      <c r="P94" s="386">
        <f t="shared" si="221"/>
        <v>137</v>
      </c>
      <c r="Q94" s="265">
        <f>ROUND(((P94/O94-1)*100), 1)</f>
        <v>251.3</v>
      </c>
      <c r="R94" s="417">
        <v>392</v>
      </c>
      <c r="S94" s="386">
        <v>255</v>
      </c>
      <c r="T94" s="265">
        <f>ROUND(((S94/R94-1)*100), 1)</f>
        <v>-34.9</v>
      </c>
      <c r="U94" s="417">
        <f t="shared" si="222"/>
        <v>39</v>
      </c>
      <c r="V94" s="386">
        <f t="shared" si="223"/>
        <v>156</v>
      </c>
      <c r="W94" s="265">
        <f>ROUND(((V94/U94-1)*100), 1)</f>
        <v>300</v>
      </c>
      <c r="X94" s="417">
        <v>431</v>
      </c>
      <c r="Y94" s="386">
        <v>411</v>
      </c>
      <c r="Z94" s="265">
        <f>ROUND(((Y94/X94-1)*100), 1)</f>
        <v>-4.5999999999999996</v>
      </c>
      <c r="AA94" s="417">
        <f t="shared" si="224"/>
        <v>20</v>
      </c>
      <c r="AB94" s="386">
        <f t="shared" si="225"/>
        <v>137</v>
      </c>
      <c r="AC94" s="265">
        <f>ROUND(((AB94/AA94-1)*100), 1)</f>
        <v>585</v>
      </c>
      <c r="AD94" s="417">
        <v>451</v>
      </c>
      <c r="AE94" s="386">
        <v>548</v>
      </c>
      <c r="AF94" s="265">
        <f>ROUND(((AE94/AD94-1)*100), 1)</f>
        <v>21.5</v>
      </c>
      <c r="AG94" s="417">
        <f t="shared" si="226"/>
        <v>39</v>
      </c>
      <c r="AH94" s="386">
        <f t="shared" si="226"/>
        <v>76</v>
      </c>
      <c r="AI94" s="265">
        <f>ROUND(((AH94/AG94-1)*100), 1)</f>
        <v>94.9</v>
      </c>
      <c r="AJ94" s="417">
        <v>490</v>
      </c>
      <c r="AK94" s="386">
        <v>624</v>
      </c>
      <c r="AL94" s="265">
        <f>ROUND(((AK94/AJ94-1)*100), 1)</f>
        <v>27.3</v>
      </c>
      <c r="AM94" s="722">
        <f t="shared" si="227"/>
        <v>38</v>
      </c>
      <c r="AN94" s="714">
        <f t="shared" si="228"/>
        <v>77</v>
      </c>
      <c r="AO94" s="705">
        <f t="shared" si="229"/>
        <v>102.6</v>
      </c>
      <c r="AP94" s="770">
        <v>528</v>
      </c>
      <c r="AQ94" s="714">
        <v>701</v>
      </c>
      <c r="AR94" s="705">
        <f t="shared" si="215"/>
        <v>32.799999999999997</v>
      </c>
      <c r="AS94" s="770">
        <f t="shared" si="230"/>
        <v>178</v>
      </c>
      <c r="AT94" s="714">
        <f t="shared" si="230"/>
        <v>80</v>
      </c>
      <c r="AU94" s="705">
        <f t="shared" si="231"/>
        <v>-55.1</v>
      </c>
      <c r="AV94" s="992">
        <v>706</v>
      </c>
      <c r="AW94" s="990">
        <v>781</v>
      </c>
      <c r="AX94" s="705">
        <f t="shared" si="216"/>
        <v>10.6</v>
      </c>
      <c r="AY94" s="770">
        <f t="shared" si="232"/>
        <v>252</v>
      </c>
      <c r="AZ94" s="714">
        <f t="shared" si="233"/>
        <v>93</v>
      </c>
      <c r="BA94" s="705">
        <f t="shared" si="234"/>
        <v>-63.1</v>
      </c>
      <c r="BB94" s="770">
        <v>958</v>
      </c>
      <c r="BC94" s="714">
        <v>874</v>
      </c>
      <c r="BD94" s="705">
        <f t="shared" si="217"/>
        <v>-8.8000000000000007</v>
      </c>
      <c r="BE94" s="770">
        <f t="shared" si="235"/>
        <v>135</v>
      </c>
      <c r="BF94" s="714">
        <f t="shared" si="235"/>
        <v>173</v>
      </c>
      <c r="BG94" s="705">
        <f t="shared" si="236"/>
        <v>28.1</v>
      </c>
      <c r="BH94" s="689">
        <v>1093</v>
      </c>
      <c r="BI94" s="770">
        <v>1047</v>
      </c>
      <c r="BJ94" s="705">
        <f t="shared" si="218"/>
        <v>-4.2</v>
      </c>
      <c r="BK94" s="770">
        <f t="shared" si="237"/>
        <v>117</v>
      </c>
      <c r="BL94" s="714">
        <f t="shared" si="237"/>
        <v>92</v>
      </c>
      <c r="BM94" s="705">
        <f t="shared" si="238"/>
        <v>-21.4</v>
      </c>
      <c r="BN94" s="689">
        <v>1210</v>
      </c>
      <c r="BO94" s="770">
        <v>1139</v>
      </c>
      <c r="BP94" s="705">
        <f t="shared" si="219"/>
        <v>-5.9</v>
      </c>
      <c r="BQ94" s="770">
        <f t="shared" si="239"/>
        <v>118</v>
      </c>
      <c r="BR94" s="714">
        <f t="shared" si="239"/>
        <v>174</v>
      </c>
      <c r="BS94" s="705">
        <f t="shared" si="240"/>
        <v>47.5</v>
      </c>
      <c r="BT94" s="689">
        <v>1328</v>
      </c>
      <c r="BU94" s="770">
        <v>1313</v>
      </c>
      <c r="BV94" s="705">
        <f t="shared" si="220"/>
        <v>-1.1000000000000001</v>
      </c>
    </row>
    <row r="95" spans="1:74">
      <c r="A95" s="96"/>
      <c r="B95" s="1176"/>
      <c r="C95" s="105" t="s">
        <v>61</v>
      </c>
      <c r="D95" s="98">
        <v>2568</v>
      </c>
      <c r="E95" s="98">
        <v>20</v>
      </c>
      <c r="F95" s="98">
        <v>0</v>
      </c>
      <c r="G95" s="98">
        <v>4845</v>
      </c>
      <c r="H95" s="98">
        <v>6373</v>
      </c>
      <c r="I95" s="98">
        <v>3333</v>
      </c>
      <c r="J95" s="98">
        <v>892</v>
      </c>
      <c r="K95" s="98">
        <v>427</v>
      </c>
      <c r="L95" s="417">
        <v>0</v>
      </c>
      <c r="M95" s="386">
        <v>0</v>
      </c>
      <c r="N95" s="179">
        <v>0</v>
      </c>
      <c r="O95" s="417">
        <f t="shared" si="221"/>
        <v>0</v>
      </c>
      <c r="P95" s="386">
        <f t="shared" si="221"/>
        <v>198</v>
      </c>
      <c r="Q95" s="179">
        <v>0</v>
      </c>
      <c r="R95" s="417">
        <v>0</v>
      </c>
      <c r="S95" s="386">
        <v>198</v>
      </c>
      <c r="T95" s="179">
        <v>0</v>
      </c>
      <c r="U95" s="417">
        <f t="shared" si="222"/>
        <v>0</v>
      </c>
      <c r="V95" s="386">
        <f t="shared" si="223"/>
        <v>201</v>
      </c>
      <c r="W95" s="179">
        <v>0</v>
      </c>
      <c r="X95" s="417">
        <v>0</v>
      </c>
      <c r="Y95" s="386">
        <v>399</v>
      </c>
      <c r="Z95" s="179">
        <v>0</v>
      </c>
      <c r="AA95" s="417">
        <f t="shared" si="224"/>
        <v>0</v>
      </c>
      <c r="AB95" s="386">
        <f t="shared" si="225"/>
        <v>0</v>
      </c>
      <c r="AC95" s="523">
        <v>0</v>
      </c>
      <c r="AD95" s="417">
        <v>0</v>
      </c>
      <c r="AE95" s="386">
        <v>399</v>
      </c>
      <c r="AF95" s="523">
        <v>0</v>
      </c>
      <c r="AG95" s="417">
        <f t="shared" si="226"/>
        <v>0</v>
      </c>
      <c r="AH95" s="386">
        <f t="shared" si="226"/>
        <v>200</v>
      </c>
      <c r="AI95" s="523">
        <v>0</v>
      </c>
      <c r="AJ95" s="417">
        <v>0</v>
      </c>
      <c r="AK95" s="386">
        <v>599</v>
      </c>
      <c r="AL95" s="523">
        <v>0</v>
      </c>
      <c r="AM95" s="722">
        <f t="shared" si="227"/>
        <v>31</v>
      </c>
      <c r="AN95" s="714">
        <f t="shared" si="228"/>
        <v>301</v>
      </c>
      <c r="AO95" s="705">
        <f t="shared" si="229"/>
        <v>871</v>
      </c>
      <c r="AP95" s="770">
        <v>31</v>
      </c>
      <c r="AQ95" s="714">
        <v>900</v>
      </c>
      <c r="AR95" s="705">
        <f t="shared" si="215"/>
        <v>2803.2</v>
      </c>
      <c r="AS95" s="770">
        <f t="shared" si="230"/>
        <v>0</v>
      </c>
      <c r="AT95" s="714">
        <f t="shared" si="230"/>
        <v>0</v>
      </c>
      <c r="AU95" s="751">
        <v>0</v>
      </c>
      <c r="AV95" s="992">
        <v>31</v>
      </c>
      <c r="AW95" s="990">
        <v>900</v>
      </c>
      <c r="AX95" s="705">
        <f t="shared" si="216"/>
        <v>2803.2</v>
      </c>
      <c r="AY95" s="770">
        <f t="shared" si="232"/>
        <v>0</v>
      </c>
      <c r="AZ95" s="714">
        <f t="shared" si="233"/>
        <v>0</v>
      </c>
      <c r="BA95" s="751">
        <v>0</v>
      </c>
      <c r="BB95" s="770">
        <v>31</v>
      </c>
      <c r="BC95" s="714">
        <v>900</v>
      </c>
      <c r="BD95" s="705">
        <f t="shared" si="217"/>
        <v>2803.2</v>
      </c>
      <c r="BE95" s="770">
        <f t="shared" si="235"/>
        <v>0</v>
      </c>
      <c r="BF95" s="714">
        <f t="shared" si="235"/>
        <v>200</v>
      </c>
      <c r="BG95" s="751">
        <v>0</v>
      </c>
      <c r="BH95" s="689">
        <v>31</v>
      </c>
      <c r="BI95" s="770">
        <v>1100</v>
      </c>
      <c r="BJ95" s="705">
        <f t="shared" si="218"/>
        <v>3448.4</v>
      </c>
      <c r="BK95" s="770">
        <f t="shared" si="237"/>
        <v>198</v>
      </c>
      <c r="BL95" s="714">
        <f t="shared" si="237"/>
        <v>0</v>
      </c>
      <c r="BM95" s="753">
        <f>ROUND(((BL95/BK95-1)*100), 1)</f>
        <v>-100</v>
      </c>
      <c r="BN95" s="689">
        <v>229</v>
      </c>
      <c r="BO95" s="770">
        <v>1100</v>
      </c>
      <c r="BP95" s="705">
        <f t="shared" si="219"/>
        <v>380.3</v>
      </c>
      <c r="BQ95" s="770">
        <f t="shared" si="239"/>
        <v>198</v>
      </c>
      <c r="BR95" s="714">
        <f t="shared" si="239"/>
        <v>0</v>
      </c>
      <c r="BS95" s="753">
        <f t="shared" si="240"/>
        <v>-100</v>
      </c>
      <c r="BT95" s="689">
        <v>427</v>
      </c>
      <c r="BU95" s="770">
        <v>1100</v>
      </c>
      <c r="BV95" s="705">
        <f t="shared" si="220"/>
        <v>157.6</v>
      </c>
    </row>
    <row r="96" spans="1:74">
      <c r="A96" s="96"/>
      <c r="B96" s="1176"/>
      <c r="C96" s="105" t="s">
        <v>54</v>
      </c>
      <c r="D96" s="98">
        <v>2</v>
      </c>
      <c r="E96" s="98">
        <v>245</v>
      </c>
      <c r="F96" s="98">
        <v>491</v>
      </c>
      <c r="G96" s="98">
        <v>422</v>
      </c>
      <c r="H96" s="98">
        <v>424</v>
      </c>
      <c r="I96" s="98">
        <v>382</v>
      </c>
      <c r="J96" s="98">
        <v>455</v>
      </c>
      <c r="K96" s="98">
        <v>316</v>
      </c>
      <c r="L96" s="417">
        <v>36</v>
      </c>
      <c r="M96" s="386">
        <v>16</v>
      </c>
      <c r="N96" s="265">
        <f>ROUND(((M96/L96-1)*100), 1)</f>
        <v>-55.6</v>
      </c>
      <c r="O96" s="417">
        <f t="shared" si="221"/>
        <v>17</v>
      </c>
      <c r="P96" s="386">
        <f t="shared" si="221"/>
        <v>17</v>
      </c>
      <c r="Q96" s="265">
        <f>ROUND(((P96/O96-1)*100), 1)</f>
        <v>0</v>
      </c>
      <c r="R96" s="417">
        <v>53</v>
      </c>
      <c r="S96" s="386">
        <v>33</v>
      </c>
      <c r="T96" s="265">
        <f>ROUND(((S96/R96-1)*100), 1)</f>
        <v>-37.700000000000003</v>
      </c>
      <c r="U96" s="417">
        <f t="shared" si="222"/>
        <v>33</v>
      </c>
      <c r="V96" s="386">
        <f t="shared" si="223"/>
        <v>18</v>
      </c>
      <c r="W96" s="265">
        <f>ROUND(((V96/U96-1)*100), 1)</f>
        <v>-45.5</v>
      </c>
      <c r="X96" s="417">
        <v>86</v>
      </c>
      <c r="Y96" s="386">
        <v>51</v>
      </c>
      <c r="Z96" s="265">
        <f>ROUND(((Y96/X96-1)*100), 1)</f>
        <v>-40.700000000000003</v>
      </c>
      <c r="AA96" s="417">
        <f t="shared" si="224"/>
        <v>17</v>
      </c>
      <c r="AB96" s="386">
        <f t="shared" si="225"/>
        <v>3</v>
      </c>
      <c r="AC96" s="265">
        <f>ROUND(((AB96/AA96-1)*100), 1)</f>
        <v>-82.4</v>
      </c>
      <c r="AD96" s="417">
        <v>103</v>
      </c>
      <c r="AE96" s="386">
        <v>54</v>
      </c>
      <c r="AF96" s="265">
        <f>ROUND(((AE96/AD96-1)*100), 1)</f>
        <v>-47.6</v>
      </c>
      <c r="AG96" s="417">
        <f t="shared" si="226"/>
        <v>32</v>
      </c>
      <c r="AH96" s="386">
        <f t="shared" si="226"/>
        <v>17</v>
      </c>
      <c r="AI96" s="265">
        <f>ROUND(((AH96/AG96-1)*100), 1)</f>
        <v>-46.9</v>
      </c>
      <c r="AJ96" s="417">
        <v>135</v>
      </c>
      <c r="AK96" s="386">
        <v>71</v>
      </c>
      <c r="AL96" s="265">
        <f>ROUND(((AK96/AJ96-1)*100), 1)</f>
        <v>-47.4</v>
      </c>
      <c r="AM96" s="722">
        <f t="shared" si="227"/>
        <v>17</v>
      </c>
      <c r="AN96" s="714">
        <f t="shared" si="228"/>
        <v>0</v>
      </c>
      <c r="AO96" s="705">
        <f t="shared" si="229"/>
        <v>-100</v>
      </c>
      <c r="AP96" s="770">
        <v>152</v>
      </c>
      <c r="AQ96" s="714">
        <v>71</v>
      </c>
      <c r="AR96" s="705">
        <f t="shared" si="215"/>
        <v>-53.3</v>
      </c>
      <c r="AS96" s="770">
        <f t="shared" si="230"/>
        <v>37</v>
      </c>
      <c r="AT96" s="714">
        <f t="shared" si="230"/>
        <v>1</v>
      </c>
      <c r="AU96" s="705">
        <f t="shared" si="231"/>
        <v>-97.3</v>
      </c>
      <c r="AV96" s="992">
        <v>189</v>
      </c>
      <c r="AW96" s="990">
        <v>72</v>
      </c>
      <c r="AX96" s="705">
        <f t="shared" si="216"/>
        <v>-61.9</v>
      </c>
      <c r="AY96" s="770">
        <f t="shared" si="232"/>
        <v>18</v>
      </c>
      <c r="AZ96" s="714">
        <f t="shared" si="233"/>
        <v>2</v>
      </c>
      <c r="BA96" s="705">
        <f t="shared" ref="BA96" si="241">ROUND(((AZ96/AY96-1)*100), 1)</f>
        <v>-88.9</v>
      </c>
      <c r="BB96" s="770">
        <v>207</v>
      </c>
      <c r="BC96" s="714">
        <v>74</v>
      </c>
      <c r="BD96" s="705">
        <f t="shared" si="217"/>
        <v>-64.3</v>
      </c>
      <c r="BE96" s="770">
        <f t="shared" si="235"/>
        <v>35</v>
      </c>
      <c r="BF96" s="714">
        <f t="shared" si="235"/>
        <v>0</v>
      </c>
      <c r="BG96" s="705">
        <f t="shared" ref="BG96" si="242">ROUND(((BF96/BE96-1)*100), 1)</f>
        <v>-100</v>
      </c>
      <c r="BH96" s="689">
        <v>242</v>
      </c>
      <c r="BI96" s="770">
        <v>74</v>
      </c>
      <c r="BJ96" s="705">
        <f t="shared" si="218"/>
        <v>-69.400000000000006</v>
      </c>
      <c r="BK96" s="770">
        <f t="shared" si="237"/>
        <v>19</v>
      </c>
      <c r="BL96" s="714">
        <f t="shared" si="237"/>
        <v>0</v>
      </c>
      <c r="BM96" s="705">
        <f t="shared" ref="BM96" si="243">ROUND(((BL96/BK96-1)*100), 1)</f>
        <v>-100</v>
      </c>
      <c r="BN96" s="689">
        <v>261</v>
      </c>
      <c r="BO96" s="770">
        <v>74</v>
      </c>
      <c r="BP96" s="705">
        <f t="shared" si="219"/>
        <v>-71.599999999999994</v>
      </c>
      <c r="BQ96" s="770">
        <f t="shared" si="239"/>
        <v>38</v>
      </c>
      <c r="BR96" s="714">
        <f t="shared" si="239"/>
        <v>0</v>
      </c>
      <c r="BS96" s="705">
        <f t="shared" si="240"/>
        <v>-100</v>
      </c>
      <c r="BT96" s="689">
        <v>299</v>
      </c>
      <c r="BU96" s="770">
        <v>74</v>
      </c>
      <c r="BV96" s="705">
        <f t="shared" si="220"/>
        <v>-75.3</v>
      </c>
    </row>
    <row r="97" spans="1:74">
      <c r="A97" s="96"/>
      <c r="B97" s="1176"/>
      <c r="C97" s="105" t="s">
        <v>100</v>
      </c>
      <c r="D97" s="98">
        <v>1424</v>
      </c>
      <c r="E97" s="98">
        <v>1370</v>
      </c>
      <c r="F97" s="98">
        <v>1674</v>
      </c>
      <c r="G97" s="98">
        <v>1335</v>
      </c>
      <c r="H97" s="98">
        <v>1271</v>
      </c>
      <c r="I97" s="98">
        <v>901</v>
      </c>
      <c r="J97" s="98">
        <v>545</v>
      </c>
      <c r="K97" s="98">
        <v>237</v>
      </c>
      <c r="L97" s="417">
        <v>21</v>
      </c>
      <c r="M97" s="386">
        <v>22</v>
      </c>
      <c r="N97" s="265">
        <f>ROUND(((M97/L97-1)*100), 1)</f>
        <v>4.8</v>
      </c>
      <c r="O97" s="417">
        <f t="shared" si="221"/>
        <v>40</v>
      </c>
      <c r="P97" s="386">
        <f t="shared" si="221"/>
        <v>0</v>
      </c>
      <c r="Q97" s="265">
        <f>ROUND(((P97/O97-1)*100), 1)</f>
        <v>-100</v>
      </c>
      <c r="R97" s="417">
        <v>61</v>
      </c>
      <c r="S97" s="386">
        <v>22</v>
      </c>
      <c r="T97" s="265">
        <f>ROUND(((S97/R97-1)*100), 1)</f>
        <v>-63.9</v>
      </c>
      <c r="U97" s="417">
        <f t="shared" si="222"/>
        <v>0</v>
      </c>
      <c r="V97" s="386">
        <f t="shared" si="223"/>
        <v>22</v>
      </c>
      <c r="W97" s="523">
        <v>0</v>
      </c>
      <c r="X97" s="417">
        <v>61</v>
      </c>
      <c r="Y97" s="386">
        <v>44</v>
      </c>
      <c r="Z97" s="265">
        <f>ROUND(((Y97/X97-1)*100), 1)</f>
        <v>-27.9</v>
      </c>
      <c r="AA97" s="417">
        <f t="shared" si="224"/>
        <v>21</v>
      </c>
      <c r="AB97" s="386">
        <f t="shared" si="225"/>
        <v>0</v>
      </c>
      <c r="AC97" s="265">
        <f t="shared" ref="AC97" si="244">ROUND(((AB97/AA97-1)*100), 1)</f>
        <v>-100</v>
      </c>
      <c r="AD97" s="417">
        <v>82</v>
      </c>
      <c r="AE97" s="386">
        <v>44</v>
      </c>
      <c r="AF97" s="265">
        <f>ROUND(((AE97/AD97-1)*100), 1)</f>
        <v>-46.3</v>
      </c>
      <c r="AG97" s="417">
        <f t="shared" si="226"/>
        <v>37</v>
      </c>
      <c r="AH97" s="386">
        <f t="shared" si="226"/>
        <v>0</v>
      </c>
      <c r="AI97" s="265">
        <f t="shared" ref="AI97" si="245">ROUND(((AH97/AG97-1)*100), 1)</f>
        <v>-100</v>
      </c>
      <c r="AJ97" s="417">
        <v>119</v>
      </c>
      <c r="AK97" s="386">
        <v>44</v>
      </c>
      <c r="AL97" s="265">
        <f>ROUND(((AK97/AJ97-1)*100), 1)</f>
        <v>-63</v>
      </c>
      <c r="AM97" s="722">
        <f t="shared" si="227"/>
        <v>59</v>
      </c>
      <c r="AN97" s="714">
        <f t="shared" si="228"/>
        <v>20</v>
      </c>
      <c r="AO97" s="705">
        <f t="shared" ref="AO97" si="246">ROUND(((AN97/AM97-1)*100), 1)</f>
        <v>-66.099999999999994</v>
      </c>
      <c r="AP97" s="770">
        <v>178</v>
      </c>
      <c r="AQ97" s="714">
        <v>64</v>
      </c>
      <c r="AR97" s="705">
        <f t="shared" si="215"/>
        <v>-64</v>
      </c>
      <c r="AS97" s="770">
        <f t="shared" si="230"/>
        <v>21</v>
      </c>
      <c r="AT97" s="714">
        <f t="shared" si="230"/>
        <v>0</v>
      </c>
      <c r="AU97" s="705">
        <f t="shared" si="231"/>
        <v>-100</v>
      </c>
      <c r="AV97" s="992">
        <v>199</v>
      </c>
      <c r="AW97" s="990">
        <v>64</v>
      </c>
      <c r="AX97" s="705">
        <f t="shared" si="216"/>
        <v>-67.8</v>
      </c>
      <c r="AY97" s="770">
        <f t="shared" si="232"/>
        <v>0</v>
      </c>
      <c r="AZ97" s="714">
        <f t="shared" si="233"/>
        <v>0</v>
      </c>
      <c r="BA97" s="751">
        <v>0</v>
      </c>
      <c r="BB97" s="770">
        <v>199</v>
      </c>
      <c r="BC97" s="714">
        <v>64</v>
      </c>
      <c r="BD97" s="705">
        <f t="shared" si="217"/>
        <v>-67.8</v>
      </c>
      <c r="BE97" s="770">
        <f t="shared" si="235"/>
        <v>0</v>
      </c>
      <c r="BF97" s="714">
        <f t="shared" si="235"/>
        <v>35</v>
      </c>
      <c r="BG97" s="751">
        <v>0</v>
      </c>
      <c r="BH97" s="689">
        <v>199</v>
      </c>
      <c r="BI97" s="770">
        <v>99</v>
      </c>
      <c r="BJ97" s="705">
        <f t="shared" si="218"/>
        <v>-50.3</v>
      </c>
      <c r="BK97" s="770">
        <f t="shared" si="237"/>
        <v>25</v>
      </c>
      <c r="BL97" s="714">
        <f t="shared" si="237"/>
        <v>0</v>
      </c>
      <c r="BM97" s="751">
        <v>0</v>
      </c>
      <c r="BN97" s="689">
        <v>224</v>
      </c>
      <c r="BO97" s="770">
        <v>99</v>
      </c>
      <c r="BP97" s="705">
        <f t="shared" si="219"/>
        <v>-55.8</v>
      </c>
      <c r="BQ97" s="770">
        <f t="shared" si="239"/>
        <v>5</v>
      </c>
      <c r="BR97" s="714">
        <f t="shared" si="239"/>
        <v>0</v>
      </c>
      <c r="BS97" s="753">
        <f t="shared" si="240"/>
        <v>-100</v>
      </c>
      <c r="BT97" s="689">
        <v>229</v>
      </c>
      <c r="BU97" s="770">
        <v>99</v>
      </c>
      <c r="BV97" s="705">
        <f t="shared" si="220"/>
        <v>-56.8</v>
      </c>
    </row>
    <row r="98" spans="1:74">
      <c r="A98" s="96"/>
      <c r="B98" s="1176"/>
      <c r="C98" s="105" t="s">
        <v>53</v>
      </c>
      <c r="D98" s="98">
        <v>360</v>
      </c>
      <c r="E98" s="98">
        <v>176</v>
      </c>
      <c r="F98" s="98">
        <v>256</v>
      </c>
      <c r="G98" s="98">
        <v>244</v>
      </c>
      <c r="H98" s="98">
        <v>85</v>
      </c>
      <c r="I98" s="98">
        <v>413</v>
      </c>
      <c r="J98" s="98">
        <v>220</v>
      </c>
      <c r="K98" s="98">
        <v>156</v>
      </c>
      <c r="L98" s="417">
        <v>17</v>
      </c>
      <c r="M98" s="386">
        <v>0</v>
      </c>
      <c r="N98" s="265">
        <f>ROUND(((M98/L98-1)*100), 1)</f>
        <v>-100</v>
      </c>
      <c r="O98" s="417">
        <f t="shared" si="221"/>
        <v>39</v>
      </c>
      <c r="P98" s="386">
        <f t="shared" si="221"/>
        <v>40</v>
      </c>
      <c r="Q98" s="265">
        <f>ROUND(((P98/O98-1)*100), 1)</f>
        <v>2.6</v>
      </c>
      <c r="R98" s="417">
        <v>56</v>
      </c>
      <c r="S98" s="386">
        <v>40</v>
      </c>
      <c r="T98" s="265">
        <f>ROUND(((S98/R98-1)*100), 1)</f>
        <v>-28.6</v>
      </c>
      <c r="U98" s="417">
        <f t="shared" si="222"/>
        <v>0</v>
      </c>
      <c r="V98" s="386">
        <f t="shared" si="223"/>
        <v>0</v>
      </c>
      <c r="W98" s="523">
        <v>0</v>
      </c>
      <c r="X98" s="417">
        <v>56</v>
      </c>
      <c r="Y98" s="386">
        <v>40</v>
      </c>
      <c r="Z98" s="265">
        <f>ROUND(((Y98/X98-1)*100), 1)</f>
        <v>-28.6</v>
      </c>
      <c r="AA98" s="417">
        <f t="shared" si="224"/>
        <v>0</v>
      </c>
      <c r="AB98" s="386">
        <f t="shared" si="225"/>
        <v>0</v>
      </c>
      <c r="AC98" s="523">
        <v>0</v>
      </c>
      <c r="AD98" s="417">
        <v>56</v>
      </c>
      <c r="AE98" s="386">
        <v>40</v>
      </c>
      <c r="AF98" s="265">
        <f>ROUND(((AE98/AD98-1)*100), 1)</f>
        <v>-28.6</v>
      </c>
      <c r="AG98" s="417">
        <f t="shared" si="226"/>
        <v>0</v>
      </c>
      <c r="AH98" s="386">
        <f t="shared" si="226"/>
        <v>0</v>
      </c>
      <c r="AI98" s="523">
        <v>0</v>
      </c>
      <c r="AJ98" s="417">
        <v>56</v>
      </c>
      <c r="AK98" s="386">
        <v>40</v>
      </c>
      <c r="AL98" s="265">
        <f>ROUND(((AK98/AJ98-1)*100), 1)</f>
        <v>-28.6</v>
      </c>
      <c r="AM98" s="722">
        <f t="shared" si="227"/>
        <v>0</v>
      </c>
      <c r="AN98" s="714">
        <f t="shared" si="228"/>
        <v>0</v>
      </c>
      <c r="AO98" s="695">
        <v>0</v>
      </c>
      <c r="AP98" s="770">
        <v>56</v>
      </c>
      <c r="AQ98" s="714">
        <v>40</v>
      </c>
      <c r="AR98" s="705">
        <f t="shared" si="215"/>
        <v>-28.6</v>
      </c>
      <c r="AS98" s="770">
        <f t="shared" si="230"/>
        <v>60</v>
      </c>
      <c r="AT98" s="714">
        <f t="shared" si="230"/>
        <v>0</v>
      </c>
      <c r="AU98" s="710">
        <f>ROUND(((AT98/AS98-1)*100), 1)</f>
        <v>-100</v>
      </c>
      <c r="AV98" s="992">
        <v>116</v>
      </c>
      <c r="AW98" s="990">
        <v>40</v>
      </c>
      <c r="AX98" s="705">
        <f t="shared" si="216"/>
        <v>-65.5</v>
      </c>
      <c r="AY98" s="770">
        <f t="shared" si="232"/>
        <v>0</v>
      </c>
      <c r="AZ98" s="714">
        <f t="shared" si="233"/>
        <v>0</v>
      </c>
      <c r="BA98" s="751">
        <v>0</v>
      </c>
      <c r="BB98" s="770">
        <v>116</v>
      </c>
      <c r="BC98" s="714">
        <v>40</v>
      </c>
      <c r="BD98" s="705">
        <f t="shared" si="217"/>
        <v>-65.5</v>
      </c>
      <c r="BE98" s="770">
        <f t="shared" si="235"/>
        <v>38</v>
      </c>
      <c r="BF98" s="714">
        <f t="shared" si="235"/>
        <v>39</v>
      </c>
      <c r="BG98" s="705">
        <f t="shared" ref="BG98:BG99" si="247">ROUND(((BF98/BE98-1)*100), 1)</f>
        <v>2.6</v>
      </c>
      <c r="BH98" s="689">
        <v>154</v>
      </c>
      <c r="BI98" s="770">
        <v>79</v>
      </c>
      <c r="BJ98" s="705">
        <f t="shared" si="218"/>
        <v>-48.7</v>
      </c>
      <c r="BK98" s="770">
        <f t="shared" si="237"/>
        <v>2</v>
      </c>
      <c r="BL98" s="714">
        <f t="shared" si="237"/>
        <v>0</v>
      </c>
      <c r="BM98" s="705">
        <f t="shared" ref="BM98" si="248">ROUND(((BL98/BK98-1)*100), 1)</f>
        <v>-100</v>
      </c>
      <c r="BN98" s="689">
        <v>156</v>
      </c>
      <c r="BO98" s="770">
        <v>79</v>
      </c>
      <c r="BP98" s="705">
        <f t="shared" si="219"/>
        <v>-49.4</v>
      </c>
      <c r="BQ98" s="770">
        <f t="shared" si="239"/>
        <v>0</v>
      </c>
      <c r="BR98" s="714">
        <f t="shared" si="239"/>
        <v>39</v>
      </c>
      <c r="BS98" s="751">
        <v>0</v>
      </c>
      <c r="BT98" s="689">
        <v>156</v>
      </c>
      <c r="BU98" s="770">
        <v>118</v>
      </c>
      <c r="BV98" s="705">
        <f t="shared" si="220"/>
        <v>-24.4</v>
      </c>
    </row>
    <row r="99" spans="1:74">
      <c r="A99" s="96"/>
      <c r="B99" s="1176"/>
      <c r="C99" s="105" t="s">
        <v>98</v>
      </c>
      <c r="D99" s="98">
        <v>5492</v>
      </c>
      <c r="E99" s="98">
        <v>7716</v>
      </c>
      <c r="F99" s="98">
        <v>1549</v>
      </c>
      <c r="G99" s="98">
        <v>8194</v>
      </c>
      <c r="H99" s="98">
        <v>1318</v>
      </c>
      <c r="I99" s="98">
        <v>850</v>
      </c>
      <c r="J99" s="98">
        <v>531</v>
      </c>
      <c r="K99" s="98">
        <v>126</v>
      </c>
      <c r="L99" s="417">
        <v>0</v>
      </c>
      <c r="M99" s="386">
        <v>0</v>
      </c>
      <c r="N99" s="179">
        <v>0</v>
      </c>
      <c r="O99" s="417">
        <f t="shared" si="221"/>
        <v>13</v>
      </c>
      <c r="P99" s="386">
        <f t="shared" si="221"/>
        <v>0</v>
      </c>
      <c r="Q99" s="265">
        <f>ROUND(((P99/O99-1)*100), 1)</f>
        <v>-100</v>
      </c>
      <c r="R99" s="417">
        <v>13</v>
      </c>
      <c r="S99" s="386">
        <v>0</v>
      </c>
      <c r="T99" s="265">
        <f>ROUND(((S99/R99-1)*100), 1)</f>
        <v>-100</v>
      </c>
      <c r="U99" s="417">
        <f t="shared" si="222"/>
        <v>0</v>
      </c>
      <c r="V99" s="386">
        <f t="shared" si="223"/>
        <v>0</v>
      </c>
      <c r="W99" s="523">
        <v>0</v>
      </c>
      <c r="X99" s="417">
        <v>13</v>
      </c>
      <c r="Y99" s="386">
        <v>0</v>
      </c>
      <c r="Z99" s="265">
        <f>ROUND(((Y99/X99-1)*100), 1)</f>
        <v>-100</v>
      </c>
      <c r="AA99" s="417">
        <f t="shared" si="224"/>
        <v>11</v>
      </c>
      <c r="AB99" s="386">
        <f t="shared" si="225"/>
        <v>31</v>
      </c>
      <c r="AC99" s="265">
        <f t="shared" ref="AC99" si="249">ROUND(((AB99/AA99-1)*100), 1)</f>
        <v>181.8</v>
      </c>
      <c r="AD99" s="417">
        <v>24</v>
      </c>
      <c r="AE99" s="386">
        <v>31</v>
      </c>
      <c r="AF99" s="265">
        <f>ROUND(((AE99/AD99-1)*100), 1)</f>
        <v>29.2</v>
      </c>
      <c r="AG99" s="417">
        <f t="shared" si="226"/>
        <v>0</v>
      </c>
      <c r="AH99" s="386">
        <f t="shared" si="226"/>
        <v>0</v>
      </c>
      <c r="AI99" s="523">
        <v>0</v>
      </c>
      <c r="AJ99" s="417">
        <v>24</v>
      </c>
      <c r="AK99" s="386">
        <v>31</v>
      </c>
      <c r="AL99" s="265">
        <f>ROUND(((AK99/AJ99-1)*100), 1)</f>
        <v>29.2</v>
      </c>
      <c r="AM99" s="722">
        <f t="shared" si="227"/>
        <v>6</v>
      </c>
      <c r="AN99" s="714">
        <f t="shared" si="228"/>
        <v>0</v>
      </c>
      <c r="AO99" s="705">
        <f>ROUND(((AN99/AM99-1)*100), 1)</f>
        <v>-100</v>
      </c>
      <c r="AP99" s="770">
        <v>30</v>
      </c>
      <c r="AQ99" s="714">
        <v>31</v>
      </c>
      <c r="AR99" s="705">
        <f t="shared" si="215"/>
        <v>3.3</v>
      </c>
      <c r="AS99" s="770">
        <f t="shared" si="230"/>
        <v>0</v>
      </c>
      <c r="AT99" s="714">
        <f t="shared" si="230"/>
        <v>1</v>
      </c>
      <c r="AU99" s="751">
        <v>0</v>
      </c>
      <c r="AV99" s="992">
        <v>30</v>
      </c>
      <c r="AW99" s="990">
        <v>32</v>
      </c>
      <c r="AX99" s="705">
        <f t="shared" si="216"/>
        <v>6.7</v>
      </c>
      <c r="AY99" s="770">
        <f t="shared" si="232"/>
        <v>0</v>
      </c>
      <c r="AZ99" s="714">
        <f t="shared" si="233"/>
        <v>0</v>
      </c>
      <c r="BA99" s="751">
        <v>0</v>
      </c>
      <c r="BB99" s="770">
        <v>30</v>
      </c>
      <c r="BC99" s="714">
        <v>32</v>
      </c>
      <c r="BD99" s="705">
        <f t="shared" si="217"/>
        <v>6.7</v>
      </c>
      <c r="BE99" s="770">
        <f t="shared" si="235"/>
        <v>92</v>
      </c>
      <c r="BF99" s="714">
        <f t="shared" si="235"/>
        <v>26</v>
      </c>
      <c r="BG99" s="705">
        <f t="shared" si="247"/>
        <v>-71.7</v>
      </c>
      <c r="BH99" s="689">
        <v>122</v>
      </c>
      <c r="BI99" s="770">
        <v>58</v>
      </c>
      <c r="BJ99" s="705">
        <f t="shared" si="218"/>
        <v>-52.5</v>
      </c>
      <c r="BK99" s="770">
        <f t="shared" si="237"/>
        <v>0</v>
      </c>
      <c r="BL99" s="714">
        <f t="shared" si="237"/>
        <v>1</v>
      </c>
      <c r="BM99" s="751">
        <v>0</v>
      </c>
      <c r="BN99" s="689">
        <v>122</v>
      </c>
      <c r="BO99" s="770">
        <v>59</v>
      </c>
      <c r="BP99" s="705">
        <f t="shared" si="219"/>
        <v>-51.6</v>
      </c>
      <c r="BQ99" s="770">
        <f t="shared" si="239"/>
        <v>4</v>
      </c>
      <c r="BR99" s="714">
        <f t="shared" si="239"/>
        <v>1</v>
      </c>
      <c r="BS99" s="753">
        <f t="shared" si="240"/>
        <v>-75</v>
      </c>
      <c r="BT99" s="689">
        <v>126</v>
      </c>
      <c r="BU99" s="770">
        <v>60</v>
      </c>
      <c r="BV99" s="705">
        <f t="shared" si="220"/>
        <v>-52.4</v>
      </c>
    </row>
    <row r="100" spans="1:74">
      <c r="A100" s="96"/>
      <c r="B100" s="1176"/>
      <c r="C100" s="105" t="s">
        <v>96</v>
      </c>
      <c r="D100" s="98">
        <v>44</v>
      </c>
      <c r="E100" s="98">
        <v>0</v>
      </c>
      <c r="F100" s="98">
        <v>1</v>
      </c>
      <c r="G100" s="98">
        <v>97</v>
      </c>
      <c r="H100" s="98">
        <v>0</v>
      </c>
      <c r="I100" s="98">
        <v>132</v>
      </c>
      <c r="J100" s="98">
        <v>74</v>
      </c>
      <c r="K100" s="98">
        <v>124</v>
      </c>
      <c r="L100" s="417">
        <v>0</v>
      </c>
      <c r="M100" s="386">
        <v>0</v>
      </c>
      <c r="N100" s="179">
        <v>0</v>
      </c>
      <c r="O100" s="417">
        <f t="shared" si="221"/>
        <v>0</v>
      </c>
      <c r="P100" s="386">
        <f t="shared" si="221"/>
        <v>0</v>
      </c>
      <c r="Q100" s="179">
        <v>0</v>
      </c>
      <c r="R100" s="417">
        <v>0</v>
      </c>
      <c r="S100" s="386">
        <v>0</v>
      </c>
      <c r="T100" s="179">
        <v>0</v>
      </c>
      <c r="U100" s="417">
        <f t="shared" si="222"/>
        <v>124</v>
      </c>
      <c r="V100" s="386">
        <f t="shared" si="223"/>
        <v>0</v>
      </c>
      <c r="W100" s="265">
        <f t="shared" ref="W100" si="250">ROUND(((V100/U100-1)*100), 1)</f>
        <v>-100</v>
      </c>
      <c r="X100" s="417">
        <v>124</v>
      </c>
      <c r="Y100" s="386">
        <v>0</v>
      </c>
      <c r="Z100" s="265">
        <f t="shared" ref="Z100" si="251">ROUND(((Y100/X100-1)*100), 1)</f>
        <v>-100</v>
      </c>
      <c r="AA100" s="417">
        <f t="shared" si="224"/>
        <v>0</v>
      </c>
      <c r="AB100" s="386">
        <f t="shared" si="225"/>
        <v>0</v>
      </c>
      <c r="AC100" s="523">
        <v>0</v>
      </c>
      <c r="AD100" s="417">
        <v>124</v>
      </c>
      <c r="AE100" s="386">
        <v>0</v>
      </c>
      <c r="AF100" s="265">
        <f t="shared" ref="AF100" si="252">ROUND(((AE100/AD100-1)*100), 1)</f>
        <v>-100</v>
      </c>
      <c r="AG100" s="417">
        <f t="shared" si="226"/>
        <v>0</v>
      </c>
      <c r="AH100" s="386">
        <f t="shared" si="226"/>
        <v>0</v>
      </c>
      <c r="AI100" s="523">
        <v>0</v>
      </c>
      <c r="AJ100" s="417">
        <v>124</v>
      </c>
      <c r="AK100" s="386">
        <v>0</v>
      </c>
      <c r="AL100" s="265">
        <f t="shared" ref="AL100" si="253">ROUND(((AK100/AJ100-1)*100), 1)</f>
        <v>-100</v>
      </c>
      <c r="AM100" s="722">
        <f t="shared" si="227"/>
        <v>0</v>
      </c>
      <c r="AN100" s="714">
        <f t="shared" si="228"/>
        <v>1</v>
      </c>
      <c r="AO100" s="695">
        <v>0</v>
      </c>
      <c r="AP100" s="770">
        <v>124</v>
      </c>
      <c r="AQ100" s="714">
        <v>1</v>
      </c>
      <c r="AR100" s="705">
        <f t="shared" ref="AR100" si="254">ROUND(((AQ100/AP100-1)*100), 1)</f>
        <v>-99.2</v>
      </c>
      <c r="AS100" s="770">
        <f t="shared" si="230"/>
        <v>0</v>
      </c>
      <c r="AT100" s="714">
        <f t="shared" si="230"/>
        <v>1</v>
      </c>
      <c r="AU100" s="751">
        <v>0</v>
      </c>
      <c r="AV100" s="992">
        <v>124</v>
      </c>
      <c r="AW100" s="990">
        <v>2</v>
      </c>
      <c r="AX100" s="705">
        <f t="shared" si="216"/>
        <v>-98.4</v>
      </c>
      <c r="AY100" s="770">
        <f t="shared" si="232"/>
        <v>0</v>
      </c>
      <c r="AZ100" s="714">
        <f t="shared" si="233"/>
        <v>0</v>
      </c>
      <c r="BA100" s="751">
        <v>0</v>
      </c>
      <c r="BB100" s="770">
        <v>124</v>
      </c>
      <c r="BC100" s="714">
        <v>2</v>
      </c>
      <c r="BD100" s="705">
        <f t="shared" si="217"/>
        <v>-98.4</v>
      </c>
      <c r="BE100" s="770">
        <f t="shared" si="235"/>
        <v>0</v>
      </c>
      <c r="BF100" s="714">
        <f t="shared" si="235"/>
        <v>0</v>
      </c>
      <c r="BG100" s="751">
        <v>0</v>
      </c>
      <c r="BH100" s="689">
        <v>124</v>
      </c>
      <c r="BI100" s="770">
        <v>2</v>
      </c>
      <c r="BJ100" s="705">
        <f t="shared" si="218"/>
        <v>-98.4</v>
      </c>
      <c r="BK100" s="770">
        <f t="shared" si="237"/>
        <v>0</v>
      </c>
      <c r="BL100" s="714">
        <f t="shared" si="237"/>
        <v>1</v>
      </c>
      <c r="BM100" s="751">
        <v>0</v>
      </c>
      <c r="BN100" s="689">
        <v>124</v>
      </c>
      <c r="BO100" s="770">
        <v>3</v>
      </c>
      <c r="BP100" s="705">
        <f t="shared" si="219"/>
        <v>-97.6</v>
      </c>
      <c r="BQ100" s="770">
        <f t="shared" si="239"/>
        <v>0</v>
      </c>
      <c r="BR100" s="714">
        <f t="shared" si="239"/>
        <v>1</v>
      </c>
      <c r="BS100" s="751">
        <v>0</v>
      </c>
      <c r="BT100" s="689">
        <v>124</v>
      </c>
      <c r="BU100" s="770">
        <v>4</v>
      </c>
      <c r="BV100" s="705">
        <f t="shared" si="220"/>
        <v>-96.8</v>
      </c>
    </row>
    <row r="101" spans="1:74">
      <c r="A101" s="96"/>
      <c r="B101" s="1176"/>
      <c r="C101" s="105" t="s">
        <v>52</v>
      </c>
      <c r="D101" s="98">
        <v>5456</v>
      </c>
      <c r="E101" s="98">
        <v>4826</v>
      </c>
      <c r="F101" s="98">
        <v>4981</v>
      </c>
      <c r="G101" s="98">
        <v>5524</v>
      </c>
      <c r="H101" s="98">
        <v>9295</v>
      </c>
      <c r="I101" s="98">
        <v>16715</v>
      </c>
      <c r="J101" s="98">
        <v>5488</v>
      </c>
      <c r="K101" s="98">
        <v>102</v>
      </c>
      <c r="L101" s="417">
        <v>101</v>
      </c>
      <c r="M101" s="386">
        <v>195</v>
      </c>
      <c r="N101" s="265">
        <f>ROUND(((M101/L101-1)*100), 1)</f>
        <v>93.1</v>
      </c>
      <c r="O101" s="417">
        <f t="shared" si="221"/>
        <v>1</v>
      </c>
      <c r="P101" s="386">
        <f t="shared" si="221"/>
        <v>0</v>
      </c>
      <c r="Q101" s="265">
        <f>ROUND(((P101/O101-1)*100), 1)</f>
        <v>-100</v>
      </c>
      <c r="R101" s="417">
        <v>102</v>
      </c>
      <c r="S101" s="386">
        <v>195</v>
      </c>
      <c r="T101" s="265">
        <f>ROUND(((S101/R101-1)*100), 1)</f>
        <v>91.2</v>
      </c>
      <c r="U101" s="417">
        <f t="shared" si="222"/>
        <v>0</v>
      </c>
      <c r="V101" s="386">
        <f t="shared" si="223"/>
        <v>1480</v>
      </c>
      <c r="W101" s="523">
        <v>0</v>
      </c>
      <c r="X101" s="417">
        <v>102</v>
      </c>
      <c r="Y101" s="386">
        <v>1675</v>
      </c>
      <c r="Z101" s="265">
        <f>ROUND(((Y101/X101-1)*100), 1)</f>
        <v>1542.2</v>
      </c>
      <c r="AA101" s="417">
        <f t="shared" si="224"/>
        <v>0</v>
      </c>
      <c r="AB101" s="386">
        <f t="shared" si="225"/>
        <v>544</v>
      </c>
      <c r="AC101" s="523">
        <v>0</v>
      </c>
      <c r="AD101" s="417">
        <v>102</v>
      </c>
      <c r="AE101" s="386">
        <v>2219</v>
      </c>
      <c r="AF101" s="265">
        <f>ROUND(((AE101/AD101-1)*100), 1)</f>
        <v>2075.5</v>
      </c>
      <c r="AG101" s="417">
        <f t="shared" si="226"/>
        <v>0</v>
      </c>
      <c r="AH101" s="386">
        <f t="shared" si="226"/>
        <v>458</v>
      </c>
      <c r="AI101" s="523">
        <v>0</v>
      </c>
      <c r="AJ101" s="417">
        <v>102</v>
      </c>
      <c r="AK101" s="386">
        <v>2677</v>
      </c>
      <c r="AL101" s="265">
        <f>ROUND(((AK101/AJ101-1)*100), 1)</f>
        <v>2524.5</v>
      </c>
      <c r="AM101" s="722">
        <f t="shared" si="227"/>
        <v>0</v>
      </c>
      <c r="AN101" s="714">
        <f t="shared" si="228"/>
        <v>969</v>
      </c>
      <c r="AO101" s="695">
        <v>0</v>
      </c>
      <c r="AP101" s="770">
        <v>102</v>
      </c>
      <c r="AQ101" s="714">
        <v>3646</v>
      </c>
      <c r="AR101" s="705">
        <f>ROUND(((AQ101/AP101-1)*100), 1)</f>
        <v>3474.5</v>
      </c>
      <c r="AS101" s="770">
        <f t="shared" si="230"/>
        <v>0</v>
      </c>
      <c r="AT101" s="714">
        <f t="shared" si="230"/>
        <v>253</v>
      </c>
      <c r="AU101" s="751">
        <v>0</v>
      </c>
      <c r="AV101" s="992">
        <v>102</v>
      </c>
      <c r="AW101" s="990">
        <v>3899</v>
      </c>
      <c r="AX101" s="705">
        <f>ROUND(((AW101/AV101-1)*100), 1)</f>
        <v>3722.5</v>
      </c>
      <c r="AY101" s="770">
        <f t="shared" si="232"/>
        <v>0</v>
      </c>
      <c r="AZ101" s="714">
        <f t="shared" si="233"/>
        <v>771</v>
      </c>
      <c r="BA101" s="751">
        <v>0</v>
      </c>
      <c r="BB101" s="770">
        <v>102</v>
      </c>
      <c r="BC101" s="714">
        <v>4670</v>
      </c>
      <c r="BD101" s="705">
        <f>ROUND(((BC101/BB101-1)*100), 1)</f>
        <v>4478.3999999999996</v>
      </c>
      <c r="BE101" s="770">
        <f t="shared" si="235"/>
        <v>0</v>
      </c>
      <c r="BF101" s="714">
        <f t="shared" si="235"/>
        <v>776</v>
      </c>
      <c r="BG101" s="751">
        <v>0</v>
      </c>
      <c r="BH101" s="689">
        <v>102</v>
      </c>
      <c r="BI101" s="770">
        <v>5446</v>
      </c>
      <c r="BJ101" s="705">
        <f>ROUND(((BI101/BH101-1)*100), 1)</f>
        <v>5239.2</v>
      </c>
      <c r="BK101" s="770">
        <f t="shared" si="237"/>
        <v>0</v>
      </c>
      <c r="BL101" s="714">
        <f t="shared" si="237"/>
        <v>919</v>
      </c>
      <c r="BM101" s="751">
        <v>0</v>
      </c>
      <c r="BN101" s="689">
        <v>102</v>
      </c>
      <c r="BO101" s="770">
        <v>6365</v>
      </c>
      <c r="BP101" s="705">
        <f>ROUND(((BO101/BN101-1)*100), 1)</f>
        <v>6140.2</v>
      </c>
      <c r="BQ101" s="770">
        <f t="shared" si="239"/>
        <v>0</v>
      </c>
      <c r="BR101" s="714">
        <f t="shared" si="239"/>
        <v>294</v>
      </c>
      <c r="BS101" s="751">
        <v>0</v>
      </c>
      <c r="BT101" s="689">
        <v>102</v>
      </c>
      <c r="BU101" s="770">
        <v>6659</v>
      </c>
      <c r="BV101" s="705">
        <f>ROUND(((BU101/BT101-1)*100), 1)</f>
        <v>6428.4</v>
      </c>
    </row>
    <row r="102" spans="1:74">
      <c r="A102" s="96"/>
      <c r="B102" s="1176"/>
      <c r="C102" s="105" t="s">
        <v>99</v>
      </c>
      <c r="D102" s="98">
        <v>21</v>
      </c>
      <c r="E102" s="98"/>
      <c r="F102" s="98">
        <v>0</v>
      </c>
      <c r="G102" s="98">
        <v>0</v>
      </c>
      <c r="H102" s="98">
        <v>1428</v>
      </c>
      <c r="I102" s="98">
        <v>1468</v>
      </c>
      <c r="J102" s="98">
        <v>688</v>
      </c>
      <c r="K102" s="98">
        <v>0</v>
      </c>
      <c r="L102" s="417">
        <v>0</v>
      </c>
      <c r="M102" s="386">
        <v>0</v>
      </c>
      <c r="N102" s="179">
        <v>0</v>
      </c>
      <c r="O102" s="417">
        <f t="shared" si="221"/>
        <v>0</v>
      </c>
      <c r="P102" s="386">
        <f t="shared" si="221"/>
        <v>0</v>
      </c>
      <c r="Q102" s="179">
        <v>0</v>
      </c>
      <c r="R102" s="417">
        <v>0</v>
      </c>
      <c r="S102" s="386">
        <v>0</v>
      </c>
      <c r="T102" s="179">
        <v>0</v>
      </c>
      <c r="U102" s="417">
        <f t="shared" si="222"/>
        <v>0</v>
      </c>
      <c r="V102" s="386">
        <f t="shared" si="223"/>
        <v>0</v>
      </c>
      <c r="W102" s="179">
        <v>0</v>
      </c>
      <c r="X102" s="417">
        <v>0</v>
      </c>
      <c r="Y102" s="386">
        <v>0</v>
      </c>
      <c r="Z102" s="179">
        <v>0</v>
      </c>
      <c r="AA102" s="417">
        <f t="shared" si="224"/>
        <v>0</v>
      </c>
      <c r="AB102" s="386">
        <f t="shared" si="225"/>
        <v>0</v>
      </c>
      <c r="AC102" s="523">
        <v>0</v>
      </c>
      <c r="AD102" s="417">
        <v>0</v>
      </c>
      <c r="AE102" s="386">
        <v>0</v>
      </c>
      <c r="AF102" s="523">
        <v>0</v>
      </c>
      <c r="AG102" s="417">
        <f t="shared" si="226"/>
        <v>0</v>
      </c>
      <c r="AH102" s="386">
        <f t="shared" si="226"/>
        <v>0</v>
      </c>
      <c r="AI102" s="523">
        <v>0</v>
      </c>
      <c r="AJ102" s="417">
        <v>0</v>
      </c>
      <c r="AK102" s="386">
        <v>0</v>
      </c>
      <c r="AL102" s="523">
        <v>0</v>
      </c>
      <c r="AM102" s="722">
        <f t="shared" si="227"/>
        <v>0</v>
      </c>
      <c r="AN102" s="714">
        <f t="shared" si="228"/>
        <v>0</v>
      </c>
      <c r="AO102" s="695">
        <v>0</v>
      </c>
      <c r="AP102" s="770">
        <v>0</v>
      </c>
      <c r="AQ102" s="714">
        <v>0</v>
      </c>
      <c r="AR102" s="695">
        <v>0</v>
      </c>
      <c r="AS102" s="770">
        <f t="shared" si="230"/>
        <v>0</v>
      </c>
      <c r="AT102" s="714">
        <f t="shared" si="230"/>
        <v>0</v>
      </c>
      <c r="AU102" s="751">
        <v>0</v>
      </c>
      <c r="AV102" s="992">
        <v>0</v>
      </c>
      <c r="AW102" s="990">
        <v>0</v>
      </c>
      <c r="AX102" s="751">
        <v>0</v>
      </c>
      <c r="AY102" s="770">
        <f t="shared" si="232"/>
        <v>0</v>
      </c>
      <c r="AZ102" s="714">
        <f t="shared" si="233"/>
        <v>0</v>
      </c>
      <c r="BA102" s="751">
        <v>0</v>
      </c>
      <c r="BB102" s="770">
        <v>0</v>
      </c>
      <c r="BC102" s="714">
        <v>0</v>
      </c>
      <c r="BD102" s="751">
        <v>0</v>
      </c>
      <c r="BE102" s="770">
        <f t="shared" si="235"/>
        <v>0</v>
      </c>
      <c r="BF102" s="714">
        <f t="shared" si="235"/>
        <v>0</v>
      </c>
      <c r="BG102" s="751">
        <v>0</v>
      </c>
      <c r="BH102" s="689">
        <v>0</v>
      </c>
      <c r="BI102" s="770">
        <v>0</v>
      </c>
      <c r="BJ102" s="751">
        <v>0</v>
      </c>
      <c r="BK102" s="770">
        <f t="shared" si="237"/>
        <v>0</v>
      </c>
      <c r="BL102" s="714">
        <f t="shared" si="237"/>
        <v>0</v>
      </c>
      <c r="BM102" s="751">
        <v>0</v>
      </c>
      <c r="BN102" s="689">
        <v>0</v>
      </c>
      <c r="BO102" s="770">
        <v>0</v>
      </c>
      <c r="BP102" s="751">
        <v>0</v>
      </c>
      <c r="BQ102" s="770">
        <f t="shared" si="239"/>
        <v>0</v>
      </c>
      <c r="BR102" s="714">
        <f t="shared" si="239"/>
        <v>0</v>
      </c>
      <c r="BS102" s="751">
        <v>0</v>
      </c>
      <c r="BT102" s="689">
        <v>0</v>
      </c>
      <c r="BU102" s="770">
        <v>0</v>
      </c>
      <c r="BV102" s="751">
        <v>0</v>
      </c>
    </row>
    <row r="103" spans="1:74">
      <c r="A103" s="96"/>
      <c r="B103" s="1176"/>
      <c r="C103" s="105" t="s">
        <v>221</v>
      </c>
      <c r="D103" s="98">
        <v>387</v>
      </c>
      <c r="E103" s="98">
        <v>285</v>
      </c>
      <c r="F103" s="98">
        <v>340</v>
      </c>
      <c r="G103" s="98">
        <v>48</v>
      </c>
      <c r="H103" s="98">
        <v>91</v>
      </c>
      <c r="I103" s="98">
        <v>0</v>
      </c>
      <c r="J103" s="98">
        <v>0</v>
      </c>
      <c r="K103" s="98">
        <v>0</v>
      </c>
      <c r="L103" s="417">
        <v>0</v>
      </c>
      <c r="M103" s="386">
        <v>0</v>
      </c>
      <c r="N103" s="179">
        <v>0</v>
      </c>
      <c r="O103" s="417">
        <f t="shared" si="221"/>
        <v>0</v>
      </c>
      <c r="P103" s="386">
        <f t="shared" si="221"/>
        <v>0</v>
      </c>
      <c r="Q103" s="179">
        <v>0</v>
      </c>
      <c r="R103" s="417">
        <v>0</v>
      </c>
      <c r="S103" s="386">
        <v>0</v>
      </c>
      <c r="T103" s="179">
        <v>0</v>
      </c>
      <c r="U103" s="417">
        <f t="shared" si="222"/>
        <v>0</v>
      </c>
      <c r="V103" s="386">
        <f t="shared" si="223"/>
        <v>0</v>
      </c>
      <c r="W103" s="179">
        <v>0</v>
      </c>
      <c r="X103" s="417">
        <v>0</v>
      </c>
      <c r="Y103" s="386">
        <v>0</v>
      </c>
      <c r="Z103" s="179">
        <v>0</v>
      </c>
      <c r="AA103" s="417">
        <f t="shared" si="224"/>
        <v>0</v>
      </c>
      <c r="AB103" s="386">
        <f t="shared" si="225"/>
        <v>0</v>
      </c>
      <c r="AC103" s="523">
        <v>0</v>
      </c>
      <c r="AD103" s="417">
        <v>0</v>
      </c>
      <c r="AE103" s="386">
        <v>0</v>
      </c>
      <c r="AF103" s="523">
        <v>0</v>
      </c>
      <c r="AG103" s="417">
        <f t="shared" si="226"/>
        <v>0</v>
      </c>
      <c r="AH103" s="386">
        <f t="shared" si="226"/>
        <v>0</v>
      </c>
      <c r="AI103" s="523">
        <v>0</v>
      </c>
      <c r="AJ103" s="417">
        <v>0</v>
      </c>
      <c r="AK103" s="386">
        <v>0</v>
      </c>
      <c r="AL103" s="523">
        <v>0</v>
      </c>
      <c r="AM103" s="722">
        <f t="shared" si="227"/>
        <v>0</v>
      </c>
      <c r="AN103" s="714">
        <f t="shared" si="228"/>
        <v>0</v>
      </c>
      <c r="AO103" s="695">
        <v>0</v>
      </c>
      <c r="AP103" s="770">
        <v>0</v>
      </c>
      <c r="AQ103" s="714">
        <v>0</v>
      </c>
      <c r="AR103" s="695">
        <v>0</v>
      </c>
      <c r="AS103" s="770">
        <f t="shared" si="230"/>
        <v>0</v>
      </c>
      <c r="AT103" s="714">
        <f t="shared" si="230"/>
        <v>0</v>
      </c>
      <c r="AU103" s="751">
        <v>0</v>
      </c>
      <c r="AV103" s="992">
        <v>0</v>
      </c>
      <c r="AW103" s="990">
        <v>0</v>
      </c>
      <c r="AX103" s="751">
        <v>0</v>
      </c>
      <c r="AY103" s="770">
        <f t="shared" si="232"/>
        <v>0</v>
      </c>
      <c r="AZ103" s="714">
        <f t="shared" si="233"/>
        <v>0</v>
      </c>
      <c r="BA103" s="751">
        <v>0</v>
      </c>
      <c r="BB103" s="770">
        <v>0</v>
      </c>
      <c r="BC103" s="714">
        <v>0</v>
      </c>
      <c r="BD103" s="751">
        <v>0</v>
      </c>
      <c r="BE103" s="770">
        <f t="shared" si="235"/>
        <v>0</v>
      </c>
      <c r="BF103" s="714">
        <f t="shared" si="235"/>
        <v>0</v>
      </c>
      <c r="BG103" s="751">
        <v>0</v>
      </c>
      <c r="BH103" s="689">
        <v>0</v>
      </c>
      <c r="BI103" s="770">
        <v>0</v>
      </c>
      <c r="BJ103" s="751">
        <v>0</v>
      </c>
      <c r="BK103" s="770">
        <f t="shared" si="237"/>
        <v>0</v>
      </c>
      <c r="BL103" s="714">
        <f t="shared" si="237"/>
        <v>0</v>
      </c>
      <c r="BM103" s="751">
        <v>0</v>
      </c>
      <c r="BN103" s="689">
        <v>0</v>
      </c>
      <c r="BO103" s="770">
        <v>0</v>
      </c>
      <c r="BP103" s="751">
        <v>0</v>
      </c>
      <c r="BQ103" s="770">
        <f t="shared" si="239"/>
        <v>0</v>
      </c>
      <c r="BR103" s="714">
        <f t="shared" si="239"/>
        <v>0</v>
      </c>
      <c r="BS103" s="751">
        <v>0</v>
      </c>
      <c r="BT103" s="689">
        <v>0</v>
      </c>
      <c r="BU103" s="770">
        <v>0</v>
      </c>
      <c r="BV103" s="751">
        <v>0</v>
      </c>
    </row>
    <row r="104" spans="1:74">
      <c r="A104" s="96"/>
      <c r="B104" s="1176"/>
      <c r="C104" s="105" t="s">
        <v>24</v>
      </c>
      <c r="D104" s="98">
        <f t="shared" ref="D104:I104" si="255">D105-SUM(D92:D103)</f>
        <v>3619</v>
      </c>
      <c r="E104" s="98">
        <f t="shared" si="255"/>
        <v>1022</v>
      </c>
      <c r="F104" s="98">
        <f t="shared" si="255"/>
        <v>1419</v>
      </c>
      <c r="G104" s="98">
        <f t="shared" si="255"/>
        <v>1774</v>
      </c>
      <c r="H104" s="98">
        <f>H105-SUM(H92:H103)</f>
        <v>7</v>
      </c>
      <c r="I104" s="98">
        <f t="shared" si="255"/>
        <v>6</v>
      </c>
      <c r="J104" s="98">
        <f>J105-SUM(J92:J103)</f>
        <v>108</v>
      </c>
      <c r="K104" s="98">
        <f>K105-SUM(K92:K103)</f>
        <v>11</v>
      </c>
      <c r="L104" s="417">
        <f>L105-SUM(L92:L103)</f>
        <v>0</v>
      </c>
      <c r="M104" s="417">
        <f>M105-SUM(M92:M103)</f>
        <v>0</v>
      </c>
      <c r="N104" s="290">
        <v>0</v>
      </c>
      <c r="O104" s="417">
        <f>O105-SUM(O92:O103)</f>
        <v>1</v>
      </c>
      <c r="P104" s="417">
        <f>P105-SUM(P92:P103)</f>
        <v>1</v>
      </c>
      <c r="Q104" s="265">
        <f>ROUND(((P104/O104-1)*100), 1)</f>
        <v>0</v>
      </c>
      <c r="R104" s="417">
        <f>R105-SUM(R92:R103)</f>
        <v>1</v>
      </c>
      <c r="S104" s="417">
        <f>S105-SUM(S92:S103)</f>
        <v>1</v>
      </c>
      <c r="T104" s="265">
        <f>ROUND(((S104/R104-1)*100), 1)</f>
        <v>0</v>
      </c>
      <c r="U104" s="417">
        <f>U105-SUM(U92:U103)</f>
        <v>0</v>
      </c>
      <c r="V104" s="417">
        <f>V105-SUM(V92:V103)</f>
        <v>0</v>
      </c>
      <c r="W104" s="525">
        <v>0</v>
      </c>
      <c r="X104" s="417">
        <f>X105-SUM(X92:X103)</f>
        <v>1</v>
      </c>
      <c r="Y104" s="417">
        <f>Y105-SUM(Y92:Y103)</f>
        <v>1</v>
      </c>
      <c r="Z104" s="265">
        <f>ROUND(((Y104/X104-1)*100), 1)</f>
        <v>0</v>
      </c>
      <c r="AA104" s="417">
        <f>AA105-SUM(AA92:AA103)</f>
        <v>0</v>
      </c>
      <c r="AB104" s="417">
        <f>AB105-SUM(AB92:AB103)</f>
        <v>2</v>
      </c>
      <c r="AC104" s="525">
        <v>0</v>
      </c>
      <c r="AD104" s="417">
        <f>AD105-SUM(AD92:AD103)</f>
        <v>1</v>
      </c>
      <c r="AE104" s="417">
        <f>AE105-SUM(AE92:AE103)</f>
        <v>3</v>
      </c>
      <c r="AF104" s="265">
        <f>ROUND(((AE104/AD104-1)*100), 1)</f>
        <v>200</v>
      </c>
      <c r="AG104" s="417">
        <f>AG105-SUM(AG92:AG103)</f>
        <v>3</v>
      </c>
      <c r="AH104" s="417">
        <f>AH105-SUM(AH92:AH103)</f>
        <v>0</v>
      </c>
      <c r="AI104" s="525">
        <v>0</v>
      </c>
      <c r="AJ104" s="417">
        <f>AJ105-SUM(AJ92:AJ103)</f>
        <v>4</v>
      </c>
      <c r="AK104" s="417">
        <f>AK105-SUM(AK92:AK103)</f>
        <v>3</v>
      </c>
      <c r="AL104" s="265">
        <f>ROUND(((AK104/AJ104-1)*100), 1)</f>
        <v>-25</v>
      </c>
      <c r="AM104" s="722">
        <f>AM105-SUM(AM92:AM103)</f>
        <v>0</v>
      </c>
      <c r="AN104" s="722">
        <f>AN105-SUM(AN92:AN103)</f>
        <v>0</v>
      </c>
      <c r="AO104" s="708">
        <v>0</v>
      </c>
      <c r="AP104" s="770">
        <f>AP105-SUM(AP92:AP103)</f>
        <v>4</v>
      </c>
      <c r="AQ104" s="770">
        <f>AQ105-SUM(AQ92:AQ103)</f>
        <v>3</v>
      </c>
      <c r="AR104" s="705">
        <f>ROUND(((AQ104/AP104-1)*100), 1)</f>
        <v>-25</v>
      </c>
      <c r="AS104" s="770">
        <f>AS105-SUM(AS92:AS103)</f>
        <v>0</v>
      </c>
      <c r="AT104" s="770">
        <f>AT105-SUM(AT92:AT103)</f>
        <v>16</v>
      </c>
      <c r="AU104" s="708">
        <v>0</v>
      </c>
      <c r="AV104" s="992">
        <f>AV105-SUM(AV92:AV103)</f>
        <v>4</v>
      </c>
      <c r="AW104" s="992">
        <f>AW105-SUM(AW92:AW103)</f>
        <v>19</v>
      </c>
      <c r="AX104" s="705">
        <f>ROUND(((AW104/AV104-1)*100), 1)</f>
        <v>375</v>
      </c>
      <c r="AY104" s="770">
        <f>AY105-SUM(AY92:AY103)</f>
        <v>1</v>
      </c>
      <c r="AZ104" s="770">
        <f>AZ105-SUM(AZ92:AZ103)</f>
        <v>2</v>
      </c>
      <c r="BA104" s="708">
        <v>0</v>
      </c>
      <c r="BB104" s="770">
        <f>BB105-SUM(BB92:BB103)</f>
        <v>5</v>
      </c>
      <c r="BC104" s="770">
        <f>BC105-SUM(BC92:BC103)</f>
        <v>21</v>
      </c>
      <c r="BD104" s="705">
        <f>ROUND(((BC104/BB104-1)*100), 1)</f>
        <v>320</v>
      </c>
      <c r="BE104" s="770">
        <f>BE105-SUM(BE92:BE103)</f>
        <v>1</v>
      </c>
      <c r="BF104" s="770">
        <f>BF105-SUM(BF92:BF103)</f>
        <v>0</v>
      </c>
      <c r="BG104" s="705">
        <f t="shared" ref="BG104" si="256">ROUND(((BF104/BE104-1)*100), 1)</f>
        <v>-100</v>
      </c>
      <c r="BH104" s="689">
        <f>BH105-SUM(BH92:BH103)</f>
        <v>6</v>
      </c>
      <c r="BI104" s="770">
        <f>BI105-SUM(BI92:BI103)</f>
        <v>21</v>
      </c>
      <c r="BJ104" s="705">
        <f>ROUND(((BI104/BH104-1)*100), 1)</f>
        <v>250</v>
      </c>
      <c r="BK104" s="770">
        <f>BK105-SUM(BK92:BK103)</f>
        <v>4</v>
      </c>
      <c r="BL104" s="770">
        <f>BL105-SUM(BL92:BL103)</f>
        <v>0</v>
      </c>
      <c r="BM104" s="705">
        <f t="shared" ref="BM104" si="257">ROUND(((BL104/BK104-1)*100), 1)</f>
        <v>-100</v>
      </c>
      <c r="BN104" s="689">
        <f>BN105-SUM(BN92:BN103)</f>
        <v>10</v>
      </c>
      <c r="BO104" s="770">
        <f>BO105-SUM(BO92:BO103)</f>
        <v>21</v>
      </c>
      <c r="BP104" s="705">
        <f>ROUND(((BO104/BN104-1)*100), 1)</f>
        <v>110</v>
      </c>
      <c r="BQ104" s="770">
        <f>BQ105-SUM(BQ92:BQ103)</f>
        <v>0</v>
      </c>
      <c r="BR104" s="770">
        <f>BR105-SUM(BR92:BR103)</f>
        <v>1</v>
      </c>
      <c r="BS104" s="708">
        <v>0</v>
      </c>
      <c r="BT104" s="689">
        <f>BT105-SUM(BT92:BT103)</f>
        <v>10</v>
      </c>
      <c r="BU104" s="770">
        <f>BU105-SUM(BU92:BU103)</f>
        <v>22</v>
      </c>
      <c r="BV104" s="705">
        <f>ROUND(((BU104/BT104-1)*100), 1)</f>
        <v>120</v>
      </c>
    </row>
    <row r="105" spans="1:74">
      <c r="A105" s="97"/>
      <c r="B105" s="1177"/>
      <c r="C105" s="45" t="s">
        <v>212</v>
      </c>
      <c r="D105" s="99">
        <v>32181</v>
      </c>
      <c r="E105" s="99">
        <v>34354</v>
      </c>
      <c r="F105" s="99">
        <v>29549</v>
      </c>
      <c r="G105" s="99">
        <v>41290</v>
      </c>
      <c r="H105" s="99">
        <v>40405</v>
      </c>
      <c r="I105" s="99">
        <v>43014</v>
      </c>
      <c r="J105" s="99">
        <v>26848</v>
      </c>
      <c r="K105" s="99">
        <v>15962</v>
      </c>
      <c r="L105" s="409">
        <v>1195</v>
      </c>
      <c r="M105" s="387">
        <v>1211</v>
      </c>
      <c r="N105" s="266">
        <f>ROUND(((M105/L105-1)*100), 1)</f>
        <v>1.3</v>
      </c>
      <c r="O105" s="409">
        <f>R105-L105</f>
        <v>1393</v>
      </c>
      <c r="P105" s="387">
        <f>S105-M105</f>
        <v>1407</v>
      </c>
      <c r="Q105" s="266">
        <f>ROUND(((P105/O105-1)*100), 1)</f>
        <v>1</v>
      </c>
      <c r="R105" s="409">
        <v>2588</v>
      </c>
      <c r="S105" s="387">
        <v>2618</v>
      </c>
      <c r="T105" s="266">
        <f>ROUND(((S105/R105-1)*100), 1)</f>
        <v>1.2</v>
      </c>
      <c r="U105" s="409">
        <f>X105-R105</f>
        <v>1418</v>
      </c>
      <c r="V105" s="387">
        <f>Y105-S105</f>
        <v>2758</v>
      </c>
      <c r="W105" s="266">
        <f>ROUND(((V105/U105-1)*100), 1)</f>
        <v>94.5</v>
      </c>
      <c r="X105" s="409">
        <v>4006</v>
      </c>
      <c r="Y105" s="387">
        <v>5376</v>
      </c>
      <c r="Z105" s="266">
        <f>ROUND(((Y105/X105-1)*100), 1)</f>
        <v>34.200000000000003</v>
      </c>
      <c r="AA105" s="409">
        <f>AD105-X105</f>
        <v>1116</v>
      </c>
      <c r="AB105" s="387">
        <f>AE105-Y105</f>
        <v>1838</v>
      </c>
      <c r="AC105" s="266">
        <f>ROUND(((AB105/AA105-1)*100), 1)</f>
        <v>64.7</v>
      </c>
      <c r="AD105" s="409">
        <v>5122</v>
      </c>
      <c r="AE105" s="387">
        <v>7214</v>
      </c>
      <c r="AF105" s="266">
        <f>ROUND(((AE105/AD105-1)*100), 1)</f>
        <v>40.799999999999997</v>
      </c>
      <c r="AG105" s="409">
        <f>AJ105-AD105</f>
        <v>1636</v>
      </c>
      <c r="AH105" s="387">
        <f>AK105-AE105</f>
        <v>1612</v>
      </c>
      <c r="AI105" s="266">
        <f>ROUND(((AH105/AG105-1)*100), 1)</f>
        <v>-1.5</v>
      </c>
      <c r="AJ105" s="409">
        <v>6758</v>
      </c>
      <c r="AK105" s="387">
        <v>8826</v>
      </c>
      <c r="AL105" s="266">
        <f>ROUND(((AK105/AJ105-1)*100), 1)</f>
        <v>30.6</v>
      </c>
      <c r="AM105" s="721">
        <f>AP105-AJ105</f>
        <v>2628</v>
      </c>
      <c r="AN105" s="715">
        <f>AQ105-AK105</f>
        <v>2141</v>
      </c>
      <c r="AO105" s="706">
        <f>ROUND(((AN105/AM105-1)*100), 1)</f>
        <v>-18.5</v>
      </c>
      <c r="AP105" s="721">
        <v>9386</v>
      </c>
      <c r="AQ105" s="715">
        <v>10967</v>
      </c>
      <c r="AR105" s="706">
        <f>ROUND(((AQ105/AP105-1)*100), 1)</f>
        <v>16.8</v>
      </c>
      <c r="AS105" s="721">
        <f>AV105-AP105</f>
        <v>1186</v>
      </c>
      <c r="AT105" s="715">
        <f>AW105-AQ105</f>
        <v>734</v>
      </c>
      <c r="AU105" s="706">
        <f>ROUND(((AT105/AS105-1)*100), 1)</f>
        <v>-38.1</v>
      </c>
      <c r="AV105" s="1010">
        <v>10572</v>
      </c>
      <c r="AW105" s="994">
        <v>11701</v>
      </c>
      <c r="AX105" s="706">
        <f>ROUND(((AW105/AV105-1)*100), 1)</f>
        <v>10.7</v>
      </c>
      <c r="AY105" s="721">
        <f>BB105-AV105</f>
        <v>983</v>
      </c>
      <c r="AZ105" s="715">
        <f>BC105-AW105</f>
        <v>1319</v>
      </c>
      <c r="BA105" s="706">
        <f>ROUND(((AZ105/AY105-1)*100), 1)</f>
        <v>34.200000000000003</v>
      </c>
      <c r="BB105" s="721">
        <v>11555</v>
      </c>
      <c r="BC105" s="715">
        <v>13020</v>
      </c>
      <c r="BD105" s="706">
        <f>ROUND(((BC105/BB105-1)*100), 1)</f>
        <v>12.7</v>
      </c>
      <c r="BE105" s="721">
        <f>BH105-BB105</f>
        <v>898</v>
      </c>
      <c r="BF105" s="715">
        <f>BI105-BC105</f>
        <v>2280</v>
      </c>
      <c r="BG105" s="706">
        <f>ROUND(((BF105/BE105-1)*100), 1)</f>
        <v>153.9</v>
      </c>
      <c r="BH105" s="1051">
        <v>12453</v>
      </c>
      <c r="BI105" s="721">
        <v>15300</v>
      </c>
      <c r="BJ105" s="706">
        <f>ROUND(((BI105/BH105-1)*100), 1)</f>
        <v>22.9</v>
      </c>
      <c r="BK105" s="721">
        <f>BN105-BH105</f>
        <v>929</v>
      </c>
      <c r="BL105" s="715">
        <f>BO105-BI105</f>
        <v>1013</v>
      </c>
      <c r="BM105" s="706">
        <f>ROUND(((BL105/BK105-1)*100), 1)</f>
        <v>9</v>
      </c>
      <c r="BN105" s="1051">
        <v>13382</v>
      </c>
      <c r="BO105" s="721">
        <v>16313</v>
      </c>
      <c r="BP105" s="706">
        <f>ROUND(((BO105/BN105-1)*100), 1)</f>
        <v>21.9</v>
      </c>
      <c r="BQ105" s="721">
        <f>BT105-BN105</f>
        <v>1270</v>
      </c>
      <c r="BR105" s="715">
        <f>BU105-BO105</f>
        <v>744</v>
      </c>
      <c r="BS105" s="706">
        <f>ROUND(((BR105/BQ105-1)*100), 1)</f>
        <v>-41.4</v>
      </c>
      <c r="BT105" s="1051">
        <v>14652</v>
      </c>
      <c r="BU105" s="721">
        <v>17057</v>
      </c>
      <c r="BV105" s="706">
        <f>ROUND(((BU105/BT105-1)*100), 1)</f>
        <v>16.399999999999999</v>
      </c>
    </row>
    <row r="106" spans="1:74">
      <c r="N106" s="256"/>
    </row>
    <row r="107" spans="1:74">
      <c r="N107" s="256"/>
    </row>
    <row r="108" spans="1:74">
      <c r="A108" s="30"/>
      <c r="B108" s="30"/>
      <c r="D108" s="75"/>
      <c r="E108" s="75"/>
      <c r="F108" s="75"/>
      <c r="G108" s="75"/>
      <c r="H108" s="75"/>
      <c r="I108" s="75"/>
      <c r="J108" s="279"/>
      <c r="K108" s="279"/>
      <c r="L108" s="279"/>
      <c r="M108" s="279"/>
      <c r="N108" s="257" t="s">
        <v>94</v>
      </c>
      <c r="O108" s="279"/>
      <c r="P108" s="279"/>
      <c r="Q108" s="274"/>
      <c r="R108" s="279"/>
      <c r="S108" s="279"/>
      <c r="T108" s="274" t="s">
        <v>94</v>
      </c>
      <c r="U108" s="279"/>
      <c r="V108" s="279"/>
      <c r="W108" s="274"/>
      <c r="X108" s="279"/>
      <c r="Y108" s="279"/>
      <c r="Z108" s="274" t="s">
        <v>94</v>
      </c>
      <c r="AA108" s="279"/>
      <c r="AB108" s="279"/>
      <c r="AC108" s="274"/>
      <c r="AD108" s="279"/>
      <c r="AE108" s="279"/>
      <c r="AF108" s="274" t="s">
        <v>94</v>
      </c>
      <c r="AG108" s="279"/>
      <c r="AH108" s="279"/>
      <c r="AI108" s="274"/>
      <c r="AJ108" s="279"/>
      <c r="AK108" s="279"/>
      <c r="AL108" s="274" t="s">
        <v>94</v>
      </c>
      <c r="AM108" s="691"/>
      <c r="AN108" s="691"/>
      <c r="AO108" s="697"/>
      <c r="AP108" s="746"/>
      <c r="AQ108" s="746"/>
      <c r="AR108" s="697" t="s">
        <v>94</v>
      </c>
      <c r="AS108" s="746"/>
      <c r="AT108" s="746"/>
      <c r="AU108" s="755"/>
      <c r="AV108" s="961"/>
      <c r="AW108" s="961"/>
      <c r="AX108" s="755" t="s">
        <v>94</v>
      </c>
      <c r="AY108" s="746"/>
      <c r="AZ108" s="746"/>
      <c r="BA108" s="755"/>
      <c r="BB108" s="746"/>
      <c r="BC108" s="746"/>
      <c r="BD108" s="755" t="s">
        <v>94</v>
      </c>
      <c r="BE108" s="746"/>
      <c r="BF108" s="746"/>
      <c r="BG108" s="755"/>
      <c r="BH108" s="746"/>
      <c r="BI108" s="746"/>
      <c r="BJ108" s="755" t="s">
        <v>94</v>
      </c>
      <c r="BK108" s="746"/>
      <c r="BL108" s="746"/>
      <c r="BM108" s="755"/>
      <c r="BN108" s="746"/>
      <c r="BO108" s="746"/>
      <c r="BP108" s="755" t="s">
        <v>94</v>
      </c>
      <c r="BQ108" s="746"/>
      <c r="BR108" s="746"/>
      <c r="BS108" s="755"/>
      <c r="BT108" s="746"/>
      <c r="BU108" s="746"/>
      <c r="BV108" s="755" t="s">
        <v>94</v>
      </c>
    </row>
    <row r="109" spans="1:74">
      <c r="A109" s="1082" t="s">
        <v>95</v>
      </c>
      <c r="B109" s="1082"/>
      <c r="C109" s="1082"/>
      <c r="D109" s="1170" t="s">
        <v>3</v>
      </c>
      <c r="E109" s="1170" t="s">
        <v>4</v>
      </c>
      <c r="F109" s="1170" t="s">
        <v>5</v>
      </c>
      <c r="G109" s="1170" t="s">
        <v>6</v>
      </c>
      <c r="H109" s="1170" t="s">
        <v>7</v>
      </c>
      <c r="I109" s="1170" t="s">
        <v>81</v>
      </c>
      <c r="J109" s="1170" t="s">
        <v>83</v>
      </c>
      <c r="K109" s="1172" t="s">
        <v>315</v>
      </c>
      <c r="L109" s="1171" t="s">
        <v>40</v>
      </c>
      <c r="M109" s="1170"/>
      <c r="N109" s="1082"/>
      <c r="O109" s="1155" t="s">
        <v>505</v>
      </c>
      <c r="P109" s="1156"/>
      <c r="Q109" s="1157"/>
      <c r="R109" s="1155" t="s">
        <v>506</v>
      </c>
      <c r="S109" s="1156"/>
      <c r="T109" s="1157"/>
      <c r="U109" s="1155" t="s">
        <v>513</v>
      </c>
      <c r="V109" s="1156"/>
      <c r="W109" s="1157"/>
      <c r="X109" s="1155" t="s">
        <v>514</v>
      </c>
      <c r="Y109" s="1156"/>
      <c r="Z109" s="1157"/>
      <c r="AA109" s="1155" t="s">
        <v>531</v>
      </c>
      <c r="AB109" s="1156"/>
      <c r="AC109" s="1157"/>
      <c r="AD109" s="1155" t="s">
        <v>533</v>
      </c>
      <c r="AE109" s="1156"/>
      <c r="AF109" s="1157"/>
      <c r="AG109" s="1155" t="s">
        <v>555</v>
      </c>
      <c r="AH109" s="1156"/>
      <c r="AI109" s="1157"/>
      <c r="AJ109" s="1155" t="s">
        <v>556</v>
      </c>
      <c r="AK109" s="1156"/>
      <c r="AL109" s="1157"/>
      <c r="AM109" s="1155" t="s">
        <v>583</v>
      </c>
      <c r="AN109" s="1156"/>
      <c r="AO109" s="1157"/>
      <c r="AP109" s="1155" t="s">
        <v>584</v>
      </c>
      <c r="AQ109" s="1156"/>
      <c r="AR109" s="1157"/>
      <c r="AS109" s="1155" t="s">
        <v>621</v>
      </c>
      <c r="AT109" s="1156"/>
      <c r="AU109" s="1157"/>
      <c r="AV109" s="1155" t="s">
        <v>622</v>
      </c>
      <c r="AW109" s="1156"/>
      <c r="AX109" s="1157"/>
      <c r="AY109" s="1155" t="s">
        <v>626</v>
      </c>
      <c r="AZ109" s="1156"/>
      <c r="BA109" s="1157"/>
      <c r="BB109" s="1155" t="s">
        <v>628</v>
      </c>
      <c r="BC109" s="1156"/>
      <c r="BD109" s="1157"/>
      <c r="BE109" s="1155" t="s">
        <v>650</v>
      </c>
      <c r="BF109" s="1156"/>
      <c r="BG109" s="1157"/>
      <c r="BH109" s="1155" t="s">
        <v>651</v>
      </c>
      <c r="BI109" s="1156"/>
      <c r="BJ109" s="1157"/>
      <c r="BK109" s="1155" t="s">
        <v>676</v>
      </c>
      <c r="BL109" s="1156"/>
      <c r="BM109" s="1157"/>
      <c r="BN109" s="1155" t="s">
        <v>675</v>
      </c>
      <c r="BO109" s="1156"/>
      <c r="BP109" s="1157"/>
      <c r="BQ109" s="1155" t="s">
        <v>707</v>
      </c>
      <c r="BR109" s="1156"/>
      <c r="BS109" s="1157"/>
      <c r="BT109" s="1155" t="s">
        <v>711</v>
      </c>
      <c r="BU109" s="1156"/>
      <c r="BV109" s="1157"/>
    </row>
    <row r="110" spans="1:74">
      <c r="A110" s="1082"/>
      <c r="B110" s="1082"/>
      <c r="C110" s="1082"/>
      <c r="D110" s="1170"/>
      <c r="E110" s="1170"/>
      <c r="F110" s="1170"/>
      <c r="G110" s="1170"/>
      <c r="H110" s="1170"/>
      <c r="I110" s="1170"/>
      <c r="J110" s="1170"/>
      <c r="K110" s="1173"/>
      <c r="L110" s="418" t="s">
        <v>445</v>
      </c>
      <c r="M110" s="427" t="s">
        <v>446</v>
      </c>
      <c r="N110" s="277" t="s">
        <v>10</v>
      </c>
      <c r="O110" s="418" t="s">
        <v>445</v>
      </c>
      <c r="P110" s="427" t="s">
        <v>446</v>
      </c>
      <c r="Q110" s="277" t="s">
        <v>10</v>
      </c>
      <c r="R110" s="418" t="s">
        <v>445</v>
      </c>
      <c r="S110" s="427" t="s">
        <v>446</v>
      </c>
      <c r="T110" s="277" t="s">
        <v>10</v>
      </c>
      <c r="U110" s="418" t="s">
        <v>445</v>
      </c>
      <c r="V110" s="427" t="s">
        <v>446</v>
      </c>
      <c r="W110" s="277" t="s">
        <v>10</v>
      </c>
      <c r="X110" s="418" t="s">
        <v>445</v>
      </c>
      <c r="Y110" s="427" t="s">
        <v>446</v>
      </c>
      <c r="Z110" s="277" t="s">
        <v>10</v>
      </c>
      <c r="AA110" s="418" t="s">
        <v>445</v>
      </c>
      <c r="AB110" s="427" t="s">
        <v>446</v>
      </c>
      <c r="AC110" s="277" t="s">
        <v>10</v>
      </c>
      <c r="AD110" s="418" t="s">
        <v>445</v>
      </c>
      <c r="AE110" s="427" t="s">
        <v>446</v>
      </c>
      <c r="AF110" s="277" t="s">
        <v>10</v>
      </c>
      <c r="AG110" s="418" t="s">
        <v>445</v>
      </c>
      <c r="AH110" s="427" t="s">
        <v>446</v>
      </c>
      <c r="AI110" s="277" t="s">
        <v>10</v>
      </c>
      <c r="AJ110" s="418" t="s">
        <v>445</v>
      </c>
      <c r="AK110" s="427" t="s">
        <v>446</v>
      </c>
      <c r="AL110" s="277" t="s">
        <v>10</v>
      </c>
      <c r="AM110" s="723" t="s">
        <v>445</v>
      </c>
      <c r="AN110" s="732" t="s">
        <v>446</v>
      </c>
      <c r="AO110" s="702" t="s">
        <v>10</v>
      </c>
      <c r="AP110" s="815" t="s">
        <v>445</v>
      </c>
      <c r="AQ110" s="816" t="s">
        <v>446</v>
      </c>
      <c r="AR110" s="702" t="s">
        <v>10</v>
      </c>
      <c r="AS110" s="815" t="s">
        <v>445</v>
      </c>
      <c r="AT110" s="816" t="s">
        <v>446</v>
      </c>
      <c r="AU110" s="757" t="s">
        <v>10</v>
      </c>
      <c r="AV110" s="996" t="s">
        <v>445</v>
      </c>
      <c r="AW110" s="1009" t="s">
        <v>446</v>
      </c>
      <c r="AX110" s="757" t="s">
        <v>10</v>
      </c>
      <c r="AY110" s="815" t="s">
        <v>445</v>
      </c>
      <c r="AZ110" s="816" t="s">
        <v>446</v>
      </c>
      <c r="BA110" s="757" t="s">
        <v>10</v>
      </c>
      <c r="BB110" s="815" t="s">
        <v>445</v>
      </c>
      <c r="BC110" s="816" t="s">
        <v>446</v>
      </c>
      <c r="BD110" s="757" t="s">
        <v>10</v>
      </c>
      <c r="BE110" s="815" t="s">
        <v>669</v>
      </c>
      <c r="BF110" s="816" t="s">
        <v>671</v>
      </c>
      <c r="BG110" s="757" t="s">
        <v>10</v>
      </c>
      <c r="BH110" s="815" t="s">
        <v>669</v>
      </c>
      <c r="BI110" s="816" t="s">
        <v>671</v>
      </c>
      <c r="BJ110" s="757" t="s">
        <v>10</v>
      </c>
      <c r="BK110" s="815" t="s">
        <v>696</v>
      </c>
      <c r="BL110" s="816" t="s">
        <v>697</v>
      </c>
      <c r="BM110" s="757" t="s">
        <v>10</v>
      </c>
      <c r="BN110" s="815" t="s">
        <v>698</v>
      </c>
      <c r="BO110" s="816" t="s">
        <v>699</v>
      </c>
      <c r="BP110" s="757" t="s">
        <v>10</v>
      </c>
      <c r="BQ110" s="815" t="s">
        <v>445</v>
      </c>
      <c r="BR110" s="816" t="s">
        <v>446</v>
      </c>
      <c r="BS110" s="757" t="s">
        <v>10</v>
      </c>
      <c r="BT110" s="815" t="s">
        <v>445</v>
      </c>
      <c r="BU110" s="816" t="s">
        <v>446</v>
      </c>
      <c r="BV110" s="757" t="s">
        <v>10</v>
      </c>
    </row>
    <row r="111" spans="1:74">
      <c r="A111" s="96"/>
      <c r="B111" s="1175" t="s">
        <v>296</v>
      </c>
      <c r="C111" s="105" t="s">
        <v>146</v>
      </c>
      <c r="D111" s="98">
        <v>60281</v>
      </c>
      <c r="E111" s="98">
        <v>75876</v>
      </c>
      <c r="F111" s="98">
        <v>80149</v>
      </c>
      <c r="G111" s="98">
        <v>62865</v>
      </c>
      <c r="H111" s="98">
        <v>68706</v>
      </c>
      <c r="I111" s="98">
        <v>80535</v>
      </c>
      <c r="J111" s="104">
        <v>62400</v>
      </c>
      <c r="K111" s="98">
        <v>77545</v>
      </c>
      <c r="L111" s="417">
        <v>8082</v>
      </c>
      <c r="M111" s="386">
        <v>5422</v>
      </c>
      <c r="N111" s="265">
        <f t="shared" ref="N111:N125" si="258">ROUND(((M111/L111-1)*100), 1)</f>
        <v>-32.9</v>
      </c>
      <c r="O111" s="417">
        <f t="shared" ref="O111:P128" si="259">R111-L111</f>
        <v>6917</v>
      </c>
      <c r="P111" s="386">
        <f t="shared" si="259"/>
        <v>7777</v>
      </c>
      <c r="Q111" s="265">
        <f t="shared" ref="Q111:Q121" si="260">ROUND(((P111/O111-1)*100), 1)</f>
        <v>12.4</v>
      </c>
      <c r="R111" s="417">
        <v>14999</v>
      </c>
      <c r="S111" s="386">
        <v>13199</v>
      </c>
      <c r="T111" s="265">
        <f t="shared" ref="T111:T121" si="261">ROUND(((S111/R111-1)*100), 1)</f>
        <v>-12</v>
      </c>
      <c r="U111" s="417">
        <f t="shared" ref="U111:U128" si="262">X111-R111</f>
        <v>6958</v>
      </c>
      <c r="V111" s="386">
        <f t="shared" ref="V111:V128" si="263">Y111-S111</f>
        <v>3828</v>
      </c>
      <c r="W111" s="265">
        <f t="shared" ref="W111:W121" si="264">ROUND(((V111/U111-1)*100), 1)</f>
        <v>-45</v>
      </c>
      <c r="X111" s="417">
        <v>21957</v>
      </c>
      <c r="Y111" s="386">
        <v>17027</v>
      </c>
      <c r="Z111" s="265">
        <f t="shared" ref="Z111:Z121" si="265">ROUND(((Y111/X111-1)*100), 1)</f>
        <v>-22.5</v>
      </c>
      <c r="AA111" s="417">
        <f t="shared" ref="AA111:AA128" si="266">AD111-X111</f>
        <v>7156</v>
      </c>
      <c r="AB111" s="386">
        <f t="shared" ref="AB111:AB128" si="267">AE111-Y111</f>
        <v>7333</v>
      </c>
      <c r="AC111" s="265">
        <f t="shared" ref="AC111:AC116" si="268">ROUND(((AB111/AA111-1)*100), 1)</f>
        <v>2.5</v>
      </c>
      <c r="AD111" s="417">
        <v>29113</v>
      </c>
      <c r="AE111" s="386">
        <v>24360</v>
      </c>
      <c r="AF111" s="265">
        <f t="shared" ref="AF111:AF121" si="269">ROUND(((AE111/AD111-1)*100), 1)</f>
        <v>-16.3</v>
      </c>
      <c r="AG111" s="417">
        <f t="shared" ref="AG111:AH128" si="270">AJ111-AD111</f>
        <v>7440</v>
      </c>
      <c r="AH111" s="386">
        <f t="shared" si="270"/>
        <v>3709</v>
      </c>
      <c r="AI111" s="265">
        <f t="shared" ref="AI111:AI119" si="271">ROUND(((AH111/AG111-1)*100), 1)</f>
        <v>-50.1</v>
      </c>
      <c r="AJ111" s="417">
        <v>36553</v>
      </c>
      <c r="AK111" s="386">
        <v>28069</v>
      </c>
      <c r="AL111" s="265">
        <f t="shared" ref="AL111:AL121" si="272">ROUND(((AK111/AJ111-1)*100), 1)</f>
        <v>-23.2</v>
      </c>
      <c r="AM111" s="722">
        <f t="shared" ref="AM111:AM128" si="273">AP111-AJ111</f>
        <v>3965</v>
      </c>
      <c r="AN111" s="714">
        <f t="shared" ref="AN111:AN128" si="274">AQ111-AK111</f>
        <v>4880</v>
      </c>
      <c r="AO111" s="705">
        <f t="shared" ref="AO111:AO124" si="275">ROUND(((AN111/AM111-1)*100), 1)</f>
        <v>23.1</v>
      </c>
      <c r="AP111" s="770">
        <v>40518</v>
      </c>
      <c r="AQ111" s="714">
        <v>32949</v>
      </c>
      <c r="AR111" s="705">
        <f t="shared" ref="AR111:AR121" si="276">ROUND(((AQ111/AP111-1)*100), 1)</f>
        <v>-18.7</v>
      </c>
      <c r="AS111" s="770">
        <f t="shared" ref="AS111:AT128" si="277">AV111-AP111</f>
        <v>5908</v>
      </c>
      <c r="AT111" s="714">
        <f t="shared" si="277"/>
        <v>5012</v>
      </c>
      <c r="AU111" s="705">
        <f t="shared" ref="AU111:AU120" si="278">ROUND(((AT111/AS111-1)*100), 1)</f>
        <v>-15.2</v>
      </c>
      <c r="AV111" s="992">
        <v>46426</v>
      </c>
      <c r="AW111" s="990">
        <v>37961</v>
      </c>
      <c r="AX111" s="705">
        <f t="shared" ref="AX111:AX121" si="279">ROUND(((AW111/AV111-1)*100), 1)</f>
        <v>-18.2</v>
      </c>
      <c r="AY111" s="770">
        <f t="shared" ref="AY111:AY128" si="280">BB111-AV111</f>
        <v>6641</v>
      </c>
      <c r="AZ111" s="714">
        <f t="shared" ref="AZ111:AZ128" si="281">BC111-AW111</f>
        <v>2939</v>
      </c>
      <c r="BA111" s="705">
        <f t="shared" ref="BA111:BA119" si="282">ROUND(((AZ111/AY111-1)*100), 1)</f>
        <v>-55.7</v>
      </c>
      <c r="BB111" s="770">
        <v>53067</v>
      </c>
      <c r="BC111" s="714">
        <v>40900</v>
      </c>
      <c r="BD111" s="705">
        <f t="shared" ref="BD111:BD121" si="283">ROUND(((BC111/BB111-1)*100), 1)</f>
        <v>-22.9</v>
      </c>
      <c r="BE111" s="770">
        <f t="shared" ref="BE111:BF128" si="284">BH111-BB111</f>
        <v>4462</v>
      </c>
      <c r="BF111" s="714">
        <f t="shared" si="284"/>
        <v>5782</v>
      </c>
      <c r="BG111" s="705">
        <f t="shared" ref="BG111:BG120" si="285">ROUND(((BF111/BE111-1)*100), 1)</f>
        <v>29.6</v>
      </c>
      <c r="BH111" s="770">
        <v>57529</v>
      </c>
      <c r="BI111" s="714">
        <v>46682</v>
      </c>
      <c r="BJ111" s="705">
        <f t="shared" ref="BJ111:BJ121" si="286">ROUND(((BI111/BH111-1)*100), 1)</f>
        <v>-18.899999999999999</v>
      </c>
      <c r="BK111" s="770">
        <f t="shared" ref="BK111:BL128" si="287">BN111-BH111</f>
        <v>6015</v>
      </c>
      <c r="BL111" s="714">
        <f t="shared" si="287"/>
        <v>5950</v>
      </c>
      <c r="BM111" s="705">
        <f t="shared" ref="BM111:BM120" si="288">ROUND(((BL111/BK111-1)*100), 1)</f>
        <v>-1.1000000000000001</v>
      </c>
      <c r="BN111" s="770">
        <v>63544</v>
      </c>
      <c r="BO111" s="714">
        <v>52632</v>
      </c>
      <c r="BP111" s="705">
        <f t="shared" ref="BP111:BP121" si="289">ROUND(((BO111/BN111-1)*100), 1)</f>
        <v>-17.2</v>
      </c>
      <c r="BQ111" s="770">
        <f t="shared" ref="BQ111:BR128" si="290">BT111-BN111</f>
        <v>7065</v>
      </c>
      <c r="BR111" s="714">
        <f t="shared" si="290"/>
        <v>6907</v>
      </c>
      <c r="BS111" s="705">
        <f t="shared" ref="BS111:BS120" si="291">ROUND(((BR111/BQ111-1)*100), 1)</f>
        <v>-2.2000000000000002</v>
      </c>
      <c r="BT111" s="770">
        <v>70609</v>
      </c>
      <c r="BU111" s="714">
        <v>59539</v>
      </c>
      <c r="BV111" s="705">
        <f t="shared" ref="BV111:BV121" si="292">ROUND(((BU111/BT111-1)*100), 1)</f>
        <v>-15.7</v>
      </c>
    </row>
    <row r="112" spans="1:74">
      <c r="A112" s="96" t="s">
        <v>134</v>
      </c>
      <c r="B112" s="1176"/>
      <c r="C112" s="105" t="s">
        <v>91</v>
      </c>
      <c r="D112" s="98">
        <v>45658</v>
      </c>
      <c r="E112" s="98">
        <v>24783</v>
      </c>
      <c r="F112" s="98">
        <v>27496</v>
      </c>
      <c r="G112" s="98">
        <v>49775</v>
      </c>
      <c r="H112" s="98">
        <v>33036</v>
      </c>
      <c r="I112" s="98">
        <v>21251</v>
      </c>
      <c r="J112" s="98">
        <v>43145</v>
      </c>
      <c r="K112" s="98">
        <v>33702</v>
      </c>
      <c r="L112" s="417">
        <v>3759</v>
      </c>
      <c r="M112" s="386">
        <v>4281</v>
      </c>
      <c r="N112" s="265">
        <f t="shared" si="258"/>
        <v>13.9</v>
      </c>
      <c r="O112" s="417">
        <f t="shared" si="259"/>
        <v>2195</v>
      </c>
      <c r="P112" s="386">
        <f t="shared" si="259"/>
        <v>3652</v>
      </c>
      <c r="Q112" s="265">
        <f t="shared" si="260"/>
        <v>66.400000000000006</v>
      </c>
      <c r="R112" s="417">
        <v>5954</v>
      </c>
      <c r="S112" s="386">
        <v>7933</v>
      </c>
      <c r="T112" s="265">
        <f t="shared" si="261"/>
        <v>33.200000000000003</v>
      </c>
      <c r="U112" s="417">
        <f t="shared" si="262"/>
        <v>1633</v>
      </c>
      <c r="V112" s="386">
        <f t="shared" si="263"/>
        <v>3036</v>
      </c>
      <c r="W112" s="265">
        <f t="shared" si="264"/>
        <v>85.9</v>
      </c>
      <c r="X112" s="417">
        <v>7587</v>
      </c>
      <c r="Y112" s="386">
        <v>10969</v>
      </c>
      <c r="Z112" s="265">
        <f t="shared" si="265"/>
        <v>44.6</v>
      </c>
      <c r="AA112" s="417">
        <f t="shared" si="266"/>
        <v>2556</v>
      </c>
      <c r="AB112" s="386">
        <f t="shared" si="267"/>
        <v>4562</v>
      </c>
      <c r="AC112" s="265">
        <f t="shared" si="268"/>
        <v>78.5</v>
      </c>
      <c r="AD112" s="417">
        <v>10143</v>
      </c>
      <c r="AE112" s="386">
        <v>15531</v>
      </c>
      <c r="AF112" s="265">
        <f t="shared" si="269"/>
        <v>53.1</v>
      </c>
      <c r="AG112" s="417">
        <f t="shared" si="270"/>
        <v>3030</v>
      </c>
      <c r="AH112" s="386">
        <f t="shared" si="270"/>
        <v>3134</v>
      </c>
      <c r="AI112" s="265">
        <f t="shared" si="271"/>
        <v>3.4</v>
      </c>
      <c r="AJ112" s="417">
        <v>13173</v>
      </c>
      <c r="AK112" s="386">
        <v>18665</v>
      </c>
      <c r="AL112" s="265">
        <f t="shared" si="272"/>
        <v>41.7</v>
      </c>
      <c r="AM112" s="722">
        <f t="shared" si="273"/>
        <v>2188</v>
      </c>
      <c r="AN112" s="714">
        <f t="shared" si="274"/>
        <v>2772</v>
      </c>
      <c r="AO112" s="705">
        <f t="shared" si="275"/>
        <v>26.7</v>
      </c>
      <c r="AP112" s="770">
        <v>15361</v>
      </c>
      <c r="AQ112" s="714">
        <v>21437</v>
      </c>
      <c r="AR112" s="705">
        <f t="shared" si="276"/>
        <v>39.6</v>
      </c>
      <c r="AS112" s="770">
        <f t="shared" si="277"/>
        <v>3064</v>
      </c>
      <c r="AT112" s="714">
        <f t="shared" si="277"/>
        <v>3585</v>
      </c>
      <c r="AU112" s="705">
        <f t="shared" si="278"/>
        <v>17</v>
      </c>
      <c r="AV112" s="992">
        <v>18425</v>
      </c>
      <c r="AW112" s="990">
        <v>25022</v>
      </c>
      <c r="AX112" s="705">
        <f t="shared" si="279"/>
        <v>35.799999999999997</v>
      </c>
      <c r="AY112" s="770">
        <f t="shared" si="280"/>
        <v>2015</v>
      </c>
      <c r="AZ112" s="714">
        <f t="shared" si="281"/>
        <v>2172</v>
      </c>
      <c r="BA112" s="705">
        <f t="shared" si="282"/>
        <v>7.8</v>
      </c>
      <c r="BB112" s="770">
        <v>20440</v>
      </c>
      <c r="BC112" s="714">
        <v>27194</v>
      </c>
      <c r="BD112" s="705">
        <f t="shared" si="283"/>
        <v>33</v>
      </c>
      <c r="BE112" s="770">
        <f t="shared" si="284"/>
        <v>3796</v>
      </c>
      <c r="BF112" s="714">
        <f t="shared" si="284"/>
        <v>2372</v>
      </c>
      <c r="BG112" s="705">
        <f t="shared" si="285"/>
        <v>-37.5</v>
      </c>
      <c r="BH112" s="770">
        <v>24236</v>
      </c>
      <c r="BI112" s="714">
        <v>29566</v>
      </c>
      <c r="BJ112" s="705">
        <f t="shared" si="286"/>
        <v>22</v>
      </c>
      <c r="BK112" s="770">
        <f t="shared" si="287"/>
        <v>3565</v>
      </c>
      <c r="BL112" s="714">
        <f t="shared" si="287"/>
        <v>4530</v>
      </c>
      <c r="BM112" s="705">
        <f t="shared" si="288"/>
        <v>27.1</v>
      </c>
      <c r="BN112" s="770">
        <v>27801</v>
      </c>
      <c r="BO112" s="714">
        <v>34096</v>
      </c>
      <c r="BP112" s="705">
        <f t="shared" si="289"/>
        <v>22.6</v>
      </c>
      <c r="BQ112" s="770">
        <f t="shared" si="290"/>
        <v>2903</v>
      </c>
      <c r="BR112" s="714">
        <f t="shared" si="290"/>
        <v>4152</v>
      </c>
      <c r="BS112" s="705">
        <f t="shared" si="291"/>
        <v>43</v>
      </c>
      <c r="BT112" s="770">
        <v>30704</v>
      </c>
      <c r="BU112" s="714">
        <v>38248</v>
      </c>
      <c r="BV112" s="705">
        <f t="shared" si="292"/>
        <v>24.6</v>
      </c>
    </row>
    <row r="113" spans="1:74">
      <c r="A113" s="96"/>
      <c r="B113" s="1176"/>
      <c r="C113" s="105" t="s">
        <v>86</v>
      </c>
      <c r="D113" s="98">
        <v>153941</v>
      </c>
      <c r="E113" s="98">
        <v>111909</v>
      </c>
      <c r="F113" s="98">
        <v>117238</v>
      </c>
      <c r="G113" s="98">
        <v>98840</v>
      </c>
      <c r="H113" s="98">
        <v>95318</v>
      </c>
      <c r="I113" s="98">
        <v>136465</v>
      </c>
      <c r="J113" s="98">
        <v>120249</v>
      </c>
      <c r="K113" s="98">
        <v>32463</v>
      </c>
      <c r="L113" s="417">
        <v>2099</v>
      </c>
      <c r="M113" s="386">
        <v>2265</v>
      </c>
      <c r="N113" s="265">
        <f t="shared" si="258"/>
        <v>7.9</v>
      </c>
      <c r="O113" s="417">
        <f t="shared" si="259"/>
        <v>1849</v>
      </c>
      <c r="P113" s="386">
        <f t="shared" si="259"/>
        <v>2890</v>
      </c>
      <c r="Q113" s="265">
        <f t="shared" si="260"/>
        <v>56.3</v>
      </c>
      <c r="R113" s="417">
        <v>3948</v>
      </c>
      <c r="S113" s="386">
        <v>5155</v>
      </c>
      <c r="T113" s="265">
        <f t="shared" si="261"/>
        <v>30.6</v>
      </c>
      <c r="U113" s="417">
        <f t="shared" si="262"/>
        <v>2132</v>
      </c>
      <c r="V113" s="386">
        <f t="shared" si="263"/>
        <v>5455</v>
      </c>
      <c r="W113" s="265">
        <f t="shared" si="264"/>
        <v>155.9</v>
      </c>
      <c r="X113" s="417">
        <v>6080</v>
      </c>
      <c r="Y113" s="386">
        <v>10610</v>
      </c>
      <c r="Z113" s="265">
        <f t="shared" si="265"/>
        <v>74.5</v>
      </c>
      <c r="AA113" s="417">
        <f t="shared" si="266"/>
        <v>3436</v>
      </c>
      <c r="AB113" s="386">
        <f t="shared" si="267"/>
        <v>3872</v>
      </c>
      <c r="AC113" s="265">
        <f t="shared" si="268"/>
        <v>12.7</v>
      </c>
      <c r="AD113" s="417">
        <v>9516</v>
      </c>
      <c r="AE113" s="386">
        <v>14482</v>
      </c>
      <c r="AF113" s="265">
        <f t="shared" si="269"/>
        <v>52.2</v>
      </c>
      <c r="AG113" s="417">
        <f t="shared" si="270"/>
        <v>2258</v>
      </c>
      <c r="AH113" s="386">
        <f t="shared" si="270"/>
        <v>4643</v>
      </c>
      <c r="AI113" s="265">
        <f t="shared" si="271"/>
        <v>105.6</v>
      </c>
      <c r="AJ113" s="417">
        <v>11774</v>
      </c>
      <c r="AK113" s="386">
        <v>19125</v>
      </c>
      <c r="AL113" s="265">
        <f t="shared" si="272"/>
        <v>62.4</v>
      </c>
      <c r="AM113" s="722">
        <f t="shared" si="273"/>
        <v>1546</v>
      </c>
      <c r="AN113" s="714">
        <f t="shared" si="274"/>
        <v>6304</v>
      </c>
      <c r="AO113" s="705">
        <f t="shared" si="275"/>
        <v>307.8</v>
      </c>
      <c r="AP113" s="770">
        <v>13320</v>
      </c>
      <c r="AQ113" s="714">
        <v>25429</v>
      </c>
      <c r="AR113" s="705">
        <f t="shared" si="276"/>
        <v>90.9</v>
      </c>
      <c r="AS113" s="770">
        <f t="shared" si="277"/>
        <v>3472</v>
      </c>
      <c r="AT113" s="714">
        <f t="shared" si="277"/>
        <v>6676</v>
      </c>
      <c r="AU113" s="705">
        <f t="shared" si="278"/>
        <v>92.3</v>
      </c>
      <c r="AV113" s="992">
        <v>16792</v>
      </c>
      <c r="AW113" s="990">
        <v>32105</v>
      </c>
      <c r="AX113" s="705">
        <f t="shared" si="279"/>
        <v>91.2</v>
      </c>
      <c r="AY113" s="770">
        <f t="shared" si="280"/>
        <v>3055</v>
      </c>
      <c r="AZ113" s="714">
        <f t="shared" si="281"/>
        <v>3836</v>
      </c>
      <c r="BA113" s="705">
        <f t="shared" si="282"/>
        <v>25.6</v>
      </c>
      <c r="BB113" s="770">
        <v>19847</v>
      </c>
      <c r="BC113" s="714">
        <v>35941</v>
      </c>
      <c r="BD113" s="705">
        <f t="shared" si="283"/>
        <v>81.099999999999994</v>
      </c>
      <c r="BE113" s="770">
        <f t="shared" si="284"/>
        <v>2349</v>
      </c>
      <c r="BF113" s="714">
        <f t="shared" si="284"/>
        <v>8232</v>
      </c>
      <c r="BG113" s="705">
        <f t="shared" si="285"/>
        <v>250.4</v>
      </c>
      <c r="BH113" s="770">
        <v>22196</v>
      </c>
      <c r="BI113" s="714">
        <v>44173</v>
      </c>
      <c r="BJ113" s="705">
        <f t="shared" si="286"/>
        <v>99</v>
      </c>
      <c r="BK113" s="770">
        <f t="shared" si="287"/>
        <v>2788</v>
      </c>
      <c r="BL113" s="714">
        <f t="shared" si="287"/>
        <v>3658</v>
      </c>
      <c r="BM113" s="705">
        <f t="shared" si="288"/>
        <v>31.2</v>
      </c>
      <c r="BN113" s="770">
        <v>24984</v>
      </c>
      <c r="BO113" s="714">
        <v>47831</v>
      </c>
      <c r="BP113" s="705">
        <f t="shared" si="289"/>
        <v>91.4</v>
      </c>
      <c r="BQ113" s="770">
        <f t="shared" si="290"/>
        <v>2833</v>
      </c>
      <c r="BR113" s="714">
        <f t="shared" si="290"/>
        <v>7218</v>
      </c>
      <c r="BS113" s="705">
        <f t="shared" si="291"/>
        <v>154.80000000000001</v>
      </c>
      <c r="BT113" s="770">
        <v>27817</v>
      </c>
      <c r="BU113" s="714">
        <v>55049</v>
      </c>
      <c r="BV113" s="705">
        <f t="shared" si="292"/>
        <v>97.9</v>
      </c>
    </row>
    <row r="114" spans="1:74">
      <c r="A114" s="96"/>
      <c r="B114" s="1176"/>
      <c r="C114" s="105" t="s">
        <v>64</v>
      </c>
      <c r="D114" s="98">
        <v>15504</v>
      </c>
      <c r="E114" s="98">
        <v>31131</v>
      </c>
      <c r="F114" s="98">
        <v>45626</v>
      </c>
      <c r="G114" s="98">
        <v>55267</v>
      </c>
      <c r="H114" s="98">
        <v>50634</v>
      </c>
      <c r="I114" s="98">
        <v>52725</v>
      </c>
      <c r="J114" s="98">
        <v>25774</v>
      </c>
      <c r="K114" s="98">
        <v>28451</v>
      </c>
      <c r="L114" s="417">
        <v>2019</v>
      </c>
      <c r="M114" s="386">
        <v>2148</v>
      </c>
      <c r="N114" s="265">
        <f t="shared" si="258"/>
        <v>6.4</v>
      </c>
      <c r="O114" s="417">
        <f t="shared" si="259"/>
        <v>1100</v>
      </c>
      <c r="P114" s="386">
        <f t="shared" si="259"/>
        <v>2913</v>
      </c>
      <c r="Q114" s="265">
        <f t="shared" si="260"/>
        <v>164.8</v>
      </c>
      <c r="R114" s="417">
        <v>3119</v>
      </c>
      <c r="S114" s="386">
        <v>5061</v>
      </c>
      <c r="T114" s="265">
        <f t="shared" si="261"/>
        <v>62.3</v>
      </c>
      <c r="U114" s="417">
        <f t="shared" si="262"/>
        <v>1046</v>
      </c>
      <c r="V114" s="386">
        <f t="shared" si="263"/>
        <v>4152</v>
      </c>
      <c r="W114" s="265">
        <f t="shared" si="264"/>
        <v>296.89999999999998</v>
      </c>
      <c r="X114" s="417">
        <v>4165</v>
      </c>
      <c r="Y114" s="386">
        <v>9213</v>
      </c>
      <c r="Z114" s="265">
        <f t="shared" si="265"/>
        <v>121.2</v>
      </c>
      <c r="AA114" s="417">
        <f t="shared" si="266"/>
        <v>2386</v>
      </c>
      <c r="AB114" s="386">
        <f t="shared" si="267"/>
        <v>2505</v>
      </c>
      <c r="AC114" s="265">
        <f t="shared" si="268"/>
        <v>5</v>
      </c>
      <c r="AD114" s="417">
        <v>6551</v>
      </c>
      <c r="AE114" s="386">
        <v>11718</v>
      </c>
      <c r="AF114" s="265">
        <f t="shared" si="269"/>
        <v>78.900000000000006</v>
      </c>
      <c r="AG114" s="417">
        <f t="shared" si="270"/>
        <v>2564</v>
      </c>
      <c r="AH114" s="386">
        <f t="shared" si="270"/>
        <v>3978</v>
      </c>
      <c r="AI114" s="265">
        <f t="shared" si="271"/>
        <v>55.1</v>
      </c>
      <c r="AJ114" s="417">
        <v>9115</v>
      </c>
      <c r="AK114" s="386">
        <v>15696</v>
      </c>
      <c r="AL114" s="265">
        <f t="shared" si="272"/>
        <v>72.2</v>
      </c>
      <c r="AM114" s="722">
        <f t="shared" si="273"/>
        <v>2649</v>
      </c>
      <c r="AN114" s="714">
        <f t="shared" si="274"/>
        <v>4348</v>
      </c>
      <c r="AO114" s="705">
        <f t="shared" si="275"/>
        <v>64.099999999999994</v>
      </c>
      <c r="AP114" s="770">
        <v>11764</v>
      </c>
      <c r="AQ114" s="714">
        <v>20044</v>
      </c>
      <c r="AR114" s="705">
        <f t="shared" si="276"/>
        <v>70.400000000000006</v>
      </c>
      <c r="AS114" s="770">
        <f t="shared" si="277"/>
        <v>2322</v>
      </c>
      <c r="AT114" s="714">
        <f t="shared" si="277"/>
        <v>6669</v>
      </c>
      <c r="AU114" s="705">
        <f t="shared" si="278"/>
        <v>187.2</v>
      </c>
      <c r="AV114" s="992">
        <v>14086</v>
      </c>
      <c r="AW114" s="990">
        <v>26713</v>
      </c>
      <c r="AX114" s="705">
        <f t="shared" si="279"/>
        <v>89.6</v>
      </c>
      <c r="AY114" s="770">
        <f t="shared" si="280"/>
        <v>1840</v>
      </c>
      <c r="AZ114" s="714">
        <f t="shared" si="281"/>
        <v>4529</v>
      </c>
      <c r="BA114" s="705">
        <f t="shared" si="282"/>
        <v>146.1</v>
      </c>
      <c r="BB114" s="770">
        <v>15926</v>
      </c>
      <c r="BC114" s="714">
        <v>31242</v>
      </c>
      <c r="BD114" s="705">
        <f t="shared" si="283"/>
        <v>96.2</v>
      </c>
      <c r="BE114" s="770">
        <f t="shared" si="284"/>
        <v>4098</v>
      </c>
      <c r="BF114" s="714">
        <f t="shared" si="284"/>
        <v>4299</v>
      </c>
      <c r="BG114" s="705">
        <f t="shared" si="285"/>
        <v>4.9000000000000004</v>
      </c>
      <c r="BH114" s="770">
        <v>20024</v>
      </c>
      <c r="BI114" s="714">
        <v>35541</v>
      </c>
      <c r="BJ114" s="705">
        <f t="shared" si="286"/>
        <v>77.5</v>
      </c>
      <c r="BK114" s="770">
        <f t="shared" si="287"/>
        <v>904</v>
      </c>
      <c r="BL114" s="714">
        <f t="shared" si="287"/>
        <v>3466</v>
      </c>
      <c r="BM114" s="705">
        <f t="shared" si="288"/>
        <v>283.39999999999998</v>
      </c>
      <c r="BN114" s="770">
        <v>20928</v>
      </c>
      <c r="BO114" s="714">
        <v>39007</v>
      </c>
      <c r="BP114" s="705">
        <f t="shared" si="289"/>
        <v>86.4</v>
      </c>
      <c r="BQ114" s="770">
        <f t="shared" si="290"/>
        <v>3217</v>
      </c>
      <c r="BR114" s="714">
        <f t="shared" si="290"/>
        <v>3848</v>
      </c>
      <c r="BS114" s="705">
        <f t="shared" si="291"/>
        <v>19.600000000000001</v>
      </c>
      <c r="BT114" s="770">
        <v>24145</v>
      </c>
      <c r="BU114" s="714">
        <v>42855</v>
      </c>
      <c r="BV114" s="705">
        <f t="shared" si="292"/>
        <v>77.5</v>
      </c>
    </row>
    <row r="115" spans="1:74">
      <c r="A115" s="96"/>
      <c r="B115" s="1176"/>
      <c r="C115" s="105" t="s">
        <v>56</v>
      </c>
      <c r="D115" s="98">
        <v>303</v>
      </c>
      <c r="E115" s="98">
        <v>5718</v>
      </c>
      <c r="F115" s="98">
        <v>14928</v>
      </c>
      <c r="G115" s="98">
        <v>25012</v>
      </c>
      <c r="H115" s="98">
        <v>21968</v>
      </c>
      <c r="I115" s="98">
        <v>30928</v>
      </c>
      <c r="J115" s="98">
        <v>21667</v>
      </c>
      <c r="K115" s="98">
        <v>23257</v>
      </c>
      <c r="L115" s="417">
        <v>1976</v>
      </c>
      <c r="M115" s="386">
        <v>2200</v>
      </c>
      <c r="N115" s="265">
        <f t="shared" si="258"/>
        <v>11.3</v>
      </c>
      <c r="O115" s="417">
        <f t="shared" si="259"/>
        <v>1189</v>
      </c>
      <c r="P115" s="386">
        <f t="shared" si="259"/>
        <v>1794</v>
      </c>
      <c r="Q115" s="265">
        <f t="shared" si="260"/>
        <v>50.9</v>
      </c>
      <c r="R115" s="417">
        <v>3165</v>
      </c>
      <c r="S115" s="386">
        <v>3994</v>
      </c>
      <c r="T115" s="265">
        <f t="shared" si="261"/>
        <v>26.2</v>
      </c>
      <c r="U115" s="417">
        <f t="shared" si="262"/>
        <v>1205</v>
      </c>
      <c r="V115" s="386">
        <f t="shared" si="263"/>
        <v>1794</v>
      </c>
      <c r="W115" s="265">
        <f t="shared" si="264"/>
        <v>48.9</v>
      </c>
      <c r="X115" s="417">
        <v>4370</v>
      </c>
      <c r="Y115" s="386">
        <v>5788</v>
      </c>
      <c r="Z115" s="265">
        <f t="shared" si="265"/>
        <v>32.4</v>
      </c>
      <c r="AA115" s="417">
        <f t="shared" si="266"/>
        <v>1404</v>
      </c>
      <c r="AB115" s="386">
        <f t="shared" si="267"/>
        <v>916</v>
      </c>
      <c r="AC115" s="265">
        <f t="shared" si="268"/>
        <v>-34.799999999999997</v>
      </c>
      <c r="AD115" s="417">
        <v>5774</v>
      </c>
      <c r="AE115" s="386">
        <v>6704</v>
      </c>
      <c r="AF115" s="265">
        <f t="shared" si="269"/>
        <v>16.100000000000001</v>
      </c>
      <c r="AG115" s="417">
        <f t="shared" si="270"/>
        <v>2195</v>
      </c>
      <c r="AH115" s="386">
        <f t="shared" si="270"/>
        <v>1788</v>
      </c>
      <c r="AI115" s="265">
        <f t="shared" si="271"/>
        <v>-18.5</v>
      </c>
      <c r="AJ115" s="417">
        <v>7969</v>
      </c>
      <c r="AK115" s="386">
        <v>8492</v>
      </c>
      <c r="AL115" s="265">
        <f t="shared" si="272"/>
        <v>6.6</v>
      </c>
      <c r="AM115" s="722">
        <f t="shared" si="273"/>
        <v>3196</v>
      </c>
      <c r="AN115" s="714">
        <f t="shared" si="274"/>
        <v>1589</v>
      </c>
      <c r="AO115" s="705">
        <f t="shared" si="275"/>
        <v>-50.3</v>
      </c>
      <c r="AP115" s="770">
        <v>11165</v>
      </c>
      <c r="AQ115" s="714">
        <v>10081</v>
      </c>
      <c r="AR115" s="705">
        <f t="shared" si="276"/>
        <v>-9.6999999999999993</v>
      </c>
      <c r="AS115" s="770">
        <f t="shared" si="277"/>
        <v>1797</v>
      </c>
      <c r="AT115" s="714">
        <f t="shared" si="277"/>
        <v>0</v>
      </c>
      <c r="AU115" s="705">
        <f t="shared" si="278"/>
        <v>-100</v>
      </c>
      <c r="AV115" s="992">
        <v>12962</v>
      </c>
      <c r="AW115" s="990">
        <v>10081</v>
      </c>
      <c r="AX115" s="705">
        <f t="shared" si="279"/>
        <v>-22.2</v>
      </c>
      <c r="AY115" s="770">
        <f t="shared" si="280"/>
        <v>3103</v>
      </c>
      <c r="AZ115" s="714">
        <f t="shared" si="281"/>
        <v>2383</v>
      </c>
      <c r="BA115" s="705">
        <f t="shared" si="282"/>
        <v>-23.2</v>
      </c>
      <c r="BB115" s="770">
        <v>16065</v>
      </c>
      <c r="BC115" s="714">
        <v>12464</v>
      </c>
      <c r="BD115" s="705">
        <f t="shared" si="283"/>
        <v>-22.4</v>
      </c>
      <c r="BE115" s="770">
        <f t="shared" si="284"/>
        <v>1298</v>
      </c>
      <c r="BF115" s="714">
        <f t="shared" si="284"/>
        <v>1590</v>
      </c>
      <c r="BG115" s="705">
        <f t="shared" si="285"/>
        <v>22.5</v>
      </c>
      <c r="BH115" s="770">
        <v>17363</v>
      </c>
      <c r="BI115" s="714">
        <v>14054</v>
      </c>
      <c r="BJ115" s="705">
        <f t="shared" si="286"/>
        <v>-19.100000000000001</v>
      </c>
      <c r="BK115" s="770">
        <f t="shared" si="287"/>
        <v>1397</v>
      </c>
      <c r="BL115" s="714">
        <f t="shared" si="287"/>
        <v>1469</v>
      </c>
      <c r="BM115" s="705">
        <f t="shared" si="288"/>
        <v>5.2</v>
      </c>
      <c r="BN115" s="770">
        <v>18760</v>
      </c>
      <c r="BO115" s="714">
        <v>15523</v>
      </c>
      <c r="BP115" s="705">
        <f t="shared" si="289"/>
        <v>-17.3</v>
      </c>
      <c r="BQ115" s="770">
        <f t="shared" si="290"/>
        <v>1396</v>
      </c>
      <c r="BR115" s="714">
        <f t="shared" si="290"/>
        <v>2103</v>
      </c>
      <c r="BS115" s="705">
        <f t="shared" si="291"/>
        <v>50.6</v>
      </c>
      <c r="BT115" s="770">
        <v>20156</v>
      </c>
      <c r="BU115" s="714">
        <v>17626</v>
      </c>
      <c r="BV115" s="705">
        <f t="shared" si="292"/>
        <v>-12.6</v>
      </c>
    </row>
    <row r="116" spans="1:74">
      <c r="A116" s="96"/>
      <c r="B116" s="1176"/>
      <c r="C116" s="345" t="s">
        <v>327</v>
      </c>
      <c r="D116" s="341">
        <v>49</v>
      </c>
      <c r="E116" s="341">
        <v>94</v>
      </c>
      <c r="F116" s="341">
        <v>46</v>
      </c>
      <c r="G116" s="341">
        <v>38</v>
      </c>
      <c r="H116" s="341">
        <v>83</v>
      </c>
      <c r="I116" s="341">
        <v>55</v>
      </c>
      <c r="J116" s="341">
        <v>7912</v>
      </c>
      <c r="K116" s="98">
        <v>21448</v>
      </c>
      <c r="L116" s="417">
        <v>5647</v>
      </c>
      <c r="M116" s="386">
        <v>0</v>
      </c>
      <c r="N116" s="265">
        <f t="shared" si="258"/>
        <v>-100</v>
      </c>
      <c r="O116" s="417">
        <f t="shared" si="259"/>
        <v>1575</v>
      </c>
      <c r="P116" s="386">
        <f t="shared" si="259"/>
        <v>20</v>
      </c>
      <c r="Q116" s="265">
        <f t="shared" si="260"/>
        <v>-98.7</v>
      </c>
      <c r="R116" s="417">
        <v>7222</v>
      </c>
      <c r="S116" s="386">
        <v>20</v>
      </c>
      <c r="T116" s="265">
        <f t="shared" si="261"/>
        <v>-99.7</v>
      </c>
      <c r="U116" s="417">
        <f t="shared" si="262"/>
        <v>0</v>
      </c>
      <c r="V116" s="386">
        <f t="shared" si="263"/>
        <v>0</v>
      </c>
      <c r="W116" s="523">
        <v>0</v>
      </c>
      <c r="X116" s="417">
        <v>7222</v>
      </c>
      <c r="Y116" s="386">
        <v>20</v>
      </c>
      <c r="Z116" s="265">
        <f t="shared" si="265"/>
        <v>-99.7</v>
      </c>
      <c r="AA116" s="417">
        <f t="shared" si="266"/>
        <v>2030</v>
      </c>
      <c r="AB116" s="386">
        <f t="shared" si="267"/>
        <v>20</v>
      </c>
      <c r="AC116" s="265">
        <f t="shared" si="268"/>
        <v>-99</v>
      </c>
      <c r="AD116" s="417">
        <v>9252</v>
      </c>
      <c r="AE116" s="386">
        <v>40</v>
      </c>
      <c r="AF116" s="265">
        <f t="shared" si="269"/>
        <v>-99.6</v>
      </c>
      <c r="AG116" s="417">
        <f t="shared" si="270"/>
        <v>0</v>
      </c>
      <c r="AH116" s="386">
        <f t="shared" si="270"/>
        <v>0</v>
      </c>
      <c r="AI116" s="523">
        <v>0</v>
      </c>
      <c r="AJ116" s="417">
        <v>9252</v>
      </c>
      <c r="AK116" s="386">
        <v>40</v>
      </c>
      <c r="AL116" s="265">
        <f t="shared" si="272"/>
        <v>-99.6</v>
      </c>
      <c r="AM116" s="722">
        <f t="shared" si="273"/>
        <v>2066</v>
      </c>
      <c r="AN116" s="714">
        <f t="shared" si="274"/>
        <v>0</v>
      </c>
      <c r="AO116" s="705">
        <f t="shared" si="275"/>
        <v>-100</v>
      </c>
      <c r="AP116" s="770">
        <v>11318</v>
      </c>
      <c r="AQ116" s="714">
        <v>40</v>
      </c>
      <c r="AR116" s="705">
        <f t="shared" si="276"/>
        <v>-99.6</v>
      </c>
      <c r="AS116" s="770">
        <f t="shared" si="277"/>
        <v>1904</v>
      </c>
      <c r="AT116" s="714">
        <f t="shared" si="277"/>
        <v>0</v>
      </c>
      <c r="AU116" s="705">
        <f t="shared" si="278"/>
        <v>-100</v>
      </c>
      <c r="AV116" s="992">
        <v>13222</v>
      </c>
      <c r="AW116" s="990">
        <v>40</v>
      </c>
      <c r="AX116" s="705">
        <f t="shared" si="279"/>
        <v>-99.7</v>
      </c>
      <c r="AY116" s="770">
        <f t="shared" si="280"/>
        <v>4173</v>
      </c>
      <c r="AZ116" s="714">
        <f t="shared" si="281"/>
        <v>0</v>
      </c>
      <c r="BA116" s="705">
        <f t="shared" si="282"/>
        <v>-100</v>
      </c>
      <c r="BB116" s="770">
        <v>17395</v>
      </c>
      <c r="BC116" s="714">
        <v>40</v>
      </c>
      <c r="BD116" s="705">
        <f t="shared" si="283"/>
        <v>-99.8</v>
      </c>
      <c r="BE116" s="770">
        <f t="shared" si="284"/>
        <v>2060</v>
      </c>
      <c r="BF116" s="714">
        <f t="shared" si="284"/>
        <v>0</v>
      </c>
      <c r="BG116" s="705">
        <f t="shared" si="285"/>
        <v>-100</v>
      </c>
      <c r="BH116" s="770">
        <v>19455</v>
      </c>
      <c r="BI116" s="714">
        <v>40</v>
      </c>
      <c r="BJ116" s="705">
        <f t="shared" si="286"/>
        <v>-99.8</v>
      </c>
      <c r="BK116" s="770">
        <f t="shared" si="287"/>
        <v>1993</v>
      </c>
      <c r="BL116" s="714">
        <f t="shared" si="287"/>
        <v>0</v>
      </c>
      <c r="BM116" s="705">
        <f t="shared" si="288"/>
        <v>-100</v>
      </c>
      <c r="BN116" s="770">
        <v>21448</v>
      </c>
      <c r="BO116" s="714">
        <v>40</v>
      </c>
      <c r="BP116" s="705">
        <f t="shared" si="289"/>
        <v>-99.8</v>
      </c>
      <c r="BQ116" s="770">
        <f t="shared" si="290"/>
        <v>0</v>
      </c>
      <c r="BR116" s="714">
        <f t="shared" si="290"/>
        <v>0</v>
      </c>
      <c r="BS116" s="751">
        <v>0</v>
      </c>
      <c r="BT116" s="770">
        <v>21448</v>
      </c>
      <c r="BU116" s="714">
        <v>40</v>
      </c>
      <c r="BV116" s="705">
        <f t="shared" si="292"/>
        <v>-99.8</v>
      </c>
    </row>
    <row r="117" spans="1:74" ht="17.25" customHeight="1">
      <c r="A117" s="96"/>
      <c r="B117" s="1176"/>
      <c r="C117" s="105" t="s">
        <v>61</v>
      </c>
      <c r="D117" s="98">
        <v>4883</v>
      </c>
      <c r="E117" s="98">
        <v>1173</v>
      </c>
      <c r="F117" s="98">
        <v>5303</v>
      </c>
      <c r="G117" s="98">
        <v>11826</v>
      </c>
      <c r="H117" s="98">
        <v>3503</v>
      </c>
      <c r="I117" s="98">
        <v>11329</v>
      </c>
      <c r="J117" s="98">
        <v>12421</v>
      </c>
      <c r="K117" s="98">
        <v>15097</v>
      </c>
      <c r="L117" s="417">
        <v>1745</v>
      </c>
      <c r="M117" s="386">
        <v>2232</v>
      </c>
      <c r="N117" s="265">
        <f t="shared" si="258"/>
        <v>27.9</v>
      </c>
      <c r="O117" s="417">
        <f t="shared" si="259"/>
        <v>287</v>
      </c>
      <c r="P117" s="386">
        <f t="shared" si="259"/>
        <v>1211</v>
      </c>
      <c r="Q117" s="265">
        <f t="shared" si="260"/>
        <v>322</v>
      </c>
      <c r="R117" s="417">
        <v>2032</v>
      </c>
      <c r="S117" s="386">
        <v>3443</v>
      </c>
      <c r="T117" s="265">
        <f t="shared" si="261"/>
        <v>69.400000000000006</v>
      </c>
      <c r="U117" s="417">
        <f t="shared" si="262"/>
        <v>957</v>
      </c>
      <c r="V117" s="386">
        <f t="shared" si="263"/>
        <v>1737</v>
      </c>
      <c r="W117" s="265">
        <f t="shared" si="264"/>
        <v>81.5</v>
      </c>
      <c r="X117" s="417">
        <v>2989</v>
      </c>
      <c r="Y117" s="386">
        <v>5180</v>
      </c>
      <c r="Z117" s="265">
        <f t="shared" si="265"/>
        <v>73.3</v>
      </c>
      <c r="AA117" s="417">
        <f t="shared" si="266"/>
        <v>995</v>
      </c>
      <c r="AB117" s="386">
        <f t="shared" si="267"/>
        <v>3370</v>
      </c>
      <c r="AC117" s="265">
        <f t="shared" ref="AC117:AC119" si="293">ROUND(((AB117/AA117-1)*100), 1)</f>
        <v>238.7</v>
      </c>
      <c r="AD117" s="417">
        <v>3984</v>
      </c>
      <c r="AE117" s="386">
        <v>8550</v>
      </c>
      <c r="AF117" s="265">
        <f t="shared" si="269"/>
        <v>114.6</v>
      </c>
      <c r="AG117" s="417">
        <f t="shared" si="270"/>
        <v>1737</v>
      </c>
      <c r="AH117" s="386">
        <f t="shared" si="270"/>
        <v>605</v>
      </c>
      <c r="AI117" s="265">
        <f t="shared" si="271"/>
        <v>-65.2</v>
      </c>
      <c r="AJ117" s="417">
        <v>5721</v>
      </c>
      <c r="AK117" s="386">
        <v>9155</v>
      </c>
      <c r="AL117" s="265">
        <f t="shared" si="272"/>
        <v>60</v>
      </c>
      <c r="AM117" s="722">
        <f t="shared" si="273"/>
        <v>787</v>
      </c>
      <c r="AN117" s="714">
        <f t="shared" si="274"/>
        <v>993</v>
      </c>
      <c r="AO117" s="705">
        <f t="shared" si="275"/>
        <v>26.2</v>
      </c>
      <c r="AP117" s="770">
        <v>6508</v>
      </c>
      <c r="AQ117" s="714">
        <v>10148</v>
      </c>
      <c r="AR117" s="705">
        <f t="shared" si="276"/>
        <v>55.9</v>
      </c>
      <c r="AS117" s="770">
        <f t="shared" si="277"/>
        <v>990</v>
      </c>
      <c r="AT117" s="714">
        <f t="shared" si="277"/>
        <v>1212</v>
      </c>
      <c r="AU117" s="705">
        <f t="shared" si="278"/>
        <v>22.4</v>
      </c>
      <c r="AV117" s="992">
        <v>7498</v>
      </c>
      <c r="AW117" s="990">
        <v>11360</v>
      </c>
      <c r="AX117" s="705">
        <f t="shared" si="279"/>
        <v>51.5</v>
      </c>
      <c r="AY117" s="770">
        <f t="shared" si="280"/>
        <v>1204</v>
      </c>
      <c r="AZ117" s="714">
        <f t="shared" si="281"/>
        <v>1655</v>
      </c>
      <c r="BA117" s="705">
        <f t="shared" si="282"/>
        <v>37.5</v>
      </c>
      <c r="BB117" s="770">
        <v>8702</v>
      </c>
      <c r="BC117" s="714">
        <v>13015</v>
      </c>
      <c r="BD117" s="705">
        <f t="shared" si="283"/>
        <v>49.6</v>
      </c>
      <c r="BE117" s="770">
        <f t="shared" si="284"/>
        <v>991</v>
      </c>
      <c r="BF117" s="714">
        <f t="shared" si="284"/>
        <v>2240</v>
      </c>
      <c r="BG117" s="705">
        <f t="shared" si="285"/>
        <v>126</v>
      </c>
      <c r="BH117" s="770">
        <v>9693</v>
      </c>
      <c r="BI117" s="714">
        <v>15255</v>
      </c>
      <c r="BJ117" s="705">
        <f t="shared" si="286"/>
        <v>57.4</v>
      </c>
      <c r="BK117" s="770">
        <f t="shared" si="287"/>
        <v>988</v>
      </c>
      <c r="BL117" s="714">
        <f t="shared" si="287"/>
        <v>1969</v>
      </c>
      <c r="BM117" s="705">
        <f t="shared" si="288"/>
        <v>99.3</v>
      </c>
      <c r="BN117" s="770">
        <v>10681</v>
      </c>
      <c r="BO117" s="714">
        <v>17224</v>
      </c>
      <c r="BP117" s="705">
        <f t="shared" si="289"/>
        <v>61.3</v>
      </c>
      <c r="BQ117" s="770">
        <f t="shared" si="290"/>
        <v>1215</v>
      </c>
      <c r="BR117" s="714">
        <f t="shared" si="290"/>
        <v>2047</v>
      </c>
      <c r="BS117" s="705">
        <f t="shared" si="291"/>
        <v>68.5</v>
      </c>
      <c r="BT117" s="770">
        <v>11896</v>
      </c>
      <c r="BU117" s="714">
        <v>19271</v>
      </c>
      <c r="BV117" s="705">
        <f t="shared" si="292"/>
        <v>62</v>
      </c>
    </row>
    <row r="118" spans="1:74" s="173" customFormat="1">
      <c r="A118" s="338"/>
      <c r="B118" s="1176"/>
      <c r="C118" s="105" t="s">
        <v>96</v>
      </c>
      <c r="D118" s="98">
        <v>24546</v>
      </c>
      <c r="E118" s="98">
        <v>17897</v>
      </c>
      <c r="F118" s="98">
        <v>20673</v>
      </c>
      <c r="G118" s="98">
        <v>26148</v>
      </c>
      <c r="H118" s="98">
        <v>13307</v>
      </c>
      <c r="I118" s="98">
        <v>9318</v>
      </c>
      <c r="J118" s="98">
        <v>10426</v>
      </c>
      <c r="K118" s="98">
        <v>11168</v>
      </c>
      <c r="L118" s="417">
        <v>1121</v>
      </c>
      <c r="M118" s="386">
        <v>652</v>
      </c>
      <c r="N118" s="265">
        <f t="shared" si="258"/>
        <v>-41.8</v>
      </c>
      <c r="O118" s="417">
        <f t="shared" si="259"/>
        <v>1300</v>
      </c>
      <c r="P118" s="386">
        <f t="shared" si="259"/>
        <v>110</v>
      </c>
      <c r="Q118" s="265">
        <f t="shared" si="260"/>
        <v>-91.5</v>
      </c>
      <c r="R118" s="417">
        <v>2421</v>
      </c>
      <c r="S118" s="386">
        <v>762</v>
      </c>
      <c r="T118" s="265">
        <f t="shared" si="261"/>
        <v>-68.5</v>
      </c>
      <c r="U118" s="417">
        <f t="shared" si="262"/>
        <v>981</v>
      </c>
      <c r="V118" s="386">
        <f t="shared" si="263"/>
        <v>157</v>
      </c>
      <c r="W118" s="265">
        <f t="shared" si="264"/>
        <v>-84</v>
      </c>
      <c r="X118" s="417">
        <v>3402</v>
      </c>
      <c r="Y118" s="386">
        <v>919</v>
      </c>
      <c r="Z118" s="265">
        <f t="shared" si="265"/>
        <v>-73</v>
      </c>
      <c r="AA118" s="417">
        <f t="shared" si="266"/>
        <v>694</v>
      </c>
      <c r="AB118" s="386">
        <f t="shared" si="267"/>
        <v>263</v>
      </c>
      <c r="AC118" s="265">
        <f t="shared" si="293"/>
        <v>-62.1</v>
      </c>
      <c r="AD118" s="417">
        <v>4096</v>
      </c>
      <c r="AE118" s="386">
        <v>1182</v>
      </c>
      <c r="AF118" s="265">
        <f t="shared" si="269"/>
        <v>-71.099999999999994</v>
      </c>
      <c r="AG118" s="417">
        <f t="shared" si="270"/>
        <v>606</v>
      </c>
      <c r="AH118" s="386">
        <f t="shared" si="270"/>
        <v>712</v>
      </c>
      <c r="AI118" s="265">
        <f t="shared" si="271"/>
        <v>17.5</v>
      </c>
      <c r="AJ118" s="417">
        <v>4702</v>
      </c>
      <c r="AK118" s="386">
        <v>1894</v>
      </c>
      <c r="AL118" s="265">
        <f t="shared" si="272"/>
        <v>-59.7</v>
      </c>
      <c r="AM118" s="722">
        <f t="shared" si="273"/>
        <v>114</v>
      </c>
      <c r="AN118" s="714">
        <f t="shared" si="274"/>
        <v>173</v>
      </c>
      <c r="AO118" s="705">
        <f t="shared" si="275"/>
        <v>51.8</v>
      </c>
      <c r="AP118" s="770">
        <v>4816</v>
      </c>
      <c r="AQ118" s="714">
        <v>2067</v>
      </c>
      <c r="AR118" s="705">
        <f t="shared" si="276"/>
        <v>-57.1</v>
      </c>
      <c r="AS118" s="770">
        <f t="shared" si="277"/>
        <v>765</v>
      </c>
      <c r="AT118" s="714">
        <f t="shared" si="277"/>
        <v>175</v>
      </c>
      <c r="AU118" s="705">
        <f t="shared" si="278"/>
        <v>-77.099999999999994</v>
      </c>
      <c r="AV118" s="992">
        <v>5581</v>
      </c>
      <c r="AW118" s="990">
        <v>2242</v>
      </c>
      <c r="AX118" s="705">
        <f t="shared" si="279"/>
        <v>-59.8</v>
      </c>
      <c r="AY118" s="770">
        <f t="shared" si="280"/>
        <v>1892</v>
      </c>
      <c r="AZ118" s="714">
        <f t="shared" si="281"/>
        <v>83</v>
      </c>
      <c r="BA118" s="705">
        <f t="shared" si="282"/>
        <v>-95.6</v>
      </c>
      <c r="BB118" s="770">
        <v>7473</v>
      </c>
      <c r="BC118" s="714">
        <v>2325</v>
      </c>
      <c r="BD118" s="705">
        <f t="shared" si="283"/>
        <v>-68.900000000000006</v>
      </c>
      <c r="BE118" s="770">
        <f t="shared" si="284"/>
        <v>343</v>
      </c>
      <c r="BF118" s="714">
        <f t="shared" si="284"/>
        <v>83</v>
      </c>
      <c r="BG118" s="705">
        <f t="shared" si="285"/>
        <v>-75.8</v>
      </c>
      <c r="BH118" s="770">
        <v>7816</v>
      </c>
      <c r="BI118" s="714">
        <v>2408</v>
      </c>
      <c r="BJ118" s="705">
        <f t="shared" si="286"/>
        <v>-69.2</v>
      </c>
      <c r="BK118" s="770">
        <f t="shared" si="287"/>
        <v>1463</v>
      </c>
      <c r="BL118" s="714">
        <f t="shared" si="287"/>
        <v>69</v>
      </c>
      <c r="BM118" s="705">
        <f t="shared" si="288"/>
        <v>-95.3</v>
      </c>
      <c r="BN118" s="770">
        <v>9279</v>
      </c>
      <c r="BO118" s="714">
        <v>2477</v>
      </c>
      <c r="BP118" s="705">
        <f t="shared" si="289"/>
        <v>-73.3</v>
      </c>
      <c r="BQ118" s="770">
        <f t="shared" si="290"/>
        <v>1030</v>
      </c>
      <c r="BR118" s="714">
        <f t="shared" si="290"/>
        <v>105</v>
      </c>
      <c r="BS118" s="705">
        <f t="shared" si="291"/>
        <v>-89.8</v>
      </c>
      <c r="BT118" s="770">
        <v>10309</v>
      </c>
      <c r="BU118" s="714">
        <v>2582</v>
      </c>
      <c r="BV118" s="705">
        <f t="shared" si="292"/>
        <v>-75</v>
      </c>
    </row>
    <row r="119" spans="1:74">
      <c r="A119" s="96"/>
      <c r="B119" s="1176"/>
      <c r="C119" s="345" t="s">
        <v>343</v>
      </c>
      <c r="D119" s="341">
        <v>0</v>
      </c>
      <c r="E119" s="341">
        <v>0</v>
      </c>
      <c r="F119" s="341">
        <v>0</v>
      </c>
      <c r="G119" s="341">
        <v>0</v>
      </c>
      <c r="H119" s="341">
        <v>37</v>
      </c>
      <c r="I119" s="341">
        <v>0</v>
      </c>
      <c r="J119" s="341">
        <v>36</v>
      </c>
      <c r="K119" s="98">
        <v>10704</v>
      </c>
      <c r="L119" s="417">
        <v>1008</v>
      </c>
      <c r="M119" s="386">
        <v>0</v>
      </c>
      <c r="N119" s="265">
        <f t="shared" si="258"/>
        <v>-100</v>
      </c>
      <c r="O119" s="417">
        <f t="shared" si="259"/>
        <v>0</v>
      </c>
      <c r="P119" s="386">
        <f t="shared" si="259"/>
        <v>3910</v>
      </c>
      <c r="Q119" s="523">
        <v>0</v>
      </c>
      <c r="R119" s="417">
        <v>1008</v>
      </c>
      <c r="S119" s="386">
        <v>3910</v>
      </c>
      <c r="T119" s="265">
        <f t="shared" si="261"/>
        <v>287.89999999999998</v>
      </c>
      <c r="U119" s="417">
        <f t="shared" si="262"/>
        <v>0</v>
      </c>
      <c r="V119" s="386">
        <f t="shared" si="263"/>
        <v>1017</v>
      </c>
      <c r="W119" s="523">
        <v>0</v>
      </c>
      <c r="X119" s="417">
        <v>1008</v>
      </c>
      <c r="Y119" s="386">
        <v>4927</v>
      </c>
      <c r="Z119" s="265">
        <f t="shared" si="265"/>
        <v>388.8</v>
      </c>
      <c r="AA119" s="417">
        <f t="shared" si="266"/>
        <v>540</v>
      </c>
      <c r="AB119" s="386">
        <f t="shared" si="267"/>
        <v>25</v>
      </c>
      <c r="AC119" s="265">
        <f t="shared" si="293"/>
        <v>-95.4</v>
      </c>
      <c r="AD119" s="417">
        <v>1548</v>
      </c>
      <c r="AE119" s="386">
        <v>4952</v>
      </c>
      <c r="AF119" s="265">
        <f t="shared" si="269"/>
        <v>219.9</v>
      </c>
      <c r="AG119" s="417">
        <f t="shared" si="270"/>
        <v>698</v>
      </c>
      <c r="AH119" s="386">
        <f t="shared" si="270"/>
        <v>883</v>
      </c>
      <c r="AI119" s="265">
        <f t="shared" si="271"/>
        <v>26.5</v>
      </c>
      <c r="AJ119" s="417">
        <v>2246</v>
      </c>
      <c r="AK119" s="386">
        <v>5835</v>
      </c>
      <c r="AL119" s="265">
        <f t="shared" si="272"/>
        <v>159.80000000000001</v>
      </c>
      <c r="AM119" s="722">
        <f t="shared" si="273"/>
        <v>205</v>
      </c>
      <c r="AN119" s="714">
        <f t="shared" si="274"/>
        <v>0</v>
      </c>
      <c r="AO119" s="705">
        <f t="shared" si="275"/>
        <v>-100</v>
      </c>
      <c r="AP119" s="770">
        <v>2451</v>
      </c>
      <c r="AQ119" s="714">
        <v>5835</v>
      </c>
      <c r="AR119" s="705">
        <f t="shared" si="276"/>
        <v>138.1</v>
      </c>
      <c r="AS119" s="770">
        <f t="shared" si="277"/>
        <v>1218</v>
      </c>
      <c r="AT119" s="714">
        <f t="shared" si="277"/>
        <v>601</v>
      </c>
      <c r="AU119" s="705">
        <f t="shared" si="278"/>
        <v>-50.7</v>
      </c>
      <c r="AV119" s="992">
        <v>3669</v>
      </c>
      <c r="AW119" s="990">
        <v>6436</v>
      </c>
      <c r="AX119" s="705">
        <f t="shared" si="279"/>
        <v>75.400000000000006</v>
      </c>
      <c r="AY119" s="770">
        <f t="shared" si="280"/>
        <v>1713</v>
      </c>
      <c r="AZ119" s="714">
        <f t="shared" si="281"/>
        <v>0</v>
      </c>
      <c r="BA119" s="705">
        <f t="shared" si="282"/>
        <v>-100</v>
      </c>
      <c r="BB119" s="770">
        <v>5382</v>
      </c>
      <c r="BC119" s="714">
        <v>6436</v>
      </c>
      <c r="BD119" s="705">
        <f t="shared" si="283"/>
        <v>19.600000000000001</v>
      </c>
      <c r="BE119" s="770">
        <f t="shared" si="284"/>
        <v>1716</v>
      </c>
      <c r="BF119" s="714">
        <f t="shared" si="284"/>
        <v>0</v>
      </c>
      <c r="BG119" s="705">
        <f t="shared" si="285"/>
        <v>-100</v>
      </c>
      <c r="BH119" s="770">
        <v>7098</v>
      </c>
      <c r="BI119" s="714">
        <v>6436</v>
      </c>
      <c r="BJ119" s="705">
        <f t="shared" si="286"/>
        <v>-9.3000000000000007</v>
      </c>
      <c r="BK119" s="770">
        <f t="shared" si="287"/>
        <v>1376</v>
      </c>
      <c r="BL119" s="714">
        <f t="shared" si="287"/>
        <v>127</v>
      </c>
      <c r="BM119" s="705">
        <f t="shared" si="288"/>
        <v>-90.8</v>
      </c>
      <c r="BN119" s="770">
        <v>8474</v>
      </c>
      <c r="BO119" s="714">
        <v>6563</v>
      </c>
      <c r="BP119" s="705">
        <f t="shared" si="289"/>
        <v>-22.6</v>
      </c>
      <c r="BQ119" s="770">
        <f t="shared" si="290"/>
        <v>929</v>
      </c>
      <c r="BR119" s="714">
        <f t="shared" si="290"/>
        <v>235</v>
      </c>
      <c r="BS119" s="705">
        <f t="shared" si="291"/>
        <v>-74.7</v>
      </c>
      <c r="BT119" s="770">
        <v>9403</v>
      </c>
      <c r="BU119" s="714">
        <v>6798</v>
      </c>
      <c r="BV119" s="705">
        <f t="shared" si="292"/>
        <v>-27.7</v>
      </c>
    </row>
    <row r="120" spans="1:74">
      <c r="A120" s="96"/>
      <c r="B120" s="1176"/>
      <c r="C120" s="105" t="s">
        <v>90</v>
      </c>
      <c r="D120" s="98">
        <v>2610</v>
      </c>
      <c r="E120" s="98">
        <v>49</v>
      </c>
      <c r="F120" s="98">
        <v>49</v>
      </c>
      <c r="G120" s="98">
        <v>99</v>
      </c>
      <c r="H120" s="98">
        <v>2814</v>
      </c>
      <c r="I120" s="98">
        <v>3317</v>
      </c>
      <c r="J120" s="98">
        <v>6477</v>
      </c>
      <c r="K120" s="98">
        <v>9354</v>
      </c>
      <c r="L120" s="417">
        <v>1483</v>
      </c>
      <c r="M120" s="386">
        <v>2464</v>
      </c>
      <c r="N120" s="265">
        <f t="shared" si="258"/>
        <v>66.099999999999994</v>
      </c>
      <c r="O120" s="417">
        <f t="shared" si="259"/>
        <v>989</v>
      </c>
      <c r="P120" s="386">
        <f t="shared" si="259"/>
        <v>494</v>
      </c>
      <c r="Q120" s="265">
        <f t="shared" si="260"/>
        <v>-50.1</v>
      </c>
      <c r="R120" s="417">
        <v>2472</v>
      </c>
      <c r="S120" s="386">
        <v>2958</v>
      </c>
      <c r="T120" s="265">
        <f t="shared" si="261"/>
        <v>19.7</v>
      </c>
      <c r="U120" s="417">
        <f t="shared" si="262"/>
        <v>989</v>
      </c>
      <c r="V120" s="386">
        <f t="shared" si="263"/>
        <v>0</v>
      </c>
      <c r="W120" s="265">
        <f t="shared" si="264"/>
        <v>-100</v>
      </c>
      <c r="X120" s="417">
        <v>3461</v>
      </c>
      <c r="Y120" s="386">
        <v>2958</v>
      </c>
      <c r="Z120" s="265">
        <f t="shared" si="265"/>
        <v>-14.5</v>
      </c>
      <c r="AA120" s="417">
        <f t="shared" si="266"/>
        <v>0</v>
      </c>
      <c r="AB120" s="386">
        <f t="shared" si="267"/>
        <v>302</v>
      </c>
      <c r="AC120" s="523">
        <v>0</v>
      </c>
      <c r="AD120" s="417">
        <v>3461</v>
      </c>
      <c r="AE120" s="386">
        <v>3260</v>
      </c>
      <c r="AF120" s="265">
        <f t="shared" si="269"/>
        <v>-5.8</v>
      </c>
      <c r="AG120" s="417">
        <f t="shared" si="270"/>
        <v>0</v>
      </c>
      <c r="AH120" s="386">
        <f t="shared" si="270"/>
        <v>277</v>
      </c>
      <c r="AI120" s="523">
        <v>0</v>
      </c>
      <c r="AJ120" s="417">
        <v>3461</v>
      </c>
      <c r="AK120" s="386">
        <v>3537</v>
      </c>
      <c r="AL120" s="265">
        <f t="shared" si="272"/>
        <v>2.2000000000000002</v>
      </c>
      <c r="AM120" s="722">
        <f t="shared" si="273"/>
        <v>1384</v>
      </c>
      <c r="AN120" s="714">
        <f t="shared" si="274"/>
        <v>0</v>
      </c>
      <c r="AO120" s="705">
        <f t="shared" si="275"/>
        <v>-100</v>
      </c>
      <c r="AP120" s="770">
        <v>4845</v>
      </c>
      <c r="AQ120" s="714">
        <v>3537</v>
      </c>
      <c r="AR120" s="705">
        <f t="shared" si="276"/>
        <v>-27</v>
      </c>
      <c r="AS120" s="770">
        <f t="shared" si="277"/>
        <v>790</v>
      </c>
      <c r="AT120" s="714">
        <f t="shared" si="277"/>
        <v>68</v>
      </c>
      <c r="AU120" s="705">
        <f t="shared" si="278"/>
        <v>-91.4</v>
      </c>
      <c r="AV120" s="992">
        <v>5635</v>
      </c>
      <c r="AW120" s="990">
        <v>3605</v>
      </c>
      <c r="AX120" s="705">
        <f t="shared" si="279"/>
        <v>-36</v>
      </c>
      <c r="AY120" s="770">
        <f t="shared" si="280"/>
        <v>0</v>
      </c>
      <c r="AZ120" s="714">
        <f t="shared" si="281"/>
        <v>762</v>
      </c>
      <c r="BA120" s="751">
        <v>0</v>
      </c>
      <c r="BB120" s="770">
        <v>5635</v>
      </c>
      <c r="BC120" s="714">
        <v>4367</v>
      </c>
      <c r="BD120" s="705">
        <f t="shared" si="283"/>
        <v>-22.5</v>
      </c>
      <c r="BE120" s="770">
        <f t="shared" si="284"/>
        <v>395</v>
      </c>
      <c r="BF120" s="714">
        <f t="shared" si="284"/>
        <v>0</v>
      </c>
      <c r="BG120" s="705">
        <f t="shared" si="285"/>
        <v>-100</v>
      </c>
      <c r="BH120" s="770">
        <v>6030</v>
      </c>
      <c r="BI120" s="714">
        <v>4367</v>
      </c>
      <c r="BJ120" s="705">
        <f t="shared" si="286"/>
        <v>-27.6</v>
      </c>
      <c r="BK120" s="770">
        <f t="shared" si="287"/>
        <v>395</v>
      </c>
      <c r="BL120" s="714">
        <f t="shared" si="287"/>
        <v>142</v>
      </c>
      <c r="BM120" s="705">
        <f t="shared" si="288"/>
        <v>-64.099999999999994</v>
      </c>
      <c r="BN120" s="770">
        <v>6425</v>
      </c>
      <c r="BO120" s="714">
        <v>4509</v>
      </c>
      <c r="BP120" s="705">
        <f t="shared" si="289"/>
        <v>-29.8</v>
      </c>
      <c r="BQ120" s="770">
        <f t="shared" si="290"/>
        <v>395</v>
      </c>
      <c r="BR120" s="714">
        <f t="shared" si="290"/>
        <v>378</v>
      </c>
      <c r="BS120" s="705">
        <f t="shared" si="291"/>
        <v>-4.3</v>
      </c>
      <c r="BT120" s="770">
        <v>6820</v>
      </c>
      <c r="BU120" s="714">
        <v>4887</v>
      </c>
      <c r="BV120" s="705">
        <f t="shared" si="292"/>
        <v>-28.3</v>
      </c>
    </row>
    <row r="121" spans="1:74">
      <c r="A121" s="96"/>
      <c r="B121" s="1176"/>
      <c r="C121" s="105" t="s">
        <v>220</v>
      </c>
      <c r="D121" s="98">
        <v>189</v>
      </c>
      <c r="E121" s="98">
        <v>99</v>
      </c>
      <c r="F121" s="98">
        <v>4299</v>
      </c>
      <c r="G121" s="98">
        <v>8152</v>
      </c>
      <c r="H121" s="98">
        <v>4398</v>
      </c>
      <c r="I121" s="98">
        <v>682</v>
      </c>
      <c r="J121" s="98">
        <v>1098</v>
      </c>
      <c r="K121" s="98">
        <v>2524</v>
      </c>
      <c r="L121" s="417">
        <v>543</v>
      </c>
      <c r="M121" s="386">
        <v>0</v>
      </c>
      <c r="N121" s="265">
        <f t="shared" si="258"/>
        <v>-100</v>
      </c>
      <c r="O121" s="417">
        <f t="shared" si="259"/>
        <v>670</v>
      </c>
      <c r="P121" s="386">
        <f t="shared" si="259"/>
        <v>0</v>
      </c>
      <c r="Q121" s="265">
        <f t="shared" si="260"/>
        <v>-100</v>
      </c>
      <c r="R121" s="417">
        <v>1213</v>
      </c>
      <c r="S121" s="386">
        <v>0</v>
      </c>
      <c r="T121" s="265">
        <f t="shared" si="261"/>
        <v>-100</v>
      </c>
      <c r="U121" s="417">
        <f t="shared" si="262"/>
        <v>867</v>
      </c>
      <c r="V121" s="386">
        <f t="shared" si="263"/>
        <v>199</v>
      </c>
      <c r="W121" s="265">
        <f t="shared" si="264"/>
        <v>-77</v>
      </c>
      <c r="X121" s="417">
        <v>2080</v>
      </c>
      <c r="Y121" s="386">
        <v>199</v>
      </c>
      <c r="Z121" s="265">
        <f t="shared" si="265"/>
        <v>-90.4</v>
      </c>
      <c r="AA121" s="417">
        <f t="shared" si="266"/>
        <v>344</v>
      </c>
      <c r="AB121" s="386">
        <f t="shared" si="267"/>
        <v>0</v>
      </c>
      <c r="AC121" s="265">
        <f t="shared" ref="AC121" si="294">ROUND(((AB121/AA121-1)*100), 1)</f>
        <v>-100</v>
      </c>
      <c r="AD121" s="417">
        <v>2424</v>
      </c>
      <c r="AE121" s="386">
        <v>199</v>
      </c>
      <c r="AF121" s="265">
        <f t="shared" si="269"/>
        <v>-91.8</v>
      </c>
      <c r="AG121" s="417">
        <f t="shared" si="270"/>
        <v>0</v>
      </c>
      <c r="AH121" s="386">
        <f t="shared" si="270"/>
        <v>0</v>
      </c>
      <c r="AI121" s="523">
        <v>0</v>
      </c>
      <c r="AJ121" s="417">
        <v>2424</v>
      </c>
      <c r="AK121" s="386">
        <v>199</v>
      </c>
      <c r="AL121" s="265">
        <f t="shared" si="272"/>
        <v>-91.8</v>
      </c>
      <c r="AM121" s="722">
        <f t="shared" si="273"/>
        <v>0</v>
      </c>
      <c r="AN121" s="714">
        <f t="shared" si="274"/>
        <v>0</v>
      </c>
      <c r="AO121" s="751">
        <v>0</v>
      </c>
      <c r="AP121" s="770">
        <v>2424</v>
      </c>
      <c r="AQ121" s="714">
        <v>199</v>
      </c>
      <c r="AR121" s="705">
        <f t="shared" si="276"/>
        <v>-91.8</v>
      </c>
      <c r="AS121" s="770">
        <f t="shared" si="277"/>
        <v>100</v>
      </c>
      <c r="AT121" s="714">
        <f t="shared" si="277"/>
        <v>0</v>
      </c>
      <c r="AU121" s="710">
        <f>ROUND(((AT121/AS121-1)*100), 1)</f>
        <v>-100</v>
      </c>
      <c r="AV121" s="992">
        <v>2524</v>
      </c>
      <c r="AW121" s="990">
        <v>199</v>
      </c>
      <c r="AX121" s="705">
        <f t="shared" si="279"/>
        <v>-92.1</v>
      </c>
      <c r="AY121" s="770">
        <f t="shared" si="280"/>
        <v>0</v>
      </c>
      <c r="AZ121" s="714">
        <f t="shared" si="281"/>
        <v>0</v>
      </c>
      <c r="BA121" s="751">
        <v>0</v>
      </c>
      <c r="BB121" s="770">
        <v>2524</v>
      </c>
      <c r="BC121" s="714">
        <v>199</v>
      </c>
      <c r="BD121" s="705">
        <f t="shared" si="283"/>
        <v>-92.1</v>
      </c>
      <c r="BE121" s="770">
        <f t="shared" si="284"/>
        <v>0</v>
      </c>
      <c r="BF121" s="714">
        <f t="shared" si="284"/>
        <v>0</v>
      </c>
      <c r="BG121" s="751">
        <v>0</v>
      </c>
      <c r="BH121" s="770">
        <v>2524</v>
      </c>
      <c r="BI121" s="714">
        <v>199</v>
      </c>
      <c r="BJ121" s="705">
        <f t="shared" si="286"/>
        <v>-92.1</v>
      </c>
      <c r="BK121" s="770">
        <f t="shared" si="287"/>
        <v>0</v>
      </c>
      <c r="BL121" s="714">
        <f t="shared" si="287"/>
        <v>0</v>
      </c>
      <c r="BM121" s="751">
        <v>0</v>
      </c>
      <c r="BN121" s="770">
        <v>2524</v>
      </c>
      <c r="BO121" s="714">
        <v>199</v>
      </c>
      <c r="BP121" s="705">
        <f t="shared" si="289"/>
        <v>-92.1</v>
      </c>
      <c r="BQ121" s="770">
        <f t="shared" si="290"/>
        <v>0</v>
      </c>
      <c r="BR121" s="714">
        <f t="shared" si="290"/>
        <v>0</v>
      </c>
      <c r="BS121" s="751">
        <v>0</v>
      </c>
      <c r="BT121" s="770">
        <v>2524</v>
      </c>
      <c r="BU121" s="714">
        <v>199</v>
      </c>
      <c r="BV121" s="705">
        <f t="shared" si="292"/>
        <v>-92.1</v>
      </c>
    </row>
    <row r="122" spans="1:74" s="291" customFormat="1">
      <c r="A122" s="434"/>
      <c r="B122" s="1176"/>
      <c r="C122" s="105" t="s">
        <v>473</v>
      </c>
      <c r="D122" s="98">
        <v>35087</v>
      </c>
      <c r="E122" s="98">
        <v>1190</v>
      </c>
      <c r="F122" s="98">
        <v>0</v>
      </c>
      <c r="G122" s="98">
        <v>0</v>
      </c>
      <c r="H122" s="98">
        <v>0</v>
      </c>
      <c r="I122" s="98">
        <v>11</v>
      </c>
      <c r="J122" s="98">
        <v>0</v>
      </c>
      <c r="K122" s="98">
        <v>1427</v>
      </c>
      <c r="L122" s="417">
        <v>0</v>
      </c>
      <c r="M122" s="386">
        <v>0</v>
      </c>
      <c r="N122" s="179">
        <v>0</v>
      </c>
      <c r="O122" s="417">
        <f t="shared" si="259"/>
        <v>0</v>
      </c>
      <c r="P122" s="386">
        <f t="shared" si="259"/>
        <v>2121</v>
      </c>
      <c r="Q122" s="179">
        <v>0</v>
      </c>
      <c r="R122" s="417">
        <v>0</v>
      </c>
      <c r="S122" s="386">
        <v>2121</v>
      </c>
      <c r="T122" s="179">
        <v>0</v>
      </c>
      <c r="U122" s="417">
        <f t="shared" si="262"/>
        <v>0</v>
      </c>
      <c r="V122" s="386">
        <f t="shared" si="263"/>
        <v>0</v>
      </c>
      <c r="W122" s="179">
        <v>0</v>
      </c>
      <c r="X122" s="417">
        <v>0</v>
      </c>
      <c r="Y122" s="386">
        <v>2121</v>
      </c>
      <c r="Z122" s="179">
        <v>0</v>
      </c>
      <c r="AA122" s="417">
        <f t="shared" si="266"/>
        <v>0</v>
      </c>
      <c r="AB122" s="386">
        <f t="shared" si="267"/>
        <v>0</v>
      </c>
      <c r="AC122" s="523">
        <v>0</v>
      </c>
      <c r="AD122" s="417">
        <v>0</v>
      </c>
      <c r="AE122" s="386">
        <v>2121</v>
      </c>
      <c r="AF122" s="523">
        <v>0</v>
      </c>
      <c r="AG122" s="417">
        <f t="shared" si="270"/>
        <v>0</v>
      </c>
      <c r="AH122" s="386">
        <f t="shared" si="270"/>
        <v>1496</v>
      </c>
      <c r="AI122" s="523">
        <v>0</v>
      </c>
      <c r="AJ122" s="417">
        <v>0</v>
      </c>
      <c r="AK122" s="386">
        <v>3617</v>
      </c>
      <c r="AL122" s="523">
        <v>0</v>
      </c>
      <c r="AM122" s="722">
        <f t="shared" si="273"/>
        <v>0</v>
      </c>
      <c r="AN122" s="714">
        <f t="shared" si="274"/>
        <v>0</v>
      </c>
      <c r="AO122" s="751">
        <v>0</v>
      </c>
      <c r="AP122" s="770">
        <v>0</v>
      </c>
      <c r="AQ122" s="714">
        <v>3617</v>
      </c>
      <c r="AR122" s="695">
        <v>0</v>
      </c>
      <c r="AS122" s="770">
        <f t="shared" si="277"/>
        <v>0</v>
      </c>
      <c r="AT122" s="714">
        <f t="shared" si="277"/>
        <v>2625</v>
      </c>
      <c r="AU122" s="751">
        <v>0</v>
      </c>
      <c r="AV122" s="992">
        <v>0</v>
      </c>
      <c r="AW122" s="990">
        <v>6242</v>
      </c>
      <c r="AX122" s="751">
        <v>0</v>
      </c>
      <c r="AY122" s="770">
        <f t="shared" si="280"/>
        <v>0</v>
      </c>
      <c r="AZ122" s="714">
        <f t="shared" si="281"/>
        <v>0</v>
      </c>
      <c r="BA122" s="751">
        <v>0</v>
      </c>
      <c r="BB122" s="770">
        <v>0</v>
      </c>
      <c r="BC122" s="714">
        <v>6242</v>
      </c>
      <c r="BD122" s="751">
        <v>0</v>
      </c>
      <c r="BE122" s="770">
        <f t="shared" si="284"/>
        <v>0</v>
      </c>
      <c r="BF122" s="714">
        <f t="shared" si="284"/>
        <v>0</v>
      </c>
      <c r="BG122" s="751">
        <v>0</v>
      </c>
      <c r="BH122" s="770">
        <v>0</v>
      </c>
      <c r="BI122" s="714">
        <v>6242</v>
      </c>
      <c r="BJ122" s="751">
        <v>0</v>
      </c>
      <c r="BK122" s="770">
        <f t="shared" si="287"/>
        <v>0</v>
      </c>
      <c r="BL122" s="714">
        <f t="shared" si="287"/>
        <v>0</v>
      </c>
      <c r="BM122" s="751">
        <v>0</v>
      </c>
      <c r="BN122" s="770">
        <v>0</v>
      </c>
      <c r="BO122" s="714">
        <v>6242</v>
      </c>
      <c r="BP122" s="751">
        <v>0</v>
      </c>
      <c r="BQ122" s="770">
        <f t="shared" si="290"/>
        <v>0</v>
      </c>
      <c r="BR122" s="714">
        <f t="shared" si="290"/>
        <v>0</v>
      </c>
      <c r="BS122" s="751">
        <v>0</v>
      </c>
      <c r="BT122" s="770">
        <v>0</v>
      </c>
      <c r="BU122" s="714">
        <v>6242</v>
      </c>
      <c r="BV122" s="751">
        <v>0</v>
      </c>
    </row>
    <row r="123" spans="1:74">
      <c r="A123" s="96"/>
      <c r="B123" s="1176"/>
      <c r="C123" s="105" t="s">
        <v>98</v>
      </c>
      <c r="D123" s="98">
        <v>0</v>
      </c>
      <c r="E123" s="98">
        <v>68</v>
      </c>
      <c r="F123" s="98">
        <v>2976</v>
      </c>
      <c r="G123" s="98">
        <v>4418</v>
      </c>
      <c r="H123" s="98">
        <v>11189</v>
      </c>
      <c r="I123" s="98">
        <v>6006</v>
      </c>
      <c r="J123" s="98">
        <v>3290</v>
      </c>
      <c r="K123" s="98">
        <v>1269</v>
      </c>
      <c r="L123" s="417">
        <v>194</v>
      </c>
      <c r="M123" s="386">
        <v>0</v>
      </c>
      <c r="N123" s="265">
        <f t="shared" si="258"/>
        <v>-100</v>
      </c>
      <c r="O123" s="417">
        <f t="shared" si="259"/>
        <v>22</v>
      </c>
      <c r="P123" s="386">
        <f t="shared" si="259"/>
        <v>0</v>
      </c>
      <c r="Q123" s="265">
        <f>ROUND(((P123/O123-1)*100), 1)</f>
        <v>-100</v>
      </c>
      <c r="R123" s="417">
        <v>216</v>
      </c>
      <c r="S123" s="386">
        <v>0</v>
      </c>
      <c r="T123" s="265">
        <f>ROUND(((S123/R123-1)*100), 1)</f>
        <v>-100</v>
      </c>
      <c r="U123" s="417">
        <f t="shared" si="262"/>
        <v>237</v>
      </c>
      <c r="V123" s="386">
        <f t="shared" si="263"/>
        <v>0</v>
      </c>
      <c r="W123" s="265">
        <f>ROUND(((V123/U123-1)*100), 1)</f>
        <v>-100</v>
      </c>
      <c r="X123" s="417">
        <v>453</v>
      </c>
      <c r="Y123" s="386">
        <v>0</v>
      </c>
      <c r="Z123" s="265">
        <f>ROUND(((Y123/X123-1)*100), 1)</f>
        <v>-100</v>
      </c>
      <c r="AA123" s="417">
        <f t="shared" si="266"/>
        <v>383</v>
      </c>
      <c r="AB123" s="386">
        <f t="shared" si="267"/>
        <v>0</v>
      </c>
      <c r="AC123" s="265">
        <f>ROUND(((AB123/AA123-1)*100), 1)</f>
        <v>-100</v>
      </c>
      <c r="AD123" s="417">
        <v>836</v>
      </c>
      <c r="AE123" s="386">
        <v>0</v>
      </c>
      <c r="AF123" s="265">
        <f>ROUND(((AE123/AD123-1)*100), 1)</f>
        <v>-100</v>
      </c>
      <c r="AG123" s="417">
        <f t="shared" si="270"/>
        <v>205</v>
      </c>
      <c r="AH123" s="386">
        <f t="shared" si="270"/>
        <v>0</v>
      </c>
      <c r="AI123" s="265">
        <f>ROUND(((AH123/AG123-1)*100), 1)</f>
        <v>-100</v>
      </c>
      <c r="AJ123" s="417">
        <v>1041</v>
      </c>
      <c r="AK123" s="386">
        <v>0</v>
      </c>
      <c r="AL123" s="265">
        <f>ROUND(((AK123/AJ123-1)*100), 1)</f>
        <v>-100</v>
      </c>
      <c r="AM123" s="722">
        <f t="shared" si="273"/>
        <v>100</v>
      </c>
      <c r="AN123" s="714">
        <f t="shared" si="274"/>
        <v>0</v>
      </c>
      <c r="AO123" s="705">
        <f t="shared" si="275"/>
        <v>-100</v>
      </c>
      <c r="AP123" s="770">
        <v>1141</v>
      </c>
      <c r="AQ123" s="714">
        <v>0</v>
      </c>
      <c r="AR123" s="705">
        <f>ROUND(((AQ123/AP123-1)*100), 1)</f>
        <v>-100</v>
      </c>
      <c r="AS123" s="770">
        <f t="shared" si="277"/>
        <v>43</v>
      </c>
      <c r="AT123" s="714">
        <f t="shared" si="277"/>
        <v>0</v>
      </c>
      <c r="AU123" s="705">
        <f>ROUND(((AT123/AS123-1)*100), 1)</f>
        <v>-100</v>
      </c>
      <c r="AV123" s="992">
        <v>1184</v>
      </c>
      <c r="AW123" s="990">
        <v>0</v>
      </c>
      <c r="AX123" s="705">
        <f>ROUND(((AW123/AV123-1)*100), 1)</f>
        <v>-100</v>
      </c>
      <c r="AY123" s="770">
        <f t="shared" si="280"/>
        <v>85</v>
      </c>
      <c r="AZ123" s="714">
        <f t="shared" si="281"/>
        <v>0</v>
      </c>
      <c r="BA123" s="705">
        <f>ROUND(((AZ123/AY123-1)*100), 1)</f>
        <v>-100</v>
      </c>
      <c r="BB123" s="770">
        <v>1269</v>
      </c>
      <c r="BC123" s="714">
        <v>0</v>
      </c>
      <c r="BD123" s="705">
        <f>ROUND(((BC123/BB123-1)*100), 1)</f>
        <v>-100</v>
      </c>
      <c r="BE123" s="770">
        <f t="shared" si="284"/>
        <v>0</v>
      </c>
      <c r="BF123" s="714">
        <f t="shared" si="284"/>
        <v>0</v>
      </c>
      <c r="BG123" s="751">
        <v>0</v>
      </c>
      <c r="BH123" s="770">
        <v>1269</v>
      </c>
      <c r="BI123" s="714">
        <v>0</v>
      </c>
      <c r="BJ123" s="705">
        <f>ROUND(((BI123/BH123-1)*100), 1)</f>
        <v>-100</v>
      </c>
      <c r="BK123" s="770">
        <f t="shared" si="287"/>
        <v>0</v>
      </c>
      <c r="BL123" s="714">
        <f t="shared" si="287"/>
        <v>0</v>
      </c>
      <c r="BM123" s="751">
        <v>0</v>
      </c>
      <c r="BN123" s="770">
        <v>1269</v>
      </c>
      <c r="BO123" s="714">
        <v>0</v>
      </c>
      <c r="BP123" s="705">
        <f>ROUND(((BO123/BN123-1)*100), 1)</f>
        <v>-100</v>
      </c>
      <c r="BQ123" s="770">
        <f t="shared" si="290"/>
        <v>0</v>
      </c>
      <c r="BR123" s="714">
        <f t="shared" si="290"/>
        <v>0</v>
      </c>
      <c r="BS123" s="751">
        <v>0</v>
      </c>
      <c r="BT123" s="770">
        <v>1269</v>
      </c>
      <c r="BU123" s="714">
        <v>0</v>
      </c>
      <c r="BV123" s="705">
        <f>ROUND(((BU123/BT123-1)*100), 1)</f>
        <v>-100</v>
      </c>
    </row>
    <row r="124" spans="1:74">
      <c r="A124" s="96"/>
      <c r="B124" s="1176"/>
      <c r="C124" s="105" t="s">
        <v>54</v>
      </c>
      <c r="D124" s="98">
        <v>238</v>
      </c>
      <c r="E124" s="98">
        <v>322</v>
      </c>
      <c r="F124" s="98">
        <v>420</v>
      </c>
      <c r="G124" s="98">
        <v>796</v>
      </c>
      <c r="H124" s="98">
        <v>1471</v>
      </c>
      <c r="I124" s="98">
        <v>1257</v>
      </c>
      <c r="J124" s="98">
        <v>874</v>
      </c>
      <c r="K124" s="98">
        <v>609</v>
      </c>
      <c r="L124" s="417">
        <v>54</v>
      </c>
      <c r="M124" s="386">
        <v>19</v>
      </c>
      <c r="N124" s="265">
        <f t="shared" si="258"/>
        <v>-64.8</v>
      </c>
      <c r="O124" s="417">
        <f t="shared" si="259"/>
        <v>37</v>
      </c>
      <c r="P124" s="386">
        <f t="shared" si="259"/>
        <v>79</v>
      </c>
      <c r="Q124" s="265">
        <f>ROUND(((P124/O124-1)*100), 1)</f>
        <v>113.5</v>
      </c>
      <c r="R124" s="417">
        <v>91</v>
      </c>
      <c r="S124" s="386">
        <v>98</v>
      </c>
      <c r="T124" s="265">
        <f>ROUND(((S124/R124-1)*100), 1)</f>
        <v>7.7</v>
      </c>
      <c r="U124" s="417">
        <f t="shared" si="262"/>
        <v>52</v>
      </c>
      <c r="V124" s="386">
        <f t="shared" si="263"/>
        <v>56</v>
      </c>
      <c r="W124" s="265">
        <f>ROUND(((V124/U124-1)*100), 1)</f>
        <v>7.7</v>
      </c>
      <c r="X124" s="417">
        <v>143</v>
      </c>
      <c r="Y124" s="386">
        <v>154</v>
      </c>
      <c r="Z124" s="265">
        <f>ROUND(((Y124/X124-1)*100), 1)</f>
        <v>7.7</v>
      </c>
      <c r="AA124" s="417">
        <f t="shared" si="266"/>
        <v>86</v>
      </c>
      <c r="AB124" s="386">
        <f t="shared" si="267"/>
        <v>53</v>
      </c>
      <c r="AC124" s="265">
        <f>ROUND(((AB124/AA124-1)*100), 1)</f>
        <v>-38.4</v>
      </c>
      <c r="AD124" s="417">
        <v>229</v>
      </c>
      <c r="AE124" s="386">
        <v>207</v>
      </c>
      <c r="AF124" s="265">
        <f>ROUND(((AE124/AD124-1)*100), 1)</f>
        <v>-9.6</v>
      </c>
      <c r="AG124" s="417">
        <f t="shared" si="270"/>
        <v>53</v>
      </c>
      <c r="AH124" s="386">
        <f t="shared" si="270"/>
        <v>37</v>
      </c>
      <c r="AI124" s="265">
        <f>ROUND(((AH124/AG124-1)*100), 1)</f>
        <v>-30.2</v>
      </c>
      <c r="AJ124" s="417">
        <v>282</v>
      </c>
      <c r="AK124" s="386">
        <v>244</v>
      </c>
      <c r="AL124" s="265">
        <f>ROUND(((AK124/AJ124-1)*100), 1)</f>
        <v>-13.5</v>
      </c>
      <c r="AM124" s="722">
        <f t="shared" si="273"/>
        <v>20</v>
      </c>
      <c r="AN124" s="714">
        <f t="shared" si="274"/>
        <v>41</v>
      </c>
      <c r="AO124" s="705">
        <f t="shared" si="275"/>
        <v>105</v>
      </c>
      <c r="AP124" s="770">
        <v>302</v>
      </c>
      <c r="AQ124" s="714">
        <v>285</v>
      </c>
      <c r="AR124" s="705">
        <f>ROUND(((AQ124/AP124-1)*100), 1)</f>
        <v>-5.6</v>
      </c>
      <c r="AS124" s="770">
        <f t="shared" si="277"/>
        <v>74</v>
      </c>
      <c r="AT124" s="714">
        <f t="shared" si="277"/>
        <v>37</v>
      </c>
      <c r="AU124" s="705">
        <f>ROUND(((AT124/AS124-1)*100), 1)</f>
        <v>-50</v>
      </c>
      <c r="AV124" s="992">
        <v>376</v>
      </c>
      <c r="AW124" s="990">
        <v>322</v>
      </c>
      <c r="AX124" s="705">
        <f>ROUND(((AW124/AV124-1)*100), 1)</f>
        <v>-14.4</v>
      </c>
      <c r="AY124" s="770">
        <f t="shared" si="280"/>
        <v>37</v>
      </c>
      <c r="AZ124" s="714">
        <f t="shared" si="281"/>
        <v>36</v>
      </c>
      <c r="BA124" s="705">
        <f>ROUND(((AZ124/AY124-1)*100), 1)</f>
        <v>-2.7</v>
      </c>
      <c r="BB124" s="770">
        <v>413</v>
      </c>
      <c r="BC124" s="714">
        <v>358</v>
      </c>
      <c r="BD124" s="705">
        <f>ROUND(((BC124/BB124-1)*100), 1)</f>
        <v>-13.3</v>
      </c>
      <c r="BE124" s="770">
        <f t="shared" si="284"/>
        <v>36</v>
      </c>
      <c r="BF124" s="714">
        <f t="shared" si="284"/>
        <v>20</v>
      </c>
      <c r="BG124" s="705">
        <f>ROUND(((BF124/BE124-1)*100), 1)</f>
        <v>-44.4</v>
      </c>
      <c r="BH124" s="770">
        <v>449</v>
      </c>
      <c r="BI124" s="714">
        <v>378</v>
      </c>
      <c r="BJ124" s="705">
        <f>ROUND(((BI124/BH124-1)*100), 1)</f>
        <v>-15.8</v>
      </c>
      <c r="BK124" s="770">
        <f t="shared" si="287"/>
        <v>33</v>
      </c>
      <c r="BL124" s="714">
        <f t="shared" si="287"/>
        <v>53</v>
      </c>
      <c r="BM124" s="705">
        <f>ROUND(((BL124/BK124-1)*100), 1)</f>
        <v>60.6</v>
      </c>
      <c r="BN124" s="770">
        <v>482</v>
      </c>
      <c r="BO124" s="714">
        <v>431</v>
      </c>
      <c r="BP124" s="705">
        <f>ROUND(((BO124/BN124-1)*100), 1)</f>
        <v>-10.6</v>
      </c>
      <c r="BQ124" s="770">
        <f t="shared" si="290"/>
        <v>20</v>
      </c>
      <c r="BR124" s="714">
        <f t="shared" si="290"/>
        <v>73</v>
      </c>
      <c r="BS124" s="705">
        <f>ROUND(((BR124/BQ124-1)*100), 1)</f>
        <v>265</v>
      </c>
      <c r="BT124" s="770">
        <v>502</v>
      </c>
      <c r="BU124" s="714">
        <v>504</v>
      </c>
      <c r="BV124" s="705">
        <f>ROUND(((BU124/BT124-1)*100), 1)</f>
        <v>0.4</v>
      </c>
    </row>
    <row r="125" spans="1:74" s="291" customFormat="1">
      <c r="A125" s="434"/>
      <c r="B125" s="1176"/>
      <c r="C125" s="105" t="s">
        <v>474</v>
      </c>
      <c r="D125" s="98">
        <v>0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105</v>
      </c>
      <c r="K125" s="98">
        <v>460</v>
      </c>
      <c r="L125" s="417">
        <v>78</v>
      </c>
      <c r="M125" s="386">
        <v>0</v>
      </c>
      <c r="N125" s="265">
        <f t="shared" si="258"/>
        <v>-100</v>
      </c>
      <c r="O125" s="417">
        <f t="shared" si="259"/>
        <v>0</v>
      </c>
      <c r="P125" s="386">
        <f t="shared" si="259"/>
        <v>0</v>
      </c>
      <c r="Q125" s="523">
        <v>0</v>
      </c>
      <c r="R125" s="417">
        <v>78</v>
      </c>
      <c r="S125" s="386">
        <v>0</v>
      </c>
      <c r="T125" s="265">
        <f>ROUND(((S125/R125-1)*100), 1)</f>
        <v>-100</v>
      </c>
      <c r="U125" s="417">
        <f t="shared" si="262"/>
        <v>19</v>
      </c>
      <c r="V125" s="386">
        <f t="shared" si="263"/>
        <v>0</v>
      </c>
      <c r="W125" s="265">
        <f>ROUND(((V125/U125-1)*100), 1)</f>
        <v>-100</v>
      </c>
      <c r="X125" s="417">
        <v>97</v>
      </c>
      <c r="Y125" s="386">
        <v>0</v>
      </c>
      <c r="Z125" s="265">
        <f>ROUND(((Y125/X125-1)*100), 1)</f>
        <v>-100</v>
      </c>
      <c r="AA125" s="417">
        <f t="shared" si="266"/>
        <v>0</v>
      </c>
      <c r="AB125" s="386">
        <f t="shared" si="267"/>
        <v>0</v>
      </c>
      <c r="AC125" s="523">
        <v>0</v>
      </c>
      <c r="AD125" s="417">
        <v>97</v>
      </c>
      <c r="AE125" s="386">
        <v>0</v>
      </c>
      <c r="AF125" s="265">
        <f>ROUND(((AE125/AD125-1)*100), 1)</f>
        <v>-100</v>
      </c>
      <c r="AG125" s="417">
        <f t="shared" si="270"/>
        <v>100</v>
      </c>
      <c r="AH125" s="386">
        <f t="shared" si="270"/>
        <v>0</v>
      </c>
      <c r="AI125" s="265">
        <f>ROUND(((AH125/AG125-1)*100), 1)</f>
        <v>-100</v>
      </c>
      <c r="AJ125" s="417">
        <v>197</v>
      </c>
      <c r="AK125" s="386">
        <v>0</v>
      </c>
      <c r="AL125" s="265">
        <f>ROUND(((AK125/AJ125-1)*100), 1)</f>
        <v>-100</v>
      </c>
      <c r="AM125" s="722">
        <f t="shared" si="273"/>
        <v>0</v>
      </c>
      <c r="AN125" s="714">
        <f t="shared" si="274"/>
        <v>0</v>
      </c>
      <c r="AO125" s="751">
        <v>0</v>
      </c>
      <c r="AP125" s="770">
        <v>197</v>
      </c>
      <c r="AQ125" s="714">
        <v>0</v>
      </c>
      <c r="AR125" s="705">
        <f>ROUND(((AQ125/AP125-1)*100), 1)</f>
        <v>-100</v>
      </c>
      <c r="AS125" s="770">
        <f t="shared" si="277"/>
        <v>50</v>
      </c>
      <c r="AT125" s="714">
        <f t="shared" si="277"/>
        <v>0</v>
      </c>
      <c r="AU125" s="710">
        <f>ROUND(((AT125/AS125-1)*100), 1)</f>
        <v>-100</v>
      </c>
      <c r="AV125" s="992">
        <v>247</v>
      </c>
      <c r="AW125" s="990">
        <v>0</v>
      </c>
      <c r="AX125" s="705">
        <f>ROUND(((AW125/AV125-1)*100), 1)</f>
        <v>-100</v>
      </c>
      <c r="AY125" s="770">
        <f t="shared" si="280"/>
        <v>0</v>
      </c>
      <c r="AZ125" s="714">
        <f t="shared" si="281"/>
        <v>0</v>
      </c>
      <c r="BA125" s="751">
        <v>0</v>
      </c>
      <c r="BB125" s="770">
        <v>247</v>
      </c>
      <c r="BC125" s="714">
        <v>0</v>
      </c>
      <c r="BD125" s="705">
        <f>ROUND(((BC125/BB125-1)*100), 1)</f>
        <v>-100</v>
      </c>
      <c r="BE125" s="770">
        <f t="shared" si="284"/>
        <v>0</v>
      </c>
      <c r="BF125" s="714">
        <f t="shared" si="284"/>
        <v>0</v>
      </c>
      <c r="BG125" s="751">
        <v>0</v>
      </c>
      <c r="BH125" s="770">
        <v>247</v>
      </c>
      <c r="BI125" s="714">
        <v>0</v>
      </c>
      <c r="BJ125" s="705">
        <f>ROUND(((BI125/BH125-1)*100), 1)</f>
        <v>-100</v>
      </c>
      <c r="BK125" s="770">
        <f t="shared" si="287"/>
        <v>0</v>
      </c>
      <c r="BL125" s="714">
        <f t="shared" si="287"/>
        <v>198</v>
      </c>
      <c r="BM125" s="751">
        <v>0</v>
      </c>
      <c r="BN125" s="770">
        <v>247</v>
      </c>
      <c r="BO125" s="714">
        <v>198</v>
      </c>
      <c r="BP125" s="705">
        <f>ROUND(((BO125/BN125-1)*100), 1)</f>
        <v>-19.8</v>
      </c>
      <c r="BQ125" s="770">
        <f t="shared" si="290"/>
        <v>104</v>
      </c>
      <c r="BR125" s="714">
        <f t="shared" si="290"/>
        <v>0</v>
      </c>
      <c r="BS125" s="705">
        <f t="shared" ref="BS125" si="295">ROUND(((BR125/BQ125-1)*100), 1)</f>
        <v>-100</v>
      </c>
      <c r="BT125" s="770">
        <v>351</v>
      </c>
      <c r="BU125" s="714">
        <v>198</v>
      </c>
      <c r="BV125" s="705">
        <f>ROUND(((BU125/BT125-1)*100), 1)</f>
        <v>-43.6</v>
      </c>
    </row>
    <row r="126" spans="1:74">
      <c r="A126" s="96"/>
      <c r="B126" s="1176"/>
      <c r="C126" s="105" t="s">
        <v>53</v>
      </c>
      <c r="D126" s="98">
        <v>2</v>
      </c>
      <c r="E126" s="98">
        <v>547</v>
      </c>
      <c r="F126" s="98">
        <v>277</v>
      </c>
      <c r="G126" s="98">
        <v>227</v>
      </c>
      <c r="H126" s="98">
        <v>384</v>
      </c>
      <c r="I126" s="98">
        <v>879</v>
      </c>
      <c r="J126" s="98">
        <v>504</v>
      </c>
      <c r="K126" s="98">
        <v>265</v>
      </c>
      <c r="L126" s="417">
        <v>0</v>
      </c>
      <c r="M126" s="386">
        <v>95</v>
      </c>
      <c r="N126" s="179">
        <v>0</v>
      </c>
      <c r="O126" s="417">
        <f t="shared" si="259"/>
        <v>9</v>
      </c>
      <c r="P126" s="386">
        <f t="shared" si="259"/>
        <v>74</v>
      </c>
      <c r="Q126" s="265">
        <f>ROUND(((P126/O126-1)*100), 1)</f>
        <v>722.2</v>
      </c>
      <c r="R126" s="417">
        <v>9</v>
      </c>
      <c r="S126" s="386">
        <v>169</v>
      </c>
      <c r="T126" s="265">
        <f>ROUND(((S126/R126-1)*100), 1)</f>
        <v>1777.8</v>
      </c>
      <c r="U126" s="417">
        <f t="shared" si="262"/>
        <v>44</v>
      </c>
      <c r="V126" s="386">
        <f t="shared" si="263"/>
        <v>66</v>
      </c>
      <c r="W126" s="265">
        <f>ROUND(((V126/U126-1)*100), 1)</f>
        <v>50</v>
      </c>
      <c r="X126" s="417">
        <v>53</v>
      </c>
      <c r="Y126" s="386">
        <v>235</v>
      </c>
      <c r="Z126" s="265">
        <f>ROUND(((Y126/X126-1)*100), 1)</f>
        <v>343.4</v>
      </c>
      <c r="AA126" s="417">
        <f t="shared" si="266"/>
        <v>0</v>
      </c>
      <c r="AB126" s="386">
        <f t="shared" si="267"/>
        <v>18</v>
      </c>
      <c r="AC126" s="523">
        <v>0</v>
      </c>
      <c r="AD126" s="417">
        <v>53</v>
      </c>
      <c r="AE126" s="386">
        <v>253</v>
      </c>
      <c r="AF126" s="265">
        <f>ROUND(((AE126/AD126-1)*100), 1)</f>
        <v>377.4</v>
      </c>
      <c r="AG126" s="417">
        <f t="shared" si="270"/>
        <v>0</v>
      </c>
      <c r="AH126" s="386">
        <f t="shared" si="270"/>
        <v>8</v>
      </c>
      <c r="AI126" s="523">
        <v>0</v>
      </c>
      <c r="AJ126" s="417">
        <v>53</v>
      </c>
      <c r="AK126" s="386">
        <v>261</v>
      </c>
      <c r="AL126" s="265">
        <f>ROUND(((AK126/AJ126-1)*100), 1)</f>
        <v>392.5</v>
      </c>
      <c r="AM126" s="722">
        <f t="shared" si="273"/>
        <v>0</v>
      </c>
      <c r="AN126" s="714">
        <f t="shared" si="274"/>
        <v>22</v>
      </c>
      <c r="AO126" s="695">
        <v>0</v>
      </c>
      <c r="AP126" s="770">
        <v>53</v>
      </c>
      <c r="AQ126" s="714">
        <v>283</v>
      </c>
      <c r="AR126" s="705">
        <f>ROUND(((AQ126/AP126-1)*100), 1)</f>
        <v>434</v>
      </c>
      <c r="AS126" s="770">
        <f t="shared" si="277"/>
        <v>0</v>
      </c>
      <c r="AT126" s="714">
        <f t="shared" si="277"/>
        <v>2</v>
      </c>
      <c r="AU126" s="751">
        <v>0</v>
      </c>
      <c r="AV126" s="992">
        <v>53</v>
      </c>
      <c r="AW126" s="990">
        <v>285</v>
      </c>
      <c r="AX126" s="705">
        <f>ROUND(((AW126/AV126-1)*100), 1)</f>
        <v>437.7</v>
      </c>
      <c r="AY126" s="770">
        <f t="shared" si="280"/>
        <v>19</v>
      </c>
      <c r="AZ126" s="714">
        <f t="shared" si="281"/>
        <v>0</v>
      </c>
      <c r="BA126" s="705">
        <f t="shared" ref="BA126:BA127" si="296">ROUND(((AZ126/AY126-1)*100), 1)</f>
        <v>-100</v>
      </c>
      <c r="BB126" s="770">
        <v>72</v>
      </c>
      <c r="BC126" s="714">
        <v>285</v>
      </c>
      <c r="BD126" s="705">
        <f>ROUND(((BC126/BB126-1)*100), 1)</f>
        <v>295.8</v>
      </c>
      <c r="BE126" s="770">
        <f t="shared" si="284"/>
        <v>0</v>
      </c>
      <c r="BF126" s="714">
        <f t="shared" si="284"/>
        <v>0</v>
      </c>
      <c r="BG126" s="751">
        <v>0</v>
      </c>
      <c r="BH126" s="770">
        <v>72</v>
      </c>
      <c r="BI126" s="714">
        <v>285</v>
      </c>
      <c r="BJ126" s="705">
        <f>ROUND(((BI126/BH126-1)*100), 1)</f>
        <v>295.8</v>
      </c>
      <c r="BK126" s="770">
        <f t="shared" si="287"/>
        <v>22</v>
      </c>
      <c r="BL126" s="714">
        <f t="shared" si="287"/>
        <v>42</v>
      </c>
      <c r="BM126" s="753">
        <f>ROUND(((BL126/BK126-1)*100), 1)</f>
        <v>90.9</v>
      </c>
      <c r="BN126" s="770">
        <v>94</v>
      </c>
      <c r="BO126" s="714">
        <v>327</v>
      </c>
      <c r="BP126" s="705">
        <f>ROUND(((BO126/BN126-1)*100), 1)</f>
        <v>247.9</v>
      </c>
      <c r="BQ126" s="770">
        <f t="shared" si="290"/>
        <v>39</v>
      </c>
      <c r="BR126" s="714">
        <f t="shared" si="290"/>
        <v>0</v>
      </c>
      <c r="BS126" s="753">
        <f>ROUND(((BR126/BQ126-1)*100), 1)</f>
        <v>-100</v>
      </c>
      <c r="BT126" s="770">
        <v>133</v>
      </c>
      <c r="BU126" s="714">
        <v>327</v>
      </c>
      <c r="BV126" s="705">
        <f>ROUND(((BU126/BT126-1)*100), 1)</f>
        <v>145.9</v>
      </c>
    </row>
    <row r="127" spans="1:74">
      <c r="A127" s="96"/>
      <c r="B127" s="1176"/>
      <c r="C127" s="105" t="s">
        <v>57</v>
      </c>
      <c r="D127" s="98">
        <v>0</v>
      </c>
      <c r="E127" s="98">
        <v>0</v>
      </c>
      <c r="F127" s="98">
        <v>20</v>
      </c>
      <c r="G127" s="98">
        <v>0</v>
      </c>
      <c r="H127" s="98">
        <v>125</v>
      </c>
      <c r="I127" s="98">
        <v>21</v>
      </c>
      <c r="J127" s="98">
        <v>68</v>
      </c>
      <c r="K127" s="98">
        <v>42</v>
      </c>
      <c r="L127" s="417">
        <v>0</v>
      </c>
      <c r="M127" s="386">
        <v>0</v>
      </c>
      <c r="N127" s="179">
        <v>0</v>
      </c>
      <c r="O127" s="417">
        <f t="shared" si="259"/>
        <v>0</v>
      </c>
      <c r="P127" s="386">
        <f t="shared" si="259"/>
        <v>0</v>
      </c>
      <c r="Q127" s="179">
        <v>0</v>
      </c>
      <c r="R127" s="417">
        <v>0</v>
      </c>
      <c r="S127" s="386">
        <v>0</v>
      </c>
      <c r="T127" s="179">
        <v>0</v>
      </c>
      <c r="U127" s="417">
        <f t="shared" si="262"/>
        <v>0</v>
      </c>
      <c r="V127" s="386">
        <f t="shared" si="263"/>
        <v>0</v>
      </c>
      <c r="W127" s="179">
        <v>0</v>
      </c>
      <c r="X127" s="417">
        <v>0</v>
      </c>
      <c r="Y127" s="386">
        <v>0</v>
      </c>
      <c r="Z127" s="179">
        <v>0</v>
      </c>
      <c r="AA127" s="417">
        <f t="shared" si="266"/>
        <v>0</v>
      </c>
      <c r="AB127" s="386">
        <f t="shared" si="267"/>
        <v>20</v>
      </c>
      <c r="AC127" s="523">
        <v>0</v>
      </c>
      <c r="AD127" s="417">
        <v>0</v>
      </c>
      <c r="AE127" s="386">
        <v>20</v>
      </c>
      <c r="AF127" s="523">
        <v>0</v>
      </c>
      <c r="AG127" s="417">
        <f t="shared" si="270"/>
        <v>0</v>
      </c>
      <c r="AH127" s="386">
        <f t="shared" si="270"/>
        <v>0</v>
      </c>
      <c r="AI127" s="523">
        <v>0</v>
      </c>
      <c r="AJ127" s="417">
        <v>0</v>
      </c>
      <c r="AK127" s="386">
        <v>20</v>
      </c>
      <c r="AL127" s="523">
        <v>0</v>
      </c>
      <c r="AM127" s="722">
        <f t="shared" si="273"/>
        <v>0</v>
      </c>
      <c r="AN127" s="714">
        <f t="shared" si="274"/>
        <v>0</v>
      </c>
      <c r="AO127" s="695">
        <v>0</v>
      </c>
      <c r="AP127" s="770">
        <v>0</v>
      </c>
      <c r="AQ127" s="714">
        <v>20</v>
      </c>
      <c r="AR127" s="695">
        <v>0</v>
      </c>
      <c r="AS127" s="770">
        <f t="shared" si="277"/>
        <v>0</v>
      </c>
      <c r="AT127" s="714">
        <f t="shared" si="277"/>
        <v>0</v>
      </c>
      <c r="AU127" s="751">
        <v>0</v>
      </c>
      <c r="AV127" s="992">
        <v>0</v>
      </c>
      <c r="AW127" s="990">
        <v>20</v>
      </c>
      <c r="AX127" s="751">
        <v>0</v>
      </c>
      <c r="AY127" s="770">
        <f t="shared" si="280"/>
        <v>42</v>
      </c>
      <c r="AZ127" s="714">
        <f t="shared" si="281"/>
        <v>20</v>
      </c>
      <c r="BA127" s="705">
        <f t="shared" si="296"/>
        <v>-52.4</v>
      </c>
      <c r="BB127" s="770">
        <v>42</v>
      </c>
      <c r="BC127" s="714">
        <v>40</v>
      </c>
      <c r="BD127" s="751">
        <v>0</v>
      </c>
      <c r="BE127" s="770">
        <f t="shared" si="284"/>
        <v>0</v>
      </c>
      <c r="BF127" s="714">
        <f t="shared" si="284"/>
        <v>0</v>
      </c>
      <c r="BG127" s="751">
        <v>0</v>
      </c>
      <c r="BH127" s="770">
        <v>42</v>
      </c>
      <c r="BI127" s="714">
        <v>40</v>
      </c>
      <c r="BJ127" s="705">
        <f t="shared" ref="BJ127" si="297">ROUND(((BI127/BH127-1)*100), 1)</f>
        <v>-4.8</v>
      </c>
      <c r="BK127" s="770">
        <f t="shared" si="287"/>
        <v>0</v>
      </c>
      <c r="BL127" s="714">
        <f t="shared" si="287"/>
        <v>0</v>
      </c>
      <c r="BM127" s="751">
        <v>0</v>
      </c>
      <c r="BN127" s="770">
        <v>42</v>
      </c>
      <c r="BO127" s="714">
        <v>40</v>
      </c>
      <c r="BP127" s="705">
        <f t="shared" ref="BP127" si="298">ROUND(((BO127/BN127-1)*100), 1)</f>
        <v>-4.8</v>
      </c>
      <c r="BQ127" s="770">
        <f t="shared" si="290"/>
        <v>0</v>
      </c>
      <c r="BR127" s="714">
        <f t="shared" si="290"/>
        <v>21</v>
      </c>
      <c r="BS127" s="751">
        <v>0</v>
      </c>
      <c r="BT127" s="770">
        <v>42</v>
      </c>
      <c r="BU127" s="714">
        <v>61</v>
      </c>
      <c r="BV127" s="705">
        <f>ROUND(((BU127/BT127-1)*100), 1)</f>
        <v>45.2</v>
      </c>
    </row>
    <row r="128" spans="1:74" s="173" customFormat="1">
      <c r="A128" s="338"/>
      <c r="B128" s="1176"/>
      <c r="C128" s="105" t="s">
        <v>126</v>
      </c>
      <c r="D128" s="98">
        <v>7</v>
      </c>
      <c r="E128" s="98">
        <v>0</v>
      </c>
      <c r="F128" s="98">
        <v>6</v>
      </c>
      <c r="G128" s="98">
        <v>12</v>
      </c>
      <c r="H128" s="98">
        <v>16</v>
      </c>
      <c r="I128" s="98">
        <v>20</v>
      </c>
      <c r="J128" s="98">
        <v>52</v>
      </c>
      <c r="K128" s="98">
        <v>0</v>
      </c>
      <c r="L128" s="417">
        <v>0</v>
      </c>
      <c r="M128" s="386">
        <v>0</v>
      </c>
      <c r="N128" s="179">
        <v>0</v>
      </c>
      <c r="O128" s="417">
        <f t="shared" si="259"/>
        <v>0</v>
      </c>
      <c r="P128" s="386">
        <f t="shared" si="259"/>
        <v>0</v>
      </c>
      <c r="Q128" s="179">
        <v>0</v>
      </c>
      <c r="R128" s="417">
        <v>0</v>
      </c>
      <c r="S128" s="386">
        <v>0</v>
      </c>
      <c r="T128" s="179">
        <v>0</v>
      </c>
      <c r="U128" s="417">
        <f t="shared" si="262"/>
        <v>0</v>
      </c>
      <c r="V128" s="386">
        <f t="shared" si="263"/>
        <v>0</v>
      </c>
      <c r="W128" s="179">
        <v>0</v>
      </c>
      <c r="X128" s="417">
        <v>0</v>
      </c>
      <c r="Y128" s="386">
        <v>0</v>
      </c>
      <c r="Z128" s="179">
        <v>0</v>
      </c>
      <c r="AA128" s="417">
        <f t="shared" si="266"/>
        <v>0</v>
      </c>
      <c r="AB128" s="386">
        <f t="shared" si="267"/>
        <v>0</v>
      </c>
      <c r="AC128" s="523">
        <v>0</v>
      </c>
      <c r="AD128" s="417">
        <v>0</v>
      </c>
      <c r="AE128" s="386">
        <v>0</v>
      </c>
      <c r="AF128" s="523">
        <v>0</v>
      </c>
      <c r="AG128" s="417">
        <f t="shared" si="270"/>
        <v>0</v>
      </c>
      <c r="AH128" s="386">
        <f t="shared" si="270"/>
        <v>0</v>
      </c>
      <c r="AI128" s="523">
        <v>0</v>
      </c>
      <c r="AJ128" s="417">
        <v>0</v>
      </c>
      <c r="AK128" s="386">
        <v>0</v>
      </c>
      <c r="AL128" s="523">
        <v>0</v>
      </c>
      <c r="AM128" s="722">
        <f t="shared" si="273"/>
        <v>0</v>
      </c>
      <c r="AN128" s="714">
        <f t="shared" si="274"/>
        <v>0</v>
      </c>
      <c r="AO128" s="695">
        <v>0</v>
      </c>
      <c r="AP128" s="770">
        <v>0</v>
      </c>
      <c r="AQ128" s="714">
        <v>0</v>
      </c>
      <c r="AR128" s="695">
        <v>0</v>
      </c>
      <c r="AS128" s="770">
        <f t="shared" si="277"/>
        <v>0</v>
      </c>
      <c r="AT128" s="714">
        <f t="shared" si="277"/>
        <v>0</v>
      </c>
      <c r="AU128" s="751">
        <v>0</v>
      </c>
      <c r="AV128" s="992">
        <v>0</v>
      </c>
      <c r="AW128" s="990">
        <v>0</v>
      </c>
      <c r="AX128" s="751">
        <v>0</v>
      </c>
      <c r="AY128" s="770">
        <f t="shared" si="280"/>
        <v>0</v>
      </c>
      <c r="AZ128" s="714">
        <f t="shared" si="281"/>
        <v>0</v>
      </c>
      <c r="BA128" s="751">
        <v>0</v>
      </c>
      <c r="BB128" s="770">
        <v>0</v>
      </c>
      <c r="BC128" s="714">
        <v>0</v>
      </c>
      <c r="BD128" s="751">
        <v>0</v>
      </c>
      <c r="BE128" s="770">
        <f t="shared" si="284"/>
        <v>0</v>
      </c>
      <c r="BF128" s="714">
        <f t="shared" si="284"/>
        <v>0</v>
      </c>
      <c r="BG128" s="751">
        <v>0</v>
      </c>
      <c r="BH128" s="770">
        <v>0</v>
      </c>
      <c r="BI128" s="714">
        <v>0</v>
      </c>
      <c r="BJ128" s="751">
        <v>0</v>
      </c>
      <c r="BK128" s="770">
        <f t="shared" si="287"/>
        <v>0</v>
      </c>
      <c r="BL128" s="714">
        <f t="shared" si="287"/>
        <v>0</v>
      </c>
      <c r="BM128" s="751">
        <v>0</v>
      </c>
      <c r="BN128" s="770">
        <v>0</v>
      </c>
      <c r="BO128" s="714">
        <v>0</v>
      </c>
      <c r="BP128" s="751">
        <v>0</v>
      </c>
      <c r="BQ128" s="770">
        <f t="shared" si="290"/>
        <v>0</v>
      </c>
      <c r="BR128" s="714">
        <f t="shared" si="290"/>
        <v>0</v>
      </c>
      <c r="BS128" s="751">
        <v>0</v>
      </c>
      <c r="BT128" s="770">
        <v>0</v>
      </c>
      <c r="BU128" s="714">
        <v>0</v>
      </c>
      <c r="BV128" s="751">
        <v>0</v>
      </c>
    </row>
    <row r="129" spans="1:74">
      <c r="A129" s="96"/>
      <c r="B129" s="1176"/>
      <c r="C129" s="105" t="s">
        <v>24</v>
      </c>
      <c r="D129" s="98">
        <f t="shared" ref="D129:M129" si="299">D130-SUM(D111:D128)</f>
        <v>428</v>
      </c>
      <c r="E129" s="98">
        <f t="shared" si="299"/>
        <v>5139</v>
      </c>
      <c r="F129" s="98">
        <f t="shared" si="299"/>
        <v>2728</v>
      </c>
      <c r="G129" s="98">
        <f t="shared" si="299"/>
        <v>798</v>
      </c>
      <c r="H129" s="98">
        <f t="shared" si="299"/>
        <v>1620</v>
      </c>
      <c r="I129" s="98">
        <f t="shared" si="299"/>
        <v>2119</v>
      </c>
      <c r="J129" s="98">
        <f t="shared" si="299"/>
        <v>1224</v>
      </c>
      <c r="K129" s="98">
        <f t="shared" si="299"/>
        <v>190</v>
      </c>
      <c r="L129" s="417">
        <f t="shared" si="299"/>
        <v>7</v>
      </c>
      <c r="M129" s="386">
        <f t="shared" si="299"/>
        <v>78</v>
      </c>
      <c r="N129" s="265">
        <f>ROUND(((M129/L129-1)*100), 1)</f>
        <v>1014.3</v>
      </c>
      <c r="O129" s="417">
        <f>O130-SUM(O111:O128)</f>
        <v>11</v>
      </c>
      <c r="P129" s="386">
        <f>P130-SUM(P111:P128)</f>
        <v>97</v>
      </c>
      <c r="Q129" s="265">
        <f t="shared" ref="Q129:Q137" si="300">ROUND(((P129/O129-1)*100), 1)</f>
        <v>781.8</v>
      </c>
      <c r="R129" s="417">
        <f>R130-SUM(R111:R128)</f>
        <v>18</v>
      </c>
      <c r="S129" s="386">
        <f>S130-SUM(S111:S128)</f>
        <v>175</v>
      </c>
      <c r="T129" s="265">
        <f t="shared" ref="T129:T137" si="301">ROUND(((S129/R129-1)*100), 1)</f>
        <v>872.2</v>
      </c>
      <c r="U129" s="417">
        <f>U130-SUM(U111:U128)</f>
        <v>0</v>
      </c>
      <c r="V129" s="386">
        <f>V130-SUM(V111:V128)</f>
        <v>107</v>
      </c>
      <c r="W129" s="525">
        <v>0</v>
      </c>
      <c r="X129" s="417">
        <f>X130-SUM(X111:X128)</f>
        <v>18</v>
      </c>
      <c r="Y129" s="386">
        <f>Y130-SUM(Y111:Y128)</f>
        <v>282</v>
      </c>
      <c r="Z129" s="265">
        <f t="shared" ref="Z129:Z138" si="302">ROUND(((Y129/X129-1)*100), 1)</f>
        <v>1466.7</v>
      </c>
      <c r="AA129" s="417">
        <f>AA130-SUM(AA111:AA128)</f>
        <v>2</v>
      </c>
      <c r="AB129" s="386">
        <f>AB130-SUM(AB111:AB128)</f>
        <v>21</v>
      </c>
      <c r="AC129" s="265">
        <f t="shared" ref="AC129" si="303">ROUND(((AB129/AA129-1)*100), 1)</f>
        <v>950</v>
      </c>
      <c r="AD129" s="417">
        <f>AD130-SUM(AD111:AD128)</f>
        <v>20</v>
      </c>
      <c r="AE129" s="386">
        <f>AE130-SUM(AE111:AE128)</f>
        <v>303</v>
      </c>
      <c r="AF129" s="265">
        <f t="shared" ref="AF129:AF138" si="304">ROUND(((AE129/AD129-1)*100), 1)</f>
        <v>1415</v>
      </c>
      <c r="AG129" s="417">
        <f>AG130-SUM(AG111:AG128)</f>
        <v>1</v>
      </c>
      <c r="AH129" s="386">
        <f>AH130-SUM(AH111:AH128)</f>
        <v>2</v>
      </c>
      <c r="AI129" s="265">
        <f t="shared" ref="AI129:AI138" si="305">ROUND(((AH129/AG129-1)*100), 1)</f>
        <v>100</v>
      </c>
      <c r="AJ129" s="417">
        <f>AJ130-SUM(AJ111:AJ128)</f>
        <v>21</v>
      </c>
      <c r="AK129" s="386">
        <f>AK130-SUM(AK111:AK128)</f>
        <v>305</v>
      </c>
      <c r="AL129" s="265">
        <f t="shared" ref="AL129:AL138" si="306">ROUND(((AK129/AJ129-1)*100), 1)</f>
        <v>1352.4</v>
      </c>
      <c r="AM129" s="722">
        <f>AM130-SUM(AM111:AM128)</f>
        <v>1</v>
      </c>
      <c r="AN129" s="714">
        <f>AN130-SUM(AN111:AN128)</f>
        <v>2</v>
      </c>
      <c r="AO129" s="705">
        <f t="shared" ref="AO129:AO138" si="307">ROUND(((AN129/AM129-1)*100), 1)</f>
        <v>100</v>
      </c>
      <c r="AP129" s="770">
        <f>AP130-SUM(AP111:AP128)</f>
        <v>22</v>
      </c>
      <c r="AQ129" s="714">
        <f>AQ130-SUM(AQ111:AQ128)</f>
        <v>307</v>
      </c>
      <c r="AR129" s="705">
        <f t="shared" ref="AR129:AR138" si="308">ROUND(((AQ129/AP129-1)*100), 1)</f>
        <v>1295.5</v>
      </c>
      <c r="AS129" s="770">
        <f>AS130-SUM(AS111:AS128)</f>
        <v>0</v>
      </c>
      <c r="AT129" s="714">
        <f>AT130-SUM(AT111:AT128)</f>
        <v>42</v>
      </c>
      <c r="AU129" s="708">
        <v>0</v>
      </c>
      <c r="AV129" s="992">
        <f>AV130-SUM(AV111:AV128)</f>
        <v>22</v>
      </c>
      <c r="AW129" s="990">
        <f>AW130-SUM(AW111:AW128)</f>
        <v>349</v>
      </c>
      <c r="AX129" s="705">
        <f t="shared" ref="AX129:AX147" si="309">ROUND(((AW129/AV129-1)*100), 1)</f>
        <v>1486.4</v>
      </c>
      <c r="AY129" s="770">
        <f>AY130-SUM(AY111:AY128)</f>
        <v>0</v>
      </c>
      <c r="AZ129" s="714">
        <f>AZ130-SUM(AZ111:AZ128)</f>
        <v>21</v>
      </c>
      <c r="BA129" s="708">
        <v>0</v>
      </c>
      <c r="BB129" s="770">
        <f>BB130-SUM(BB111:BB128)</f>
        <v>22</v>
      </c>
      <c r="BC129" s="714">
        <f>BC130-SUM(BC111:BC128)</f>
        <v>370</v>
      </c>
      <c r="BD129" s="705">
        <f t="shared" ref="BD129:BD147" si="310">ROUND(((BC129/BB129-1)*100), 1)</f>
        <v>1581.8</v>
      </c>
      <c r="BE129" s="770">
        <f>BE130-SUM(BE111:BE128)</f>
        <v>93</v>
      </c>
      <c r="BF129" s="714">
        <f>BF130-SUM(BF111:BF128)</f>
        <v>27</v>
      </c>
      <c r="BG129" s="705">
        <f t="shared" ref="BG129:BG136" si="311">ROUND(((BF129/BE129-1)*100), 1)</f>
        <v>-71</v>
      </c>
      <c r="BH129" s="770">
        <f>BH130-SUM(BH111:BH128)</f>
        <v>115</v>
      </c>
      <c r="BI129" s="714">
        <f>BI130-SUM(BI111:BI128)</f>
        <v>397</v>
      </c>
      <c r="BJ129" s="705">
        <f t="shared" ref="BJ129:BJ148" si="312">ROUND(((BI129/BH129-1)*100), 1)</f>
        <v>245.2</v>
      </c>
      <c r="BK129" s="770">
        <f>BK130-SUM(BK111:BK128)</f>
        <v>23</v>
      </c>
      <c r="BL129" s="714">
        <f>BL130-SUM(BL111:BL128)</f>
        <v>80</v>
      </c>
      <c r="BM129" s="705">
        <f t="shared" ref="BM129:BM136" si="313">ROUND(((BL129/BK129-1)*100), 1)</f>
        <v>247.8</v>
      </c>
      <c r="BN129" s="770">
        <f>BN130-SUM(BN111:BN128)</f>
        <v>138</v>
      </c>
      <c r="BO129" s="714">
        <f>BO130-SUM(BO111:BO128)</f>
        <v>477</v>
      </c>
      <c r="BP129" s="705">
        <f t="shared" ref="BP129:BP148" si="314">ROUND(((BO129/BN129-1)*100), 1)</f>
        <v>245.7</v>
      </c>
      <c r="BQ129" s="770">
        <f>BQ130-SUM(BQ111:BQ128)</f>
        <v>12</v>
      </c>
      <c r="BR129" s="714">
        <f>BR130-SUM(BR111:BR128)</f>
        <v>32</v>
      </c>
      <c r="BS129" s="705">
        <f>ROUND(((BR129/BQ129-1)*100), 1)</f>
        <v>166.7</v>
      </c>
      <c r="BT129" s="770">
        <f>BT130-SUM(BT111:BT128)</f>
        <v>150</v>
      </c>
      <c r="BU129" s="714">
        <f>BU130-SUM(BU111:BU128)</f>
        <v>509</v>
      </c>
      <c r="BV129" s="705">
        <f t="shared" ref="BV129:BV148" si="315">ROUND(((BU129/BT129-1)*100), 1)</f>
        <v>239.3</v>
      </c>
    </row>
    <row r="130" spans="1:74">
      <c r="A130" s="96"/>
      <c r="B130" s="1177"/>
      <c r="C130" s="45" t="s">
        <v>212</v>
      </c>
      <c r="D130" s="99">
        <v>343726</v>
      </c>
      <c r="E130" s="99">
        <v>275995</v>
      </c>
      <c r="F130" s="99">
        <v>322234</v>
      </c>
      <c r="G130" s="99">
        <v>344273</v>
      </c>
      <c r="H130" s="99">
        <v>308609</v>
      </c>
      <c r="I130" s="99">
        <v>356918</v>
      </c>
      <c r="J130" s="99">
        <v>317722</v>
      </c>
      <c r="K130" s="99">
        <v>269975</v>
      </c>
      <c r="L130" s="409">
        <v>29815</v>
      </c>
      <c r="M130" s="387">
        <v>21856</v>
      </c>
      <c r="N130" s="266">
        <f>ROUND(((M130/L130-1)*100), 1)</f>
        <v>-26.7</v>
      </c>
      <c r="O130" s="409">
        <f t="shared" ref="O130:P151" si="316">R130-L130</f>
        <v>18150</v>
      </c>
      <c r="P130" s="387">
        <f t="shared" si="316"/>
        <v>27142</v>
      </c>
      <c r="Q130" s="266">
        <f t="shared" si="300"/>
        <v>49.5</v>
      </c>
      <c r="R130" s="409">
        <v>47965</v>
      </c>
      <c r="S130" s="387">
        <v>48998</v>
      </c>
      <c r="T130" s="266">
        <f t="shared" si="301"/>
        <v>2.2000000000000002</v>
      </c>
      <c r="U130" s="409">
        <f t="shared" ref="U130:U151" si="317">X130-R130</f>
        <v>17120</v>
      </c>
      <c r="V130" s="387">
        <f t="shared" ref="V130:V151" si="318">Y130-S130</f>
        <v>21604</v>
      </c>
      <c r="W130" s="266">
        <f t="shared" ref="W130:W138" si="319">ROUND(((V130/U130-1)*100), 1)</f>
        <v>26.2</v>
      </c>
      <c r="X130" s="409">
        <v>65085</v>
      </c>
      <c r="Y130" s="387">
        <v>70602</v>
      </c>
      <c r="Z130" s="266">
        <f t="shared" si="302"/>
        <v>8.5</v>
      </c>
      <c r="AA130" s="409">
        <f t="shared" ref="AA130:AA151" si="320">AD130-X130</f>
        <v>22012</v>
      </c>
      <c r="AB130" s="387">
        <f t="shared" ref="AB130:AB151" si="321">AE130-Y130</f>
        <v>23280</v>
      </c>
      <c r="AC130" s="266">
        <f t="shared" ref="AC130:AC138" si="322">ROUND(((AB130/AA130-1)*100), 1)</f>
        <v>5.8</v>
      </c>
      <c r="AD130" s="409">
        <v>87097</v>
      </c>
      <c r="AE130" s="387">
        <v>93882</v>
      </c>
      <c r="AF130" s="266">
        <f t="shared" si="304"/>
        <v>7.8</v>
      </c>
      <c r="AG130" s="409">
        <f t="shared" ref="AG130:AH151" si="323">AJ130-AD130</f>
        <v>20887</v>
      </c>
      <c r="AH130" s="387">
        <f t="shared" si="323"/>
        <v>21272</v>
      </c>
      <c r="AI130" s="266">
        <f t="shared" si="305"/>
        <v>1.8</v>
      </c>
      <c r="AJ130" s="409">
        <v>107984</v>
      </c>
      <c r="AK130" s="387">
        <v>115154</v>
      </c>
      <c r="AL130" s="266">
        <f t="shared" si="306"/>
        <v>6.6</v>
      </c>
      <c r="AM130" s="721">
        <f t="shared" ref="AM130:AM151" si="324">AP130-AJ130</f>
        <v>18221</v>
      </c>
      <c r="AN130" s="715">
        <f t="shared" ref="AN130:AN151" si="325">AQ130-AK130</f>
        <v>21124</v>
      </c>
      <c r="AO130" s="706">
        <f t="shared" si="307"/>
        <v>15.9</v>
      </c>
      <c r="AP130" s="721">
        <v>126205</v>
      </c>
      <c r="AQ130" s="715">
        <v>136278</v>
      </c>
      <c r="AR130" s="706">
        <f t="shared" si="308"/>
        <v>8</v>
      </c>
      <c r="AS130" s="721">
        <f t="shared" ref="AS130:AT151" si="326">AV130-AP130</f>
        <v>22497</v>
      </c>
      <c r="AT130" s="715">
        <f t="shared" si="326"/>
        <v>26704</v>
      </c>
      <c r="AU130" s="706">
        <f t="shared" ref="AU130:AU138" si="327">ROUND(((AT130/AS130-1)*100), 1)</f>
        <v>18.7</v>
      </c>
      <c r="AV130" s="1010">
        <v>148702</v>
      </c>
      <c r="AW130" s="994">
        <v>162982</v>
      </c>
      <c r="AX130" s="706">
        <f t="shared" si="309"/>
        <v>9.6</v>
      </c>
      <c r="AY130" s="721">
        <f t="shared" ref="AY130:AY151" si="328">BB130-AV130</f>
        <v>25819</v>
      </c>
      <c r="AZ130" s="715">
        <f t="shared" ref="AZ130:AZ151" si="329">BC130-AW130</f>
        <v>18436</v>
      </c>
      <c r="BA130" s="706">
        <f t="shared" ref="BA130:BA134" si="330">ROUND(((AZ130/AY130-1)*100), 1)</f>
        <v>-28.6</v>
      </c>
      <c r="BB130" s="721">
        <v>174521</v>
      </c>
      <c r="BC130" s="715">
        <v>181418</v>
      </c>
      <c r="BD130" s="706">
        <f t="shared" si="310"/>
        <v>4</v>
      </c>
      <c r="BE130" s="721">
        <f t="shared" ref="BE130:BF151" si="331">BH130-BB130</f>
        <v>21637</v>
      </c>
      <c r="BF130" s="715">
        <f t="shared" si="331"/>
        <v>24645</v>
      </c>
      <c r="BG130" s="706">
        <f t="shared" si="311"/>
        <v>13.9</v>
      </c>
      <c r="BH130" s="721">
        <v>196158</v>
      </c>
      <c r="BI130" s="715">
        <v>206063</v>
      </c>
      <c r="BJ130" s="706">
        <f t="shared" si="312"/>
        <v>5</v>
      </c>
      <c r="BK130" s="721">
        <f t="shared" ref="BK130:BL151" si="332">BN130-BH130</f>
        <v>20962</v>
      </c>
      <c r="BL130" s="715">
        <f t="shared" si="332"/>
        <v>21753</v>
      </c>
      <c r="BM130" s="706">
        <f t="shared" si="313"/>
        <v>3.8</v>
      </c>
      <c r="BN130" s="721">
        <v>217120</v>
      </c>
      <c r="BO130" s="715">
        <v>227816</v>
      </c>
      <c r="BP130" s="706">
        <f t="shared" si="314"/>
        <v>4.9000000000000004</v>
      </c>
      <c r="BQ130" s="721">
        <f t="shared" ref="BQ130:BR151" si="333">BT130-BN130</f>
        <v>21158</v>
      </c>
      <c r="BR130" s="715">
        <f t="shared" si="333"/>
        <v>27119</v>
      </c>
      <c r="BS130" s="706">
        <f>ROUND(((BR130/BQ130-1)*100), 1)</f>
        <v>28.2</v>
      </c>
      <c r="BT130" s="721">
        <v>238278</v>
      </c>
      <c r="BU130" s="715">
        <v>254935</v>
      </c>
      <c r="BV130" s="706">
        <f t="shared" si="315"/>
        <v>7</v>
      </c>
    </row>
    <row r="131" spans="1:74">
      <c r="A131" s="96"/>
      <c r="B131" s="1178" t="s">
        <v>297</v>
      </c>
      <c r="C131" s="105" t="s">
        <v>64</v>
      </c>
      <c r="D131" s="98">
        <v>791</v>
      </c>
      <c r="E131" s="98">
        <v>3138</v>
      </c>
      <c r="F131" s="98">
        <v>1332</v>
      </c>
      <c r="G131" s="98">
        <v>961</v>
      </c>
      <c r="H131" s="98">
        <v>1609</v>
      </c>
      <c r="I131" s="98">
        <v>7876</v>
      </c>
      <c r="J131" s="98">
        <v>20667</v>
      </c>
      <c r="K131" s="98">
        <v>41199</v>
      </c>
      <c r="L131" s="417">
        <v>2140</v>
      </c>
      <c r="M131" s="386">
        <v>2481</v>
      </c>
      <c r="N131" s="265">
        <f t="shared" ref="N131:N136" si="334">ROUND(((M131/L131-1)*100), 1)</f>
        <v>15.9</v>
      </c>
      <c r="O131" s="417">
        <f t="shared" si="316"/>
        <v>2481</v>
      </c>
      <c r="P131" s="386">
        <f t="shared" si="316"/>
        <v>3231</v>
      </c>
      <c r="Q131" s="265">
        <f t="shared" si="300"/>
        <v>30.2</v>
      </c>
      <c r="R131" s="417">
        <v>4621</v>
      </c>
      <c r="S131" s="386">
        <v>5712</v>
      </c>
      <c r="T131" s="265">
        <f t="shared" si="301"/>
        <v>23.6</v>
      </c>
      <c r="U131" s="417">
        <f t="shared" si="317"/>
        <v>4826</v>
      </c>
      <c r="V131" s="386">
        <f t="shared" si="318"/>
        <v>2408</v>
      </c>
      <c r="W131" s="265">
        <f t="shared" si="319"/>
        <v>-50.1</v>
      </c>
      <c r="X131" s="417">
        <v>9447</v>
      </c>
      <c r="Y131" s="386">
        <v>8120</v>
      </c>
      <c r="Z131" s="265">
        <f t="shared" si="302"/>
        <v>-14</v>
      </c>
      <c r="AA131" s="417">
        <f t="shared" si="320"/>
        <v>4127</v>
      </c>
      <c r="AB131" s="386">
        <f t="shared" si="321"/>
        <v>3181</v>
      </c>
      <c r="AC131" s="265">
        <f t="shared" si="322"/>
        <v>-22.9</v>
      </c>
      <c r="AD131" s="417">
        <v>13574</v>
      </c>
      <c r="AE131" s="386">
        <v>11301</v>
      </c>
      <c r="AF131" s="265">
        <f t="shared" si="304"/>
        <v>-16.7</v>
      </c>
      <c r="AG131" s="417">
        <f t="shared" si="323"/>
        <v>3099</v>
      </c>
      <c r="AH131" s="386">
        <f t="shared" si="323"/>
        <v>2824</v>
      </c>
      <c r="AI131" s="265">
        <f t="shared" si="305"/>
        <v>-8.9</v>
      </c>
      <c r="AJ131" s="417">
        <v>16673</v>
      </c>
      <c r="AK131" s="386">
        <v>14125</v>
      </c>
      <c r="AL131" s="265">
        <f t="shared" si="306"/>
        <v>-15.3</v>
      </c>
      <c r="AM131" s="722">
        <f t="shared" si="324"/>
        <v>2993</v>
      </c>
      <c r="AN131" s="714">
        <f t="shared" si="325"/>
        <v>1409</v>
      </c>
      <c r="AO131" s="705">
        <f t="shared" si="307"/>
        <v>-52.9</v>
      </c>
      <c r="AP131" s="770">
        <v>19666</v>
      </c>
      <c r="AQ131" s="714">
        <v>15534</v>
      </c>
      <c r="AR131" s="705">
        <f t="shared" si="308"/>
        <v>-21</v>
      </c>
      <c r="AS131" s="770">
        <f t="shared" si="326"/>
        <v>3182</v>
      </c>
      <c r="AT131" s="714">
        <f t="shared" si="326"/>
        <v>500</v>
      </c>
      <c r="AU131" s="705">
        <f t="shared" si="327"/>
        <v>-84.3</v>
      </c>
      <c r="AV131" s="992">
        <v>22848</v>
      </c>
      <c r="AW131" s="990">
        <v>16034</v>
      </c>
      <c r="AX131" s="705">
        <f t="shared" si="309"/>
        <v>-29.8</v>
      </c>
      <c r="AY131" s="770">
        <f t="shared" si="328"/>
        <v>4857</v>
      </c>
      <c r="AZ131" s="714">
        <f t="shared" si="329"/>
        <v>534</v>
      </c>
      <c r="BA131" s="705">
        <f t="shared" si="330"/>
        <v>-89</v>
      </c>
      <c r="BB131" s="770">
        <v>27705</v>
      </c>
      <c r="BC131" s="714">
        <v>16568</v>
      </c>
      <c r="BD131" s="705">
        <f t="shared" si="310"/>
        <v>-40.200000000000003</v>
      </c>
      <c r="BE131" s="770">
        <f t="shared" si="331"/>
        <v>3670</v>
      </c>
      <c r="BF131" s="714">
        <f t="shared" si="331"/>
        <v>659</v>
      </c>
      <c r="BG131" s="705">
        <f t="shared" si="311"/>
        <v>-82</v>
      </c>
      <c r="BH131" s="770">
        <v>31375</v>
      </c>
      <c r="BI131" s="714">
        <v>17227</v>
      </c>
      <c r="BJ131" s="705">
        <f t="shared" si="312"/>
        <v>-45.1</v>
      </c>
      <c r="BK131" s="770">
        <f t="shared" si="332"/>
        <v>3496</v>
      </c>
      <c r="BL131" s="714">
        <f t="shared" si="332"/>
        <v>659</v>
      </c>
      <c r="BM131" s="705">
        <f t="shared" si="313"/>
        <v>-81.099999999999994</v>
      </c>
      <c r="BN131" s="770">
        <v>34871</v>
      </c>
      <c r="BO131" s="714">
        <v>17886</v>
      </c>
      <c r="BP131" s="705">
        <f t="shared" si="314"/>
        <v>-48.7</v>
      </c>
      <c r="BQ131" s="770">
        <f t="shared" si="333"/>
        <v>3696</v>
      </c>
      <c r="BR131" s="714">
        <f t="shared" si="333"/>
        <v>575</v>
      </c>
      <c r="BS131" s="705">
        <f>ROUND(((BR131/BQ131-1)*100), 1)</f>
        <v>-84.4</v>
      </c>
      <c r="BT131" s="770">
        <v>38567</v>
      </c>
      <c r="BU131" s="714">
        <v>18461</v>
      </c>
      <c r="BV131" s="705">
        <f t="shared" si="315"/>
        <v>-52.1</v>
      </c>
    </row>
    <row r="132" spans="1:74">
      <c r="A132" s="96"/>
      <c r="B132" s="1176"/>
      <c r="C132" s="105" t="s">
        <v>61</v>
      </c>
      <c r="D132" s="98">
        <v>22599</v>
      </c>
      <c r="E132" s="98">
        <v>7854</v>
      </c>
      <c r="F132" s="98">
        <v>13180</v>
      </c>
      <c r="G132" s="98">
        <v>3025</v>
      </c>
      <c r="H132" s="98">
        <v>1848</v>
      </c>
      <c r="I132" s="98">
        <v>1370</v>
      </c>
      <c r="J132" s="98">
        <v>11705</v>
      </c>
      <c r="K132" s="98">
        <v>28696</v>
      </c>
      <c r="L132" s="417">
        <v>3179</v>
      </c>
      <c r="M132" s="386">
        <v>540</v>
      </c>
      <c r="N132" s="265">
        <f t="shared" si="334"/>
        <v>-83</v>
      </c>
      <c r="O132" s="417">
        <f t="shared" si="316"/>
        <v>2157</v>
      </c>
      <c r="P132" s="386">
        <f t="shared" si="316"/>
        <v>484</v>
      </c>
      <c r="Q132" s="265">
        <f t="shared" si="300"/>
        <v>-77.599999999999994</v>
      </c>
      <c r="R132" s="417">
        <v>5336</v>
      </c>
      <c r="S132" s="386">
        <v>1024</v>
      </c>
      <c r="T132" s="265">
        <f t="shared" si="301"/>
        <v>-80.8</v>
      </c>
      <c r="U132" s="417">
        <f t="shared" si="317"/>
        <v>3346</v>
      </c>
      <c r="V132" s="386">
        <f t="shared" si="318"/>
        <v>296</v>
      </c>
      <c r="W132" s="265">
        <f t="shared" si="319"/>
        <v>-91.2</v>
      </c>
      <c r="X132" s="417">
        <v>8682</v>
      </c>
      <c r="Y132" s="386">
        <v>1320</v>
      </c>
      <c r="Z132" s="265">
        <f t="shared" si="302"/>
        <v>-84.8</v>
      </c>
      <c r="AA132" s="417">
        <f t="shared" si="320"/>
        <v>3702</v>
      </c>
      <c r="AB132" s="386">
        <f t="shared" si="321"/>
        <v>357</v>
      </c>
      <c r="AC132" s="265">
        <f t="shared" si="322"/>
        <v>-90.4</v>
      </c>
      <c r="AD132" s="417">
        <v>12384</v>
      </c>
      <c r="AE132" s="386">
        <v>1677</v>
      </c>
      <c r="AF132" s="265">
        <f t="shared" si="304"/>
        <v>-86.5</v>
      </c>
      <c r="AG132" s="417">
        <f t="shared" si="323"/>
        <v>1592</v>
      </c>
      <c r="AH132" s="386">
        <f t="shared" si="323"/>
        <v>276</v>
      </c>
      <c r="AI132" s="265">
        <f t="shared" si="305"/>
        <v>-82.7</v>
      </c>
      <c r="AJ132" s="417">
        <v>13976</v>
      </c>
      <c r="AK132" s="386">
        <v>1953</v>
      </c>
      <c r="AL132" s="265">
        <f t="shared" si="306"/>
        <v>-86</v>
      </c>
      <c r="AM132" s="722">
        <f t="shared" si="324"/>
        <v>3166</v>
      </c>
      <c r="AN132" s="714">
        <f t="shared" si="325"/>
        <v>0</v>
      </c>
      <c r="AO132" s="705">
        <f t="shared" si="307"/>
        <v>-100</v>
      </c>
      <c r="AP132" s="770">
        <v>17142</v>
      </c>
      <c r="AQ132" s="714">
        <v>1953</v>
      </c>
      <c r="AR132" s="705">
        <f t="shared" si="308"/>
        <v>-88.6</v>
      </c>
      <c r="AS132" s="770">
        <f t="shared" si="326"/>
        <v>2823</v>
      </c>
      <c r="AT132" s="714">
        <f t="shared" si="326"/>
        <v>0</v>
      </c>
      <c r="AU132" s="705">
        <f t="shared" si="327"/>
        <v>-100</v>
      </c>
      <c r="AV132" s="992">
        <v>19965</v>
      </c>
      <c r="AW132" s="990">
        <v>1953</v>
      </c>
      <c r="AX132" s="705">
        <f t="shared" si="309"/>
        <v>-90.2</v>
      </c>
      <c r="AY132" s="770">
        <f t="shared" si="328"/>
        <v>2114</v>
      </c>
      <c r="AZ132" s="714">
        <f t="shared" si="329"/>
        <v>276</v>
      </c>
      <c r="BA132" s="705">
        <f t="shared" si="330"/>
        <v>-86.9</v>
      </c>
      <c r="BB132" s="770">
        <v>22079</v>
      </c>
      <c r="BC132" s="714">
        <v>2229</v>
      </c>
      <c r="BD132" s="705">
        <f t="shared" si="310"/>
        <v>-89.9</v>
      </c>
      <c r="BE132" s="770">
        <f t="shared" si="331"/>
        <v>1908</v>
      </c>
      <c r="BF132" s="714">
        <f t="shared" si="331"/>
        <v>286</v>
      </c>
      <c r="BG132" s="705">
        <f t="shared" si="311"/>
        <v>-85</v>
      </c>
      <c r="BH132" s="770">
        <v>23987</v>
      </c>
      <c r="BI132" s="714">
        <v>2515</v>
      </c>
      <c r="BJ132" s="705">
        <f t="shared" si="312"/>
        <v>-89.5</v>
      </c>
      <c r="BK132" s="770">
        <f t="shared" si="332"/>
        <v>1517</v>
      </c>
      <c r="BL132" s="714">
        <f t="shared" si="332"/>
        <v>287</v>
      </c>
      <c r="BM132" s="753">
        <f>ROUND(((BL132/BK132-1)*100), 1)</f>
        <v>-81.099999999999994</v>
      </c>
      <c r="BN132" s="770">
        <v>25504</v>
      </c>
      <c r="BO132" s="714">
        <v>2802</v>
      </c>
      <c r="BP132" s="705">
        <f t="shared" si="314"/>
        <v>-89</v>
      </c>
      <c r="BQ132" s="770">
        <f t="shared" si="333"/>
        <v>2884</v>
      </c>
      <c r="BR132" s="714">
        <f t="shared" si="333"/>
        <v>343</v>
      </c>
      <c r="BS132" s="753">
        <f>ROUND(((BR132/BQ132-1)*100), 1)</f>
        <v>-88.1</v>
      </c>
      <c r="BT132" s="770">
        <v>28388</v>
      </c>
      <c r="BU132" s="714">
        <v>3145</v>
      </c>
      <c r="BV132" s="705">
        <f t="shared" si="315"/>
        <v>-88.9</v>
      </c>
    </row>
    <row r="133" spans="1:74">
      <c r="A133" s="96"/>
      <c r="B133" s="1176"/>
      <c r="C133" s="105" t="s">
        <v>124</v>
      </c>
      <c r="D133" s="98">
        <v>7123</v>
      </c>
      <c r="E133" s="98">
        <v>2470</v>
      </c>
      <c r="F133" s="98">
        <v>8362</v>
      </c>
      <c r="G133" s="98">
        <v>905</v>
      </c>
      <c r="H133" s="98">
        <v>0</v>
      </c>
      <c r="I133" s="98">
        <v>322</v>
      </c>
      <c r="J133" s="98">
        <v>5528</v>
      </c>
      <c r="K133" s="98">
        <v>21417</v>
      </c>
      <c r="L133" s="417">
        <v>2547</v>
      </c>
      <c r="M133" s="386">
        <v>494</v>
      </c>
      <c r="N133" s="265">
        <f t="shared" si="334"/>
        <v>-80.599999999999994</v>
      </c>
      <c r="O133" s="417">
        <f t="shared" si="316"/>
        <v>924</v>
      </c>
      <c r="P133" s="386">
        <f t="shared" si="316"/>
        <v>0</v>
      </c>
      <c r="Q133" s="265">
        <f t="shared" si="300"/>
        <v>-100</v>
      </c>
      <c r="R133" s="417">
        <v>3471</v>
      </c>
      <c r="S133" s="386">
        <v>494</v>
      </c>
      <c r="T133" s="265">
        <f t="shared" si="301"/>
        <v>-85.8</v>
      </c>
      <c r="U133" s="417">
        <f t="shared" si="317"/>
        <v>1318</v>
      </c>
      <c r="V133" s="386">
        <f t="shared" si="318"/>
        <v>567</v>
      </c>
      <c r="W133" s="265">
        <f t="shared" si="319"/>
        <v>-57</v>
      </c>
      <c r="X133" s="417">
        <v>4789</v>
      </c>
      <c r="Y133" s="386">
        <v>1061</v>
      </c>
      <c r="Z133" s="265">
        <f t="shared" si="302"/>
        <v>-77.8</v>
      </c>
      <c r="AA133" s="417">
        <f t="shared" si="320"/>
        <v>2962</v>
      </c>
      <c r="AB133" s="386">
        <f t="shared" si="321"/>
        <v>97</v>
      </c>
      <c r="AC133" s="265">
        <f t="shared" si="322"/>
        <v>-96.7</v>
      </c>
      <c r="AD133" s="417">
        <v>7751</v>
      </c>
      <c r="AE133" s="386">
        <v>1158</v>
      </c>
      <c r="AF133" s="265">
        <f t="shared" si="304"/>
        <v>-85.1</v>
      </c>
      <c r="AG133" s="417">
        <f t="shared" si="323"/>
        <v>2166</v>
      </c>
      <c r="AH133" s="386">
        <f t="shared" si="323"/>
        <v>97</v>
      </c>
      <c r="AI133" s="265">
        <f t="shared" si="305"/>
        <v>-95.5</v>
      </c>
      <c r="AJ133" s="417">
        <v>9917</v>
      </c>
      <c r="AK133" s="386">
        <v>1255</v>
      </c>
      <c r="AL133" s="265">
        <f t="shared" si="306"/>
        <v>-87.3</v>
      </c>
      <c r="AM133" s="722">
        <f t="shared" si="324"/>
        <v>5148</v>
      </c>
      <c r="AN133" s="714">
        <f t="shared" si="325"/>
        <v>97</v>
      </c>
      <c r="AO133" s="705">
        <f t="shared" si="307"/>
        <v>-98.1</v>
      </c>
      <c r="AP133" s="770">
        <v>15065</v>
      </c>
      <c r="AQ133" s="714">
        <v>1352</v>
      </c>
      <c r="AR133" s="705">
        <f t="shared" si="308"/>
        <v>-91</v>
      </c>
      <c r="AS133" s="770">
        <f t="shared" si="326"/>
        <v>1613</v>
      </c>
      <c r="AT133" s="714">
        <f t="shared" si="326"/>
        <v>97</v>
      </c>
      <c r="AU133" s="705">
        <f t="shared" si="327"/>
        <v>-94</v>
      </c>
      <c r="AV133" s="992">
        <v>16678</v>
      </c>
      <c r="AW133" s="990">
        <v>1449</v>
      </c>
      <c r="AX133" s="705">
        <f t="shared" si="309"/>
        <v>-91.3</v>
      </c>
      <c r="AY133" s="770">
        <f t="shared" si="328"/>
        <v>242</v>
      </c>
      <c r="AZ133" s="714">
        <f t="shared" si="329"/>
        <v>97</v>
      </c>
      <c r="BA133" s="705">
        <f t="shared" si="330"/>
        <v>-59.9</v>
      </c>
      <c r="BB133" s="770">
        <v>16920</v>
      </c>
      <c r="BC133" s="714">
        <v>1546</v>
      </c>
      <c r="BD133" s="705">
        <f t="shared" si="310"/>
        <v>-90.9</v>
      </c>
      <c r="BE133" s="770">
        <f t="shared" si="331"/>
        <v>1641</v>
      </c>
      <c r="BF133" s="714">
        <f t="shared" si="331"/>
        <v>96</v>
      </c>
      <c r="BG133" s="705">
        <f t="shared" si="311"/>
        <v>-94.1</v>
      </c>
      <c r="BH133" s="770">
        <v>18561</v>
      </c>
      <c r="BI133" s="714">
        <v>1642</v>
      </c>
      <c r="BJ133" s="705">
        <f t="shared" si="312"/>
        <v>-91.2</v>
      </c>
      <c r="BK133" s="770">
        <f t="shared" si="332"/>
        <v>1039</v>
      </c>
      <c r="BL133" s="714">
        <f t="shared" si="332"/>
        <v>97</v>
      </c>
      <c r="BM133" s="705">
        <f t="shared" si="313"/>
        <v>-90.7</v>
      </c>
      <c r="BN133" s="770">
        <v>19600</v>
      </c>
      <c r="BO133" s="714">
        <v>1739</v>
      </c>
      <c r="BP133" s="705">
        <f t="shared" si="314"/>
        <v>-91.1</v>
      </c>
      <c r="BQ133" s="770">
        <f t="shared" si="333"/>
        <v>1817</v>
      </c>
      <c r="BR133" s="714">
        <f t="shared" si="333"/>
        <v>1089</v>
      </c>
      <c r="BS133" s="705">
        <f>ROUND(((BR133/BQ133-1)*100), 1)</f>
        <v>-40.1</v>
      </c>
      <c r="BT133" s="770">
        <v>21417</v>
      </c>
      <c r="BU133" s="714">
        <v>2828</v>
      </c>
      <c r="BV133" s="705">
        <f t="shared" si="315"/>
        <v>-86.8</v>
      </c>
    </row>
    <row r="134" spans="1:74">
      <c r="A134" s="96"/>
      <c r="B134" s="1176"/>
      <c r="C134" s="105" t="s">
        <v>72</v>
      </c>
      <c r="D134" s="98">
        <v>22514</v>
      </c>
      <c r="E134" s="98">
        <v>39246</v>
      </c>
      <c r="F134" s="98">
        <v>47219</v>
      </c>
      <c r="G134" s="98">
        <v>3505</v>
      </c>
      <c r="H134" s="98">
        <v>1363</v>
      </c>
      <c r="I134" s="98">
        <v>354</v>
      </c>
      <c r="J134" s="98">
        <v>5825</v>
      </c>
      <c r="K134" s="98">
        <v>16198</v>
      </c>
      <c r="L134" s="417">
        <v>1806</v>
      </c>
      <c r="M134" s="386">
        <v>0</v>
      </c>
      <c r="N134" s="265">
        <f t="shared" si="334"/>
        <v>-100</v>
      </c>
      <c r="O134" s="417">
        <f t="shared" si="316"/>
        <v>425</v>
      </c>
      <c r="P134" s="386">
        <f t="shared" si="316"/>
        <v>0</v>
      </c>
      <c r="Q134" s="265">
        <f t="shared" si="300"/>
        <v>-100</v>
      </c>
      <c r="R134" s="417">
        <v>2231</v>
      </c>
      <c r="S134" s="386">
        <v>0</v>
      </c>
      <c r="T134" s="265">
        <f t="shared" si="301"/>
        <v>-100</v>
      </c>
      <c r="U134" s="417">
        <f t="shared" si="317"/>
        <v>966</v>
      </c>
      <c r="V134" s="386">
        <f t="shared" si="318"/>
        <v>0</v>
      </c>
      <c r="W134" s="265">
        <f t="shared" si="319"/>
        <v>-100</v>
      </c>
      <c r="X134" s="417">
        <v>3197</v>
      </c>
      <c r="Y134" s="386">
        <v>0</v>
      </c>
      <c r="Z134" s="265">
        <f t="shared" si="302"/>
        <v>-100</v>
      </c>
      <c r="AA134" s="417">
        <f t="shared" si="320"/>
        <v>2406</v>
      </c>
      <c r="AB134" s="386">
        <f t="shared" si="321"/>
        <v>0</v>
      </c>
      <c r="AC134" s="265">
        <f t="shared" si="322"/>
        <v>-100</v>
      </c>
      <c r="AD134" s="417">
        <v>5603</v>
      </c>
      <c r="AE134" s="386">
        <v>0</v>
      </c>
      <c r="AF134" s="265">
        <f t="shared" si="304"/>
        <v>-100</v>
      </c>
      <c r="AG134" s="417">
        <f t="shared" si="323"/>
        <v>2312</v>
      </c>
      <c r="AH134" s="386">
        <f t="shared" si="323"/>
        <v>136</v>
      </c>
      <c r="AI134" s="265">
        <f t="shared" si="305"/>
        <v>-94.1</v>
      </c>
      <c r="AJ134" s="417">
        <v>7915</v>
      </c>
      <c r="AK134" s="386">
        <v>136</v>
      </c>
      <c r="AL134" s="265">
        <f t="shared" si="306"/>
        <v>-98.3</v>
      </c>
      <c r="AM134" s="722">
        <f t="shared" si="324"/>
        <v>3685</v>
      </c>
      <c r="AN134" s="714">
        <f t="shared" si="325"/>
        <v>0</v>
      </c>
      <c r="AO134" s="705">
        <f t="shared" si="307"/>
        <v>-100</v>
      </c>
      <c r="AP134" s="770">
        <v>11600</v>
      </c>
      <c r="AQ134" s="714">
        <v>136</v>
      </c>
      <c r="AR134" s="705">
        <f t="shared" si="308"/>
        <v>-98.8</v>
      </c>
      <c r="AS134" s="770">
        <f t="shared" si="326"/>
        <v>0</v>
      </c>
      <c r="AT134" s="714">
        <f t="shared" si="326"/>
        <v>0</v>
      </c>
      <c r="AU134" s="751">
        <v>0</v>
      </c>
      <c r="AV134" s="992">
        <v>11600</v>
      </c>
      <c r="AW134" s="990">
        <v>136</v>
      </c>
      <c r="AX134" s="705">
        <f t="shared" si="309"/>
        <v>-98.8</v>
      </c>
      <c r="AY134" s="770">
        <f t="shared" si="328"/>
        <v>1677</v>
      </c>
      <c r="AZ134" s="714">
        <f t="shared" si="329"/>
        <v>0</v>
      </c>
      <c r="BA134" s="705">
        <f t="shared" si="330"/>
        <v>-100</v>
      </c>
      <c r="BB134" s="770">
        <v>13277</v>
      </c>
      <c r="BC134" s="714">
        <v>136</v>
      </c>
      <c r="BD134" s="705">
        <f t="shared" si="310"/>
        <v>-99</v>
      </c>
      <c r="BE134" s="770">
        <f t="shared" si="331"/>
        <v>1948</v>
      </c>
      <c r="BF134" s="714">
        <f t="shared" si="331"/>
        <v>0</v>
      </c>
      <c r="BG134" s="705">
        <f t="shared" si="311"/>
        <v>-100</v>
      </c>
      <c r="BH134" s="770">
        <v>15225</v>
      </c>
      <c r="BI134" s="714">
        <v>136</v>
      </c>
      <c r="BJ134" s="705">
        <f t="shared" si="312"/>
        <v>-99.1</v>
      </c>
      <c r="BK134" s="770">
        <f t="shared" si="332"/>
        <v>0</v>
      </c>
      <c r="BL134" s="714">
        <f t="shared" si="332"/>
        <v>0</v>
      </c>
      <c r="BM134" s="751">
        <v>0</v>
      </c>
      <c r="BN134" s="770">
        <v>15225</v>
      </c>
      <c r="BO134" s="714">
        <v>136</v>
      </c>
      <c r="BP134" s="705">
        <f t="shared" si="314"/>
        <v>-99.1</v>
      </c>
      <c r="BQ134" s="770">
        <f t="shared" si="333"/>
        <v>973</v>
      </c>
      <c r="BR134" s="714">
        <f t="shared" si="333"/>
        <v>0</v>
      </c>
      <c r="BS134" s="705">
        <f t="shared" ref="BS134:BS135" si="335">ROUND(((BR134/BQ134-1)*100), 1)</f>
        <v>-100</v>
      </c>
      <c r="BT134" s="770">
        <v>16198</v>
      </c>
      <c r="BU134" s="714">
        <v>136</v>
      </c>
      <c r="BV134" s="705">
        <f t="shared" si="315"/>
        <v>-99.2</v>
      </c>
    </row>
    <row r="135" spans="1:74">
      <c r="A135" s="96"/>
      <c r="B135" s="1176"/>
      <c r="C135" s="105" t="s">
        <v>56</v>
      </c>
      <c r="D135" s="98">
        <v>18518</v>
      </c>
      <c r="E135" s="98">
        <v>14640</v>
      </c>
      <c r="F135" s="98">
        <v>13981</v>
      </c>
      <c r="G135" s="98">
        <v>14385</v>
      </c>
      <c r="H135" s="98">
        <v>13760</v>
      </c>
      <c r="I135" s="98">
        <v>16184</v>
      </c>
      <c r="J135" s="98">
        <v>16920</v>
      </c>
      <c r="K135" s="98">
        <v>12375</v>
      </c>
      <c r="L135" s="417">
        <v>1440</v>
      </c>
      <c r="M135" s="386">
        <v>0</v>
      </c>
      <c r="N135" s="265">
        <f t="shared" si="334"/>
        <v>-100</v>
      </c>
      <c r="O135" s="417">
        <f t="shared" si="316"/>
        <v>1260</v>
      </c>
      <c r="P135" s="386">
        <f t="shared" si="316"/>
        <v>0</v>
      </c>
      <c r="Q135" s="265">
        <f t="shared" si="300"/>
        <v>-100</v>
      </c>
      <c r="R135" s="417">
        <v>2700</v>
      </c>
      <c r="S135" s="386">
        <v>0</v>
      </c>
      <c r="T135" s="265">
        <f t="shared" si="301"/>
        <v>-100</v>
      </c>
      <c r="U135" s="417">
        <f t="shared" si="317"/>
        <v>1404</v>
      </c>
      <c r="V135" s="386">
        <f t="shared" si="318"/>
        <v>0</v>
      </c>
      <c r="W135" s="265">
        <f t="shared" si="319"/>
        <v>-100</v>
      </c>
      <c r="X135" s="417">
        <v>4104</v>
      </c>
      <c r="Y135" s="386">
        <v>0</v>
      </c>
      <c r="Z135" s="265">
        <f t="shared" si="302"/>
        <v>-100</v>
      </c>
      <c r="AA135" s="417">
        <f t="shared" si="320"/>
        <v>1908</v>
      </c>
      <c r="AB135" s="386">
        <f t="shared" si="321"/>
        <v>0</v>
      </c>
      <c r="AC135" s="265">
        <f t="shared" si="322"/>
        <v>-100</v>
      </c>
      <c r="AD135" s="417">
        <v>6012</v>
      </c>
      <c r="AE135" s="386">
        <v>0</v>
      </c>
      <c r="AF135" s="265">
        <f t="shared" si="304"/>
        <v>-100</v>
      </c>
      <c r="AG135" s="417">
        <f t="shared" si="323"/>
        <v>1388</v>
      </c>
      <c r="AH135" s="386">
        <f t="shared" si="323"/>
        <v>0</v>
      </c>
      <c r="AI135" s="265">
        <f t="shared" si="305"/>
        <v>-100</v>
      </c>
      <c r="AJ135" s="417">
        <v>7400</v>
      </c>
      <c r="AK135" s="386">
        <v>0</v>
      </c>
      <c r="AL135" s="265">
        <f t="shared" si="306"/>
        <v>-100</v>
      </c>
      <c r="AM135" s="722">
        <f t="shared" si="324"/>
        <v>1116</v>
      </c>
      <c r="AN135" s="714">
        <f t="shared" si="325"/>
        <v>0</v>
      </c>
      <c r="AO135" s="705">
        <f t="shared" si="307"/>
        <v>-100</v>
      </c>
      <c r="AP135" s="770">
        <v>8516</v>
      </c>
      <c r="AQ135" s="714">
        <v>0</v>
      </c>
      <c r="AR135" s="705">
        <f t="shared" si="308"/>
        <v>-100</v>
      </c>
      <c r="AS135" s="770">
        <f t="shared" si="326"/>
        <v>1334</v>
      </c>
      <c r="AT135" s="714">
        <f t="shared" si="326"/>
        <v>0</v>
      </c>
      <c r="AU135" s="705">
        <f t="shared" si="327"/>
        <v>-100</v>
      </c>
      <c r="AV135" s="992">
        <v>9850</v>
      </c>
      <c r="AW135" s="990">
        <v>0</v>
      </c>
      <c r="AX135" s="705">
        <f t="shared" si="309"/>
        <v>-100</v>
      </c>
      <c r="AY135" s="770">
        <f t="shared" si="328"/>
        <v>1476</v>
      </c>
      <c r="AZ135" s="714">
        <f t="shared" si="329"/>
        <v>0</v>
      </c>
      <c r="BA135" s="705">
        <f t="shared" ref="BA135:BA136" si="336">ROUND(((AZ135/AY135-1)*100), 1)</f>
        <v>-100</v>
      </c>
      <c r="BB135" s="770">
        <v>11326</v>
      </c>
      <c r="BC135" s="714">
        <v>0</v>
      </c>
      <c r="BD135" s="705">
        <f t="shared" si="310"/>
        <v>-100</v>
      </c>
      <c r="BE135" s="770">
        <f t="shared" si="331"/>
        <v>1039</v>
      </c>
      <c r="BF135" s="714">
        <f t="shared" si="331"/>
        <v>0</v>
      </c>
      <c r="BG135" s="705">
        <f t="shared" si="311"/>
        <v>-100</v>
      </c>
      <c r="BH135" s="770">
        <v>12365</v>
      </c>
      <c r="BI135" s="714">
        <v>0</v>
      </c>
      <c r="BJ135" s="705">
        <f t="shared" si="312"/>
        <v>-100</v>
      </c>
      <c r="BK135" s="770">
        <f t="shared" si="332"/>
        <v>0</v>
      </c>
      <c r="BL135" s="714">
        <f t="shared" si="332"/>
        <v>0</v>
      </c>
      <c r="BM135" s="751">
        <v>0</v>
      </c>
      <c r="BN135" s="770">
        <v>12365</v>
      </c>
      <c r="BO135" s="714">
        <v>0</v>
      </c>
      <c r="BP135" s="705">
        <f t="shared" si="314"/>
        <v>-100</v>
      </c>
      <c r="BQ135" s="770">
        <f t="shared" si="333"/>
        <v>10</v>
      </c>
      <c r="BR135" s="714">
        <f t="shared" si="333"/>
        <v>0</v>
      </c>
      <c r="BS135" s="705">
        <f t="shared" si="335"/>
        <v>-100</v>
      </c>
      <c r="BT135" s="770">
        <v>12375</v>
      </c>
      <c r="BU135" s="714">
        <v>0</v>
      </c>
      <c r="BV135" s="705">
        <f t="shared" si="315"/>
        <v>-100</v>
      </c>
    </row>
    <row r="136" spans="1:74">
      <c r="A136" s="96"/>
      <c r="B136" s="1176"/>
      <c r="C136" s="43" t="s">
        <v>98</v>
      </c>
      <c r="D136" s="98">
        <v>6082</v>
      </c>
      <c r="E136" s="98">
        <v>7933</v>
      </c>
      <c r="F136" s="98">
        <v>7837</v>
      </c>
      <c r="G136" s="98">
        <v>15374</v>
      </c>
      <c r="H136" s="98">
        <v>13653</v>
      </c>
      <c r="I136" s="98">
        <v>22362</v>
      </c>
      <c r="J136" s="98">
        <v>17069</v>
      </c>
      <c r="K136" s="98">
        <v>11072</v>
      </c>
      <c r="L136" s="417">
        <v>897</v>
      </c>
      <c r="M136" s="386">
        <v>869</v>
      </c>
      <c r="N136" s="265">
        <f t="shared" si="334"/>
        <v>-3.1</v>
      </c>
      <c r="O136" s="417">
        <f t="shared" si="316"/>
        <v>730</v>
      </c>
      <c r="P136" s="386">
        <f t="shared" si="316"/>
        <v>488</v>
      </c>
      <c r="Q136" s="265">
        <f t="shared" si="300"/>
        <v>-33.200000000000003</v>
      </c>
      <c r="R136" s="417">
        <v>1627</v>
      </c>
      <c r="S136" s="386">
        <v>1357</v>
      </c>
      <c r="T136" s="265">
        <f t="shared" si="301"/>
        <v>-16.600000000000001</v>
      </c>
      <c r="U136" s="417">
        <f t="shared" si="317"/>
        <v>1504</v>
      </c>
      <c r="V136" s="386">
        <f t="shared" si="318"/>
        <v>1210</v>
      </c>
      <c r="W136" s="265">
        <f t="shared" si="319"/>
        <v>-19.5</v>
      </c>
      <c r="X136" s="417">
        <v>3131</v>
      </c>
      <c r="Y136" s="386">
        <v>2567</v>
      </c>
      <c r="Z136" s="265">
        <f t="shared" si="302"/>
        <v>-18</v>
      </c>
      <c r="AA136" s="417">
        <f t="shared" si="320"/>
        <v>1214</v>
      </c>
      <c r="AB136" s="386">
        <f t="shared" si="321"/>
        <v>749</v>
      </c>
      <c r="AC136" s="265">
        <f t="shared" si="322"/>
        <v>-38.299999999999997</v>
      </c>
      <c r="AD136" s="417">
        <v>4345</v>
      </c>
      <c r="AE136" s="386">
        <v>3316</v>
      </c>
      <c r="AF136" s="265">
        <f t="shared" si="304"/>
        <v>-23.7</v>
      </c>
      <c r="AG136" s="417">
        <f t="shared" si="323"/>
        <v>875</v>
      </c>
      <c r="AH136" s="386">
        <f t="shared" si="323"/>
        <v>686</v>
      </c>
      <c r="AI136" s="265">
        <f t="shared" si="305"/>
        <v>-21.6</v>
      </c>
      <c r="AJ136" s="417">
        <v>5220</v>
      </c>
      <c r="AK136" s="386">
        <v>4002</v>
      </c>
      <c r="AL136" s="265">
        <f t="shared" si="306"/>
        <v>-23.3</v>
      </c>
      <c r="AM136" s="722">
        <f t="shared" si="324"/>
        <v>717</v>
      </c>
      <c r="AN136" s="714">
        <f t="shared" si="325"/>
        <v>368</v>
      </c>
      <c r="AO136" s="705">
        <f t="shared" si="307"/>
        <v>-48.7</v>
      </c>
      <c r="AP136" s="770">
        <v>5937</v>
      </c>
      <c r="AQ136" s="714">
        <v>4370</v>
      </c>
      <c r="AR136" s="705">
        <f t="shared" si="308"/>
        <v>-26.4</v>
      </c>
      <c r="AS136" s="770">
        <f t="shared" si="326"/>
        <v>877</v>
      </c>
      <c r="AT136" s="714">
        <f t="shared" si="326"/>
        <v>576</v>
      </c>
      <c r="AU136" s="705">
        <f t="shared" si="327"/>
        <v>-34.299999999999997</v>
      </c>
      <c r="AV136" s="992">
        <v>6814</v>
      </c>
      <c r="AW136" s="990">
        <v>4946</v>
      </c>
      <c r="AX136" s="705">
        <f t="shared" si="309"/>
        <v>-27.4</v>
      </c>
      <c r="AY136" s="770">
        <f t="shared" si="328"/>
        <v>803</v>
      </c>
      <c r="AZ136" s="714">
        <f t="shared" si="329"/>
        <v>408</v>
      </c>
      <c r="BA136" s="705">
        <f t="shared" si="336"/>
        <v>-49.2</v>
      </c>
      <c r="BB136" s="770">
        <v>7617</v>
      </c>
      <c r="BC136" s="714">
        <v>5354</v>
      </c>
      <c r="BD136" s="705">
        <f t="shared" si="310"/>
        <v>-29.7</v>
      </c>
      <c r="BE136" s="770">
        <f t="shared" si="331"/>
        <v>596</v>
      </c>
      <c r="BF136" s="714">
        <f t="shared" si="331"/>
        <v>890</v>
      </c>
      <c r="BG136" s="705">
        <f t="shared" si="311"/>
        <v>49.3</v>
      </c>
      <c r="BH136" s="770">
        <v>8213</v>
      </c>
      <c r="BI136" s="714">
        <v>6244</v>
      </c>
      <c r="BJ136" s="705">
        <f t="shared" si="312"/>
        <v>-24</v>
      </c>
      <c r="BK136" s="770">
        <f t="shared" si="332"/>
        <v>1041</v>
      </c>
      <c r="BL136" s="714">
        <f t="shared" si="332"/>
        <v>283</v>
      </c>
      <c r="BM136" s="705">
        <f t="shared" si="313"/>
        <v>-72.8</v>
      </c>
      <c r="BN136" s="770">
        <v>9254</v>
      </c>
      <c r="BO136" s="714">
        <v>6527</v>
      </c>
      <c r="BP136" s="705">
        <f t="shared" si="314"/>
        <v>-29.5</v>
      </c>
      <c r="BQ136" s="770">
        <f t="shared" si="333"/>
        <v>780</v>
      </c>
      <c r="BR136" s="714">
        <f t="shared" si="333"/>
        <v>626</v>
      </c>
      <c r="BS136" s="705">
        <f>ROUND(((BR136/BQ136-1)*100), 1)</f>
        <v>-19.7</v>
      </c>
      <c r="BT136" s="770">
        <v>10034</v>
      </c>
      <c r="BU136" s="714">
        <v>7153</v>
      </c>
      <c r="BV136" s="705">
        <f t="shared" si="315"/>
        <v>-28.7</v>
      </c>
    </row>
    <row r="137" spans="1:74">
      <c r="A137" s="96"/>
      <c r="B137" s="1176"/>
      <c r="C137" s="105" t="s">
        <v>123</v>
      </c>
      <c r="D137" s="98"/>
      <c r="E137" s="98"/>
      <c r="F137" s="98"/>
      <c r="G137" s="98">
        <v>595</v>
      </c>
      <c r="H137" s="98">
        <v>4541</v>
      </c>
      <c r="I137" s="98">
        <v>1516</v>
      </c>
      <c r="J137" s="98">
        <v>578</v>
      </c>
      <c r="K137" s="98">
        <v>7606</v>
      </c>
      <c r="L137" s="417">
        <v>0</v>
      </c>
      <c r="M137" s="386">
        <v>0</v>
      </c>
      <c r="N137" s="179">
        <v>0</v>
      </c>
      <c r="O137" s="417">
        <f t="shared" si="316"/>
        <v>1171</v>
      </c>
      <c r="P137" s="386">
        <f t="shared" si="316"/>
        <v>0</v>
      </c>
      <c r="Q137" s="265">
        <f t="shared" si="300"/>
        <v>-100</v>
      </c>
      <c r="R137" s="417">
        <v>1171</v>
      </c>
      <c r="S137" s="386">
        <v>0</v>
      </c>
      <c r="T137" s="265">
        <f t="shared" si="301"/>
        <v>-100</v>
      </c>
      <c r="U137" s="417">
        <f t="shared" si="317"/>
        <v>2418</v>
      </c>
      <c r="V137" s="386">
        <f t="shared" si="318"/>
        <v>102</v>
      </c>
      <c r="W137" s="265">
        <f t="shared" si="319"/>
        <v>-95.8</v>
      </c>
      <c r="X137" s="417">
        <v>3589</v>
      </c>
      <c r="Y137" s="386">
        <v>102</v>
      </c>
      <c r="Z137" s="265">
        <f t="shared" si="302"/>
        <v>-97.2</v>
      </c>
      <c r="AA137" s="417">
        <f t="shared" si="320"/>
        <v>991</v>
      </c>
      <c r="AB137" s="386">
        <f t="shared" si="321"/>
        <v>0</v>
      </c>
      <c r="AC137" s="265">
        <f t="shared" si="322"/>
        <v>-100</v>
      </c>
      <c r="AD137" s="417">
        <v>4580</v>
      </c>
      <c r="AE137" s="386">
        <v>102</v>
      </c>
      <c r="AF137" s="265">
        <f t="shared" si="304"/>
        <v>-97.8</v>
      </c>
      <c r="AG137" s="417">
        <f t="shared" si="323"/>
        <v>1504</v>
      </c>
      <c r="AH137" s="386">
        <f t="shared" si="323"/>
        <v>0</v>
      </c>
      <c r="AI137" s="265">
        <f t="shared" si="305"/>
        <v>-100</v>
      </c>
      <c r="AJ137" s="417">
        <v>6084</v>
      </c>
      <c r="AK137" s="386">
        <v>102</v>
      </c>
      <c r="AL137" s="265">
        <f t="shared" si="306"/>
        <v>-98.3</v>
      </c>
      <c r="AM137" s="722">
        <f t="shared" si="324"/>
        <v>1016</v>
      </c>
      <c r="AN137" s="714">
        <f t="shared" si="325"/>
        <v>0</v>
      </c>
      <c r="AO137" s="705">
        <f t="shared" si="307"/>
        <v>-100</v>
      </c>
      <c r="AP137" s="770">
        <v>7100</v>
      </c>
      <c r="AQ137" s="714">
        <v>102</v>
      </c>
      <c r="AR137" s="705">
        <f t="shared" si="308"/>
        <v>-98.6</v>
      </c>
      <c r="AS137" s="770">
        <f t="shared" si="326"/>
        <v>506</v>
      </c>
      <c r="AT137" s="714">
        <f t="shared" si="326"/>
        <v>0</v>
      </c>
      <c r="AU137" s="705">
        <f t="shared" si="327"/>
        <v>-100</v>
      </c>
      <c r="AV137" s="992">
        <v>7606</v>
      </c>
      <c r="AW137" s="990">
        <v>102</v>
      </c>
      <c r="AX137" s="705">
        <f t="shared" si="309"/>
        <v>-98.7</v>
      </c>
      <c r="AY137" s="770">
        <f t="shared" si="328"/>
        <v>0</v>
      </c>
      <c r="AZ137" s="714">
        <f t="shared" si="329"/>
        <v>0</v>
      </c>
      <c r="BA137" s="751">
        <v>0</v>
      </c>
      <c r="BB137" s="770">
        <v>7606</v>
      </c>
      <c r="BC137" s="714">
        <v>102</v>
      </c>
      <c r="BD137" s="705">
        <f t="shared" si="310"/>
        <v>-98.7</v>
      </c>
      <c r="BE137" s="770">
        <f t="shared" si="331"/>
        <v>0</v>
      </c>
      <c r="BF137" s="714">
        <f t="shared" si="331"/>
        <v>0</v>
      </c>
      <c r="BG137" s="751">
        <v>0</v>
      </c>
      <c r="BH137" s="770">
        <v>7606</v>
      </c>
      <c r="BI137" s="714">
        <v>102</v>
      </c>
      <c r="BJ137" s="705">
        <f t="shared" si="312"/>
        <v>-98.7</v>
      </c>
      <c r="BK137" s="770">
        <f t="shared" si="332"/>
        <v>0</v>
      </c>
      <c r="BL137" s="714">
        <f t="shared" si="332"/>
        <v>0</v>
      </c>
      <c r="BM137" s="751">
        <v>0</v>
      </c>
      <c r="BN137" s="770">
        <v>7606</v>
      </c>
      <c r="BO137" s="714">
        <v>102</v>
      </c>
      <c r="BP137" s="705">
        <f t="shared" si="314"/>
        <v>-98.7</v>
      </c>
      <c r="BQ137" s="770">
        <f t="shared" si="333"/>
        <v>0</v>
      </c>
      <c r="BR137" s="716">
        <f t="shared" si="333"/>
        <v>0</v>
      </c>
      <c r="BS137" s="751">
        <v>0</v>
      </c>
      <c r="BT137" s="770">
        <v>7606</v>
      </c>
      <c r="BU137" s="714">
        <v>102</v>
      </c>
      <c r="BV137" s="705">
        <f t="shared" si="315"/>
        <v>-98.7</v>
      </c>
    </row>
    <row r="138" spans="1:74">
      <c r="A138" s="96"/>
      <c r="B138" s="1176"/>
      <c r="C138" s="105" t="s">
        <v>86</v>
      </c>
      <c r="D138" s="98">
        <v>303</v>
      </c>
      <c r="E138" s="98">
        <v>10046</v>
      </c>
      <c r="F138" s="98">
        <v>5278</v>
      </c>
      <c r="G138" s="98">
        <v>1538</v>
      </c>
      <c r="H138" s="98">
        <v>26430</v>
      </c>
      <c r="I138" s="98">
        <v>505</v>
      </c>
      <c r="J138" s="98">
        <v>124</v>
      </c>
      <c r="K138" s="98">
        <v>3081</v>
      </c>
      <c r="L138" s="417">
        <v>0</v>
      </c>
      <c r="M138" s="386">
        <v>0</v>
      </c>
      <c r="N138" s="179">
        <v>0</v>
      </c>
      <c r="O138" s="417">
        <f t="shared" si="316"/>
        <v>0</v>
      </c>
      <c r="P138" s="386">
        <f t="shared" si="316"/>
        <v>0</v>
      </c>
      <c r="Q138" s="179">
        <v>0</v>
      </c>
      <c r="R138" s="417">
        <v>0</v>
      </c>
      <c r="S138" s="386">
        <v>0</v>
      </c>
      <c r="T138" s="179">
        <v>0</v>
      </c>
      <c r="U138" s="417">
        <f t="shared" si="317"/>
        <v>216</v>
      </c>
      <c r="V138" s="386">
        <f t="shared" si="318"/>
        <v>0</v>
      </c>
      <c r="W138" s="265">
        <f t="shared" si="319"/>
        <v>-100</v>
      </c>
      <c r="X138" s="417">
        <v>216</v>
      </c>
      <c r="Y138" s="386">
        <v>0</v>
      </c>
      <c r="Z138" s="265">
        <f t="shared" si="302"/>
        <v>-100</v>
      </c>
      <c r="AA138" s="417">
        <f t="shared" si="320"/>
        <v>791</v>
      </c>
      <c r="AB138" s="386">
        <f t="shared" si="321"/>
        <v>308</v>
      </c>
      <c r="AC138" s="265">
        <f t="shared" si="322"/>
        <v>-61.1</v>
      </c>
      <c r="AD138" s="417">
        <v>1007</v>
      </c>
      <c r="AE138" s="386">
        <v>308</v>
      </c>
      <c r="AF138" s="265">
        <f t="shared" si="304"/>
        <v>-69.400000000000006</v>
      </c>
      <c r="AG138" s="417">
        <f t="shared" si="323"/>
        <v>38</v>
      </c>
      <c r="AH138" s="386">
        <f t="shared" si="323"/>
        <v>369</v>
      </c>
      <c r="AI138" s="265">
        <f t="shared" si="305"/>
        <v>871.1</v>
      </c>
      <c r="AJ138" s="417">
        <v>1045</v>
      </c>
      <c r="AK138" s="386">
        <v>677</v>
      </c>
      <c r="AL138" s="265">
        <f t="shared" si="306"/>
        <v>-35.200000000000003</v>
      </c>
      <c r="AM138" s="722">
        <f t="shared" si="324"/>
        <v>1109</v>
      </c>
      <c r="AN138" s="714">
        <f t="shared" si="325"/>
        <v>831</v>
      </c>
      <c r="AO138" s="705">
        <f t="shared" si="307"/>
        <v>-25.1</v>
      </c>
      <c r="AP138" s="770">
        <v>2154</v>
      </c>
      <c r="AQ138" s="714">
        <v>1508</v>
      </c>
      <c r="AR138" s="705">
        <f t="shared" si="308"/>
        <v>-30</v>
      </c>
      <c r="AS138" s="770">
        <f t="shared" si="326"/>
        <v>680</v>
      </c>
      <c r="AT138" s="714">
        <f t="shared" si="326"/>
        <v>801</v>
      </c>
      <c r="AU138" s="705">
        <f t="shared" si="327"/>
        <v>17.8</v>
      </c>
      <c r="AV138" s="992">
        <v>2834</v>
      </c>
      <c r="AW138" s="990">
        <v>2309</v>
      </c>
      <c r="AX138" s="705">
        <f t="shared" si="309"/>
        <v>-18.5</v>
      </c>
      <c r="AY138" s="770">
        <f t="shared" si="328"/>
        <v>0</v>
      </c>
      <c r="AZ138" s="714">
        <f t="shared" si="329"/>
        <v>418</v>
      </c>
      <c r="BA138" s="751">
        <v>0</v>
      </c>
      <c r="BB138" s="770">
        <v>2834</v>
      </c>
      <c r="BC138" s="714">
        <v>2727</v>
      </c>
      <c r="BD138" s="705">
        <f t="shared" si="310"/>
        <v>-3.8</v>
      </c>
      <c r="BE138" s="770">
        <f t="shared" si="331"/>
        <v>0</v>
      </c>
      <c r="BF138" s="714">
        <f t="shared" si="331"/>
        <v>960</v>
      </c>
      <c r="BG138" s="751">
        <v>0</v>
      </c>
      <c r="BH138" s="770">
        <v>2834</v>
      </c>
      <c r="BI138" s="714">
        <v>3687</v>
      </c>
      <c r="BJ138" s="705">
        <f t="shared" si="312"/>
        <v>30.1</v>
      </c>
      <c r="BK138" s="770">
        <f t="shared" si="332"/>
        <v>27</v>
      </c>
      <c r="BL138" s="714">
        <f t="shared" si="332"/>
        <v>853</v>
      </c>
      <c r="BM138" s="753">
        <f t="shared" ref="BM138:BM143" si="337">ROUND(((BL138/BK138-1)*100), 1)</f>
        <v>3059.3</v>
      </c>
      <c r="BN138" s="770">
        <v>2861</v>
      </c>
      <c r="BO138" s="714">
        <v>4540</v>
      </c>
      <c r="BP138" s="705">
        <f t="shared" si="314"/>
        <v>58.7</v>
      </c>
      <c r="BQ138" s="770">
        <f t="shared" si="333"/>
        <v>138</v>
      </c>
      <c r="BR138" s="714">
        <f t="shared" si="333"/>
        <v>775</v>
      </c>
      <c r="BS138" s="753">
        <f t="shared" ref="BS138:BS143" si="338">ROUND(((BR138/BQ138-1)*100), 1)</f>
        <v>461.6</v>
      </c>
      <c r="BT138" s="770">
        <v>2999</v>
      </c>
      <c r="BU138" s="714">
        <v>5315</v>
      </c>
      <c r="BV138" s="705">
        <f t="shared" si="315"/>
        <v>77.2</v>
      </c>
    </row>
    <row r="139" spans="1:74">
      <c r="A139" s="96"/>
      <c r="B139" s="1176"/>
      <c r="C139" s="105" t="s">
        <v>50</v>
      </c>
      <c r="D139" s="98">
        <v>5051</v>
      </c>
      <c r="E139" s="98">
        <v>3450</v>
      </c>
      <c r="F139" s="98">
        <v>2606</v>
      </c>
      <c r="G139" s="98">
        <v>1883</v>
      </c>
      <c r="H139" s="98">
        <v>1199</v>
      </c>
      <c r="I139" s="98">
        <v>1176</v>
      </c>
      <c r="J139" s="98">
        <v>2693</v>
      </c>
      <c r="K139" s="98">
        <v>2152</v>
      </c>
      <c r="L139" s="417">
        <v>185</v>
      </c>
      <c r="M139" s="386">
        <v>63</v>
      </c>
      <c r="N139" s="265">
        <f t="shared" ref="N139:N147" si="339">ROUND(((M139/L139-1)*100), 1)</f>
        <v>-65.900000000000006</v>
      </c>
      <c r="O139" s="417">
        <f t="shared" si="316"/>
        <v>116</v>
      </c>
      <c r="P139" s="386">
        <f t="shared" si="316"/>
        <v>72</v>
      </c>
      <c r="Q139" s="265">
        <f>ROUND(((P139/O139-1)*100), 1)</f>
        <v>-37.9</v>
      </c>
      <c r="R139" s="417">
        <v>301</v>
      </c>
      <c r="S139" s="386">
        <v>135</v>
      </c>
      <c r="T139" s="265">
        <f>ROUND(((S139/R139-1)*100), 1)</f>
        <v>-55.1</v>
      </c>
      <c r="U139" s="417">
        <f t="shared" si="317"/>
        <v>328</v>
      </c>
      <c r="V139" s="386">
        <f t="shared" si="318"/>
        <v>255</v>
      </c>
      <c r="W139" s="265">
        <f>ROUND(((V139/U139-1)*100), 1)</f>
        <v>-22.3</v>
      </c>
      <c r="X139" s="417">
        <v>629</v>
      </c>
      <c r="Y139" s="386">
        <v>390</v>
      </c>
      <c r="Z139" s="265">
        <f>ROUND(((Y139/X139-1)*100), 1)</f>
        <v>-38</v>
      </c>
      <c r="AA139" s="417">
        <f t="shared" si="320"/>
        <v>62</v>
      </c>
      <c r="AB139" s="386">
        <f t="shared" si="321"/>
        <v>24</v>
      </c>
      <c r="AC139" s="265">
        <f>ROUND(((AB139/AA139-1)*100), 1)</f>
        <v>-61.3</v>
      </c>
      <c r="AD139" s="417">
        <v>691</v>
      </c>
      <c r="AE139" s="386">
        <v>414</v>
      </c>
      <c r="AF139" s="265">
        <f>ROUND(((AE139/AD139-1)*100), 1)</f>
        <v>-40.1</v>
      </c>
      <c r="AG139" s="417">
        <f t="shared" si="323"/>
        <v>71</v>
      </c>
      <c r="AH139" s="386">
        <f t="shared" si="323"/>
        <v>417</v>
      </c>
      <c r="AI139" s="265">
        <f>ROUND(((AH139/AG139-1)*100), 1)</f>
        <v>487.3</v>
      </c>
      <c r="AJ139" s="417">
        <v>762</v>
      </c>
      <c r="AK139" s="386">
        <v>831</v>
      </c>
      <c r="AL139" s="265">
        <f>ROUND(((AK139/AJ139-1)*100), 1)</f>
        <v>9.1</v>
      </c>
      <c r="AM139" s="722">
        <f t="shared" si="324"/>
        <v>58</v>
      </c>
      <c r="AN139" s="714">
        <f t="shared" si="325"/>
        <v>186</v>
      </c>
      <c r="AO139" s="705">
        <f>ROUND(((AN139/AM139-1)*100), 1)</f>
        <v>220.7</v>
      </c>
      <c r="AP139" s="770">
        <v>820</v>
      </c>
      <c r="AQ139" s="714">
        <v>1017</v>
      </c>
      <c r="AR139" s="705">
        <f>ROUND(((AQ139/AP139-1)*100), 1)</f>
        <v>24</v>
      </c>
      <c r="AS139" s="770">
        <f t="shared" si="326"/>
        <v>211</v>
      </c>
      <c r="AT139" s="714">
        <f t="shared" si="326"/>
        <v>208</v>
      </c>
      <c r="AU139" s="705">
        <f>ROUND(((AT139/AS139-1)*100), 1)</f>
        <v>-1.4</v>
      </c>
      <c r="AV139" s="992">
        <v>1031</v>
      </c>
      <c r="AW139" s="990">
        <v>1225</v>
      </c>
      <c r="AX139" s="705">
        <f t="shared" si="309"/>
        <v>18.8</v>
      </c>
      <c r="AY139" s="770">
        <f t="shared" si="328"/>
        <v>185</v>
      </c>
      <c r="AZ139" s="714">
        <f t="shared" si="329"/>
        <v>118</v>
      </c>
      <c r="BA139" s="705">
        <f>ROUND(((AZ139/AY139-1)*100), 1)</f>
        <v>-36.200000000000003</v>
      </c>
      <c r="BB139" s="770">
        <v>1216</v>
      </c>
      <c r="BC139" s="714">
        <v>1343</v>
      </c>
      <c r="BD139" s="705">
        <f t="shared" si="310"/>
        <v>10.4</v>
      </c>
      <c r="BE139" s="770">
        <f t="shared" si="331"/>
        <v>257</v>
      </c>
      <c r="BF139" s="714">
        <f t="shared" si="331"/>
        <v>45</v>
      </c>
      <c r="BG139" s="705">
        <f>ROUND(((BF139/BE139-1)*100), 1)</f>
        <v>-82.5</v>
      </c>
      <c r="BH139" s="770">
        <v>1473</v>
      </c>
      <c r="BI139" s="714">
        <v>1388</v>
      </c>
      <c r="BJ139" s="705">
        <f t="shared" si="312"/>
        <v>-5.8</v>
      </c>
      <c r="BK139" s="770">
        <f t="shared" si="332"/>
        <v>161</v>
      </c>
      <c r="BL139" s="714">
        <f t="shared" si="332"/>
        <v>54</v>
      </c>
      <c r="BM139" s="705">
        <f t="shared" si="337"/>
        <v>-66.5</v>
      </c>
      <c r="BN139" s="770">
        <v>1634</v>
      </c>
      <c r="BO139" s="714">
        <v>1442</v>
      </c>
      <c r="BP139" s="705">
        <f t="shared" si="314"/>
        <v>-11.8</v>
      </c>
      <c r="BQ139" s="770">
        <f t="shared" si="333"/>
        <v>311</v>
      </c>
      <c r="BR139" s="714">
        <f t="shared" si="333"/>
        <v>64</v>
      </c>
      <c r="BS139" s="705">
        <f t="shared" si="338"/>
        <v>-79.400000000000006</v>
      </c>
      <c r="BT139" s="770">
        <v>1945</v>
      </c>
      <c r="BU139" s="714">
        <v>1506</v>
      </c>
      <c r="BV139" s="705">
        <f t="shared" si="315"/>
        <v>-22.6</v>
      </c>
    </row>
    <row r="140" spans="1:74">
      <c r="A140" s="96"/>
      <c r="B140" s="1176"/>
      <c r="C140" s="105" t="s">
        <v>53</v>
      </c>
      <c r="D140" s="98">
        <v>195</v>
      </c>
      <c r="E140" s="98">
        <v>329</v>
      </c>
      <c r="F140" s="98">
        <v>290</v>
      </c>
      <c r="G140" s="98">
        <v>613</v>
      </c>
      <c r="H140" s="98">
        <v>371</v>
      </c>
      <c r="I140" s="98">
        <v>1406</v>
      </c>
      <c r="J140" s="98">
        <v>236</v>
      </c>
      <c r="K140" s="98">
        <v>1745</v>
      </c>
      <c r="L140" s="417">
        <v>35</v>
      </c>
      <c r="M140" s="386">
        <v>260</v>
      </c>
      <c r="N140" s="265">
        <f t="shared" si="339"/>
        <v>642.9</v>
      </c>
      <c r="O140" s="417">
        <f t="shared" si="316"/>
        <v>0</v>
      </c>
      <c r="P140" s="386">
        <f t="shared" si="316"/>
        <v>190</v>
      </c>
      <c r="Q140" s="523">
        <v>0</v>
      </c>
      <c r="R140" s="417">
        <v>35</v>
      </c>
      <c r="S140" s="386">
        <v>450</v>
      </c>
      <c r="T140" s="265">
        <f>ROUND(((S140/R140-1)*100), 1)</f>
        <v>1185.7</v>
      </c>
      <c r="U140" s="417">
        <f t="shared" si="317"/>
        <v>1</v>
      </c>
      <c r="V140" s="386">
        <f t="shared" si="318"/>
        <v>262</v>
      </c>
      <c r="W140" s="265">
        <f>ROUND(((V140/U140-1)*100), 1)</f>
        <v>26100</v>
      </c>
      <c r="X140" s="417">
        <v>36</v>
      </c>
      <c r="Y140" s="386">
        <v>712</v>
      </c>
      <c r="Z140" s="265">
        <f>ROUND(((Y140/X140-1)*100), 1)</f>
        <v>1877.8</v>
      </c>
      <c r="AA140" s="417">
        <f t="shared" si="320"/>
        <v>19</v>
      </c>
      <c r="AB140" s="386">
        <f t="shared" si="321"/>
        <v>108</v>
      </c>
      <c r="AC140" s="265">
        <f>ROUND(((AB140/AA140-1)*100), 1)</f>
        <v>468.4</v>
      </c>
      <c r="AD140" s="417">
        <v>55</v>
      </c>
      <c r="AE140" s="386">
        <v>820</v>
      </c>
      <c r="AF140" s="265">
        <f>ROUND(((AE140/AD140-1)*100), 1)</f>
        <v>1390.9</v>
      </c>
      <c r="AG140" s="417">
        <f t="shared" si="323"/>
        <v>0</v>
      </c>
      <c r="AH140" s="386">
        <f t="shared" si="323"/>
        <v>144</v>
      </c>
      <c r="AI140" s="523">
        <v>0</v>
      </c>
      <c r="AJ140" s="417">
        <v>55</v>
      </c>
      <c r="AK140" s="386">
        <v>964</v>
      </c>
      <c r="AL140" s="265">
        <f>ROUND(((AK140/AJ140-1)*100), 1)</f>
        <v>1652.7</v>
      </c>
      <c r="AM140" s="722">
        <f t="shared" si="324"/>
        <v>0</v>
      </c>
      <c r="AN140" s="714">
        <f t="shared" si="325"/>
        <v>34</v>
      </c>
      <c r="AO140" s="695">
        <v>0</v>
      </c>
      <c r="AP140" s="770">
        <v>55</v>
      </c>
      <c r="AQ140" s="714">
        <v>998</v>
      </c>
      <c r="AR140" s="705">
        <f>ROUND(((AQ140/AP140-1)*100), 1)</f>
        <v>1714.5</v>
      </c>
      <c r="AS140" s="770">
        <f t="shared" si="326"/>
        <v>94</v>
      </c>
      <c r="AT140" s="714">
        <f t="shared" si="326"/>
        <v>226</v>
      </c>
      <c r="AU140" s="710">
        <f>ROUND(((AT140/AS140-1)*100), 1)</f>
        <v>140.4</v>
      </c>
      <c r="AV140" s="992">
        <v>149</v>
      </c>
      <c r="AW140" s="990">
        <v>1224</v>
      </c>
      <c r="AX140" s="705">
        <f t="shared" si="309"/>
        <v>721.5</v>
      </c>
      <c r="AY140" s="770">
        <f t="shared" si="328"/>
        <v>58</v>
      </c>
      <c r="AZ140" s="714">
        <f t="shared" si="329"/>
        <v>86</v>
      </c>
      <c r="BA140" s="710">
        <f>ROUND(((AZ140/AY140-1)*100), 1)</f>
        <v>48.3</v>
      </c>
      <c r="BB140" s="770">
        <v>207</v>
      </c>
      <c r="BC140" s="714">
        <v>1310</v>
      </c>
      <c r="BD140" s="705">
        <f t="shared" si="310"/>
        <v>532.9</v>
      </c>
      <c r="BE140" s="770">
        <f t="shared" si="331"/>
        <v>784</v>
      </c>
      <c r="BF140" s="714">
        <f t="shared" si="331"/>
        <v>82</v>
      </c>
      <c r="BG140" s="710">
        <f>ROUND(((BF140/BE140-1)*100), 1)</f>
        <v>-89.5</v>
      </c>
      <c r="BH140" s="770">
        <v>991</v>
      </c>
      <c r="BI140" s="714">
        <v>1392</v>
      </c>
      <c r="BJ140" s="705">
        <f t="shared" si="312"/>
        <v>40.5</v>
      </c>
      <c r="BK140" s="770">
        <f t="shared" si="332"/>
        <v>316</v>
      </c>
      <c r="BL140" s="714">
        <f t="shared" si="332"/>
        <v>242</v>
      </c>
      <c r="BM140" s="710">
        <f t="shared" si="337"/>
        <v>-23.4</v>
      </c>
      <c r="BN140" s="770">
        <v>1307</v>
      </c>
      <c r="BO140" s="714">
        <v>1634</v>
      </c>
      <c r="BP140" s="705">
        <f t="shared" si="314"/>
        <v>25</v>
      </c>
      <c r="BQ140" s="770">
        <f t="shared" si="333"/>
        <v>49</v>
      </c>
      <c r="BR140" s="714">
        <f t="shared" si="333"/>
        <v>279</v>
      </c>
      <c r="BS140" s="710">
        <f t="shared" si="338"/>
        <v>469.4</v>
      </c>
      <c r="BT140" s="770">
        <v>1356</v>
      </c>
      <c r="BU140" s="714">
        <v>1913</v>
      </c>
      <c r="BV140" s="705">
        <f t="shared" si="315"/>
        <v>41.1</v>
      </c>
    </row>
    <row r="141" spans="1:74">
      <c r="A141" s="96"/>
      <c r="B141" s="1176"/>
      <c r="C141" s="105" t="s">
        <v>54</v>
      </c>
      <c r="D141" s="98">
        <v>875</v>
      </c>
      <c r="E141" s="98">
        <v>2314</v>
      </c>
      <c r="F141" s="98">
        <v>2835</v>
      </c>
      <c r="G141" s="98">
        <v>1636</v>
      </c>
      <c r="H141" s="98">
        <v>4488</v>
      </c>
      <c r="I141" s="98">
        <v>4545</v>
      </c>
      <c r="J141" s="98">
        <v>2147</v>
      </c>
      <c r="K141" s="98">
        <v>1477</v>
      </c>
      <c r="L141" s="417">
        <v>0</v>
      </c>
      <c r="M141" s="386">
        <v>298</v>
      </c>
      <c r="N141" s="179">
        <v>0</v>
      </c>
      <c r="O141" s="417">
        <f t="shared" si="316"/>
        <v>7</v>
      </c>
      <c r="P141" s="386">
        <f t="shared" si="316"/>
        <v>199</v>
      </c>
      <c r="Q141" s="265">
        <f>ROUND(((P141/O141-1)*100), 1)</f>
        <v>2742.9</v>
      </c>
      <c r="R141" s="417">
        <v>7</v>
      </c>
      <c r="S141" s="386">
        <v>497</v>
      </c>
      <c r="T141" s="265">
        <f>ROUND(((S141/R141-1)*100), 1)</f>
        <v>7000</v>
      </c>
      <c r="U141" s="417">
        <f t="shared" si="317"/>
        <v>43</v>
      </c>
      <c r="V141" s="386">
        <f t="shared" si="318"/>
        <v>226</v>
      </c>
      <c r="W141" s="265">
        <f>ROUND(((V141/U141-1)*100), 1)</f>
        <v>425.6</v>
      </c>
      <c r="X141" s="417">
        <v>50</v>
      </c>
      <c r="Y141" s="386">
        <v>723</v>
      </c>
      <c r="Z141" s="265">
        <f>ROUND(((Y141/X141-1)*100), 1)</f>
        <v>1346</v>
      </c>
      <c r="AA141" s="417">
        <f t="shared" si="320"/>
        <v>49</v>
      </c>
      <c r="AB141" s="386">
        <f t="shared" si="321"/>
        <v>144</v>
      </c>
      <c r="AC141" s="265">
        <f>ROUND(((AB141/AA141-1)*100), 1)</f>
        <v>193.9</v>
      </c>
      <c r="AD141" s="417">
        <v>99</v>
      </c>
      <c r="AE141" s="386">
        <v>867</v>
      </c>
      <c r="AF141" s="265">
        <f>ROUND(((AE141/AD141-1)*100), 1)</f>
        <v>775.8</v>
      </c>
      <c r="AG141" s="417">
        <f t="shared" si="323"/>
        <v>31</v>
      </c>
      <c r="AH141" s="386">
        <f t="shared" si="323"/>
        <v>108</v>
      </c>
      <c r="AI141" s="265">
        <f>ROUND(((AH141/AG141-1)*100), 1)</f>
        <v>248.4</v>
      </c>
      <c r="AJ141" s="417">
        <v>130</v>
      </c>
      <c r="AK141" s="386">
        <v>975</v>
      </c>
      <c r="AL141" s="265">
        <f>ROUND(((AK141/AJ141-1)*100), 1)</f>
        <v>650</v>
      </c>
      <c r="AM141" s="722">
        <f t="shared" si="324"/>
        <v>20</v>
      </c>
      <c r="AN141" s="714">
        <f t="shared" si="325"/>
        <v>89</v>
      </c>
      <c r="AO141" s="705">
        <f>ROUND(((AN141/AM141-1)*100), 1)</f>
        <v>345</v>
      </c>
      <c r="AP141" s="770">
        <v>150</v>
      </c>
      <c r="AQ141" s="714">
        <v>1064</v>
      </c>
      <c r="AR141" s="705">
        <f>ROUND(((AQ141/AP141-1)*100), 1)</f>
        <v>609.29999999999995</v>
      </c>
      <c r="AS141" s="770">
        <f t="shared" si="326"/>
        <v>103</v>
      </c>
      <c r="AT141" s="714">
        <f t="shared" si="326"/>
        <v>252</v>
      </c>
      <c r="AU141" s="705">
        <f>ROUND(((AT141/AS141-1)*100), 1)</f>
        <v>144.69999999999999</v>
      </c>
      <c r="AV141" s="992">
        <v>253</v>
      </c>
      <c r="AW141" s="990">
        <v>1316</v>
      </c>
      <c r="AX141" s="705">
        <f t="shared" si="309"/>
        <v>420.2</v>
      </c>
      <c r="AY141" s="770">
        <f t="shared" si="328"/>
        <v>35</v>
      </c>
      <c r="AZ141" s="714">
        <f t="shared" si="329"/>
        <v>98</v>
      </c>
      <c r="BA141" s="705">
        <f>ROUND(((AZ141/AY141-1)*100), 1)</f>
        <v>180</v>
      </c>
      <c r="BB141" s="770">
        <v>288</v>
      </c>
      <c r="BC141" s="714">
        <v>1414</v>
      </c>
      <c r="BD141" s="705">
        <f t="shared" si="310"/>
        <v>391</v>
      </c>
      <c r="BE141" s="770">
        <f t="shared" si="331"/>
        <v>314</v>
      </c>
      <c r="BF141" s="714">
        <f t="shared" si="331"/>
        <v>68</v>
      </c>
      <c r="BG141" s="705">
        <f>ROUND(((BF141/BE141-1)*100), 1)</f>
        <v>-78.3</v>
      </c>
      <c r="BH141" s="770">
        <v>602</v>
      </c>
      <c r="BI141" s="714">
        <v>1482</v>
      </c>
      <c r="BJ141" s="705">
        <f t="shared" si="312"/>
        <v>146.19999999999999</v>
      </c>
      <c r="BK141" s="770">
        <f t="shared" si="332"/>
        <v>117</v>
      </c>
      <c r="BL141" s="714">
        <f t="shared" si="332"/>
        <v>77</v>
      </c>
      <c r="BM141" s="705">
        <f t="shared" si="337"/>
        <v>-34.200000000000003</v>
      </c>
      <c r="BN141" s="770">
        <v>719</v>
      </c>
      <c r="BO141" s="714">
        <v>1559</v>
      </c>
      <c r="BP141" s="705">
        <f t="shared" si="314"/>
        <v>116.8</v>
      </c>
      <c r="BQ141" s="770">
        <f t="shared" si="333"/>
        <v>439</v>
      </c>
      <c r="BR141" s="714">
        <f t="shared" si="333"/>
        <v>194</v>
      </c>
      <c r="BS141" s="705">
        <f t="shared" si="338"/>
        <v>-55.8</v>
      </c>
      <c r="BT141" s="770">
        <v>1158</v>
      </c>
      <c r="BU141" s="714">
        <v>1753</v>
      </c>
      <c r="BV141" s="705">
        <f t="shared" si="315"/>
        <v>51.4</v>
      </c>
    </row>
    <row r="142" spans="1:74">
      <c r="A142" s="96"/>
      <c r="B142" s="1176"/>
      <c r="C142" s="105" t="s">
        <v>146</v>
      </c>
      <c r="D142" s="98">
        <v>6664</v>
      </c>
      <c r="E142" s="98">
        <v>8924</v>
      </c>
      <c r="F142" s="98">
        <v>9008</v>
      </c>
      <c r="G142" s="98">
        <v>15981</v>
      </c>
      <c r="H142" s="98">
        <v>14530</v>
      </c>
      <c r="I142" s="98">
        <v>10613</v>
      </c>
      <c r="J142" s="98">
        <v>2103</v>
      </c>
      <c r="K142" s="98">
        <v>1065</v>
      </c>
      <c r="L142" s="417">
        <v>0</v>
      </c>
      <c r="M142" s="386">
        <v>0</v>
      </c>
      <c r="N142" s="179">
        <v>0</v>
      </c>
      <c r="O142" s="417">
        <f t="shared" si="316"/>
        <v>0</v>
      </c>
      <c r="P142" s="386">
        <f t="shared" si="316"/>
        <v>24</v>
      </c>
      <c r="Q142" s="179">
        <v>0</v>
      </c>
      <c r="R142" s="417">
        <v>0</v>
      </c>
      <c r="S142" s="386">
        <v>24</v>
      </c>
      <c r="T142" s="179">
        <v>0</v>
      </c>
      <c r="U142" s="417">
        <f t="shared" si="317"/>
        <v>103</v>
      </c>
      <c r="V142" s="386">
        <f t="shared" si="318"/>
        <v>0</v>
      </c>
      <c r="W142" s="265">
        <f t="shared" ref="W142" si="340">ROUND(((V142/U142-1)*100), 1)</f>
        <v>-100</v>
      </c>
      <c r="X142" s="417">
        <v>103</v>
      </c>
      <c r="Y142" s="386">
        <v>24</v>
      </c>
      <c r="Z142" s="265">
        <f t="shared" ref="Z142" si="341">ROUND(((Y142/X142-1)*100), 1)</f>
        <v>-76.7</v>
      </c>
      <c r="AA142" s="417">
        <f t="shared" si="320"/>
        <v>102</v>
      </c>
      <c r="AB142" s="386">
        <f t="shared" si="321"/>
        <v>161</v>
      </c>
      <c r="AC142" s="265">
        <f t="shared" ref="AC142:AC144" si="342">ROUND(((AB142/AA142-1)*100), 1)</f>
        <v>57.8</v>
      </c>
      <c r="AD142" s="417">
        <v>205</v>
      </c>
      <c r="AE142" s="386">
        <v>185</v>
      </c>
      <c r="AF142" s="265">
        <f t="shared" ref="AF142" si="343">ROUND(((AE142/AD142-1)*100), 1)</f>
        <v>-9.8000000000000007</v>
      </c>
      <c r="AG142" s="417">
        <f t="shared" si="323"/>
        <v>102</v>
      </c>
      <c r="AH142" s="386">
        <f t="shared" si="323"/>
        <v>164</v>
      </c>
      <c r="AI142" s="265">
        <f t="shared" ref="AI142:AI144" si="344">ROUND(((AH142/AG142-1)*100), 1)</f>
        <v>60.8</v>
      </c>
      <c r="AJ142" s="417">
        <v>307</v>
      </c>
      <c r="AK142" s="386">
        <v>349</v>
      </c>
      <c r="AL142" s="265">
        <f t="shared" ref="AL142" si="345">ROUND(((AK142/AJ142-1)*100), 1)</f>
        <v>13.7</v>
      </c>
      <c r="AM142" s="722">
        <f t="shared" si="324"/>
        <v>0</v>
      </c>
      <c r="AN142" s="714">
        <f t="shared" si="325"/>
        <v>166</v>
      </c>
      <c r="AO142" s="751">
        <v>0</v>
      </c>
      <c r="AP142" s="770">
        <v>307</v>
      </c>
      <c r="AQ142" s="714">
        <v>515</v>
      </c>
      <c r="AR142" s="705">
        <f t="shared" ref="AR142" si="346">ROUND(((AQ142/AP142-1)*100), 1)</f>
        <v>67.8</v>
      </c>
      <c r="AS142" s="770">
        <f t="shared" si="326"/>
        <v>205</v>
      </c>
      <c r="AT142" s="714">
        <f t="shared" si="326"/>
        <v>0</v>
      </c>
      <c r="AU142" s="705">
        <f>ROUND(((AT142/AS142-1)*100), 1)</f>
        <v>-100</v>
      </c>
      <c r="AV142" s="992">
        <v>512</v>
      </c>
      <c r="AW142" s="990">
        <v>515</v>
      </c>
      <c r="AX142" s="705">
        <f t="shared" si="309"/>
        <v>0.6</v>
      </c>
      <c r="AY142" s="770">
        <f t="shared" si="328"/>
        <v>128</v>
      </c>
      <c r="AZ142" s="714">
        <f t="shared" si="329"/>
        <v>0</v>
      </c>
      <c r="BA142" s="705">
        <f>ROUND(((AZ142/AY142-1)*100), 1)</f>
        <v>-100</v>
      </c>
      <c r="BB142" s="770">
        <v>640</v>
      </c>
      <c r="BC142" s="714">
        <v>515</v>
      </c>
      <c r="BD142" s="705">
        <f t="shared" si="310"/>
        <v>-19.5</v>
      </c>
      <c r="BE142" s="770">
        <f t="shared" si="331"/>
        <v>76</v>
      </c>
      <c r="BF142" s="714">
        <f t="shared" si="331"/>
        <v>163</v>
      </c>
      <c r="BG142" s="705">
        <f>ROUND(((BF142/BE142-1)*100), 1)</f>
        <v>114.5</v>
      </c>
      <c r="BH142" s="770">
        <v>716</v>
      </c>
      <c r="BI142" s="714">
        <v>678</v>
      </c>
      <c r="BJ142" s="705">
        <f t="shared" si="312"/>
        <v>-5.3</v>
      </c>
      <c r="BK142" s="770">
        <f t="shared" si="332"/>
        <v>206</v>
      </c>
      <c r="BL142" s="714">
        <f t="shared" si="332"/>
        <v>161</v>
      </c>
      <c r="BM142" s="705">
        <f t="shared" si="337"/>
        <v>-21.8</v>
      </c>
      <c r="BN142" s="770">
        <v>922</v>
      </c>
      <c r="BO142" s="714">
        <v>839</v>
      </c>
      <c r="BP142" s="705">
        <f t="shared" si="314"/>
        <v>-9</v>
      </c>
      <c r="BQ142" s="770">
        <f t="shared" si="333"/>
        <v>0</v>
      </c>
      <c r="BR142" s="714">
        <f t="shared" si="333"/>
        <v>0</v>
      </c>
      <c r="BS142" s="751">
        <v>0</v>
      </c>
      <c r="BT142" s="770">
        <v>922</v>
      </c>
      <c r="BU142" s="714">
        <v>839</v>
      </c>
      <c r="BV142" s="705">
        <f t="shared" si="315"/>
        <v>-9</v>
      </c>
    </row>
    <row r="143" spans="1:74">
      <c r="A143" s="96"/>
      <c r="B143" s="1176"/>
      <c r="C143" s="105" t="s">
        <v>137</v>
      </c>
      <c r="D143" s="98">
        <v>0</v>
      </c>
      <c r="E143" s="98">
        <v>0</v>
      </c>
      <c r="F143" s="98">
        <v>174</v>
      </c>
      <c r="G143" s="98">
        <v>92</v>
      </c>
      <c r="H143" s="98">
        <v>726</v>
      </c>
      <c r="I143" s="98">
        <v>44</v>
      </c>
      <c r="J143" s="98">
        <v>145</v>
      </c>
      <c r="K143" s="98">
        <v>1031</v>
      </c>
      <c r="L143" s="417">
        <v>197</v>
      </c>
      <c r="M143" s="386">
        <v>36</v>
      </c>
      <c r="N143" s="265">
        <f t="shared" si="339"/>
        <v>-81.7</v>
      </c>
      <c r="O143" s="417">
        <f t="shared" si="316"/>
        <v>196</v>
      </c>
      <c r="P143" s="386">
        <f t="shared" si="316"/>
        <v>257</v>
      </c>
      <c r="Q143" s="265">
        <f>ROUND(((P143/O143-1)*100), 1)</f>
        <v>31.1</v>
      </c>
      <c r="R143" s="417">
        <v>393</v>
      </c>
      <c r="S143" s="386">
        <v>293</v>
      </c>
      <c r="T143" s="265">
        <f>ROUND(((S143/R143-1)*100), 1)</f>
        <v>-25.4</v>
      </c>
      <c r="U143" s="417">
        <f t="shared" si="317"/>
        <v>0</v>
      </c>
      <c r="V143" s="386">
        <f t="shared" si="318"/>
        <v>0</v>
      </c>
      <c r="W143" s="523">
        <v>0</v>
      </c>
      <c r="X143" s="417">
        <v>393</v>
      </c>
      <c r="Y143" s="386">
        <v>293</v>
      </c>
      <c r="Z143" s="265">
        <f>ROUND(((Y143/X143-1)*100), 1)</f>
        <v>-25.4</v>
      </c>
      <c r="AA143" s="417">
        <f t="shared" si="320"/>
        <v>179</v>
      </c>
      <c r="AB143" s="386">
        <f t="shared" si="321"/>
        <v>80</v>
      </c>
      <c r="AC143" s="265">
        <f t="shared" si="342"/>
        <v>-55.3</v>
      </c>
      <c r="AD143" s="417">
        <v>572</v>
      </c>
      <c r="AE143" s="386">
        <v>373</v>
      </c>
      <c r="AF143" s="265">
        <f>ROUND(((AE143/AD143-1)*100), 1)</f>
        <v>-34.799999999999997</v>
      </c>
      <c r="AG143" s="417">
        <f t="shared" si="323"/>
        <v>178</v>
      </c>
      <c r="AH143" s="386">
        <f t="shared" si="323"/>
        <v>0</v>
      </c>
      <c r="AI143" s="265">
        <f t="shared" si="344"/>
        <v>-100</v>
      </c>
      <c r="AJ143" s="417">
        <v>750</v>
      </c>
      <c r="AK143" s="386">
        <v>373</v>
      </c>
      <c r="AL143" s="265">
        <f>ROUND(((AK143/AJ143-1)*100), 1)</f>
        <v>-50.3</v>
      </c>
      <c r="AM143" s="722">
        <f t="shared" si="324"/>
        <v>0</v>
      </c>
      <c r="AN143" s="714">
        <f t="shared" si="325"/>
        <v>0</v>
      </c>
      <c r="AO143" s="751">
        <v>0</v>
      </c>
      <c r="AP143" s="770">
        <v>750</v>
      </c>
      <c r="AQ143" s="714">
        <v>373</v>
      </c>
      <c r="AR143" s="705">
        <f>ROUND(((AQ143/AP143-1)*100), 1)</f>
        <v>-50.3</v>
      </c>
      <c r="AS143" s="770">
        <f t="shared" si="326"/>
        <v>0</v>
      </c>
      <c r="AT143" s="714">
        <f t="shared" si="326"/>
        <v>0</v>
      </c>
      <c r="AU143" s="751">
        <v>0</v>
      </c>
      <c r="AV143" s="992">
        <v>750</v>
      </c>
      <c r="AW143" s="990">
        <v>373</v>
      </c>
      <c r="AX143" s="705">
        <f t="shared" si="309"/>
        <v>-50.3</v>
      </c>
      <c r="AY143" s="770">
        <f t="shared" si="328"/>
        <v>0</v>
      </c>
      <c r="AZ143" s="714">
        <f t="shared" si="329"/>
        <v>0</v>
      </c>
      <c r="BA143" s="751">
        <v>0</v>
      </c>
      <c r="BB143" s="770">
        <v>750</v>
      </c>
      <c r="BC143" s="714">
        <v>373</v>
      </c>
      <c r="BD143" s="705">
        <f t="shared" si="310"/>
        <v>-50.3</v>
      </c>
      <c r="BE143" s="770">
        <f t="shared" si="331"/>
        <v>0</v>
      </c>
      <c r="BF143" s="714">
        <f t="shared" si="331"/>
        <v>0</v>
      </c>
      <c r="BG143" s="751">
        <v>0</v>
      </c>
      <c r="BH143" s="770">
        <v>750</v>
      </c>
      <c r="BI143" s="714">
        <v>373</v>
      </c>
      <c r="BJ143" s="705">
        <f t="shared" si="312"/>
        <v>-50.3</v>
      </c>
      <c r="BK143" s="770">
        <f t="shared" si="332"/>
        <v>186</v>
      </c>
      <c r="BL143" s="714">
        <f t="shared" si="332"/>
        <v>0</v>
      </c>
      <c r="BM143" s="753">
        <f t="shared" si="337"/>
        <v>-100</v>
      </c>
      <c r="BN143" s="770">
        <v>936</v>
      </c>
      <c r="BO143" s="714">
        <v>373</v>
      </c>
      <c r="BP143" s="705">
        <f t="shared" si="314"/>
        <v>-60.1</v>
      </c>
      <c r="BQ143" s="770">
        <f t="shared" si="333"/>
        <v>95</v>
      </c>
      <c r="BR143" s="714">
        <f t="shared" si="333"/>
        <v>0</v>
      </c>
      <c r="BS143" s="753">
        <f t="shared" si="338"/>
        <v>-100</v>
      </c>
      <c r="BT143" s="770">
        <v>1031</v>
      </c>
      <c r="BU143" s="714">
        <v>373</v>
      </c>
      <c r="BV143" s="705">
        <f t="shared" si="315"/>
        <v>-63.8</v>
      </c>
    </row>
    <row r="144" spans="1:74">
      <c r="A144" s="96"/>
      <c r="B144" s="1176"/>
      <c r="C144" s="105" t="s">
        <v>75</v>
      </c>
      <c r="D144" s="98">
        <v>253</v>
      </c>
      <c r="E144" s="98">
        <v>508</v>
      </c>
      <c r="F144" s="98">
        <v>195</v>
      </c>
      <c r="G144" s="98">
        <v>23</v>
      </c>
      <c r="H144" s="98">
        <v>89</v>
      </c>
      <c r="I144" s="98">
        <v>0</v>
      </c>
      <c r="J144" s="98">
        <v>94</v>
      </c>
      <c r="K144" s="98">
        <v>891</v>
      </c>
      <c r="L144" s="417">
        <v>240</v>
      </c>
      <c r="M144" s="386">
        <v>0</v>
      </c>
      <c r="N144" s="265">
        <f t="shared" si="339"/>
        <v>-100</v>
      </c>
      <c r="O144" s="417">
        <f t="shared" si="316"/>
        <v>0</v>
      </c>
      <c r="P144" s="386">
        <f t="shared" si="316"/>
        <v>0</v>
      </c>
      <c r="Q144" s="523">
        <v>0</v>
      </c>
      <c r="R144" s="417">
        <v>240</v>
      </c>
      <c r="S144" s="386">
        <v>0</v>
      </c>
      <c r="T144" s="265">
        <f>ROUND(((S144/R144-1)*100), 1)</f>
        <v>-100</v>
      </c>
      <c r="U144" s="417">
        <f t="shared" si="317"/>
        <v>0</v>
      </c>
      <c r="V144" s="386">
        <f t="shared" si="318"/>
        <v>0</v>
      </c>
      <c r="W144" s="523">
        <v>0</v>
      </c>
      <c r="X144" s="417">
        <v>240</v>
      </c>
      <c r="Y144" s="386">
        <v>0</v>
      </c>
      <c r="Z144" s="265">
        <f>ROUND(((Y144/X144-1)*100), 1)</f>
        <v>-100</v>
      </c>
      <c r="AA144" s="417">
        <f t="shared" si="320"/>
        <v>189</v>
      </c>
      <c r="AB144" s="386">
        <f t="shared" si="321"/>
        <v>0</v>
      </c>
      <c r="AC144" s="265">
        <f t="shared" si="342"/>
        <v>-100</v>
      </c>
      <c r="AD144" s="417">
        <v>429</v>
      </c>
      <c r="AE144" s="386">
        <v>0</v>
      </c>
      <c r="AF144" s="265">
        <f>ROUND(((AE144/AD144-1)*100), 1)</f>
        <v>-100</v>
      </c>
      <c r="AG144" s="417">
        <f t="shared" si="323"/>
        <v>462</v>
      </c>
      <c r="AH144" s="386">
        <f t="shared" si="323"/>
        <v>0</v>
      </c>
      <c r="AI144" s="265">
        <f t="shared" si="344"/>
        <v>-100</v>
      </c>
      <c r="AJ144" s="417">
        <v>891</v>
      </c>
      <c r="AK144" s="386">
        <v>0</v>
      </c>
      <c r="AL144" s="265">
        <f>ROUND(((AK144/AJ144-1)*100), 1)</f>
        <v>-100</v>
      </c>
      <c r="AM144" s="722">
        <f t="shared" si="324"/>
        <v>0</v>
      </c>
      <c r="AN144" s="714">
        <f t="shared" si="325"/>
        <v>0</v>
      </c>
      <c r="AO144" s="751">
        <v>0</v>
      </c>
      <c r="AP144" s="770">
        <v>891</v>
      </c>
      <c r="AQ144" s="714">
        <v>0</v>
      </c>
      <c r="AR144" s="705">
        <f>ROUND(((AQ144/AP144-1)*100), 1)</f>
        <v>-100</v>
      </c>
      <c r="AS144" s="770">
        <f t="shared" si="326"/>
        <v>0</v>
      </c>
      <c r="AT144" s="714">
        <f t="shared" si="326"/>
        <v>0</v>
      </c>
      <c r="AU144" s="751">
        <v>0</v>
      </c>
      <c r="AV144" s="992">
        <v>891</v>
      </c>
      <c r="AW144" s="990">
        <v>0</v>
      </c>
      <c r="AX144" s="705">
        <f t="shared" si="309"/>
        <v>-100</v>
      </c>
      <c r="AY144" s="770">
        <f t="shared" si="328"/>
        <v>0</v>
      </c>
      <c r="AZ144" s="714">
        <f t="shared" si="329"/>
        <v>0</v>
      </c>
      <c r="BA144" s="751">
        <v>0</v>
      </c>
      <c r="BB144" s="770">
        <v>891</v>
      </c>
      <c r="BC144" s="714">
        <v>0</v>
      </c>
      <c r="BD144" s="705">
        <f t="shared" si="310"/>
        <v>-100</v>
      </c>
      <c r="BE144" s="770">
        <f t="shared" si="331"/>
        <v>0</v>
      </c>
      <c r="BF144" s="714">
        <f t="shared" si="331"/>
        <v>0</v>
      </c>
      <c r="BG144" s="751">
        <v>0</v>
      </c>
      <c r="BH144" s="770">
        <v>891</v>
      </c>
      <c r="BI144" s="714">
        <v>0</v>
      </c>
      <c r="BJ144" s="705">
        <f t="shared" si="312"/>
        <v>-100</v>
      </c>
      <c r="BK144" s="770">
        <f t="shared" si="332"/>
        <v>0</v>
      </c>
      <c r="BL144" s="714">
        <f t="shared" si="332"/>
        <v>0</v>
      </c>
      <c r="BM144" s="751">
        <v>0</v>
      </c>
      <c r="BN144" s="770">
        <v>891</v>
      </c>
      <c r="BO144" s="714">
        <v>0</v>
      </c>
      <c r="BP144" s="705">
        <f t="shared" si="314"/>
        <v>-100</v>
      </c>
      <c r="BQ144" s="770">
        <f t="shared" si="333"/>
        <v>0</v>
      </c>
      <c r="BR144" s="714">
        <f t="shared" si="333"/>
        <v>0</v>
      </c>
      <c r="BS144" s="751">
        <v>0</v>
      </c>
      <c r="BT144" s="770">
        <v>891</v>
      </c>
      <c r="BU144" s="714">
        <v>0</v>
      </c>
      <c r="BV144" s="705">
        <f t="shared" si="315"/>
        <v>-100</v>
      </c>
    </row>
    <row r="145" spans="1:74" s="291" customFormat="1">
      <c r="A145" s="434"/>
      <c r="B145" s="1176"/>
      <c r="C145" s="105" t="s">
        <v>475</v>
      </c>
      <c r="D145" s="98">
        <v>402</v>
      </c>
      <c r="E145" s="98">
        <v>267</v>
      </c>
      <c r="F145" s="98">
        <v>24</v>
      </c>
      <c r="G145" s="98">
        <v>40</v>
      </c>
      <c r="H145" s="98">
        <v>0</v>
      </c>
      <c r="I145" s="98">
        <v>92</v>
      </c>
      <c r="J145" s="98">
        <v>346</v>
      </c>
      <c r="K145" s="98">
        <v>762</v>
      </c>
      <c r="L145" s="417">
        <v>18</v>
      </c>
      <c r="M145" s="386">
        <v>199</v>
      </c>
      <c r="N145" s="265">
        <f t="shared" si="339"/>
        <v>1005.6</v>
      </c>
      <c r="O145" s="417">
        <f t="shared" si="316"/>
        <v>36</v>
      </c>
      <c r="P145" s="386">
        <f t="shared" si="316"/>
        <v>187</v>
      </c>
      <c r="Q145" s="265">
        <f>ROUND(((P145/O145-1)*100), 1)</f>
        <v>419.4</v>
      </c>
      <c r="R145" s="417">
        <v>54</v>
      </c>
      <c r="S145" s="386">
        <v>386</v>
      </c>
      <c r="T145" s="265">
        <f>ROUND(((S145/R145-1)*100), 1)</f>
        <v>614.79999999999995</v>
      </c>
      <c r="U145" s="417">
        <f t="shared" si="317"/>
        <v>73</v>
      </c>
      <c r="V145" s="386">
        <f t="shared" si="318"/>
        <v>121</v>
      </c>
      <c r="W145" s="265">
        <f>ROUND(((V145/U145-1)*100), 1)</f>
        <v>65.8</v>
      </c>
      <c r="X145" s="417">
        <v>127</v>
      </c>
      <c r="Y145" s="386">
        <v>507</v>
      </c>
      <c r="Z145" s="265">
        <f>ROUND(((Y145/X145-1)*100), 1)</f>
        <v>299.2</v>
      </c>
      <c r="AA145" s="417">
        <f t="shared" si="320"/>
        <v>18</v>
      </c>
      <c r="AB145" s="386">
        <f t="shared" si="321"/>
        <v>170</v>
      </c>
      <c r="AC145" s="265">
        <f>ROUND(((AB145/AA145-1)*100), 1)</f>
        <v>844.4</v>
      </c>
      <c r="AD145" s="417">
        <v>145</v>
      </c>
      <c r="AE145" s="386">
        <v>677</v>
      </c>
      <c r="AF145" s="265">
        <f>ROUND(((AE145/AD145-1)*100), 1)</f>
        <v>366.9</v>
      </c>
      <c r="AG145" s="417">
        <f t="shared" si="323"/>
        <v>88</v>
      </c>
      <c r="AH145" s="386">
        <f t="shared" si="323"/>
        <v>217</v>
      </c>
      <c r="AI145" s="265">
        <f>ROUND(((AH145/AG145-1)*100), 1)</f>
        <v>146.6</v>
      </c>
      <c r="AJ145" s="417">
        <v>233</v>
      </c>
      <c r="AK145" s="386">
        <v>894</v>
      </c>
      <c r="AL145" s="265">
        <f>ROUND(((AK145/AJ145-1)*100), 1)</f>
        <v>283.7</v>
      </c>
      <c r="AM145" s="722">
        <f t="shared" si="324"/>
        <v>83</v>
      </c>
      <c r="AN145" s="714">
        <f t="shared" si="325"/>
        <v>85</v>
      </c>
      <c r="AO145" s="705">
        <f>ROUND(((AN145/AM145-1)*100), 1)</f>
        <v>2.4</v>
      </c>
      <c r="AP145" s="770">
        <v>316</v>
      </c>
      <c r="AQ145" s="714">
        <v>979</v>
      </c>
      <c r="AR145" s="705">
        <f>ROUND(((AQ145/AP145-1)*100), 1)</f>
        <v>209.8</v>
      </c>
      <c r="AS145" s="770">
        <f t="shared" si="326"/>
        <v>91</v>
      </c>
      <c r="AT145" s="714">
        <f t="shared" si="326"/>
        <v>134</v>
      </c>
      <c r="AU145" s="705">
        <f>ROUND(((AT145/AS145-1)*100), 1)</f>
        <v>47.3</v>
      </c>
      <c r="AV145" s="992">
        <v>407</v>
      </c>
      <c r="AW145" s="990">
        <v>1113</v>
      </c>
      <c r="AX145" s="705">
        <f t="shared" si="309"/>
        <v>173.5</v>
      </c>
      <c r="AY145" s="770">
        <f t="shared" si="328"/>
        <v>36</v>
      </c>
      <c r="AZ145" s="714">
        <f t="shared" si="329"/>
        <v>91</v>
      </c>
      <c r="BA145" s="705">
        <f>ROUND(((AZ145/AY145-1)*100), 1)</f>
        <v>152.80000000000001</v>
      </c>
      <c r="BB145" s="770">
        <v>443</v>
      </c>
      <c r="BC145" s="714">
        <v>1204</v>
      </c>
      <c r="BD145" s="705">
        <f t="shared" si="310"/>
        <v>171.8</v>
      </c>
      <c r="BE145" s="770">
        <f t="shared" si="331"/>
        <v>74</v>
      </c>
      <c r="BF145" s="714">
        <f t="shared" si="331"/>
        <v>105</v>
      </c>
      <c r="BG145" s="705">
        <f>ROUND(((BF145/BE145-1)*100), 1)</f>
        <v>41.9</v>
      </c>
      <c r="BH145" s="770">
        <v>517</v>
      </c>
      <c r="BI145" s="714">
        <v>1309</v>
      </c>
      <c r="BJ145" s="705">
        <f t="shared" si="312"/>
        <v>153.19999999999999</v>
      </c>
      <c r="BK145" s="770">
        <f t="shared" si="332"/>
        <v>98</v>
      </c>
      <c r="BL145" s="714">
        <f t="shared" si="332"/>
        <v>83</v>
      </c>
      <c r="BM145" s="705">
        <f>ROUND(((BL145/BK145-1)*100), 1)</f>
        <v>-15.3</v>
      </c>
      <c r="BN145" s="770">
        <v>615</v>
      </c>
      <c r="BO145" s="714">
        <v>1392</v>
      </c>
      <c r="BP145" s="705">
        <f t="shared" si="314"/>
        <v>126.3</v>
      </c>
      <c r="BQ145" s="770">
        <f t="shared" si="333"/>
        <v>64</v>
      </c>
      <c r="BR145" s="714">
        <f t="shared" si="333"/>
        <v>58</v>
      </c>
      <c r="BS145" s="705">
        <f>ROUND(((BR145/BQ145-1)*100), 1)</f>
        <v>-9.4</v>
      </c>
      <c r="BT145" s="770">
        <v>679</v>
      </c>
      <c r="BU145" s="714">
        <v>1450</v>
      </c>
      <c r="BV145" s="705">
        <f t="shared" si="315"/>
        <v>113.5</v>
      </c>
    </row>
    <row r="146" spans="1:74">
      <c r="A146" s="96"/>
      <c r="B146" s="1176"/>
      <c r="C146" s="105" t="s">
        <v>150</v>
      </c>
      <c r="D146" s="98">
        <v>0</v>
      </c>
      <c r="E146" s="98">
        <v>671</v>
      </c>
      <c r="F146" s="98">
        <v>614</v>
      </c>
      <c r="G146" s="98">
        <v>1467</v>
      </c>
      <c r="H146" s="98">
        <v>796</v>
      </c>
      <c r="I146" s="98">
        <v>2420</v>
      </c>
      <c r="J146" s="98">
        <v>1132</v>
      </c>
      <c r="K146" s="98">
        <v>740</v>
      </c>
      <c r="L146" s="417">
        <v>46</v>
      </c>
      <c r="M146" s="386">
        <v>0</v>
      </c>
      <c r="N146" s="265">
        <f t="shared" si="339"/>
        <v>-100</v>
      </c>
      <c r="O146" s="417">
        <f t="shared" si="316"/>
        <v>96</v>
      </c>
      <c r="P146" s="386">
        <f t="shared" si="316"/>
        <v>0</v>
      </c>
      <c r="Q146" s="265">
        <f>ROUND(((P146/O146-1)*100), 1)</f>
        <v>-100</v>
      </c>
      <c r="R146" s="417">
        <v>142</v>
      </c>
      <c r="S146" s="386">
        <v>0</v>
      </c>
      <c r="T146" s="265">
        <f>ROUND(((S146/R146-1)*100), 1)</f>
        <v>-100</v>
      </c>
      <c r="U146" s="417">
        <f t="shared" si="317"/>
        <v>0</v>
      </c>
      <c r="V146" s="386">
        <f t="shared" si="318"/>
        <v>0</v>
      </c>
      <c r="W146" s="523">
        <v>0</v>
      </c>
      <c r="X146" s="417">
        <v>142</v>
      </c>
      <c r="Y146" s="386">
        <v>0</v>
      </c>
      <c r="Z146" s="265">
        <f>ROUND(((Y146/X146-1)*100), 1)</f>
        <v>-100</v>
      </c>
      <c r="AA146" s="417">
        <f t="shared" si="320"/>
        <v>0</v>
      </c>
      <c r="AB146" s="386">
        <f t="shared" si="321"/>
        <v>0</v>
      </c>
      <c r="AC146" s="523">
        <v>0</v>
      </c>
      <c r="AD146" s="417">
        <v>142</v>
      </c>
      <c r="AE146" s="386">
        <v>0</v>
      </c>
      <c r="AF146" s="265">
        <f>ROUND(((AE146/AD146-1)*100), 1)</f>
        <v>-100</v>
      </c>
      <c r="AG146" s="417">
        <f t="shared" si="323"/>
        <v>448</v>
      </c>
      <c r="AH146" s="386">
        <f t="shared" si="323"/>
        <v>0</v>
      </c>
      <c r="AI146" s="265">
        <f>ROUND(((AH146/AG146-1)*100), 1)</f>
        <v>-100</v>
      </c>
      <c r="AJ146" s="417">
        <v>590</v>
      </c>
      <c r="AK146" s="386">
        <v>0</v>
      </c>
      <c r="AL146" s="265">
        <f>ROUND(((AK146/AJ146-1)*100), 1)</f>
        <v>-100</v>
      </c>
      <c r="AM146" s="722">
        <f t="shared" si="324"/>
        <v>0</v>
      </c>
      <c r="AN146" s="714">
        <f t="shared" si="325"/>
        <v>0</v>
      </c>
      <c r="AO146" s="751">
        <v>0</v>
      </c>
      <c r="AP146" s="770">
        <v>590</v>
      </c>
      <c r="AQ146" s="714">
        <v>0</v>
      </c>
      <c r="AR146" s="705">
        <f>ROUND(((AQ146/AP146-1)*100), 1)</f>
        <v>-100</v>
      </c>
      <c r="AS146" s="770">
        <f t="shared" si="326"/>
        <v>0</v>
      </c>
      <c r="AT146" s="714">
        <f t="shared" si="326"/>
        <v>0</v>
      </c>
      <c r="AU146" s="751">
        <v>0</v>
      </c>
      <c r="AV146" s="992">
        <v>590</v>
      </c>
      <c r="AW146" s="990">
        <v>0</v>
      </c>
      <c r="AX146" s="705">
        <f t="shared" si="309"/>
        <v>-100</v>
      </c>
      <c r="AY146" s="770">
        <f t="shared" si="328"/>
        <v>0</v>
      </c>
      <c r="AZ146" s="714">
        <f t="shared" si="329"/>
        <v>0</v>
      </c>
      <c r="BA146" s="751">
        <v>0</v>
      </c>
      <c r="BB146" s="770">
        <v>590</v>
      </c>
      <c r="BC146" s="714">
        <v>0</v>
      </c>
      <c r="BD146" s="705">
        <f t="shared" si="310"/>
        <v>-100</v>
      </c>
      <c r="BE146" s="770">
        <f t="shared" si="331"/>
        <v>0</v>
      </c>
      <c r="BF146" s="714">
        <f t="shared" si="331"/>
        <v>0</v>
      </c>
      <c r="BG146" s="751">
        <v>0</v>
      </c>
      <c r="BH146" s="770">
        <v>590</v>
      </c>
      <c r="BI146" s="714">
        <v>0</v>
      </c>
      <c r="BJ146" s="705">
        <f t="shared" si="312"/>
        <v>-100</v>
      </c>
      <c r="BK146" s="770">
        <f t="shared" si="332"/>
        <v>0</v>
      </c>
      <c r="BL146" s="714">
        <f t="shared" si="332"/>
        <v>0</v>
      </c>
      <c r="BM146" s="751">
        <v>0</v>
      </c>
      <c r="BN146" s="770">
        <v>590</v>
      </c>
      <c r="BO146" s="714">
        <v>0</v>
      </c>
      <c r="BP146" s="705">
        <f t="shared" si="314"/>
        <v>-100</v>
      </c>
      <c r="BQ146" s="770">
        <f t="shared" si="333"/>
        <v>150</v>
      </c>
      <c r="BR146" s="714">
        <f t="shared" si="333"/>
        <v>0</v>
      </c>
      <c r="BS146" s="705">
        <f t="shared" ref="BS146" si="347">ROUND(((BR146/BQ146-1)*100), 1)</f>
        <v>-100</v>
      </c>
      <c r="BT146" s="770">
        <v>740</v>
      </c>
      <c r="BU146" s="714">
        <v>0</v>
      </c>
      <c r="BV146" s="705">
        <f t="shared" si="315"/>
        <v>-100</v>
      </c>
    </row>
    <row r="147" spans="1:74">
      <c r="A147" s="96"/>
      <c r="B147" s="1176"/>
      <c r="C147" s="105" t="s">
        <v>220</v>
      </c>
      <c r="D147" s="98">
        <v>106</v>
      </c>
      <c r="E147" s="98">
        <v>99</v>
      </c>
      <c r="F147" s="98">
        <v>959</v>
      </c>
      <c r="G147" s="98">
        <v>547</v>
      </c>
      <c r="H147" s="98">
        <v>1154</v>
      </c>
      <c r="I147" s="98">
        <v>3692</v>
      </c>
      <c r="J147" s="98">
        <v>1856</v>
      </c>
      <c r="K147" s="98">
        <v>675</v>
      </c>
      <c r="L147" s="417">
        <v>138</v>
      </c>
      <c r="M147" s="386">
        <v>28</v>
      </c>
      <c r="N147" s="265">
        <f t="shared" si="339"/>
        <v>-79.7</v>
      </c>
      <c r="O147" s="417">
        <f t="shared" si="316"/>
        <v>0</v>
      </c>
      <c r="P147" s="386">
        <f t="shared" si="316"/>
        <v>0</v>
      </c>
      <c r="Q147" s="523">
        <v>0</v>
      </c>
      <c r="R147" s="417">
        <v>138</v>
      </c>
      <c r="S147" s="386">
        <v>28</v>
      </c>
      <c r="T147" s="265">
        <f>ROUND(((S147/R147-1)*100), 1)</f>
        <v>-79.7</v>
      </c>
      <c r="U147" s="417">
        <f t="shared" si="317"/>
        <v>230</v>
      </c>
      <c r="V147" s="386">
        <f t="shared" si="318"/>
        <v>0</v>
      </c>
      <c r="W147" s="265">
        <f>ROUND(((V147/U147-1)*100), 1)</f>
        <v>-100</v>
      </c>
      <c r="X147" s="417">
        <v>368</v>
      </c>
      <c r="Y147" s="386">
        <v>28</v>
      </c>
      <c r="Z147" s="265">
        <f>ROUND(((Y147/X147-1)*100), 1)</f>
        <v>-92.4</v>
      </c>
      <c r="AA147" s="417">
        <f t="shared" si="320"/>
        <v>0</v>
      </c>
      <c r="AB147" s="386">
        <f t="shared" si="321"/>
        <v>0</v>
      </c>
      <c r="AC147" s="523">
        <v>0</v>
      </c>
      <c r="AD147" s="417">
        <v>368</v>
      </c>
      <c r="AE147" s="386">
        <v>28</v>
      </c>
      <c r="AF147" s="265">
        <f>ROUND(((AE147/AD147-1)*100), 1)</f>
        <v>-92.4</v>
      </c>
      <c r="AG147" s="417">
        <f t="shared" si="323"/>
        <v>21</v>
      </c>
      <c r="AH147" s="386">
        <f t="shared" si="323"/>
        <v>0</v>
      </c>
      <c r="AI147" s="265">
        <f>ROUND(((AH147/AG147-1)*100), 1)</f>
        <v>-100</v>
      </c>
      <c r="AJ147" s="417">
        <v>389</v>
      </c>
      <c r="AK147" s="386">
        <v>28</v>
      </c>
      <c r="AL147" s="265">
        <f>ROUND(((AK147/AJ147-1)*100), 1)</f>
        <v>-92.8</v>
      </c>
      <c r="AM147" s="722">
        <f t="shared" si="324"/>
        <v>0</v>
      </c>
      <c r="AN147" s="714">
        <f t="shared" si="325"/>
        <v>0</v>
      </c>
      <c r="AO147" s="751">
        <v>0</v>
      </c>
      <c r="AP147" s="770">
        <v>389</v>
      </c>
      <c r="AQ147" s="714">
        <v>28</v>
      </c>
      <c r="AR147" s="705">
        <f>ROUND(((AQ147/AP147-1)*100), 1)</f>
        <v>-92.8</v>
      </c>
      <c r="AS147" s="770">
        <f t="shared" si="326"/>
        <v>230</v>
      </c>
      <c r="AT147" s="714">
        <f t="shared" si="326"/>
        <v>0</v>
      </c>
      <c r="AU147" s="710">
        <f>ROUND(((AT147/AS147-1)*100), 1)</f>
        <v>-100</v>
      </c>
      <c r="AV147" s="992">
        <v>619</v>
      </c>
      <c r="AW147" s="990">
        <v>28</v>
      </c>
      <c r="AX147" s="705">
        <f t="shared" si="309"/>
        <v>-95.5</v>
      </c>
      <c r="AY147" s="770">
        <f t="shared" si="328"/>
        <v>0</v>
      </c>
      <c r="AZ147" s="714">
        <f t="shared" si="329"/>
        <v>101</v>
      </c>
      <c r="BA147" s="751">
        <v>0</v>
      </c>
      <c r="BB147" s="770">
        <v>619</v>
      </c>
      <c r="BC147" s="714">
        <v>129</v>
      </c>
      <c r="BD147" s="705">
        <f t="shared" si="310"/>
        <v>-79.2</v>
      </c>
      <c r="BE147" s="770">
        <f t="shared" si="331"/>
        <v>0</v>
      </c>
      <c r="BF147" s="714">
        <f t="shared" si="331"/>
        <v>0</v>
      </c>
      <c r="BG147" s="751">
        <v>0</v>
      </c>
      <c r="BH147" s="770">
        <v>619</v>
      </c>
      <c r="BI147" s="714">
        <v>129</v>
      </c>
      <c r="BJ147" s="705">
        <f t="shared" si="312"/>
        <v>-79.2</v>
      </c>
      <c r="BK147" s="770">
        <f t="shared" si="332"/>
        <v>0</v>
      </c>
      <c r="BL147" s="714">
        <f t="shared" si="332"/>
        <v>0</v>
      </c>
      <c r="BM147" s="751">
        <v>0</v>
      </c>
      <c r="BN147" s="770">
        <v>619</v>
      </c>
      <c r="BO147" s="714">
        <v>129</v>
      </c>
      <c r="BP147" s="705">
        <f t="shared" si="314"/>
        <v>-79.2</v>
      </c>
      <c r="BQ147" s="770">
        <f t="shared" si="333"/>
        <v>0</v>
      </c>
      <c r="BR147" s="714">
        <f t="shared" si="333"/>
        <v>0</v>
      </c>
      <c r="BS147" s="751">
        <v>0</v>
      </c>
      <c r="BT147" s="770">
        <v>619</v>
      </c>
      <c r="BU147" s="714">
        <v>129</v>
      </c>
      <c r="BV147" s="705">
        <f t="shared" si="315"/>
        <v>-79.2</v>
      </c>
    </row>
    <row r="148" spans="1:74">
      <c r="A148" s="96"/>
      <c r="B148" s="1176"/>
      <c r="C148" s="105" t="s">
        <v>223</v>
      </c>
      <c r="D148" s="98">
        <v>794</v>
      </c>
      <c r="E148" s="98">
        <v>239</v>
      </c>
      <c r="F148" s="98">
        <v>1375</v>
      </c>
      <c r="G148" s="98">
        <v>2661</v>
      </c>
      <c r="H148" s="98">
        <v>9930</v>
      </c>
      <c r="I148" s="98">
        <v>1448</v>
      </c>
      <c r="J148" s="98">
        <v>2828</v>
      </c>
      <c r="K148" s="98">
        <v>110</v>
      </c>
      <c r="L148" s="417">
        <v>0</v>
      </c>
      <c r="M148" s="386">
        <v>0</v>
      </c>
      <c r="N148" s="179">
        <v>0</v>
      </c>
      <c r="O148" s="417">
        <f t="shared" si="316"/>
        <v>0</v>
      </c>
      <c r="P148" s="386">
        <f t="shared" si="316"/>
        <v>0</v>
      </c>
      <c r="Q148" s="179">
        <v>0</v>
      </c>
      <c r="R148" s="417">
        <v>0</v>
      </c>
      <c r="S148" s="386">
        <v>0</v>
      </c>
      <c r="T148" s="179">
        <v>0</v>
      </c>
      <c r="U148" s="417">
        <f t="shared" si="317"/>
        <v>0</v>
      </c>
      <c r="V148" s="386">
        <f t="shared" si="318"/>
        <v>0</v>
      </c>
      <c r="W148" s="179">
        <v>0</v>
      </c>
      <c r="X148" s="417">
        <v>0</v>
      </c>
      <c r="Y148" s="386">
        <v>0</v>
      </c>
      <c r="Z148" s="179">
        <v>0</v>
      </c>
      <c r="AA148" s="417">
        <f t="shared" si="320"/>
        <v>0</v>
      </c>
      <c r="AB148" s="386">
        <f t="shared" si="321"/>
        <v>0</v>
      </c>
      <c r="AC148" s="523">
        <v>0</v>
      </c>
      <c r="AD148" s="417">
        <v>0</v>
      </c>
      <c r="AE148" s="386">
        <v>0</v>
      </c>
      <c r="AF148" s="523">
        <v>0</v>
      </c>
      <c r="AG148" s="417">
        <f t="shared" si="323"/>
        <v>0</v>
      </c>
      <c r="AH148" s="386">
        <f t="shared" si="323"/>
        <v>0</v>
      </c>
      <c r="AI148" s="523">
        <v>0</v>
      </c>
      <c r="AJ148" s="417">
        <v>0</v>
      </c>
      <c r="AK148" s="386">
        <v>0</v>
      </c>
      <c r="AL148" s="523">
        <v>0</v>
      </c>
      <c r="AM148" s="722">
        <f t="shared" si="324"/>
        <v>0</v>
      </c>
      <c r="AN148" s="714">
        <f t="shared" si="325"/>
        <v>0</v>
      </c>
      <c r="AO148" s="695">
        <v>0</v>
      </c>
      <c r="AP148" s="770">
        <v>0</v>
      </c>
      <c r="AQ148" s="714">
        <v>0</v>
      </c>
      <c r="AR148" s="695">
        <v>0</v>
      </c>
      <c r="AS148" s="770">
        <f t="shared" si="326"/>
        <v>0</v>
      </c>
      <c r="AT148" s="714">
        <f t="shared" si="326"/>
        <v>0</v>
      </c>
      <c r="AU148" s="751">
        <v>0</v>
      </c>
      <c r="AV148" s="992">
        <v>0</v>
      </c>
      <c r="AW148" s="990">
        <v>0</v>
      </c>
      <c r="AX148" s="751">
        <v>0</v>
      </c>
      <c r="AY148" s="770">
        <f t="shared" si="328"/>
        <v>0</v>
      </c>
      <c r="AZ148" s="714">
        <f t="shared" si="329"/>
        <v>0</v>
      </c>
      <c r="BA148" s="751">
        <v>0</v>
      </c>
      <c r="BB148" s="770">
        <v>0</v>
      </c>
      <c r="BC148" s="714">
        <v>0</v>
      </c>
      <c r="BD148" s="751">
        <v>0</v>
      </c>
      <c r="BE148" s="770">
        <f t="shared" si="331"/>
        <v>110</v>
      </c>
      <c r="BF148" s="714">
        <f t="shared" si="331"/>
        <v>0</v>
      </c>
      <c r="BG148" s="705">
        <f t="shared" ref="BG148:BG149" si="348">ROUND(((BF148/BE148-1)*100), 1)</f>
        <v>-100</v>
      </c>
      <c r="BH148" s="770">
        <v>110</v>
      </c>
      <c r="BI148" s="714">
        <v>0</v>
      </c>
      <c r="BJ148" s="705">
        <f t="shared" si="312"/>
        <v>-100</v>
      </c>
      <c r="BK148" s="770">
        <f t="shared" si="332"/>
        <v>0</v>
      </c>
      <c r="BL148" s="714">
        <f t="shared" si="332"/>
        <v>0</v>
      </c>
      <c r="BM148" s="751">
        <v>0</v>
      </c>
      <c r="BN148" s="770">
        <v>110</v>
      </c>
      <c r="BO148" s="714">
        <v>0</v>
      </c>
      <c r="BP148" s="705">
        <f t="shared" si="314"/>
        <v>-100</v>
      </c>
      <c r="BQ148" s="770">
        <f t="shared" si="333"/>
        <v>0</v>
      </c>
      <c r="BR148" s="714">
        <f t="shared" si="333"/>
        <v>0</v>
      </c>
      <c r="BS148" s="751">
        <v>0</v>
      </c>
      <c r="BT148" s="770">
        <v>110</v>
      </c>
      <c r="BU148" s="714">
        <v>0</v>
      </c>
      <c r="BV148" s="705">
        <f t="shared" si="315"/>
        <v>-100</v>
      </c>
    </row>
    <row r="149" spans="1:74">
      <c r="A149" s="96"/>
      <c r="B149" s="1176"/>
      <c r="C149" s="105" t="s">
        <v>68</v>
      </c>
      <c r="D149" s="98">
        <v>117</v>
      </c>
      <c r="E149" s="98">
        <v>142</v>
      </c>
      <c r="F149" s="98">
        <v>93</v>
      </c>
      <c r="G149" s="98">
        <v>130</v>
      </c>
      <c r="H149" s="98">
        <v>231</v>
      </c>
      <c r="I149" s="98">
        <v>204</v>
      </c>
      <c r="J149" s="98">
        <v>161</v>
      </c>
      <c r="K149" s="98">
        <v>99</v>
      </c>
      <c r="L149" s="417">
        <v>20</v>
      </c>
      <c r="M149" s="386">
        <v>0</v>
      </c>
      <c r="N149" s="265">
        <f>ROUND(((M149/L149-1)*100), 1)</f>
        <v>-100</v>
      </c>
      <c r="O149" s="417">
        <f t="shared" si="316"/>
        <v>0</v>
      </c>
      <c r="P149" s="386">
        <f t="shared" si="316"/>
        <v>0</v>
      </c>
      <c r="Q149" s="523">
        <v>0</v>
      </c>
      <c r="R149" s="417">
        <v>20</v>
      </c>
      <c r="S149" s="386">
        <v>0</v>
      </c>
      <c r="T149" s="265">
        <f>ROUND(((S149/R149-1)*100), 1)</f>
        <v>-100</v>
      </c>
      <c r="U149" s="417">
        <f t="shared" si="317"/>
        <v>20</v>
      </c>
      <c r="V149" s="386">
        <f t="shared" si="318"/>
        <v>0</v>
      </c>
      <c r="W149" s="265">
        <f>ROUND(((V149/U149-1)*100), 1)</f>
        <v>-100</v>
      </c>
      <c r="X149" s="417">
        <v>40</v>
      </c>
      <c r="Y149" s="386">
        <v>0</v>
      </c>
      <c r="Z149" s="265">
        <f>ROUND(((Y149/X149-1)*100), 1)</f>
        <v>-100</v>
      </c>
      <c r="AA149" s="417">
        <f t="shared" si="320"/>
        <v>0</v>
      </c>
      <c r="AB149" s="386">
        <f t="shared" si="321"/>
        <v>29</v>
      </c>
      <c r="AC149" s="523">
        <v>0</v>
      </c>
      <c r="AD149" s="417">
        <v>40</v>
      </c>
      <c r="AE149" s="386">
        <v>29</v>
      </c>
      <c r="AF149" s="265">
        <f>ROUND(((AE149/AD149-1)*100), 1)</f>
        <v>-27.5</v>
      </c>
      <c r="AG149" s="417">
        <f t="shared" si="323"/>
        <v>0</v>
      </c>
      <c r="AH149" s="386">
        <f t="shared" si="323"/>
        <v>0</v>
      </c>
      <c r="AI149" s="523">
        <v>0</v>
      </c>
      <c r="AJ149" s="417">
        <v>40</v>
      </c>
      <c r="AK149" s="386">
        <v>29</v>
      </c>
      <c r="AL149" s="265">
        <f>ROUND(((AK149/AJ149-1)*100), 1)</f>
        <v>-27.5</v>
      </c>
      <c r="AM149" s="722">
        <f t="shared" si="324"/>
        <v>18</v>
      </c>
      <c r="AN149" s="714">
        <f t="shared" si="325"/>
        <v>11</v>
      </c>
      <c r="AO149" s="705">
        <f>ROUND(((AN149/AM149-1)*100), 1)</f>
        <v>-38.9</v>
      </c>
      <c r="AP149" s="770">
        <v>58</v>
      </c>
      <c r="AQ149" s="714">
        <v>40</v>
      </c>
      <c r="AR149" s="705">
        <f>ROUND(((AQ149/AP149-1)*100), 1)</f>
        <v>-31</v>
      </c>
      <c r="AS149" s="770">
        <f t="shared" si="326"/>
        <v>0</v>
      </c>
      <c r="AT149" s="714">
        <f t="shared" si="326"/>
        <v>0</v>
      </c>
      <c r="AU149" s="751">
        <v>0</v>
      </c>
      <c r="AV149" s="992">
        <v>58</v>
      </c>
      <c r="AW149" s="990">
        <v>40</v>
      </c>
      <c r="AX149" s="705">
        <f>ROUND(((AW149/AV149-1)*100), 1)</f>
        <v>-31</v>
      </c>
      <c r="AY149" s="770">
        <f t="shared" si="328"/>
        <v>0</v>
      </c>
      <c r="AZ149" s="714">
        <f t="shared" si="329"/>
        <v>11</v>
      </c>
      <c r="BA149" s="751">
        <v>0</v>
      </c>
      <c r="BB149" s="770">
        <v>58</v>
      </c>
      <c r="BC149" s="714">
        <v>51</v>
      </c>
      <c r="BD149" s="705">
        <f>ROUND(((BC149/BB149-1)*100), 1)</f>
        <v>-12.1</v>
      </c>
      <c r="BE149" s="770">
        <f t="shared" si="331"/>
        <v>20</v>
      </c>
      <c r="BF149" s="714">
        <f t="shared" si="331"/>
        <v>17</v>
      </c>
      <c r="BG149" s="705">
        <f t="shared" si="348"/>
        <v>-15</v>
      </c>
      <c r="BH149" s="770">
        <v>78</v>
      </c>
      <c r="BI149" s="714">
        <v>68</v>
      </c>
      <c r="BJ149" s="705">
        <f>ROUND(((BI149/BH149-1)*100), 1)</f>
        <v>-12.8</v>
      </c>
      <c r="BK149" s="770">
        <f t="shared" si="332"/>
        <v>0</v>
      </c>
      <c r="BL149" s="714">
        <f t="shared" si="332"/>
        <v>19</v>
      </c>
      <c r="BM149" s="751">
        <v>0</v>
      </c>
      <c r="BN149" s="770">
        <v>78</v>
      </c>
      <c r="BO149" s="714">
        <v>87</v>
      </c>
      <c r="BP149" s="705">
        <f>ROUND(((BO149/BN149-1)*100), 1)</f>
        <v>11.5</v>
      </c>
      <c r="BQ149" s="770">
        <f t="shared" si="333"/>
        <v>21</v>
      </c>
      <c r="BR149" s="714">
        <f t="shared" si="333"/>
        <v>0</v>
      </c>
      <c r="BS149" s="705">
        <f t="shared" ref="BS149" si="349">ROUND(((BR149/BQ149-1)*100), 1)</f>
        <v>-100</v>
      </c>
      <c r="BT149" s="770">
        <v>99</v>
      </c>
      <c r="BU149" s="714">
        <v>87</v>
      </c>
      <c r="BV149" s="705">
        <f>ROUND(((BU149/BT149-1)*100), 1)</f>
        <v>-12.1</v>
      </c>
    </row>
    <row r="150" spans="1:74">
      <c r="A150" s="96"/>
      <c r="B150" s="1176"/>
      <c r="C150" s="105" t="s">
        <v>111</v>
      </c>
      <c r="D150" s="98">
        <v>82</v>
      </c>
      <c r="E150" s="98">
        <v>52</v>
      </c>
      <c r="F150" s="98">
        <v>152</v>
      </c>
      <c r="G150" s="98">
        <v>56</v>
      </c>
      <c r="H150" s="98">
        <v>99</v>
      </c>
      <c r="I150" s="98">
        <v>10</v>
      </c>
      <c r="J150" s="98">
        <v>12</v>
      </c>
      <c r="K150" s="98">
        <v>10</v>
      </c>
      <c r="L150" s="417">
        <v>0</v>
      </c>
      <c r="M150" s="386">
        <v>0</v>
      </c>
      <c r="N150" s="179">
        <v>0</v>
      </c>
      <c r="O150" s="417">
        <f t="shared" si="316"/>
        <v>10</v>
      </c>
      <c r="P150" s="386">
        <f t="shared" si="316"/>
        <v>0</v>
      </c>
      <c r="Q150" s="265">
        <f>ROUND(((P150/O150-1)*100), 1)</f>
        <v>-100</v>
      </c>
      <c r="R150" s="417">
        <v>10</v>
      </c>
      <c r="S150" s="386">
        <v>0</v>
      </c>
      <c r="T150" s="265">
        <f>ROUND(((S150/R150-1)*100), 1)</f>
        <v>-100</v>
      </c>
      <c r="U150" s="417">
        <f t="shared" si="317"/>
        <v>0</v>
      </c>
      <c r="V150" s="386">
        <f t="shared" si="318"/>
        <v>0</v>
      </c>
      <c r="W150" s="523">
        <v>0</v>
      </c>
      <c r="X150" s="417">
        <v>10</v>
      </c>
      <c r="Y150" s="386">
        <v>0</v>
      </c>
      <c r="Z150" s="265">
        <f>ROUND(((Y150/X150-1)*100), 1)</f>
        <v>-100</v>
      </c>
      <c r="AA150" s="417">
        <f t="shared" si="320"/>
        <v>0</v>
      </c>
      <c r="AB150" s="386">
        <f t="shared" si="321"/>
        <v>0</v>
      </c>
      <c r="AC150" s="523">
        <v>0</v>
      </c>
      <c r="AD150" s="417">
        <v>10</v>
      </c>
      <c r="AE150" s="386">
        <v>0</v>
      </c>
      <c r="AF150" s="265">
        <f>ROUND(((AE150/AD150-1)*100), 1)</f>
        <v>-100</v>
      </c>
      <c r="AG150" s="417">
        <f t="shared" si="323"/>
        <v>0</v>
      </c>
      <c r="AH150" s="386">
        <f t="shared" si="323"/>
        <v>0</v>
      </c>
      <c r="AI150" s="523">
        <v>0</v>
      </c>
      <c r="AJ150" s="417">
        <v>10</v>
      </c>
      <c r="AK150" s="386">
        <v>0</v>
      </c>
      <c r="AL150" s="265">
        <f>ROUND(((AK150/AJ150-1)*100), 1)</f>
        <v>-100</v>
      </c>
      <c r="AM150" s="722">
        <f t="shared" si="324"/>
        <v>0</v>
      </c>
      <c r="AN150" s="714">
        <f t="shared" si="325"/>
        <v>0</v>
      </c>
      <c r="AO150" s="695">
        <v>0</v>
      </c>
      <c r="AP150" s="770">
        <v>10</v>
      </c>
      <c r="AQ150" s="714">
        <v>0</v>
      </c>
      <c r="AR150" s="705">
        <f>ROUND(((AQ150/AP150-1)*100), 1)</f>
        <v>-100</v>
      </c>
      <c r="AS150" s="770">
        <f t="shared" si="326"/>
        <v>0</v>
      </c>
      <c r="AT150" s="714">
        <f t="shared" si="326"/>
        <v>0</v>
      </c>
      <c r="AU150" s="751">
        <v>0</v>
      </c>
      <c r="AV150" s="992">
        <v>10</v>
      </c>
      <c r="AW150" s="990">
        <v>0</v>
      </c>
      <c r="AX150" s="705">
        <f>ROUND(((AW150/AV150-1)*100), 1)</f>
        <v>-100</v>
      </c>
      <c r="AY150" s="770">
        <f t="shared" si="328"/>
        <v>0</v>
      </c>
      <c r="AZ150" s="714">
        <f t="shared" si="329"/>
        <v>0</v>
      </c>
      <c r="BA150" s="751">
        <v>0</v>
      </c>
      <c r="BB150" s="770">
        <v>10</v>
      </c>
      <c r="BC150" s="714">
        <v>0</v>
      </c>
      <c r="BD150" s="705">
        <f>ROUND(((BC150/BB150-1)*100), 1)</f>
        <v>-100</v>
      </c>
      <c r="BE150" s="770">
        <f t="shared" si="331"/>
        <v>0</v>
      </c>
      <c r="BF150" s="714">
        <f t="shared" si="331"/>
        <v>0</v>
      </c>
      <c r="BG150" s="751">
        <v>0</v>
      </c>
      <c r="BH150" s="770">
        <v>10</v>
      </c>
      <c r="BI150" s="714">
        <v>0</v>
      </c>
      <c r="BJ150" s="705">
        <f>ROUND(((BI150/BH150-1)*100), 1)</f>
        <v>-100</v>
      </c>
      <c r="BK150" s="770">
        <f t="shared" si="332"/>
        <v>0</v>
      </c>
      <c r="BL150" s="714">
        <f t="shared" si="332"/>
        <v>0</v>
      </c>
      <c r="BM150" s="751">
        <v>0</v>
      </c>
      <c r="BN150" s="770">
        <v>10</v>
      </c>
      <c r="BO150" s="714">
        <v>0</v>
      </c>
      <c r="BP150" s="705">
        <f>ROUND(((BO150/BN150-1)*100), 1)</f>
        <v>-100</v>
      </c>
      <c r="BQ150" s="770">
        <f t="shared" si="333"/>
        <v>0</v>
      </c>
      <c r="BR150" s="714">
        <f t="shared" si="333"/>
        <v>0</v>
      </c>
      <c r="BS150" s="751">
        <v>0</v>
      </c>
      <c r="BT150" s="770">
        <v>10</v>
      </c>
      <c r="BU150" s="714">
        <v>0</v>
      </c>
      <c r="BV150" s="705">
        <f>ROUND(((BU150/BT150-1)*100), 1)</f>
        <v>-100</v>
      </c>
    </row>
    <row r="151" spans="1:74">
      <c r="A151" s="96"/>
      <c r="B151" s="1176"/>
      <c r="C151" s="105" t="s">
        <v>145</v>
      </c>
      <c r="D151" s="98">
        <v>64</v>
      </c>
      <c r="E151" s="98">
        <v>669</v>
      </c>
      <c r="F151" s="98">
        <v>226</v>
      </c>
      <c r="G151" s="98">
        <v>97</v>
      </c>
      <c r="H151" s="98">
        <v>1316</v>
      </c>
      <c r="I151" s="98">
        <v>1424</v>
      </c>
      <c r="J151" s="98">
        <v>125</v>
      </c>
      <c r="K151" s="98">
        <v>0</v>
      </c>
      <c r="L151" s="417">
        <v>0</v>
      </c>
      <c r="M151" s="386">
        <v>0</v>
      </c>
      <c r="N151" s="179">
        <v>0</v>
      </c>
      <c r="O151" s="417">
        <f t="shared" si="316"/>
        <v>0</v>
      </c>
      <c r="P151" s="386">
        <f t="shared" si="316"/>
        <v>0</v>
      </c>
      <c r="Q151" s="179">
        <v>0</v>
      </c>
      <c r="R151" s="417">
        <v>0</v>
      </c>
      <c r="S151" s="386">
        <v>0</v>
      </c>
      <c r="T151" s="179">
        <v>0</v>
      </c>
      <c r="U151" s="417">
        <f t="shared" si="317"/>
        <v>0</v>
      </c>
      <c r="V151" s="386">
        <f t="shared" si="318"/>
        <v>0</v>
      </c>
      <c r="W151" s="179">
        <v>0</v>
      </c>
      <c r="X151" s="417">
        <v>0</v>
      </c>
      <c r="Y151" s="386">
        <v>0</v>
      </c>
      <c r="Z151" s="179">
        <v>0</v>
      </c>
      <c r="AA151" s="417">
        <f t="shared" si="320"/>
        <v>0</v>
      </c>
      <c r="AB151" s="386">
        <f t="shared" si="321"/>
        <v>0</v>
      </c>
      <c r="AC151" s="523">
        <v>0</v>
      </c>
      <c r="AD151" s="417">
        <v>0</v>
      </c>
      <c r="AE151" s="386">
        <v>0</v>
      </c>
      <c r="AF151" s="523">
        <v>0</v>
      </c>
      <c r="AG151" s="417">
        <f t="shared" si="323"/>
        <v>0</v>
      </c>
      <c r="AH151" s="386">
        <f t="shared" si="323"/>
        <v>0</v>
      </c>
      <c r="AI151" s="523">
        <v>0</v>
      </c>
      <c r="AJ151" s="417">
        <v>0</v>
      </c>
      <c r="AK151" s="386">
        <v>0</v>
      </c>
      <c r="AL151" s="523">
        <v>0</v>
      </c>
      <c r="AM151" s="722">
        <f t="shared" si="324"/>
        <v>0</v>
      </c>
      <c r="AN151" s="714">
        <f t="shared" si="325"/>
        <v>0</v>
      </c>
      <c r="AO151" s="695">
        <v>0</v>
      </c>
      <c r="AP151" s="770">
        <v>0</v>
      </c>
      <c r="AQ151" s="714">
        <v>0</v>
      </c>
      <c r="AR151" s="695">
        <v>0</v>
      </c>
      <c r="AS151" s="770">
        <f t="shared" si="326"/>
        <v>0</v>
      </c>
      <c r="AT151" s="714">
        <f t="shared" si="326"/>
        <v>0</v>
      </c>
      <c r="AU151" s="751">
        <v>0</v>
      </c>
      <c r="AV151" s="992">
        <v>0</v>
      </c>
      <c r="AW151" s="990">
        <v>0</v>
      </c>
      <c r="AX151" s="751">
        <v>0</v>
      </c>
      <c r="AY151" s="770">
        <f t="shared" si="328"/>
        <v>0</v>
      </c>
      <c r="AZ151" s="714">
        <f t="shared" si="329"/>
        <v>0</v>
      </c>
      <c r="BA151" s="751">
        <v>0</v>
      </c>
      <c r="BB151" s="770">
        <v>0</v>
      </c>
      <c r="BC151" s="714">
        <v>0</v>
      </c>
      <c r="BD151" s="751">
        <v>0</v>
      </c>
      <c r="BE151" s="770">
        <f t="shared" si="331"/>
        <v>0</v>
      </c>
      <c r="BF151" s="714">
        <f t="shared" si="331"/>
        <v>0</v>
      </c>
      <c r="BG151" s="751">
        <v>0</v>
      </c>
      <c r="BH151" s="770">
        <v>0</v>
      </c>
      <c r="BI151" s="714">
        <v>0</v>
      </c>
      <c r="BJ151" s="751">
        <v>0</v>
      </c>
      <c r="BK151" s="770">
        <f t="shared" si="332"/>
        <v>0</v>
      </c>
      <c r="BL151" s="714">
        <f t="shared" si="332"/>
        <v>0</v>
      </c>
      <c r="BM151" s="751">
        <v>0</v>
      </c>
      <c r="BN151" s="770">
        <v>0</v>
      </c>
      <c r="BO151" s="714">
        <v>0</v>
      </c>
      <c r="BP151" s="751">
        <v>0</v>
      </c>
      <c r="BQ151" s="770">
        <f t="shared" si="333"/>
        <v>0</v>
      </c>
      <c r="BR151" s="714">
        <f t="shared" si="333"/>
        <v>0</v>
      </c>
      <c r="BS151" s="751">
        <v>0</v>
      </c>
      <c r="BT151" s="770">
        <v>0</v>
      </c>
      <c r="BU151" s="714">
        <v>0</v>
      </c>
      <c r="BV151" s="751">
        <v>0</v>
      </c>
    </row>
    <row r="152" spans="1:74">
      <c r="A152" s="96"/>
      <c r="B152" s="1176"/>
      <c r="C152" s="105" t="s">
        <v>24</v>
      </c>
      <c r="D152" s="98">
        <f t="shared" ref="D152:M152" si="350">D153-SUM(D131:D151)</f>
        <v>2401</v>
      </c>
      <c r="E152" s="98">
        <f t="shared" si="350"/>
        <v>5536</v>
      </c>
      <c r="F152" s="98">
        <f t="shared" si="350"/>
        <v>6432</v>
      </c>
      <c r="G152" s="98">
        <f t="shared" si="350"/>
        <v>9110</v>
      </c>
      <c r="H152" s="98">
        <f t="shared" si="350"/>
        <v>10434</v>
      </c>
      <c r="I152" s="98">
        <f t="shared" si="350"/>
        <v>2014</v>
      </c>
      <c r="J152" s="98">
        <f t="shared" si="350"/>
        <v>562</v>
      </c>
      <c r="K152" s="98">
        <f t="shared" si="350"/>
        <v>824</v>
      </c>
      <c r="L152" s="417">
        <f t="shared" si="350"/>
        <v>26</v>
      </c>
      <c r="M152" s="386">
        <f t="shared" si="350"/>
        <v>9</v>
      </c>
      <c r="N152" s="265">
        <f>ROUND(((M152/L152-1)*100), 1)</f>
        <v>-65.400000000000006</v>
      </c>
      <c r="O152" s="417">
        <f>O153-SUM(O131:O151)</f>
        <v>70</v>
      </c>
      <c r="P152" s="386">
        <f>P153-SUM(P131:P151)</f>
        <v>2</v>
      </c>
      <c r="Q152" s="265">
        <f>ROUND(((P152/O152-1)*100), 1)</f>
        <v>-97.1</v>
      </c>
      <c r="R152" s="417">
        <f>R153-SUM(R131:R151)</f>
        <v>96</v>
      </c>
      <c r="S152" s="386">
        <f>S153-SUM(S131:S151)</f>
        <v>11</v>
      </c>
      <c r="T152" s="265">
        <f>ROUND(((S152/R152-1)*100), 1)</f>
        <v>-88.5</v>
      </c>
      <c r="U152" s="417">
        <f>U153-SUM(U131:U151)</f>
        <v>2</v>
      </c>
      <c r="V152" s="386">
        <f>V153-SUM(V131:V151)</f>
        <v>3</v>
      </c>
      <c r="W152" s="265">
        <f>ROUND(((V152/U152-1)*100), 1)</f>
        <v>50</v>
      </c>
      <c r="X152" s="417">
        <f>X153-SUM(X131:X151)</f>
        <v>98</v>
      </c>
      <c r="Y152" s="386">
        <f>Y153-SUM(Y131:Y151)</f>
        <v>14</v>
      </c>
      <c r="Z152" s="265">
        <f>ROUND(((Y152/X152-1)*100), 1)</f>
        <v>-85.7</v>
      </c>
      <c r="AA152" s="417">
        <f>AA153-SUM(AA131:AA151)</f>
        <v>20</v>
      </c>
      <c r="AB152" s="386">
        <f>AB153-SUM(AB131:AB151)</f>
        <v>125</v>
      </c>
      <c r="AC152" s="265">
        <f>ROUND(((AB152/AA152-1)*100), 1)</f>
        <v>525</v>
      </c>
      <c r="AD152" s="417">
        <f>AD153-SUM(AD131:AD151)</f>
        <v>118</v>
      </c>
      <c r="AE152" s="386">
        <f>AE153-SUM(AE131:AE151)</f>
        <v>139</v>
      </c>
      <c r="AF152" s="265">
        <f>ROUND(((AE152/AD152-1)*100), 1)</f>
        <v>17.8</v>
      </c>
      <c r="AG152" s="417">
        <f>AG153-SUM(AG131:AG151)</f>
        <v>208</v>
      </c>
      <c r="AH152" s="386">
        <f>AH153-SUM(AH131:AH151)</f>
        <v>0</v>
      </c>
      <c r="AI152" s="265">
        <f>ROUND(((AH152/AG152-1)*100), 1)</f>
        <v>-100</v>
      </c>
      <c r="AJ152" s="417">
        <f>AJ153-SUM(AJ131:AJ151)</f>
        <v>326</v>
      </c>
      <c r="AK152" s="386">
        <f>AK153-SUM(AK131:AK151)</f>
        <v>139</v>
      </c>
      <c r="AL152" s="265">
        <f>ROUND(((AK152/AJ152-1)*100), 1)</f>
        <v>-57.4</v>
      </c>
      <c r="AM152" s="722">
        <f>AM153-SUM(AM131:AM151)</f>
        <v>10</v>
      </c>
      <c r="AN152" s="714">
        <f>AN153-SUM(AN131:AN151)</f>
        <v>105</v>
      </c>
      <c r="AO152" s="705">
        <f>ROUND(((AN152/AM152-1)*100), 1)</f>
        <v>950</v>
      </c>
      <c r="AP152" s="770">
        <f>AP153-SUM(AP131:AP151)</f>
        <v>336</v>
      </c>
      <c r="AQ152" s="714">
        <f>AQ153-SUM(AQ131:AQ151)</f>
        <v>244</v>
      </c>
      <c r="AR152" s="705">
        <f>ROUND(((AQ152/AP152-1)*100), 1)</f>
        <v>-27.4</v>
      </c>
      <c r="AS152" s="770">
        <f>AS153-SUM(AS131:AS151)</f>
        <v>43</v>
      </c>
      <c r="AT152" s="714">
        <f>AT153-SUM(AT131:AT151)</f>
        <v>2252</v>
      </c>
      <c r="AU152" s="705">
        <f>ROUND(((AT152/AS152-1)*100), 1)</f>
        <v>5137.2</v>
      </c>
      <c r="AV152" s="992">
        <f>AV153-SUM(AV131:AV151)</f>
        <v>379</v>
      </c>
      <c r="AW152" s="990">
        <f>AW153-SUM(AW131:AW151)</f>
        <v>2496</v>
      </c>
      <c r="AX152" s="705">
        <f>ROUND(((AW152/AV152-1)*100), 1)</f>
        <v>558.6</v>
      </c>
      <c r="AY152" s="770">
        <f>AY153-SUM(AY131:AY151)</f>
        <v>8</v>
      </c>
      <c r="AZ152" s="714">
        <f>AZ153-SUM(AZ131:AZ151)</f>
        <v>5</v>
      </c>
      <c r="BA152" s="705">
        <f>ROUND(((AZ152/AY152-1)*100), 1)</f>
        <v>-37.5</v>
      </c>
      <c r="BB152" s="770">
        <f>BB153-SUM(BB131:BB151)</f>
        <v>387</v>
      </c>
      <c r="BC152" s="714">
        <f>BC153-SUM(BC131:BC151)</f>
        <v>2501</v>
      </c>
      <c r="BD152" s="705">
        <f>ROUND(((BC152/BB152-1)*100), 1)</f>
        <v>546.29999999999995</v>
      </c>
      <c r="BE152" s="770">
        <f>BE153-SUM(BE131:BE151)</f>
        <v>10</v>
      </c>
      <c r="BF152" s="714">
        <f>BF153-SUM(BF131:BF151)</f>
        <v>14</v>
      </c>
      <c r="BG152" s="705">
        <f>ROUND(((BF152/BE152-1)*100), 1)</f>
        <v>40</v>
      </c>
      <c r="BH152" s="770">
        <f>BH153-SUM(BH131:BH151)</f>
        <v>397</v>
      </c>
      <c r="BI152" s="714">
        <f>BI153-SUM(BI131:BI151)</f>
        <v>2515</v>
      </c>
      <c r="BJ152" s="705">
        <f>ROUND(((BI152/BH152-1)*100), 1)</f>
        <v>533.5</v>
      </c>
      <c r="BK152" s="770">
        <f>BK153-SUM(BK131:BK151)</f>
        <v>193</v>
      </c>
      <c r="BL152" s="714">
        <f>BL153-SUM(BL131:BL151)</f>
        <v>20</v>
      </c>
      <c r="BM152" s="705">
        <f>ROUND(((BL152/BK152-1)*100), 1)</f>
        <v>-89.6</v>
      </c>
      <c r="BN152" s="770">
        <f>BN153-SUM(BN131:BN151)</f>
        <v>590</v>
      </c>
      <c r="BO152" s="714">
        <f>BO153-SUM(BO131:BO151)</f>
        <v>2535</v>
      </c>
      <c r="BP152" s="705">
        <f>ROUND(((BO152/BN152-1)*100), 1)</f>
        <v>329.7</v>
      </c>
      <c r="BQ152" s="770">
        <f>BQ153-SUM(BQ131:BQ151)</f>
        <v>163</v>
      </c>
      <c r="BR152" s="714">
        <f>BR153-SUM(BR131:BR151)</f>
        <v>37</v>
      </c>
      <c r="BS152" s="705">
        <f>ROUND(((BR152/BQ152-1)*100), 1)</f>
        <v>-77.3</v>
      </c>
      <c r="BT152" s="770">
        <f>BT153-SUM(BT131:BT151)</f>
        <v>753</v>
      </c>
      <c r="BU152" s="714">
        <f>BU153-SUM(BU131:BU151)</f>
        <v>2572</v>
      </c>
      <c r="BV152" s="705">
        <f>ROUND(((BU152/BT152-1)*100), 1)</f>
        <v>241.6</v>
      </c>
    </row>
    <row r="153" spans="1:74">
      <c r="A153" s="96"/>
      <c r="B153" s="1176"/>
      <c r="C153" s="109" t="s">
        <v>212</v>
      </c>
      <c r="D153" s="99">
        <v>94934</v>
      </c>
      <c r="E153" s="99">
        <v>108527</v>
      </c>
      <c r="F153" s="99">
        <v>122172</v>
      </c>
      <c r="G153" s="99">
        <v>74624</v>
      </c>
      <c r="H153" s="99">
        <v>108567</v>
      </c>
      <c r="I153" s="99">
        <v>79577</v>
      </c>
      <c r="J153" s="99">
        <v>92856</v>
      </c>
      <c r="K153" s="99">
        <v>153225</v>
      </c>
      <c r="L153" s="409">
        <v>12914</v>
      </c>
      <c r="M153" s="387">
        <v>5277</v>
      </c>
      <c r="N153" s="266">
        <f>ROUND(((M153/L153-1)*100), 1)</f>
        <v>-59.1</v>
      </c>
      <c r="O153" s="409">
        <f>R153-L153</f>
        <v>9679</v>
      </c>
      <c r="P153" s="387">
        <f>S153-M153</f>
        <v>5134</v>
      </c>
      <c r="Q153" s="266">
        <f>ROUND(((P153/O153-1)*100), 1)</f>
        <v>-47</v>
      </c>
      <c r="R153" s="409">
        <v>22593</v>
      </c>
      <c r="S153" s="387">
        <v>10411</v>
      </c>
      <c r="T153" s="266">
        <f>ROUND(((S153/R153-1)*100), 1)</f>
        <v>-53.9</v>
      </c>
      <c r="U153" s="409">
        <f>X153-R153</f>
        <v>16798</v>
      </c>
      <c r="V153" s="387">
        <f>Y153-S153</f>
        <v>5450</v>
      </c>
      <c r="W153" s="266">
        <f>ROUND(((V153/U153-1)*100), 1)</f>
        <v>-67.599999999999994</v>
      </c>
      <c r="X153" s="409">
        <v>39391</v>
      </c>
      <c r="Y153" s="387">
        <v>15861</v>
      </c>
      <c r="Z153" s="266">
        <f>ROUND(((Y153/X153-1)*100), 1)</f>
        <v>-59.7</v>
      </c>
      <c r="AA153" s="409">
        <f>AD153-X153</f>
        <v>18739</v>
      </c>
      <c r="AB153" s="387">
        <f>AE153-Y153</f>
        <v>5533</v>
      </c>
      <c r="AC153" s="266">
        <f>ROUND(((AB153/AA153-1)*100), 1)</f>
        <v>-70.5</v>
      </c>
      <c r="AD153" s="409">
        <v>58130</v>
      </c>
      <c r="AE153" s="387">
        <v>21394</v>
      </c>
      <c r="AF153" s="266">
        <f>ROUND(((AE153/AD153-1)*100), 1)</f>
        <v>-63.2</v>
      </c>
      <c r="AG153" s="409">
        <f>AJ153-AD153</f>
        <v>14583</v>
      </c>
      <c r="AH153" s="387">
        <f>AK153-AE153</f>
        <v>5438</v>
      </c>
      <c r="AI153" s="266">
        <f>ROUND(((AH153/AG153-1)*100), 1)</f>
        <v>-62.7</v>
      </c>
      <c r="AJ153" s="409">
        <v>72713</v>
      </c>
      <c r="AK153" s="387">
        <v>26832</v>
      </c>
      <c r="AL153" s="266">
        <f>ROUND(((AK153/AJ153-1)*100), 1)</f>
        <v>-63.1</v>
      </c>
      <c r="AM153" s="721">
        <f>AP153-AJ153</f>
        <v>19139</v>
      </c>
      <c r="AN153" s="715">
        <f>AQ153-AK153</f>
        <v>3381</v>
      </c>
      <c r="AO153" s="706">
        <f>ROUND(((AN153/AM153-1)*100), 1)</f>
        <v>-82.3</v>
      </c>
      <c r="AP153" s="721">
        <v>91852</v>
      </c>
      <c r="AQ153" s="715">
        <v>30213</v>
      </c>
      <c r="AR153" s="706">
        <f>ROUND(((AQ153/AP153-1)*100), 1)</f>
        <v>-67.099999999999994</v>
      </c>
      <c r="AS153" s="721">
        <f>AV153-AP153</f>
        <v>11992</v>
      </c>
      <c r="AT153" s="715">
        <f>AW153-AQ153</f>
        <v>5046</v>
      </c>
      <c r="AU153" s="706">
        <f>ROUND(((AT153/AS153-1)*100), 1)</f>
        <v>-57.9</v>
      </c>
      <c r="AV153" s="1010">
        <v>103844</v>
      </c>
      <c r="AW153" s="994">
        <v>35259</v>
      </c>
      <c r="AX153" s="706">
        <f>ROUND(((AW153/AV153-1)*100), 1)</f>
        <v>-66</v>
      </c>
      <c r="AY153" s="721">
        <f>BB153-AV153</f>
        <v>11619</v>
      </c>
      <c r="AZ153" s="715">
        <f>BC153-AW153</f>
        <v>2243</v>
      </c>
      <c r="BA153" s="706">
        <f>ROUND(((AZ153/AY153-1)*100), 1)</f>
        <v>-80.7</v>
      </c>
      <c r="BB153" s="721">
        <v>115463</v>
      </c>
      <c r="BC153" s="715">
        <v>37502</v>
      </c>
      <c r="BD153" s="706">
        <f>ROUND(((BC153/BB153-1)*100), 1)</f>
        <v>-67.5</v>
      </c>
      <c r="BE153" s="721">
        <f>BH153-BB153</f>
        <v>12447</v>
      </c>
      <c r="BF153" s="715">
        <f>BI153-BC153</f>
        <v>3385</v>
      </c>
      <c r="BG153" s="706">
        <f>ROUND(((BF153/BE153-1)*100), 1)</f>
        <v>-72.8</v>
      </c>
      <c r="BH153" s="721">
        <v>127910</v>
      </c>
      <c r="BI153" s="715">
        <v>40887</v>
      </c>
      <c r="BJ153" s="706">
        <f>ROUND(((BI153/BH153-1)*100), 1)</f>
        <v>-68</v>
      </c>
      <c r="BK153" s="721">
        <f>BN153-BH153</f>
        <v>8397</v>
      </c>
      <c r="BL153" s="715">
        <f>BO153-BI153</f>
        <v>2835</v>
      </c>
      <c r="BM153" s="706">
        <f>ROUND(((BL153/BK153-1)*100), 1)</f>
        <v>-66.2</v>
      </c>
      <c r="BN153" s="721">
        <v>136307</v>
      </c>
      <c r="BO153" s="715">
        <v>43722</v>
      </c>
      <c r="BP153" s="706">
        <f>ROUND(((BO153/BN153-1)*100), 1)</f>
        <v>-67.900000000000006</v>
      </c>
      <c r="BQ153" s="721">
        <f>BT153-BN153</f>
        <v>11590</v>
      </c>
      <c r="BR153" s="715">
        <f>BU153-BO153</f>
        <v>4040</v>
      </c>
      <c r="BS153" s="706">
        <f>ROUND(((BR153/BQ153-1)*100), 1)</f>
        <v>-65.099999999999994</v>
      </c>
      <c r="BT153" s="721">
        <v>147897</v>
      </c>
      <c r="BU153" s="715">
        <v>47762</v>
      </c>
      <c r="BV153" s="706">
        <f>ROUND(((BU153/BT153-1)*100), 1)</f>
        <v>-67.7</v>
      </c>
    </row>
    <row r="154" spans="1:74">
      <c r="A154" s="9"/>
      <c r="B154" s="1162" t="s">
        <v>39</v>
      </c>
      <c r="C154" s="1179"/>
      <c r="D154" s="99">
        <f t="shared" ref="D154:M154" si="351">SUM(D91+D105+D130+D153)</f>
        <v>1429118</v>
      </c>
      <c r="E154" s="99">
        <f t="shared" si="351"/>
        <v>1430115</v>
      </c>
      <c r="F154" s="99">
        <f t="shared" si="351"/>
        <v>1490516</v>
      </c>
      <c r="G154" s="99">
        <f t="shared" si="351"/>
        <v>1512360</v>
      </c>
      <c r="H154" s="99">
        <f t="shared" si="351"/>
        <v>1655344</v>
      </c>
      <c r="I154" s="99">
        <f t="shared" si="351"/>
        <v>1621431</v>
      </c>
      <c r="J154" s="99">
        <f t="shared" si="351"/>
        <v>1446299</v>
      </c>
      <c r="K154" s="99">
        <f t="shared" si="351"/>
        <v>1508451</v>
      </c>
      <c r="L154" s="407">
        <f t="shared" si="351"/>
        <v>128191</v>
      </c>
      <c r="M154" s="407">
        <f t="shared" si="351"/>
        <v>123442</v>
      </c>
      <c r="N154" s="266">
        <f>ROUND(((M154/L154-1)*100), 1)</f>
        <v>-3.7</v>
      </c>
      <c r="O154" s="407">
        <f>SUM(O91+O105+O130+O153)</f>
        <v>97928</v>
      </c>
      <c r="P154" s="407">
        <f>SUM(P91+P105+P130+P153)</f>
        <v>110484</v>
      </c>
      <c r="Q154" s="266">
        <f>ROUND(((P154/O154-1)*100), 1)</f>
        <v>12.8</v>
      </c>
      <c r="R154" s="407">
        <f>SUM(R91+R105+R130+R153)</f>
        <v>226119</v>
      </c>
      <c r="S154" s="407">
        <f>SUM(S91+S105+S130+S153)</f>
        <v>233926</v>
      </c>
      <c r="T154" s="266">
        <f>ROUND(((S154/R154-1)*100), 1)</f>
        <v>3.5</v>
      </c>
      <c r="U154" s="407">
        <f>SUM(U91+U105+U130+U153)</f>
        <v>115955</v>
      </c>
      <c r="V154" s="407">
        <f>SUM(V91+V105+V130+V153)</f>
        <v>117382</v>
      </c>
      <c r="W154" s="266">
        <f>ROUND(((V154/U154-1)*100), 1)</f>
        <v>1.2</v>
      </c>
      <c r="X154" s="407">
        <f>SUM(X91+X105+X130+X153)</f>
        <v>342074</v>
      </c>
      <c r="Y154" s="407">
        <f>SUM(Y91+Y105+Y130+Y153)</f>
        <v>351308</v>
      </c>
      <c r="Z154" s="266">
        <f>ROUND(((Y154/X154-1)*100), 1)</f>
        <v>2.7</v>
      </c>
      <c r="AA154" s="407">
        <f>SUM(AA91+AA105+AA130+AA153)</f>
        <v>129991</v>
      </c>
      <c r="AB154" s="407">
        <f>SUM(AB91+AB105+AB130+AB153)</f>
        <v>121100</v>
      </c>
      <c r="AC154" s="266">
        <f>ROUND(((AB154/AA154-1)*100), 1)</f>
        <v>-6.8</v>
      </c>
      <c r="AD154" s="407">
        <f>SUM(AD91+AD105+AD130+AD153)</f>
        <v>472065</v>
      </c>
      <c r="AE154" s="407">
        <f>SUM(AE91+AE105+AE130+AE153)</f>
        <v>472408</v>
      </c>
      <c r="AF154" s="266">
        <f>ROUND(((AE154/AD154-1)*100), 1)</f>
        <v>0.1</v>
      </c>
      <c r="AG154" s="407">
        <f>SUM(AG91+AG105+AG130+AG153)</f>
        <v>138480</v>
      </c>
      <c r="AH154" s="407">
        <f>SUM(AH91+AH105+AH130+AH153)</f>
        <v>113599</v>
      </c>
      <c r="AI154" s="266">
        <f>ROUND(((AH154/AG154-1)*100), 1)</f>
        <v>-18</v>
      </c>
      <c r="AJ154" s="407">
        <f>SUM(AJ91+AJ105+AJ130+AJ153)</f>
        <v>610545</v>
      </c>
      <c r="AK154" s="407">
        <f>SUM(AK91+AK105+AK130+AK153)</f>
        <v>586007</v>
      </c>
      <c r="AL154" s="266">
        <f>ROUND(((AK154/AJ154-1)*100), 1)</f>
        <v>-4</v>
      </c>
      <c r="AM154" s="719">
        <f>SUM(AM91+AM105+AM130+AM153)</f>
        <v>130478</v>
      </c>
      <c r="AN154" s="719">
        <f>SUM(AN91+AN105+AN130+AN153)</f>
        <v>116395</v>
      </c>
      <c r="AO154" s="706">
        <f>ROUND(((AN154/AM154-1)*100), 1)</f>
        <v>-10.8</v>
      </c>
      <c r="AP154" s="719">
        <f>SUM(AP91+AP105+AP130+AP153)</f>
        <v>741023</v>
      </c>
      <c r="AQ154" s="719">
        <f>SUM(AQ91+AQ105+AQ130+AQ153)</f>
        <v>702402</v>
      </c>
      <c r="AR154" s="706">
        <f>ROUND(((AQ154/AP154-1)*100), 1)</f>
        <v>-5.2</v>
      </c>
      <c r="AS154" s="719">
        <f>SUM(AS91+AS105+AS130+AS153)</f>
        <v>122922</v>
      </c>
      <c r="AT154" s="719">
        <f>SUM(AT91+AT105+AT130+AT153)</f>
        <v>106657</v>
      </c>
      <c r="AU154" s="706">
        <f>ROUND(((AT154/AS154-1)*100), 1)</f>
        <v>-13.2</v>
      </c>
      <c r="AV154" s="1011">
        <f>SUM(AV91+AV105+AV130+AV153)</f>
        <v>863945</v>
      </c>
      <c r="AW154" s="1011">
        <f>SUM(AW91+AW105+AW130+AW153)</f>
        <v>809059</v>
      </c>
      <c r="AX154" s="706">
        <f>ROUND(((AW154/AV154-1)*100), 1)</f>
        <v>-6.4</v>
      </c>
      <c r="AY154" s="719">
        <f>SUM(AY91+AY105+AY130+AY153)</f>
        <v>131336</v>
      </c>
      <c r="AZ154" s="719">
        <f>SUM(AZ91+AZ105+AZ130+AZ153)</f>
        <v>99519</v>
      </c>
      <c r="BA154" s="706">
        <f>ROUND(((AZ154/AY154-1)*100), 1)</f>
        <v>-24.2</v>
      </c>
      <c r="BB154" s="719">
        <f>SUM(BB91+BB105+BB130+BB153)</f>
        <v>995281</v>
      </c>
      <c r="BC154" s="719">
        <f>SUM(BC91+BC105+BC130+BC153)</f>
        <v>908578</v>
      </c>
      <c r="BD154" s="706">
        <f>ROUND(((BC154/BB154-1)*100), 1)</f>
        <v>-8.6999999999999993</v>
      </c>
      <c r="BE154" s="719">
        <f>SUM(BE91+BE105+BE130+BE153)</f>
        <v>121463</v>
      </c>
      <c r="BF154" s="719">
        <f>SUM(BF91+BF105+BF130+BF153)</f>
        <v>118807</v>
      </c>
      <c r="BG154" s="706">
        <f>ROUND(((BF154/BE154-1)*100), 1)</f>
        <v>-2.2000000000000002</v>
      </c>
      <c r="BH154" s="719">
        <f>SUM(BH91+BH105+BH130+BH153)</f>
        <v>1116744</v>
      </c>
      <c r="BI154" s="719">
        <f>SUM(BI91+BI105+BI130+BI153)</f>
        <v>1027385</v>
      </c>
      <c r="BJ154" s="706">
        <f>ROUND(((BI154/BH154-1)*100), 1)</f>
        <v>-8</v>
      </c>
      <c r="BK154" s="719">
        <f>SUM(BK91+BK105+BK130+BK153)</f>
        <v>130023</v>
      </c>
      <c r="BL154" s="719">
        <f>SUM(BL91+BL105+BL130+BL153)</f>
        <v>111739</v>
      </c>
      <c r="BM154" s="706">
        <f>ROUND(((BL154/BK154-1)*100), 1)</f>
        <v>-14.1</v>
      </c>
      <c r="BN154" s="719">
        <f>SUM(BN91+BN105+BN130+BN153)</f>
        <v>1246767</v>
      </c>
      <c r="BO154" s="719">
        <f>SUM(BO91+BO105+BO130+BO153)</f>
        <v>1139124</v>
      </c>
      <c r="BP154" s="706">
        <f>ROUND(((BO154/BN154-1)*100), 1)</f>
        <v>-8.6</v>
      </c>
      <c r="BQ154" s="719">
        <f>SUM(BQ91+BQ105+BQ130+BQ153)</f>
        <v>131330</v>
      </c>
      <c r="BR154" s="719">
        <f>SUM(BR91+BR105+BR130+BR153)</f>
        <v>116687</v>
      </c>
      <c r="BS154" s="706">
        <f>ROUND(((BR154/BQ154-1)*100), 1)</f>
        <v>-11.1</v>
      </c>
      <c r="BT154" s="719">
        <f>SUM(BT91+BT105+BT130+BT153)</f>
        <v>1378097</v>
      </c>
      <c r="BU154" s="719">
        <f>SUM(BU91+BU105+BU130+BU153)</f>
        <v>1255811</v>
      </c>
      <c r="BV154" s="706">
        <f>ROUND(((BU154/BT154-1)*100), 1)</f>
        <v>-8.9</v>
      </c>
    </row>
    <row r="155" spans="1:74">
      <c r="A155" s="55" t="s">
        <v>118</v>
      </c>
      <c r="N155" s="256"/>
    </row>
    <row r="156" spans="1:74">
      <c r="N156" s="256"/>
    </row>
    <row r="157" spans="1:74">
      <c r="A157" s="81" t="s">
        <v>224</v>
      </c>
      <c r="B157" s="101"/>
      <c r="C157" s="101"/>
      <c r="D157" s="102"/>
      <c r="E157" s="102"/>
      <c r="F157" s="102"/>
      <c r="G157" s="102"/>
      <c r="H157" s="102"/>
      <c r="J157" s="110"/>
      <c r="K157" s="110" t="s">
        <v>306</v>
      </c>
      <c r="M157" s="102"/>
      <c r="N157" s="260"/>
      <c r="O157" s="110"/>
      <c r="P157" s="102"/>
      <c r="Q157" s="276"/>
      <c r="R157" s="110"/>
      <c r="S157" s="102"/>
      <c r="T157" s="276"/>
      <c r="U157" s="110"/>
      <c r="V157" s="102"/>
      <c r="W157" s="276"/>
      <c r="X157" s="110"/>
      <c r="Y157" s="102"/>
      <c r="Z157" s="276"/>
      <c r="AA157" s="110"/>
      <c r="AB157" s="102"/>
      <c r="AC157" s="276"/>
      <c r="AD157" s="110"/>
      <c r="AE157" s="102"/>
      <c r="AF157" s="276"/>
      <c r="AG157" s="110"/>
      <c r="AH157" s="102"/>
      <c r="AI157" s="276"/>
      <c r="AJ157" s="110"/>
      <c r="AK157" s="102"/>
      <c r="AL157" s="276"/>
      <c r="AM157" s="694"/>
      <c r="AN157" s="692"/>
      <c r="AO157" s="700"/>
      <c r="AP157" s="694"/>
      <c r="AQ157" s="748"/>
      <c r="AR157" s="700"/>
      <c r="AS157" s="694"/>
      <c r="AT157" s="748"/>
      <c r="AU157" s="756"/>
      <c r="AV157" s="1012"/>
      <c r="AW157" s="995"/>
      <c r="AX157" s="756"/>
      <c r="AY157" s="694"/>
      <c r="AZ157" s="748"/>
      <c r="BA157" s="756"/>
      <c r="BB157" s="694"/>
      <c r="BC157" s="748"/>
      <c r="BD157" s="756"/>
      <c r="BE157" s="694"/>
      <c r="BF157" s="748"/>
      <c r="BG157" s="756"/>
      <c r="BH157" s="694"/>
      <c r="BI157" s="748"/>
      <c r="BJ157" s="756"/>
      <c r="BK157" s="694"/>
      <c r="BL157" s="748"/>
      <c r="BM157" s="756"/>
      <c r="BN157" s="694"/>
      <c r="BO157" s="748"/>
      <c r="BP157" s="756"/>
      <c r="BQ157" s="694"/>
      <c r="BR157" s="748"/>
      <c r="BS157" s="756"/>
      <c r="BT157" s="694"/>
      <c r="BU157" s="748"/>
      <c r="BV157" s="756"/>
    </row>
    <row r="158" spans="1:74">
      <c r="A158" s="101"/>
      <c r="B158" s="101"/>
      <c r="C158" s="101"/>
      <c r="D158" s="102"/>
      <c r="E158" s="102"/>
      <c r="F158" s="102"/>
      <c r="G158" s="102"/>
      <c r="H158" s="102"/>
      <c r="J158" s="110"/>
      <c r="K158" s="110" t="s">
        <v>348</v>
      </c>
      <c r="M158" s="102"/>
      <c r="N158" s="260"/>
      <c r="O158" s="110"/>
      <c r="P158" s="102"/>
      <c r="Q158" s="276"/>
      <c r="R158" s="110"/>
      <c r="S158" s="102"/>
      <c r="T158" s="276"/>
      <c r="U158" s="110"/>
      <c r="V158" s="102"/>
      <c r="W158" s="276"/>
      <c r="X158" s="110"/>
      <c r="Y158" s="102"/>
      <c r="Z158" s="276"/>
      <c r="AA158" s="110"/>
      <c r="AB158" s="102"/>
      <c r="AC158" s="276"/>
      <c r="AD158" s="110"/>
      <c r="AE158" s="102"/>
      <c r="AF158" s="276"/>
      <c r="AG158" s="110"/>
      <c r="AH158" s="102"/>
      <c r="AI158" s="276"/>
      <c r="AJ158" s="110"/>
      <c r="AK158" s="102"/>
      <c r="AL158" s="276"/>
      <c r="AM158" s="694"/>
      <c r="AN158" s="692"/>
      <c r="AO158" s="700"/>
      <c r="AP158" s="694"/>
      <c r="AQ158" s="748"/>
      <c r="AR158" s="700"/>
      <c r="AS158" s="694"/>
      <c r="AT158" s="748"/>
      <c r="AU158" s="756"/>
      <c r="AV158" s="1012"/>
      <c r="AW158" s="995"/>
      <c r="AX158" s="756"/>
      <c r="AY158" s="694"/>
      <c r="AZ158" s="748"/>
      <c r="BA158" s="756"/>
      <c r="BB158" s="694"/>
      <c r="BC158" s="748"/>
      <c r="BD158" s="756"/>
      <c r="BE158" s="694"/>
      <c r="BF158" s="748"/>
      <c r="BG158" s="756"/>
      <c r="BH158" s="694"/>
      <c r="BI158" s="748"/>
      <c r="BJ158" s="756"/>
      <c r="BK158" s="694"/>
      <c r="BL158" s="748"/>
      <c r="BM158" s="756"/>
      <c r="BN158" s="694"/>
      <c r="BO158" s="748"/>
      <c r="BP158" s="756"/>
      <c r="BQ158" s="694"/>
      <c r="BR158" s="748"/>
      <c r="BS158" s="756"/>
      <c r="BT158" s="694"/>
      <c r="BU158" s="748"/>
      <c r="BV158" s="756"/>
    </row>
    <row r="159" spans="1:74">
      <c r="A159" s="30"/>
      <c r="B159" s="30"/>
      <c r="D159" s="75"/>
      <c r="E159" s="75"/>
      <c r="F159" s="75"/>
      <c r="G159" s="75"/>
      <c r="H159" s="75"/>
      <c r="I159" s="75"/>
      <c r="J159" s="279"/>
      <c r="K159" s="279"/>
      <c r="L159" s="279"/>
      <c r="M159" s="279"/>
      <c r="N159" s="257" t="s">
        <v>94</v>
      </c>
      <c r="O159" s="279"/>
      <c r="P159" s="279"/>
      <c r="Q159" s="274"/>
      <c r="R159" s="279"/>
      <c r="S159" s="279"/>
      <c r="T159" s="274" t="s">
        <v>94</v>
      </c>
      <c r="U159" s="279"/>
      <c r="V159" s="279"/>
      <c r="W159" s="274"/>
      <c r="X159" s="279"/>
      <c r="Y159" s="279"/>
      <c r="Z159" s="274" t="s">
        <v>94</v>
      </c>
      <c r="AA159" s="279"/>
      <c r="AB159" s="279"/>
      <c r="AC159" s="274"/>
      <c r="AD159" s="279"/>
      <c r="AE159" s="279"/>
      <c r="AF159" s="274" t="s">
        <v>94</v>
      </c>
      <c r="AG159" s="279"/>
      <c r="AH159" s="279"/>
      <c r="AI159" s="274"/>
      <c r="AJ159" s="279"/>
      <c r="AK159" s="279"/>
      <c r="AL159" s="274" t="s">
        <v>94</v>
      </c>
      <c r="AM159" s="691"/>
      <c r="AN159" s="691"/>
      <c r="AO159" s="697"/>
      <c r="AP159" s="746"/>
      <c r="AQ159" s="746"/>
      <c r="AR159" s="697" t="s">
        <v>94</v>
      </c>
      <c r="AS159" s="746"/>
      <c r="AT159" s="746"/>
      <c r="AU159" s="755"/>
      <c r="AV159" s="961"/>
      <c r="AW159" s="961"/>
      <c r="AX159" s="755" t="s">
        <v>94</v>
      </c>
      <c r="AY159" s="746"/>
      <c r="AZ159" s="746"/>
      <c r="BA159" s="755"/>
      <c r="BB159" s="746"/>
      <c r="BC159" s="746"/>
      <c r="BD159" s="755" t="s">
        <v>94</v>
      </c>
      <c r="BE159" s="746"/>
      <c r="BF159" s="746"/>
      <c r="BG159" s="755"/>
      <c r="BH159" s="746"/>
      <c r="BI159" s="746"/>
      <c r="BJ159" s="755" t="s">
        <v>94</v>
      </c>
      <c r="BK159" s="746"/>
      <c r="BL159" s="746"/>
      <c r="BM159" s="755"/>
      <c r="BN159" s="746"/>
      <c r="BO159" s="746"/>
      <c r="BP159" s="755" t="s">
        <v>94</v>
      </c>
      <c r="BQ159" s="746"/>
      <c r="BR159" s="746"/>
      <c r="BS159" s="755"/>
      <c r="BT159" s="746"/>
      <c r="BU159" s="746"/>
      <c r="BV159" s="755" t="s">
        <v>94</v>
      </c>
    </row>
    <row r="160" spans="1:74">
      <c r="A160" s="1082" t="s">
        <v>95</v>
      </c>
      <c r="B160" s="1082"/>
      <c r="C160" s="1082"/>
      <c r="D160" s="1170" t="s">
        <v>3</v>
      </c>
      <c r="E160" s="1170" t="s">
        <v>4</v>
      </c>
      <c r="F160" s="1170" t="s">
        <v>5</v>
      </c>
      <c r="G160" s="1170" t="s">
        <v>6</v>
      </c>
      <c r="H160" s="1170" t="s">
        <v>7</v>
      </c>
      <c r="I160" s="1170" t="s">
        <v>81</v>
      </c>
      <c r="J160" s="1170" t="s">
        <v>83</v>
      </c>
      <c r="K160" s="1172" t="s">
        <v>315</v>
      </c>
      <c r="L160" s="1171" t="s">
        <v>40</v>
      </c>
      <c r="M160" s="1170"/>
      <c r="N160" s="1082"/>
      <c r="O160" s="1155" t="s">
        <v>505</v>
      </c>
      <c r="P160" s="1156"/>
      <c r="Q160" s="1157"/>
      <c r="R160" s="1155" t="s">
        <v>506</v>
      </c>
      <c r="S160" s="1156"/>
      <c r="T160" s="1157"/>
      <c r="U160" s="1155" t="s">
        <v>513</v>
      </c>
      <c r="V160" s="1156"/>
      <c r="W160" s="1157"/>
      <c r="X160" s="1155" t="s">
        <v>514</v>
      </c>
      <c r="Y160" s="1156"/>
      <c r="Z160" s="1157"/>
      <c r="AA160" s="1155" t="s">
        <v>531</v>
      </c>
      <c r="AB160" s="1156"/>
      <c r="AC160" s="1157"/>
      <c r="AD160" s="1155" t="s">
        <v>533</v>
      </c>
      <c r="AE160" s="1156"/>
      <c r="AF160" s="1157"/>
      <c r="AG160" s="1155" t="s">
        <v>555</v>
      </c>
      <c r="AH160" s="1156"/>
      <c r="AI160" s="1157"/>
      <c r="AJ160" s="1155" t="s">
        <v>556</v>
      </c>
      <c r="AK160" s="1156"/>
      <c r="AL160" s="1157"/>
      <c r="AM160" s="1155" t="s">
        <v>583</v>
      </c>
      <c r="AN160" s="1156"/>
      <c r="AO160" s="1157"/>
      <c r="AP160" s="1155" t="s">
        <v>584</v>
      </c>
      <c r="AQ160" s="1156"/>
      <c r="AR160" s="1157"/>
      <c r="AS160" s="1155" t="s">
        <v>621</v>
      </c>
      <c r="AT160" s="1156"/>
      <c r="AU160" s="1157"/>
      <c r="AV160" s="1155" t="s">
        <v>622</v>
      </c>
      <c r="AW160" s="1156"/>
      <c r="AX160" s="1157"/>
      <c r="AY160" s="1155" t="s">
        <v>626</v>
      </c>
      <c r="AZ160" s="1156"/>
      <c r="BA160" s="1157"/>
      <c r="BB160" s="1155" t="s">
        <v>628</v>
      </c>
      <c r="BC160" s="1156"/>
      <c r="BD160" s="1157"/>
      <c r="BE160" s="1155" t="s">
        <v>650</v>
      </c>
      <c r="BF160" s="1156"/>
      <c r="BG160" s="1157"/>
      <c r="BH160" s="1155" t="s">
        <v>651</v>
      </c>
      <c r="BI160" s="1156"/>
      <c r="BJ160" s="1157"/>
      <c r="BK160" s="1155" t="s">
        <v>674</v>
      </c>
      <c r="BL160" s="1156"/>
      <c r="BM160" s="1157"/>
      <c r="BN160" s="1155" t="s">
        <v>675</v>
      </c>
      <c r="BO160" s="1156"/>
      <c r="BP160" s="1157"/>
      <c r="BQ160" s="1155" t="s">
        <v>712</v>
      </c>
      <c r="BR160" s="1156"/>
      <c r="BS160" s="1157"/>
      <c r="BT160" s="1155" t="s">
        <v>711</v>
      </c>
      <c r="BU160" s="1156"/>
      <c r="BV160" s="1157"/>
    </row>
    <row r="161" spans="1:74">
      <c r="A161" s="1082"/>
      <c r="B161" s="1082"/>
      <c r="C161" s="1082"/>
      <c r="D161" s="1170"/>
      <c r="E161" s="1170"/>
      <c r="F161" s="1170"/>
      <c r="G161" s="1170"/>
      <c r="H161" s="1170"/>
      <c r="I161" s="1170"/>
      <c r="J161" s="1170"/>
      <c r="K161" s="1173"/>
      <c r="L161" s="418" t="s">
        <v>445</v>
      </c>
      <c r="M161" s="427" t="s">
        <v>446</v>
      </c>
      <c r="N161" s="277" t="s">
        <v>10</v>
      </c>
      <c r="O161" s="418" t="s">
        <v>445</v>
      </c>
      <c r="P161" s="427" t="s">
        <v>446</v>
      </c>
      <c r="Q161" s="277" t="s">
        <v>10</v>
      </c>
      <c r="R161" s="418" t="s">
        <v>445</v>
      </c>
      <c r="S161" s="427" t="s">
        <v>446</v>
      </c>
      <c r="T161" s="277" t="s">
        <v>10</v>
      </c>
      <c r="U161" s="418" t="s">
        <v>445</v>
      </c>
      <c r="V161" s="427" t="s">
        <v>446</v>
      </c>
      <c r="W161" s="277" t="s">
        <v>10</v>
      </c>
      <c r="X161" s="418" t="s">
        <v>445</v>
      </c>
      <c r="Y161" s="427" t="s">
        <v>446</v>
      </c>
      <c r="Z161" s="277" t="s">
        <v>10</v>
      </c>
      <c r="AA161" s="418" t="s">
        <v>445</v>
      </c>
      <c r="AB161" s="427" t="s">
        <v>446</v>
      </c>
      <c r="AC161" s="277" t="s">
        <v>10</v>
      </c>
      <c r="AD161" s="418" t="s">
        <v>445</v>
      </c>
      <c r="AE161" s="427" t="s">
        <v>446</v>
      </c>
      <c r="AF161" s="277" t="s">
        <v>10</v>
      </c>
      <c r="AG161" s="418" t="s">
        <v>445</v>
      </c>
      <c r="AH161" s="427" t="s">
        <v>446</v>
      </c>
      <c r="AI161" s="277" t="s">
        <v>10</v>
      </c>
      <c r="AJ161" s="418" t="s">
        <v>445</v>
      </c>
      <c r="AK161" s="427" t="s">
        <v>446</v>
      </c>
      <c r="AL161" s="277" t="s">
        <v>10</v>
      </c>
      <c r="AM161" s="723" t="s">
        <v>445</v>
      </c>
      <c r="AN161" s="732" t="s">
        <v>446</v>
      </c>
      <c r="AO161" s="702" t="s">
        <v>10</v>
      </c>
      <c r="AP161" s="815" t="s">
        <v>445</v>
      </c>
      <c r="AQ161" s="816" t="s">
        <v>446</v>
      </c>
      <c r="AR161" s="702" t="s">
        <v>10</v>
      </c>
      <c r="AS161" s="815" t="s">
        <v>445</v>
      </c>
      <c r="AT161" s="816" t="s">
        <v>446</v>
      </c>
      <c r="AU161" s="757" t="s">
        <v>10</v>
      </c>
      <c r="AV161" s="996" t="s">
        <v>445</v>
      </c>
      <c r="AW161" s="1009" t="s">
        <v>446</v>
      </c>
      <c r="AX161" s="757" t="s">
        <v>10</v>
      </c>
      <c r="AY161" s="815" t="s">
        <v>445</v>
      </c>
      <c r="AZ161" s="816" t="s">
        <v>446</v>
      </c>
      <c r="BA161" s="757" t="s">
        <v>10</v>
      </c>
      <c r="BB161" s="815" t="s">
        <v>445</v>
      </c>
      <c r="BC161" s="816" t="s">
        <v>446</v>
      </c>
      <c r="BD161" s="757" t="s">
        <v>10</v>
      </c>
      <c r="BE161" s="815" t="s">
        <v>669</v>
      </c>
      <c r="BF161" s="816" t="s">
        <v>671</v>
      </c>
      <c r="BG161" s="757" t="s">
        <v>10</v>
      </c>
      <c r="BH161" s="815" t="s">
        <v>669</v>
      </c>
      <c r="BI161" s="816" t="s">
        <v>671</v>
      </c>
      <c r="BJ161" s="757" t="s">
        <v>10</v>
      </c>
      <c r="BK161" s="815" t="s">
        <v>698</v>
      </c>
      <c r="BL161" s="816" t="s">
        <v>699</v>
      </c>
      <c r="BM161" s="757" t="s">
        <v>10</v>
      </c>
      <c r="BN161" s="815" t="s">
        <v>698</v>
      </c>
      <c r="BO161" s="816" t="s">
        <v>699</v>
      </c>
      <c r="BP161" s="757" t="s">
        <v>10</v>
      </c>
      <c r="BQ161" s="815" t="s">
        <v>445</v>
      </c>
      <c r="BR161" s="816" t="s">
        <v>750</v>
      </c>
      <c r="BS161" s="757" t="s">
        <v>10</v>
      </c>
      <c r="BT161" s="815" t="s">
        <v>445</v>
      </c>
      <c r="BU161" s="816" t="s">
        <v>446</v>
      </c>
      <c r="BV161" s="757" t="s">
        <v>10</v>
      </c>
    </row>
    <row r="162" spans="1:74">
      <c r="A162" s="1174" t="s">
        <v>121</v>
      </c>
      <c r="B162" s="1165" t="s">
        <v>225</v>
      </c>
      <c r="C162" s="103" t="s">
        <v>107</v>
      </c>
      <c r="D162" s="104">
        <v>3699</v>
      </c>
      <c r="E162" s="104">
        <v>4187</v>
      </c>
      <c r="F162" s="104">
        <v>4338</v>
      </c>
      <c r="G162" s="104">
        <v>3757</v>
      </c>
      <c r="H162" s="104">
        <v>3183</v>
      </c>
      <c r="I162" s="104">
        <v>3594</v>
      </c>
      <c r="J162" s="106">
        <v>4898</v>
      </c>
      <c r="K162" s="98">
        <v>9332</v>
      </c>
      <c r="L162" s="417">
        <v>689</v>
      </c>
      <c r="M162" s="386">
        <v>521</v>
      </c>
      <c r="N162" s="265">
        <f t="shared" ref="N162:N175" si="352">ROUND(((M162/L162-1)*100), 1)</f>
        <v>-24.4</v>
      </c>
      <c r="O162" s="417">
        <f t="shared" ref="O162:P177" si="353">R162-L162</f>
        <v>357</v>
      </c>
      <c r="P162" s="386">
        <f t="shared" si="353"/>
        <v>985</v>
      </c>
      <c r="Q162" s="265">
        <f t="shared" ref="Q162:Q175" si="354">ROUND(((P162/O162-1)*100), 1)</f>
        <v>175.9</v>
      </c>
      <c r="R162" s="417">
        <v>1046</v>
      </c>
      <c r="S162" s="386">
        <v>1506</v>
      </c>
      <c r="T162" s="265">
        <f t="shared" ref="T162:T175" si="355">ROUND(((S162/R162-1)*100), 1)</f>
        <v>44</v>
      </c>
      <c r="U162" s="417">
        <f t="shared" ref="U162:U177" si="356">X162-R162</f>
        <v>846</v>
      </c>
      <c r="V162" s="386">
        <f t="shared" ref="V162:V177" si="357">Y162-S162</f>
        <v>661</v>
      </c>
      <c r="W162" s="265">
        <f t="shared" ref="W162:W176" si="358">ROUND(((V162/U162-1)*100), 1)</f>
        <v>-21.9</v>
      </c>
      <c r="X162" s="417">
        <v>1892</v>
      </c>
      <c r="Y162" s="386">
        <v>2167</v>
      </c>
      <c r="Z162" s="265">
        <f t="shared" ref="Z162:Z176" si="359">ROUND(((Y162/X162-1)*100), 1)</f>
        <v>14.5</v>
      </c>
      <c r="AA162" s="417">
        <f t="shared" ref="AA162:AA177" si="360">AD162-X162</f>
        <v>1145</v>
      </c>
      <c r="AB162" s="386">
        <f t="shared" ref="AB162:AB177" si="361">AE162-Y162</f>
        <v>779</v>
      </c>
      <c r="AC162" s="265">
        <f t="shared" ref="AC162:AC174" si="362">ROUND(((AB162/AA162-1)*100), 1)</f>
        <v>-32</v>
      </c>
      <c r="AD162" s="417">
        <v>3037</v>
      </c>
      <c r="AE162" s="386">
        <v>2946</v>
      </c>
      <c r="AF162" s="265">
        <f t="shared" ref="AF162:AF206" si="363">ROUND(((AE162/AD162-1)*100), 1)</f>
        <v>-3</v>
      </c>
      <c r="AG162" s="417">
        <f t="shared" ref="AG162:AH177" si="364">AJ162-AD162</f>
        <v>713</v>
      </c>
      <c r="AH162" s="386">
        <f t="shared" si="364"/>
        <v>441</v>
      </c>
      <c r="AI162" s="265">
        <f t="shared" ref="AI162:AI174" si="365">ROUND(((AH162/AG162-1)*100), 1)</f>
        <v>-38.1</v>
      </c>
      <c r="AJ162" s="417">
        <v>3750</v>
      </c>
      <c r="AK162" s="386">
        <v>3387</v>
      </c>
      <c r="AL162" s="265">
        <f t="shared" ref="AL162:AL206" si="366">ROUND(((AK162/AJ162-1)*100), 1)</f>
        <v>-9.6999999999999993</v>
      </c>
      <c r="AM162" s="722">
        <f t="shared" ref="AM162:AM177" si="367">AP162-AJ162</f>
        <v>884</v>
      </c>
      <c r="AN162" s="714">
        <f t="shared" ref="AN162:AN177" si="368">AQ162-AK162</f>
        <v>335</v>
      </c>
      <c r="AO162" s="705">
        <f t="shared" ref="AO162:AO171" si="369">ROUND(((AN162/AM162-1)*100), 1)</f>
        <v>-62.1</v>
      </c>
      <c r="AP162" s="770">
        <v>4634</v>
      </c>
      <c r="AQ162" s="714">
        <v>3722</v>
      </c>
      <c r="AR162" s="705">
        <f t="shared" ref="AR162:AR206" si="370">ROUND(((AQ162/AP162-1)*100), 1)</f>
        <v>-19.7</v>
      </c>
      <c r="AS162" s="770">
        <f t="shared" ref="AS162:AT177" si="371">AV162-AP162</f>
        <v>659</v>
      </c>
      <c r="AT162" s="714">
        <f t="shared" si="371"/>
        <v>282</v>
      </c>
      <c r="AU162" s="705">
        <f t="shared" ref="AU162:AU172" si="372">ROUND(((AT162/AS162-1)*100), 1)</f>
        <v>-57.2</v>
      </c>
      <c r="AV162" s="992">
        <v>5293</v>
      </c>
      <c r="AW162" s="990">
        <v>4004</v>
      </c>
      <c r="AX162" s="705">
        <f t="shared" ref="AX162:AX206" si="373">ROUND(((AW162/AV162-1)*100), 1)</f>
        <v>-24.4</v>
      </c>
      <c r="AY162" s="770">
        <f t="shared" ref="AY162:AY177" si="374">BB162-AV162</f>
        <v>528</v>
      </c>
      <c r="AZ162" s="714">
        <f t="shared" ref="AZ162:AZ177" si="375">BC162-AW162</f>
        <v>278</v>
      </c>
      <c r="BA162" s="705">
        <f t="shared" ref="BA162:BA171" si="376">ROUND(((AZ162/AY162-1)*100), 1)</f>
        <v>-47.3</v>
      </c>
      <c r="BB162" s="770">
        <v>5821</v>
      </c>
      <c r="BC162" s="714">
        <v>4282</v>
      </c>
      <c r="BD162" s="705">
        <f t="shared" ref="BD162:BD206" si="377">ROUND(((BC162/BB162-1)*100), 1)</f>
        <v>-26.4</v>
      </c>
      <c r="BE162" s="770">
        <f t="shared" ref="BE162:BF177" si="378">BH162-BB162</f>
        <v>675</v>
      </c>
      <c r="BF162" s="714">
        <f t="shared" si="378"/>
        <v>468</v>
      </c>
      <c r="BG162" s="705">
        <f t="shared" ref="BG162:BG172" si="379">ROUND(((BF162/BE162-1)*100), 1)</f>
        <v>-30.7</v>
      </c>
      <c r="BH162" s="770">
        <v>6496</v>
      </c>
      <c r="BI162" s="714">
        <v>4750</v>
      </c>
      <c r="BJ162" s="705">
        <f t="shared" ref="BJ162:BJ206" si="380">ROUND(((BI162/BH162-1)*100), 1)</f>
        <v>-26.9</v>
      </c>
      <c r="BK162" s="770">
        <f t="shared" ref="BK162:BL177" si="381">BN162-BH162</f>
        <v>744</v>
      </c>
      <c r="BL162" s="714">
        <f t="shared" si="381"/>
        <v>765</v>
      </c>
      <c r="BM162" s="705">
        <f t="shared" ref="BM162:BM169" si="382">ROUND(((BL162/BK162-1)*100), 1)</f>
        <v>2.8</v>
      </c>
      <c r="BN162" s="770">
        <v>7240</v>
      </c>
      <c r="BO162" s="714">
        <v>5515</v>
      </c>
      <c r="BP162" s="705">
        <f t="shared" ref="BP162:BP206" si="383">ROUND(((BO162/BN162-1)*100), 1)</f>
        <v>-23.8</v>
      </c>
      <c r="BQ162" s="770">
        <f t="shared" ref="BQ162:BR177" si="384">BT162-BN162</f>
        <v>880</v>
      </c>
      <c r="BR162" s="714">
        <f t="shared" si="384"/>
        <v>558</v>
      </c>
      <c r="BS162" s="705">
        <f t="shared" ref="BS162:BS170" si="385">ROUND(((BR162/BQ162-1)*100), 1)</f>
        <v>-36.6</v>
      </c>
      <c r="BT162" s="770">
        <v>8120</v>
      </c>
      <c r="BU162" s="714">
        <v>6073</v>
      </c>
      <c r="BV162" s="705">
        <f t="shared" ref="BV162:BV206" si="386">ROUND(((BU162/BT162-1)*100), 1)</f>
        <v>-25.2</v>
      </c>
    </row>
    <row r="163" spans="1:74">
      <c r="A163" s="1174"/>
      <c r="B163" s="1164"/>
      <c r="C163" s="105" t="s">
        <v>112</v>
      </c>
      <c r="D163" s="98">
        <v>638</v>
      </c>
      <c r="E163" s="98">
        <v>526</v>
      </c>
      <c r="F163" s="98">
        <v>717</v>
      </c>
      <c r="G163" s="98">
        <v>792</v>
      </c>
      <c r="H163" s="98">
        <v>493</v>
      </c>
      <c r="I163" s="98">
        <v>621</v>
      </c>
      <c r="J163" s="106">
        <v>877</v>
      </c>
      <c r="K163" s="98">
        <v>1876</v>
      </c>
      <c r="L163" s="417">
        <v>72</v>
      </c>
      <c r="M163" s="386">
        <v>173</v>
      </c>
      <c r="N163" s="265">
        <f t="shared" si="352"/>
        <v>140.30000000000001</v>
      </c>
      <c r="O163" s="417">
        <f t="shared" si="353"/>
        <v>67</v>
      </c>
      <c r="P163" s="386">
        <f t="shared" si="353"/>
        <v>43</v>
      </c>
      <c r="Q163" s="265">
        <f t="shared" si="354"/>
        <v>-35.799999999999997</v>
      </c>
      <c r="R163" s="417">
        <v>139</v>
      </c>
      <c r="S163" s="386">
        <v>216</v>
      </c>
      <c r="T163" s="265">
        <f t="shared" si="355"/>
        <v>55.4</v>
      </c>
      <c r="U163" s="417">
        <f t="shared" si="356"/>
        <v>0</v>
      </c>
      <c r="V163" s="386">
        <f t="shared" si="357"/>
        <v>124</v>
      </c>
      <c r="W163" s="265" t="e">
        <f t="shared" si="358"/>
        <v>#DIV/0!</v>
      </c>
      <c r="X163" s="417">
        <v>139</v>
      </c>
      <c r="Y163" s="386">
        <v>340</v>
      </c>
      <c r="Z163" s="265">
        <f t="shared" si="359"/>
        <v>144.6</v>
      </c>
      <c r="AA163" s="417">
        <f t="shared" si="360"/>
        <v>125</v>
      </c>
      <c r="AB163" s="386">
        <f t="shared" si="361"/>
        <v>272</v>
      </c>
      <c r="AC163" s="265">
        <f t="shared" si="362"/>
        <v>117.6</v>
      </c>
      <c r="AD163" s="417">
        <v>264</v>
      </c>
      <c r="AE163" s="386">
        <v>612</v>
      </c>
      <c r="AF163" s="265">
        <f t="shared" si="363"/>
        <v>131.80000000000001</v>
      </c>
      <c r="AG163" s="417">
        <f t="shared" si="364"/>
        <v>55</v>
      </c>
      <c r="AH163" s="386">
        <f t="shared" si="364"/>
        <v>106</v>
      </c>
      <c r="AI163" s="265">
        <f t="shared" si="365"/>
        <v>92.7</v>
      </c>
      <c r="AJ163" s="417">
        <v>319</v>
      </c>
      <c r="AK163" s="386">
        <v>718</v>
      </c>
      <c r="AL163" s="265">
        <f t="shared" si="366"/>
        <v>125.1</v>
      </c>
      <c r="AM163" s="722">
        <f t="shared" si="367"/>
        <v>135</v>
      </c>
      <c r="AN163" s="714">
        <f t="shared" si="368"/>
        <v>81</v>
      </c>
      <c r="AO163" s="705">
        <f t="shared" si="369"/>
        <v>-40</v>
      </c>
      <c r="AP163" s="770">
        <v>454</v>
      </c>
      <c r="AQ163" s="714">
        <v>799</v>
      </c>
      <c r="AR163" s="705">
        <f t="shared" si="370"/>
        <v>76</v>
      </c>
      <c r="AS163" s="770">
        <f t="shared" si="371"/>
        <v>175</v>
      </c>
      <c r="AT163" s="714">
        <f t="shared" si="371"/>
        <v>219</v>
      </c>
      <c r="AU163" s="705">
        <f t="shared" si="372"/>
        <v>25.1</v>
      </c>
      <c r="AV163" s="992">
        <v>629</v>
      </c>
      <c r="AW163" s="990">
        <v>1018</v>
      </c>
      <c r="AX163" s="705">
        <f t="shared" si="373"/>
        <v>61.8</v>
      </c>
      <c r="AY163" s="770">
        <f t="shared" si="374"/>
        <v>196</v>
      </c>
      <c r="AZ163" s="714">
        <f t="shared" si="375"/>
        <v>83</v>
      </c>
      <c r="BA163" s="705">
        <f t="shared" si="376"/>
        <v>-57.7</v>
      </c>
      <c r="BB163" s="770">
        <v>825</v>
      </c>
      <c r="BC163" s="714">
        <v>1101</v>
      </c>
      <c r="BD163" s="705">
        <f t="shared" si="377"/>
        <v>33.5</v>
      </c>
      <c r="BE163" s="770">
        <f t="shared" si="378"/>
        <v>323</v>
      </c>
      <c r="BF163" s="714">
        <f t="shared" si="378"/>
        <v>144</v>
      </c>
      <c r="BG163" s="705">
        <f t="shared" si="379"/>
        <v>-55.4</v>
      </c>
      <c r="BH163" s="770">
        <v>1148</v>
      </c>
      <c r="BI163" s="714">
        <v>1245</v>
      </c>
      <c r="BJ163" s="705">
        <f t="shared" si="380"/>
        <v>8.4</v>
      </c>
      <c r="BK163" s="770">
        <f t="shared" si="381"/>
        <v>469</v>
      </c>
      <c r="BL163" s="714">
        <f t="shared" si="381"/>
        <v>232</v>
      </c>
      <c r="BM163" s="705">
        <f t="shared" si="382"/>
        <v>-50.5</v>
      </c>
      <c r="BN163" s="770">
        <v>1617</v>
      </c>
      <c r="BO163" s="714">
        <v>1477</v>
      </c>
      <c r="BP163" s="705">
        <f t="shared" si="383"/>
        <v>-8.6999999999999993</v>
      </c>
      <c r="BQ163" s="770">
        <f t="shared" si="384"/>
        <v>195</v>
      </c>
      <c r="BR163" s="714">
        <f t="shared" si="384"/>
        <v>107</v>
      </c>
      <c r="BS163" s="705">
        <f t="shared" si="385"/>
        <v>-45.1</v>
      </c>
      <c r="BT163" s="770">
        <v>1812</v>
      </c>
      <c r="BU163" s="714">
        <v>1584</v>
      </c>
      <c r="BV163" s="705">
        <f t="shared" si="386"/>
        <v>-12.6</v>
      </c>
    </row>
    <row r="164" spans="1:74">
      <c r="A164" s="96"/>
      <c r="B164" s="1164"/>
      <c r="C164" s="105" t="s">
        <v>101</v>
      </c>
      <c r="D164" s="98">
        <v>521</v>
      </c>
      <c r="E164" s="98">
        <v>727</v>
      </c>
      <c r="F164" s="98">
        <v>1215</v>
      </c>
      <c r="G164" s="98">
        <v>1574</v>
      </c>
      <c r="H164" s="98">
        <v>1929</v>
      </c>
      <c r="I164" s="98">
        <v>1904</v>
      </c>
      <c r="J164" s="106">
        <v>1555</v>
      </c>
      <c r="K164" s="98">
        <v>1324</v>
      </c>
      <c r="L164" s="417">
        <v>107</v>
      </c>
      <c r="M164" s="386">
        <v>74</v>
      </c>
      <c r="N164" s="265">
        <f t="shared" si="352"/>
        <v>-30.8</v>
      </c>
      <c r="O164" s="417">
        <f t="shared" si="353"/>
        <v>123</v>
      </c>
      <c r="P164" s="386">
        <f t="shared" si="353"/>
        <v>105</v>
      </c>
      <c r="Q164" s="265">
        <f t="shared" si="354"/>
        <v>-14.6</v>
      </c>
      <c r="R164" s="417">
        <v>230</v>
      </c>
      <c r="S164" s="386">
        <v>179</v>
      </c>
      <c r="T164" s="265">
        <f t="shared" si="355"/>
        <v>-22.2</v>
      </c>
      <c r="U164" s="417">
        <f t="shared" si="356"/>
        <v>148</v>
      </c>
      <c r="V164" s="386">
        <f t="shared" si="357"/>
        <v>188</v>
      </c>
      <c r="W164" s="265">
        <f t="shared" si="358"/>
        <v>27</v>
      </c>
      <c r="X164" s="417">
        <v>378</v>
      </c>
      <c r="Y164" s="386">
        <v>367</v>
      </c>
      <c r="Z164" s="265">
        <f t="shared" si="359"/>
        <v>-2.9</v>
      </c>
      <c r="AA164" s="417">
        <f t="shared" si="360"/>
        <v>105</v>
      </c>
      <c r="AB164" s="386">
        <f t="shared" si="361"/>
        <v>141</v>
      </c>
      <c r="AC164" s="265">
        <f t="shared" si="362"/>
        <v>34.299999999999997</v>
      </c>
      <c r="AD164" s="417">
        <v>483</v>
      </c>
      <c r="AE164" s="386">
        <v>508</v>
      </c>
      <c r="AF164" s="265">
        <f t="shared" si="363"/>
        <v>5.2</v>
      </c>
      <c r="AG164" s="417">
        <f t="shared" si="364"/>
        <v>138</v>
      </c>
      <c r="AH164" s="386">
        <f t="shared" si="364"/>
        <v>170</v>
      </c>
      <c r="AI164" s="265">
        <f t="shared" si="365"/>
        <v>23.2</v>
      </c>
      <c r="AJ164" s="417">
        <v>621</v>
      </c>
      <c r="AK164" s="386">
        <v>678</v>
      </c>
      <c r="AL164" s="265">
        <f t="shared" si="366"/>
        <v>9.1999999999999993</v>
      </c>
      <c r="AM164" s="722">
        <f t="shared" si="367"/>
        <v>101</v>
      </c>
      <c r="AN164" s="714">
        <f t="shared" si="368"/>
        <v>87</v>
      </c>
      <c r="AO164" s="705">
        <f t="shared" si="369"/>
        <v>-13.9</v>
      </c>
      <c r="AP164" s="770">
        <v>722</v>
      </c>
      <c r="AQ164" s="714">
        <v>765</v>
      </c>
      <c r="AR164" s="705">
        <f t="shared" si="370"/>
        <v>6</v>
      </c>
      <c r="AS164" s="770">
        <f t="shared" si="371"/>
        <v>126</v>
      </c>
      <c r="AT164" s="714">
        <f t="shared" si="371"/>
        <v>64</v>
      </c>
      <c r="AU164" s="705">
        <f t="shared" si="372"/>
        <v>-49.2</v>
      </c>
      <c r="AV164" s="992">
        <v>848</v>
      </c>
      <c r="AW164" s="990">
        <v>829</v>
      </c>
      <c r="AX164" s="705">
        <f t="shared" si="373"/>
        <v>-2.2000000000000002</v>
      </c>
      <c r="AY164" s="770">
        <f t="shared" si="374"/>
        <v>102</v>
      </c>
      <c r="AZ164" s="714">
        <f t="shared" si="375"/>
        <v>58</v>
      </c>
      <c r="BA164" s="705">
        <f t="shared" si="376"/>
        <v>-43.1</v>
      </c>
      <c r="BB164" s="770">
        <v>950</v>
      </c>
      <c r="BC164" s="714">
        <v>887</v>
      </c>
      <c r="BD164" s="705">
        <f t="shared" si="377"/>
        <v>-6.6</v>
      </c>
      <c r="BE164" s="770">
        <f t="shared" si="378"/>
        <v>57</v>
      </c>
      <c r="BF164" s="714">
        <f t="shared" si="378"/>
        <v>143</v>
      </c>
      <c r="BG164" s="705">
        <f t="shared" si="379"/>
        <v>150.9</v>
      </c>
      <c r="BH164" s="770">
        <v>1007</v>
      </c>
      <c r="BI164" s="714">
        <v>1030</v>
      </c>
      <c r="BJ164" s="705">
        <f t="shared" si="380"/>
        <v>2.2999999999999998</v>
      </c>
      <c r="BK164" s="770">
        <f t="shared" si="381"/>
        <v>147</v>
      </c>
      <c r="BL164" s="714">
        <f t="shared" si="381"/>
        <v>99</v>
      </c>
      <c r="BM164" s="705">
        <f t="shared" si="382"/>
        <v>-32.700000000000003</v>
      </c>
      <c r="BN164" s="770">
        <v>1154</v>
      </c>
      <c r="BO164" s="714">
        <v>1129</v>
      </c>
      <c r="BP164" s="705">
        <f t="shared" si="383"/>
        <v>-2.2000000000000002</v>
      </c>
      <c r="BQ164" s="770">
        <f t="shared" si="384"/>
        <v>62</v>
      </c>
      <c r="BR164" s="714">
        <f t="shared" si="384"/>
        <v>177</v>
      </c>
      <c r="BS164" s="705">
        <f t="shared" si="385"/>
        <v>185.5</v>
      </c>
      <c r="BT164" s="770">
        <v>1216</v>
      </c>
      <c r="BU164" s="714">
        <v>1306</v>
      </c>
      <c r="BV164" s="705">
        <f t="shared" si="386"/>
        <v>7.4</v>
      </c>
    </row>
    <row r="165" spans="1:74">
      <c r="A165" s="96"/>
      <c r="B165" s="1164"/>
      <c r="C165" s="105" t="s">
        <v>96</v>
      </c>
      <c r="D165" s="98">
        <v>8148</v>
      </c>
      <c r="E165" s="98">
        <v>4675</v>
      </c>
      <c r="F165" s="98">
        <v>2929</v>
      </c>
      <c r="G165" s="98">
        <v>2305</v>
      </c>
      <c r="H165" s="98">
        <v>2341</v>
      </c>
      <c r="I165" s="98">
        <v>1500</v>
      </c>
      <c r="J165" s="106">
        <v>800</v>
      </c>
      <c r="K165" s="98">
        <v>1086</v>
      </c>
      <c r="L165" s="417">
        <v>63</v>
      </c>
      <c r="M165" s="386">
        <v>221</v>
      </c>
      <c r="N165" s="265">
        <f t="shared" si="352"/>
        <v>250.8</v>
      </c>
      <c r="O165" s="417">
        <f t="shared" si="353"/>
        <v>80</v>
      </c>
      <c r="P165" s="386">
        <f t="shared" si="353"/>
        <v>141</v>
      </c>
      <c r="Q165" s="265">
        <f t="shared" si="354"/>
        <v>76.3</v>
      </c>
      <c r="R165" s="417">
        <v>143</v>
      </c>
      <c r="S165" s="386">
        <v>362</v>
      </c>
      <c r="T165" s="265">
        <f t="shared" si="355"/>
        <v>153.1</v>
      </c>
      <c r="U165" s="417">
        <f t="shared" si="356"/>
        <v>29</v>
      </c>
      <c r="V165" s="386">
        <f t="shared" si="357"/>
        <v>119</v>
      </c>
      <c r="W165" s="265">
        <f t="shared" si="358"/>
        <v>310.3</v>
      </c>
      <c r="X165" s="417">
        <v>172</v>
      </c>
      <c r="Y165" s="386">
        <v>481</v>
      </c>
      <c r="Z165" s="265">
        <f t="shared" si="359"/>
        <v>179.7</v>
      </c>
      <c r="AA165" s="417">
        <f t="shared" si="360"/>
        <v>73</v>
      </c>
      <c r="AB165" s="386">
        <f t="shared" si="361"/>
        <v>119</v>
      </c>
      <c r="AC165" s="265">
        <f t="shared" si="362"/>
        <v>63</v>
      </c>
      <c r="AD165" s="417">
        <v>245</v>
      </c>
      <c r="AE165" s="386">
        <v>600</v>
      </c>
      <c r="AF165" s="265">
        <f t="shared" si="363"/>
        <v>144.9</v>
      </c>
      <c r="AG165" s="417">
        <f t="shared" si="364"/>
        <v>45</v>
      </c>
      <c r="AH165" s="386">
        <f t="shared" si="364"/>
        <v>112</v>
      </c>
      <c r="AI165" s="265">
        <f t="shared" si="365"/>
        <v>148.9</v>
      </c>
      <c r="AJ165" s="417">
        <v>290</v>
      </c>
      <c r="AK165" s="386">
        <v>712</v>
      </c>
      <c r="AL165" s="265">
        <f t="shared" si="366"/>
        <v>145.5</v>
      </c>
      <c r="AM165" s="722">
        <f t="shared" si="367"/>
        <v>83</v>
      </c>
      <c r="AN165" s="714">
        <f t="shared" si="368"/>
        <v>59</v>
      </c>
      <c r="AO165" s="705">
        <f t="shared" si="369"/>
        <v>-28.9</v>
      </c>
      <c r="AP165" s="770">
        <v>373</v>
      </c>
      <c r="AQ165" s="714">
        <v>771</v>
      </c>
      <c r="AR165" s="705">
        <f t="shared" si="370"/>
        <v>106.7</v>
      </c>
      <c r="AS165" s="770">
        <f t="shared" si="371"/>
        <v>140</v>
      </c>
      <c r="AT165" s="714">
        <f t="shared" si="371"/>
        <v>106</v>
      </c>
      <c r="AU165" s="705">
        <f t="shared" si="372"/>
        <v>-24.3</v>
      </c>
      <c r="AV165" s="992">
        <v>513</v>
      </c>
      <c r="AW165" s="990">
        <v>877</v>
      </c>
      <c r="AX165" s="705">
        <f t="shared" si="373"/>
        <v>71</v>
      </c>
      <c r="AY165" s="770">
        <f t="shared" si="374"/>
        <v>127</v>
      </c>
      <c r="AZ165" s="714">
        <f t="shared" si="375"/>
        <v>49</v>
      </c>
      <c r="BA165" s="705">
        <f t="shared" si="376"/>
        <v>-61.4</v>
      </c>
      <c r="BB165" s="770">
        <v>640</v>
      </c>
      <c r="BC165" s="714">
        <v>926</v>
      </c>
      <c r="BD165" s="705">
        <f t="shared" si="377"/>
        <v>44.7</v>
      </c>
      <c r="BE165" s="770">
        <f t="shared" si="378"/>
        <v>97</v>
      </c>
      <c r="BF165" s="714">
        <f t="shared" si="378"/>
        <v>97</v>
      </c>
      <c r="BG165" s="705">
        <f t="shared" si="379"/>
        <v>0</v>
      </c>
      <c r="BH165" s="770">
        <v>737</v>
      </c>
      <c r="BI165" s="714">
        <v>1023</v>
      </c>
      <c r="BJ165" s="705">
        <f t="shared" si="380"/>
        <v>38.799999999999997</v>
      </c>
      <c r="BK165" s="770">
        <f t="shared" si="381"/>
        <v>37</v>
      </c>
      <c r="BL165" s="714">
        <f t="shared" si="381"/>
        <v>137</v>
      </c>
      <c r="BM165" s="705">
        <f t="shared" si="382"/>
        <v>270.3</v>
      </c>
      <c r="BN165" s="770">
        <v>774</v>
      </c>
      <c r="BO165" s="714">
        <v>1160</v>
      </c>
      <c r="BP165" s="705">
        <f t="shared" si="383"/>
        <v>49.9</v>
      </c>
      <c r="BQ165" s="770">
        <f t="shared" si="384"/>
        <v>160</v>
      </c>
      <c r="BR165" s="714">
        <f t="shared" si="384"/>
        <v>63</v>
      </c>
      <c r="BS165" s="705">
        <f t="shared" si="385"/>
        <v>-60.6</v>
      </c>
      <c r="BT165" s="770">
        <v>934</v>
      </c>
      <c r="BU165" s="714">
        <v>1223</v>
      </c>
      <c r="BV165" s="705">
        <f t="shared" si="386"/>
        <v>30.9</v>
      </c>
    </row>
    <row r="166" spans="1:74">
      <c r="A166" s="96"/>
      <c r="B166" s="1164"/>
      <c r="C166" s="105" t="s">
        <v>98</v>
      </c>
      <c r="D166" s="98">
        <v>608</v>
      </c>
      <c r="E166" s="98">
        <v>1234</v>
      </c>
      <c r="F166" s="98">
        <v>1544</v>
      </c>
      <c r="G166" s="98">
        <v>1042</v>
      </c>
      <c r="H166" s="98">
        <v>2097</v>
      </c>
      <c r="I166" s="98">
        <v>2397</v>
      </c>
      <c r="J166" s="106">
        <v>1240</v>
      </c>
      <c r="K166" s="98">
        <v>893</v>
      </c>
      <c r="L166" s="417">
        <v>79</v>
      </c>
      <c r="M166" s="386">
        <v>14</v>
      </c>
      <c r="N166" s="265">
        <f t="shared" si="352"/>
        <v>-82.3</v>
      </c>
      <c r="O166" s="417">
        <f t="shared" si="353"/>
        <v>55</v>
      </c>
      <c r="P166" s="386">
        <f t="shared" si="353"/>
        <v>41</v>
      </c>
      <c r="Q166" s="265">
        <f t="shared" si="354"/>
        <v>-25.5</v>
      </c>
      <c r="R166" s="417">
        <v>134</v>
      </c>
      <c r="S166" s="386">
        <v>55</v>
      </c>
      <c r="T166" s="265">
        <f t="shared" si="355"/>
        <v>-59</v>
      </c>
      <c r="U166" s="417">
        <f t="shared" si="356"/>
        <v>38</v>
      </c>
      <c r="V166" s="386">
        <f t="shared" si="357"/>
        <v>49</v>
      </c>
      <c r="W166" s="265">
        <f t="shared" si="358"/>
        <v>28.9</v>
      </c>
      <c r="X166" s="417">
        <v>172</v>
      </c>
      <c r="Y166" s="386">
        <v>104</v>
      </c>
      <c r="Z166" s="265">
        <f t="shared" si="359"/>
        <v>-39.5</v>
      </c>
      <c r="AA166" s="417">
        <f t="shared" si="360"/>
        <v>118</v>
      </c>
      <c r="AB166" s="386">
        <f t="shared" si="361"/>
        <v>20</v>
      </c>
      <c r="AC166" s="265">
        <f t="shared" si="362"/>
        <v>-83.1</v>
      </c>
      <c r="AD166" s="417">
        <v>290</v>
      </c>
      <c r="AE166" s="386">
        <v>124</v>
      </c>
      <c r="AF166" s="265">
        <f t="shared" si="363"/>
        <v>-57.2</v>
      </c>
      <c r="AG166" s="417">
        <f t="shared" si="364"/>
        <v>154</v>
      </c>
      <c r="AH166" s="386">
        <f t="shared" si="364"/>
        <v>25</v>
      </c>
      <c r="AI166" s="265">
        <f t="shared" si="365"/>
        <v>-83.8</v>
      </c>
      <c r="AJ166" s="417">
        <v>444</v>
      </c>
      <c r="AK166" s="386">
        <v>149</v>
      </c>
      <c r="AL166" s="265">
        <f t="shared" si="366"/>
        <v>-66.400000000000006</v>
      </c>
      <c r="AM166" s="722">
        <f t="shared" si="367"/>
        <v>152</v>
      </c>
      <c r="AN166" s="714">
        <f t="shared" si="368"/>
        <v>26</v>
      </c>
      <c r="AO166" s="705">
        <f t="shared" si="369"/>
        <v>-82.9</v>
      </c>
      <c r="AP166" s="770">
        <v>596</v>
      </c>
      <c r="AQ166" s="714">
        <v>175</v>
      </c>
      <c r="AR166" s="705">
        <f t="shared" si="370"/>
        <v>-70.599999999999994</v>
      </c>
      <c r="AS166" s="770">
        <f t="shared" si="371"/>
        <v>143</v>
      </c>
      <c r="AT166" s="714">
        <f t="shared" si="371"/>
        <v>13</v>
      </c>
      <c r="AU166" s="705">
        <f t="shared" si="372"/>
        <v>-90.9</v>
      </c>
      <c r="AV166" s="992">
        <v>739</v>
      </c>
      <c r="AW166" s="990">
        <v>188</v>
      </c>
      <c r="AX166" s="705">
        <f t="shared" si="373"/>
        <v>-74.599999999999994</v>
      </c>
      <c r="AY166" s="770">
        <f t="shared" si="374"/>
        <v>32</v>
      </c>
      <c r="AZ166" s="714">
        <f t="shared" si="375"/>
        <v>4</v>
      </c>
      <c r="BA166" s="705">
        <f t="shared" si="376"/>
        <v>-87.5</v>
      </c>
      <c r="BB166" s="770">
        <v>771</v>
      </c>
      <c r="BC166" s="714">
        <v>192</v>
      </c>
      <c r="BD166" s="705">
        <f t="shared" si="377"/>
        <v>-75.099999999999994</v>
      </c>
      <c r="BE166" s="770">
        <f t="shared" si="378"/>
        <v>10</v>
      </c>
      <c r="BF166" s="714">
        <f t="shared" si="378"/>
        <v>31</v>
      </c>
      <c r="BG166" s="705">
        <f t="shared" si="379"/>
        <v>210</v>
      </c>
      <c r="BH166" s="770">
        <v>781</v>
      </c>
      <c r="BI166" s="714">
        <v>223</v>
      </c>
      <c r="BJ166" s="705">
        <f t="shared" si="380"/>
        <v>-71.400000000000006</v>
      </c>
      <c r="BK166" s="770">
        <f t="shared" si="381"/>
        <v>32</v>
      </c>
      <c r="BL166" s="714">
        <f t="shared" si="381"/>
        <v>74</v>
      </c>
      <c r="BM166" s="705">
        <f t="shared" si="382"/>
        <v>131.30000000000001</v>
      </c>
      <c r="BN166" s="770">
        <v>813</v>
      </c>
      <c r="BO166" s="714">
        <v>297</v>
      </c>
      <c r="BP166" s="705">
        <f t="shared" si="383"/>
        <v>-63.5</v>
      </c>
      <c r="BQ166" s="770">
        <f t="shared" si="384"/>
        <v>42</v>
      </c>
      <c r="BR166" s="714">
        <f t="shared" si="384"/>
        <v>213</v>
      </c>
      <c r="BS166" s="705">
        <f t="shared" si="385"/>
        <v>407.1</v>
      </c>
      <c r="BT166" s="770">
        <v>855</v>
      </c>
      <c r="BU166" s="714">
        <v>510</v>
      </c>
      <c r="BV166" s="705">
        <f t="shared" si="386"/>
        <v>-40.4</v>
      </c>
    </row>
    <row r="167" spans="1:74" s="173" customFormat="1">
      <c r="A167" s="338"/>
      <c r="B167" s="1164"/>
      <c r="C167" s="345" t="s">
        <v>481</v>
      </c>
      <c r="D167" s="341">
        <v>26</v>
      </c>
      <c r="E167" s="341">
        <v>32</v>
      </c>
      <c r="F167" s="341">
        <v>177</v>
      </c>
      <c r="G167" s="341">
        <v>77</v>
      </c>
      <c r="H167" s="341">
        <v>18</v>
      </c>
      <c r="I167" s="341">
        <v>21</v>
      </c>
      <c r="J167" s="464">
        <v>172</v>
      </c>
      <c r="K167" s="341">
        <v>671</v>
      </c>
      <c r="L167" s="428">
        <v>21</v>
      </c>
      <c r="M167" s="397">
        <v>47</v>
      </c>
      <c r="N167" s="346">
        <f t="shared" si="352"/>
        <v>123.8</v>
      </c>
      <c r="O167" s="428">
        <f t="shared" si="353"/>
        <v>28</v>
      </c>
      <c r="P167" s="397">
        <f t="shared" si="353"/>
        <v>147</v>
      </c>
      <c r="Q167" s="346">
        <f t="shared" si="354"/>
        <v>425</v>
      </c>
      <c r="R167" s="428">
        <v>49</v>
      </c>
      <c r="S167" s="397">
        <v>194</v>
      </c>
      <c r="T167" s="346">
        <f t="shared" si="355"/>
        <v>295.89999999999998</v>
      </c>
      <c r="U167" s="428">
        <f t="shared" si="356"/>
        <v>90</v>
      </c>
      <c r="V167" s="397">
        <f t="shared" si="357"/>
        <v>82</v>
      </c>
      <c r="W167" s="346">
        <f t="shared" si="358"/>
        <v>-8.9</v>
      </c>
      <c r="X167" s="428">
        <v>139</v>
      </c>
      <c r="Y167" s="397">
        <v>276</v>
      </c>
      <c r="Z167" s="346">
        <f t="shared" si="359"/>
        <v>98.6</v>
      </c>
      <c r="AA167" s="428">
        <f t="shared" si="360"/>
        <v>37</v>
      </c>
      <c r="AB167" s="397">
        <f t="shared" si="361"/>
        <v>59</v>
      </c>
      <c r="AC167" s="346">
        <f t="shared" si="362"/>
        <v>59.5</v>
      </c>
      <c r="AD167" s="428">
        <v>176</v>
      </c>
      <c r="AE167" s="397">
        <v>335</v>
      </c>
      <c r="AF167" s="346">
        <f t="shared" si="363"/>
        <v>90.3</v>
      </c>
      <c r="AG167" s="428">
        <f t="shared" si="364"/>
        <v>21</v>
      </c>
      <c r="AH167" s="397">
        <f t="shared" si="364"/>
        <v>3</v>
      </c>
      <c r="AI167" s="346">
        <f t="shared" si="365"/>
        <v>-85.7</v>
      </c>
      <c r="AJ167" s="428">
        <v>197</v>
      </c>
      <c r="AK167" s="386">
        <v>338</v>
      </c>
      <c r="AL167" s="346">
        <f t="shared" si="366"/>
        <v>71.599999999999994</v>
      </c>
      <c r="AM167" s="733">
        <f t="shared" si="367"/>
        <v>25</v>
      </c>
      <c r="AN167" s="716">
        <f t="shared" si="368"/>
        <v>87</v>
      </c>
      <c r="AO167" s="709">
        <f t="shared" si="369"/>
        <v>248</v>
      </c>
      <c r="AP167" s="773">
        <v>222</v>
      </c>
      <c r="AQ167" s="714">
        <v>425</v>
      </c>
      <c r="AR167" s="709">
        <f t="shared" si="370"/>
        <v>91.4</v>
      </c>
      <c r="AS167" s="773">
        <f t="shared" si="371"/>
        <v>103</v>
      </c>
      <c r="AT167" s="716">
        <f t="shared" si="371"/>
        <v>1</v>
      </c>
      <c r="AU167" s="709">
        <f t="shared" si="372"/>
        <v>-99</v>
      </c>
      <c r="AV167" s="1013">
        <v>325</v>
      </c>
      <c r="AW167" s="990">
        <v>426</v>
      </c>
      <c r="AX167" s="709">
        <f t="shared" si="373"/>
        <v>31.1</v>
      </c>
      <c r="AY167" s="773">
        <f t="shared" si="374"/>
        <v>96</v>
      </c>
      <c r="AZ167" s="716">
        <f t="shared" si="375"/>
        <v>1</v>
      </c>
      <c r="BA167" s="709">
        <f t="shared" si="376"/>
        <v>-99</v>
      </c>
      <c r="BB167" s="773">
        <v>421</v>
      </c>
      <c r="BC167" s="714">
        <v>427</v>
      </c>
      <c r="BD167" s="709">
        <f t="shared" si="377"/>
        <v>1.4</v>
      </c>
      <c r="BE167" s="773">
        <f t="shared" si="378"/>
        <v>43</v>
      </c>
      <c r="BF167" s="716">
        <f t="shared" si="378"/>
        <v>227</v>
      </c>
      <c r="BG167" s="709">
        <f t="shared" si="379"/>
        <v>427.9</v>
      </c>
      <c r="BH167" s="773">
        <v>464</v>
      </c>
      <c r="BI167" s="714">
        <v>654</v>
      </c>
      <c r="BJ167" s="709">
        <f t="shared" si="380"/>
        <v>40.9</v>
      </c>
      <c r="BK167" s="773">
        <f t="shared" si="381"/>
        <v>49</v>
      </c>
      <c r="BL167" s="716">
        <f t="shared" si="381"/>
        <v>2</v>
      </c>
      <c r="BM167" s="709">
        <f t="shared" si="382"/>
        <v>-95.9</v>
      </c>
      <c r="BN167" s="773">
        <v>513</v>
      </c>
      <c r="BO167" s="714">
        <v>656</v>
      </c>
      <c r="BP167" s="709">
        <f t="shared" si="383"/>
        <v>27.9</v>
      </c>
      <c r="BQ167" s="773">
        <f t="shared" si="384"/>
        <v>45</v>
      </c>
      <c r="BR167" s="716">
        <f t="shared" si="384"/>
        <v>42</v>
      </c>
      <c r="BS167" s="709">
        <f t="shared" si="385"/>
        <v>-6.7</v>
      </c>
      <c r="BT167" s="770">
        <v>558</v>
      </c>
      <c r="BU167" s="714">
        <v>698</v>
      </c>
      <c r="BV167" s="709">
        <f t="shared" si="386"/>
        <v>25.1</v>
      </c>
    </row>
    <row r="168" spans="1:74" s="173" customFormat="1">
      <c r="A168" s="338"/>
      <c r="B168" s="1164"/>
      <c r="C168" s="345" t="s">
        <v>111</v>
      </c>
      <c r="D168" s="341">
        <v>319</v>
      </c>
      <c r="E168" s="341">
        <v>251</v>
      </c>
      <c r="F168" s="341">
        <v>476</v>
      </c>
      <c r="G168" s="341">
        <v>364</v>
      </c>
      <c r="H168" s="341">
        <v>345</v>
      </c>
      <c r="I168" s="341">
        <v>275</v>
      </c>
      <c r="J168" s="464">
        <v>332</v>
      </c>
      <c r="K168" s="341">
        <v>339</v>
      </c>
      <c r="L168" s="428">
        <v>15</v>
      </c>
      <c r="M168" s="397">
        <v>50</v>
      </c>
      <c r="N168" s="346">
        <f t="shared" si="352"/>
        <v>233.3</v>
      </c>
      <c r="O168" s="428">
        <f t="shared" si="353"/>
        <v>31</v>
      </c>
      <c r="P168" s="397">
        <f t="shared" si="353"/>
        <v>33</v>
      </c>
      <c r="Q168" s="346">
        <f t="shared" si="354"/>
        <v>6.5</v>
      </c>
      <c r="R168" s="428">
        <v>46</v>
      </c>
      <c r="S168" s="397">
        <v>83</v>
      </c>
      <c r="T168" s="346">
        <f t="shared" si="355"/>
        <v>80.400000000000006</v>
      </c>
      <c r="U168" s="428">
        <f t="shared" si="356"/>
        <v>18</v>
      </c>
      <c r="V168" s="397">
        <f t="shared" si="357"/>
        <v>0</v>
      </c>
      <c r="W168" s="346">
        <f t="shared" si="358"/>
        <v>-100</v>
      </c>
      <c r="X168" s="428">
        <v>64</v>
      </c>
      <c r="Y168" s="397">
        <v>83</v>
      </c>
      <c r="Z168" s="346">
        <f t="shared" si="359"/>
        <v>29.7</v>
      </c>
      <c r="AA168" s="428">
        <f t="shared" si="360"/>
        <v>9</v>
      </c>
      <c r="AB168" s="397">
        <f t="shared" si="361"/>
        <v>72</v>
      </c>
      <c r="AC168" s="346">
        <f t="shared" si="362"/>
        <v>700</v>
      </c>
      <c r="AD168" s="428">
        <v>73</v>
      </c>
      <c r="AE168" s="397">
        <v>155</v>
      </c>
      <c r="AF168" s="346">
        <f t="shared" si="363"/>
        <v>112.3</v>
      </c>
      <c r="AG168" s="428">
        <f t="shared" si="364"/>
        <v>16</v>
      </c>
      <c r="AH168" s="397">
        <f t="shared" si="364"/>
        <v>62</v>
      </c>
      <c r="AI168" s="346">
        <f t="shared" si="365"/>
        <v>287.5</v>
      </c>
      <c r="AJ168" s="428">
        <v>89</v>
      </c>
      <c r="AK168" s="386">
        <v>217</v>
      </c>
      <c r="AL168" s="346">
        <f t="shared" si="366"/>
        <v>143.80000000000001</v>
      </c>
      <c r="AM168" s="733">
        <f t="shared" si="367"/>
        <v>20</v>
      </c>
      <c r="AN168" s="716">
        <f t="shared" si="368"/>
        <v>14</v>
      </c>
      <c r="AO168" s="709">
        <f t="shared" si="369"/>
        <v>-30</v>
      </c>
      <c r="AP168" s="773">
        <v>109</v>
      </c>
      <c r="AQ168" s="714">
        <v>231</v>
      </c>
      <c r="AR168" s="709">
        <f t="shared" si="370"/>
        <v>111.9</v>
      </c>
      <c r="AS168" s="773">
        <f t="shared" si="371"/>
        <v>47</v>
      </c>
      <c r="AT168" s="716">
        <f t="shared" si="371"/>
        <v>53</v>
      </c>
      <c r="AU168" s="709">
        <f t="shared" si="372"/>
        <v>12.8</v>
      </c>
      <c r="AV168" s="1013">
        <v>156</v>
      </c>
      <c r="AW168" s="990">
        <v>284</v>
      </c>
      <c r="AX168" s="709">
        <f t="shared" si="373"/>
        <v>82.1</v>
      </c>
      <c r="AY168" s="773">
        <f t="shared" si="374"/>
        <v>29</v>
      </c>
      <c r="AZ168" s="716">
        <f t="shared" si="375"/>
        <v>20</v>
      </c>
      <c r="BA168" s="709">
        <f t="shared" si="376"/>
        <v>-31</v>
      </c>
      <c r="BB168" s="773">
        <v>185</v>
      </c>
      <c r="BC168" s="714">
        <v>304</v>
      </c>
      <c r="BD168" s="709">
        <f t="shared" si="377"/>
        <v>64.3</v>
      </c>
      <c r="BE168" s="773">
        <f t="shared" si="378"/>
        <v>23</v>
      </c>
      <c r="BF168" s="716">
        <f t="shared" si="378"/>
        <v>33</v>
      </c>
      <c r="BG168" s="709">
        <f t="shared" si="379"/>
        <v>43.5</v>
      </c>
      <c r="BH168" s="773">
        <v>208</v>
      </c>
      <c r="BI168" s="714">
        <v>337</v>
      </c>
      <c r="BJ168" s="709">
        <f t="shared" si="380"/>
        <v>62</v>
      </c>
      <c r="BK168" s="773">
        <f t="shared" si="381"/>
        <v>17</v>
      </c>
      <c r="BL168" s="716">
        <f t="shared" si="381"/>
        <v>120</v>
      </c>
      <c r="BM168" s="709">
        <f t="shared" si="382"/>
        <v>605.9</v>
      </c>
      <c r="BN168" s="773">
        <v>225</v>
      </c>
      <c r="BO168" s="714">
        <v>457</v>
      </c>
      <c r="BP168" s="709">
        <f t="shared" si="383"/>
        <v>103.1</v>
      </c>
      <c r="BQ168" s="773">
        <f t="shared" si="384"/>
        <v>75</v>
      </c>
      <c r="BR168" s="716">
        <f t="shared" si="384"/>
        <v>10</v>
      </c>
      <c r="BS168" s="709">
        <f t="shared" si="385"/>
        <v>-86.7</v>
      </c>
      <c r="BT168" s="770">
        <v>300</v>
      </c>
      <c r="BU168" s="714">
        <v>467</v>
      </c>
      <c r="BV168" s="709">
        <f t="shared" si="386"/>
        <v>55.7</v>
      </c>
    </row>
    <row r="169" spans="1:74" s="173" customFormat="1">
      <c r="A169" s="338"/>
      <c r="B169" s="1164"/>
      <c r="C169" s="345" t="s">
        <v>52</v>
      </c>
      <c r="D169" s="341">
        <v>1389</v>
      </c>
      <c r="E169" s="341">
        <v>1029</v>
      </c>
      <c r="F169" s="341">
        <v>1030</v>
      </c>
      <c r="G169" s="341">
        <v>977</v>
      </c>
      <c r="H169" s="341">
        <v>862</v>
      </c>
      <c r="I169" s="341">
        <v>412</v>
      </c>
      <c r="J169" s="464">
        <v>540</v>
      </c>
      <c r="K169" s="341">
        <v>333</v>
      </c>
      <c r="L169" s="428">
        <v>14</v>
      </c>
      <c r="M169" s="397">
        <v>25</v>
      </c>
      <c r="N169" s="346">
        <f t="shared" si="352"/>
        <v>78.599999999999994</v>
      </c>
      <c r="O169" s="428">
        <f t="shared" si="353"/>
        <v>102</v>
      </c>
      <c r="P169" s="397">
        <f t="shared" si="353"/>
        <v>44</v>
      </c>
      <c r="Q169" s="346">
        <f t="shared" si="354"/>
        <v>-56.9</v>
      </c>
      <c r="R169" s="428">
        <v>116</v>
      </c>
      <c r="S169" s="397">
        <v>69</v>
      </c>
      <c r="T169" s="346">
        <f t="shared" si="355"/>
        <v>-40.5</v>
      </c>
      <c r="U169" s="428">
        <f t="shared" si="356"/>
        <v>40</v>
      </c>
      <c r="V169" s="397">
        <f t="shared" si="357"/>
        <v>8</v>
      </c>
      <c r="W169" s="346">
        <f t="shared" si="358"/>
        <v>-80</v>
      </c>
      <c r="X169" s="428">
        <v>156</v>
      </c>
      <c r="Y169" s="397">
        <v>77</v>
      </c>
      <c r="Z169" s="346">
        <f t="shared" si="359"/>
        <v>-50.6</v>
      </c>
      <c r="AA169" s="428">
        <f t="shared" si="360"/>
        <v>33</v>
      </c>
      <c r="AB169" s="397">
        <f t="shared" si="361"/>
        <v>6</v>
      </c>
      <c r="AC169" s="346">
        <f t="shared" si="362"/>
        <v>-81.8</v>
      </c>
      <c r="AD169" s="428">
        <v>189</v>
      </c>
      <c r="AE169" s="397">
        <v>83</v>
      </c>
      <c r="AF169" s="346">
        <f t="shared" si="363"/>
        <v>-56.1</v>
      </c>
      <c r="AG169" s="428">
        <f t="shared" si="364"/>
        <v>56</v>
      </c>
      <c r="AH169" s="397">
        <f t="shared" si="364"/>
        <v>11</v>
      </c>
      <c r="AI169" s="346">
        <f t="shared" si="365"/>
        <v>-80.400000000000006</v>
      </c>
      <c r="AJ169" s="428">
        <v>245</v>
      </c>
      <c r="AK169" s="386">
        <v>94</v>
      </c>
      <c r="AL169" s="346">
        <f t="shared" si="366"/>
        <v>-61.6</v>
      </c>
      <c r="AM169" s="733">
        <f t="shared" si="367"/>
        <v>13</v>
      </c>
      <c r="AN169" s="716">
        <f t="shared" si="368"/>
        <v>1</v>
      </c>
      <c r="AO169" s="709">
        <f t="shared" si="369"/>
        <v>-92.3</v>
      </c>
      <c r="AP169" s="773">
        <v>258</v>
      </c>
      <c r="AQ169" s="714">
        <v>95</v>
      </c>
      <c r="AR169" s="709">
        <f t="shared" si="370"/>
        <v>-63.2</v>
      </c>
      <c r="AS169" s="773">
        <f t="shared" si="371"/>
        <v>16</v>
      </c>
      <c r="AT169" s="716">
        <f t="shared" si="371"/>
        <v>4</v>
      </c>
      <c r="AU169" s="709">
        <f t="shared" si="372"/>
        <v>-75</v>
      </c>
      <c r="AV169" s="1013">
        <v>274</v>
      </c>
      <c r="AW169" s="990">
        <v>99</v>
      </c>
      <c r="AX169" s="709">
        <f t="shared" si="373"/>
        <v>-63.9</v>
      </c>
      <c r="AY169" s="773">
        <f t="shared" si="374"/>
        <v>15</v>
      </c>
      <c r="AZ169" s="716">
        <f t="shared" si="375"/>
        <v>8</v>
      </c>
      <c r="BA169" s="709">
        <f t="shared" si="376"/>
        <v>-46.7</v>
      </c>
      <c r="BB169" s="773">
        <v>289</v>
      </c>
      <c r="BC169" s="714">
        <v>107</v>
      </c>
      <c r="BD169" s="709">
        <f t="shared" si="377"/>
        <v>-63</v>
      </c>
      <c r="BE169" s="773">
        <f t="shared" si="378"/>
        <v>3</v>
      </c>
      <c r="BF169" s="716">
        <f t="shared" si="378"/>
        <v>19</v>
      </c>
      <c r="BG169" s="709">
        <f t="shared" si="379"/>
        <v>533.29999999999995</v>
      </c>
      <c r="BH169" s="773">
        <v>292</v>
      </c>
      <c r="BI169" s="714">
        <v>126</v>
      </c>
      <c r="BJ169" s="709">
        <f t="shared" si="380"/>
        <v>-56.8</v>
      </c>
      <c r="BK169" s="773">
        <f t="shared" si="381"/>
        <v>11</v>
      </c>
      <c r="BL169" s="716">
        <f t="shared" si="381"/>
        <v>7</v>
      </c>
      <c r="BM169" s="709">
        <f t="shared" si="382"/>
        <v>-36.4</v>
      </c>
      <c r="BN169" s="773">
        <v>303</v>
      </c>
      <c r="BO169" s="714">
        <v>133</v>
      </c>
      <c r="BP169" s="709">
        <f t="shared" si="383"/>
        <v>-56.1</v>
      </c>
      <c r="BQ169" s="773">
        <f t="shared" si="384"/>
        <v>22</v>
      </c>
      <c r="BR169" s="716">
        <f t="shared" si="384"/>
        <v>31</v>
      </c>
      <c r="BS169" s="709">
        <f t="shared" si="385"/>
        <v>40.9</v>
      </c>
      <c r="BT169" s="770">
        <v>325</v>
      </c>
      <c r="BU169" s="714">
        <v>164</v>
      </c>
      <c r="BV169" s="709">
        <f t="shared" si="386"/>
        <v>-49.5</v>
      </c>
    </row>
    <row r="170" spans="1:74" s="477" customFormat="1">
      <c r="A170" s="338"/>
      <c r="B170" s="1164"/>
      <c r="C170" s="345" t="s">
        <v>379</v>
      </c>
      <c r="D170" s="341">
        <v>339</v>
      </c>
      <c r="E170" s="341">
        <v>297</v>
      </c>
      <c r="F170" s="341">
        <v>229</v>
      </c>
      <c r="G170" s="341">
        <v>234</v>
      </c>
      <c r="H170" s="341">
        <v>184</v>
      </c>
      <c r="I170" s="341">
        <v>252</v>
      </c>
      <c r="J170" s="464">
        <v>290</v>
      </c>
      <c r="K170" s="341">
        <v>253</v>
      </c>
      <c r="L170" s="428">
        <v>19</v>
      </c>
      <c r="M170" s="397">
        <v>0</v>
      </c>
      <c r="N170" s="346">
        <f t="shared" si="352"/>
        <v>-100</v>
      </c>
      <c r="O170" s="428">
        <f t="shared" si="353"/>
        <v>0</v>
      </c>
      <c r="P170" s="397">
        <f t="shared" si="353"/>
        <v>19</v>
      </c>
      <c r="Q170" s="523">
        <v>0</v>
      </c>
      <c r="R170" s="428">
        <v>19</v>
      </c>
      <c r="S170" s="397">
        <v>19</v>
      </c>
      <c r="T170" s="346">
        <f t="shared" si="355"/>
        <v>0</v>
      </c>
      <c r="U170" s="428">
        <f t="shared" si="356"/>
        <v>39</v>
      </c>
      <c r="V170" s="397">
        <f t="shared" si="357"/>
        <v>39</v>
      </c>
      <c r="W170" s="346">
        <f t="shared" si="358"/>
        <v>0</v>
      </c>
      <c r="X170" s="428">
        <v>58</v>
      </c>
      <c r="Y170" s="397">
        <v>58</v>
      </c>
      <c r="Z170" s="346">
        <f t="shared" si="359"/>
        <v>0</v>
      </c>
      <c r="AA170" s="428">
        <f t="shared" si="360"/>
        <v>20</v>
      </c>
      <c r="AB170" s="397">
        <f t="shared" si="361"/>
        <v>0</v>
      </c>
      <c r="AC170" s="346">
        <f t="shared" si="362"/>
        <v>-100</v>
      </c>
      <c r="AD170" s="428">
        <v>78</v>
      </c>
      <c r="AE170" s="397">
        <v>58</v>
      </c>
      <c r="AF170" s="346">
        <f t="shared" si="363"/>
        <v>-25.6</v>
      </c>
      <c r="AG170" s="428">
        <f t="shared" si="364"/>
        <v>39</v>
      </c>
      <c r="AH170" s="397">
        <f t="shared" si="364"/>
        <v>20</v>
      </c>
      <c r="AI170" s="346">
        <f t="shared" si="365"/>
        <v>-48.7</v>
      </c>
      <c r="AJ170" s="428">
        <v>117</v>
      </c>
      <c r="AK170" s="386">
        <v>78</v>
      </c>
      <c r="AL170" s="346">
        <f t="shared" si="366"/>
        <v>-33.299999999999997</v>
      </c>
      <c r="AM170" s="733">
        <f t="shared" si="367"/>
        <v>19</v>
      </c>
      <c r="AN170" s="716">
        <f t="shared" si="368"/>
        <v>0</v>
      </c>
      <c r="AO170" s="709">
        <f t="shared" si="369"/>
        <v>-100</v>
      </c>
      <c r="AP170" s="773">
        <v>136</v>
      </c>
      <c r="AQ170" s="714">
        <v>78</v>
      </c>
      <c r="AR170" s="709">
        <f t="shared" si="370"/>
        <v>-42.6</v>
      </c>
      <c r="AS170" s="773">
        <f t="shared" si="371"/>
        <v>39</v>
      </c>
      <c r="AT170" s="716">
        <f t="shared" si="371"/>
        <v>0</v>
      </c>
      <c r="AU170" s="709">
        <f t="shared" si="372"/>
        <v>-100</v>
      </c>
      <c r="AV170" s="1013">
        <v>175</v>
      </c>
      <c r="AW170" s="990">
        <v>78</v>
      </c>
      <c r="AX170" s="709">
        <f t="shared" si="373"/>
        <v>-55.4</v>
      </c>
      <c r="AY170" s="773">
        <f t="shared" si="374"/>
        <v>20</v>
      </c>
      <c r="AZ170" s="716">
        <f t="shared" si="375"/>
        <v>0</v>
      </c>
      <c r="BA170" s="709">
        <f t="shared" si="376"/>
        <v>-100</v>
      </c>
      <c r="BB170" s="773">
        <v>195</v>
      </c>
      <c r="BC170" s="714">
        <v>78</v>
      </c>
      <c r="BD170" s="709">
        <f t="shared" si="377"/>
        <v>-60</v>
      </c>
      <c r="BE170" s="773">
        <f t="shared" si="378"/>
        <v>0</v>
      </c>
      <c r="BF170" s="716">
        <f t="shared" si="378"/>
        <v>3</v>
      </c>
      <c r="BG170" s="751">
        <v>0</v>
      </c>
      <c r="BH170" s="773">
        <v>195</v>
      </c>
      <c r="BI170" s="714">
        <v>81</v>
      </c>
      <c r="BJ170" s="709">
        <f t="shared" si="380"/>
        <v>-58.5</v>
      </c>
      <c r="BK170" s="773">
        <f t="shared" si="381"/>
        <v>0</v>
      </c>
      <c r="BL170" s="716">
        <f t="shared" si="381"/>
        <v>18</v>
      </c>
      <c r="BM170" s="751">
        <v>0</v>
      </c>
      <c r="BN170" s="773">
        <v>195</v>
      </c>
      <c r="BO170" s="714">
        <v>99</v>
      </c>
      <c r="BP170" s="709">
        <f t="shared" si="383"/>
        <v>-49.2</v>
      </c>
      <c r="BQ170" s="773">
        <f t="shared" si="384"/>
        <v>39</v>
      </c>
      <c r="BR170" s="716">
        <f t="shared" si="384"/>
        <v>0</v>
      </c>
      <c r="BS170" s="705">
        <f t="shared" si="385"/>
        <v>-100</v>
      </c>
      <c r="BT170" s="770">
        <v>234</v>
      </c>
      <c r="BU170" s="714">
        <v>99</v>
      </c>
      <c r="BV170" s="709">
        <f t="shared" si="386"/>
        <v>-57.7</v>
      </c>
    </row>
    <row r="171" spans="1:74" s="173" customFormat="1">
      <c r="A171" s="338"/>
      <c r="B171" s="1164"/>
      <c r="C171" s="345" t="s">
        <v>105</v>
      </c>
      <c r="D171" s="341">
        <v>1941</v>
      </c>
      <c r="E171" s="341">
        <v>1346</v>
      </c>
      <c r="F171" s="341">
        <v>957</v>
      </c>
      <c r="G171" s="341">
        <v>953</v>
      </c>
      <c r="H171" s="341">
        <v>568</v>
      </c>
      <c r="I171" s="341">
        <v>449</v>
      </c>
      <c r="J171" s="464">
        <v>245</v>
      </c>
      <c r="K171" s="341">
        <v>213</v>
      </c>
      <c r="L171" s="428">
        <v>25</v>
      </c>
      <c r="M171" s="397">
        <v>0</v>
      </c>
      <c r="N171" s="346">
        <f t="shared" si="352"/>
        <v>-100</v>
      </c>
      <c r="O171" s="428">
        <f t="shared" si="353"/>
        <v>17</v>
      </c>
      <c r="P171" s="397">
        <f t="shared" si="353"/>
        <v>0</v>
      </c>
      <c r="Q171" s="346">
        <f t="shared" si="354"/>
        <v>-100</v>
      </c>
      <c r="R171" s="428">
        <v>42</v>
      </c>
      <c r="S171" s="397">
        <v>0</v>
      </c>
      <c r="T171" s="346">
        <f t="shared" si="355"/>
        <v>-100</v>
      </c>
      <c r="U171" s="428">
        <f t="shared" si="356"/>
        <v>32</v>
      </c>
      <c r="V171" s="397">
        <f t="shared" si="357"/>
        <v>15</v>
      </c>
      <c r="W171" s="346">
        <f t="shared" si="358"/>
        <v>-53.1</v>
      </c>
      <c r="X171" s="428">
        <v>74</v>
      </c>
      <c r="Y171" s="397">
        <v>15</v>
      </c>
      <c r="Z171" s="346">
        <f t="shared" si="359"/>
        <v>-79.7</v>
      </c>
      <c r="AA171" s="428">
        <f t="shared" si="360"/>
        <v>27</v>
      </c>
      <c r="AB171" s="397">
        <f t="shared" si="361"/>
        <v>24</v>
      </c>
      <c r="AC171" s="346">
        <f t="shared" si="362"/>
        <v>-11.1</v>
      </c>
      <c r="AD171" s="428">
        <v>101</v>
      </c>
      <c r="AE171" s="397">
        <v>39</v>
      </c>
      <c r="AF171" s="346">
        <f t="shared" si="363"/>
        <v>-61.4</v>
      </c>
      <c r="AG171" s="428">
        <f t="shared" si="364"/>
        <v>35</v>
      </c>
      <c r="AH171" s="397">
        <f t="shared" si="364"/>
        <v>0</v>
      </c>
      <c r="AI171" s="346">
        <f t="shared" si="365"/>
        <v>-100</v>
      </c>
      <c r="AJ171" s="428">
        <v>136</v>
      </c>
      <c r="AK171" s="386">
        <v>39</v>
      </c>
      <c r="AL171" s="346">
        <f t="shared" si="366"/>
        <v>-71.3</v>
      </c>
      <c r="AM171" s="733">
        <f t="shared" si="367"/>
        <v>5</v>
      </c>
      <c r="AN171" s="716">
        <f t="shared" si="368"/>
        <v>22</v>
      </c>
      <c r="AO171" s="709">
        <f t="shared" si="369"/>
        <v>340</v>
      </c>
      <c r="AP171" s="773">
        <v>141</v>
      </c>
      <c r="AQ171" s="714">
        <v>61</v>
      </c>
      <c r="AR171" s="709">
        <f t="shared" si="370"/>
        <v>-56.7</v>
      </c>
      <c r="AS171" s="773">
        <f t="shared" si="371"/>
        <v>20</v>
      </c>
      <c r="AT171" s="716">
        <f t="shared" si="371"/>
        <v>0</v>
      </c>
      <c r="AU171" s="709">
        <f t="shared" si="372"/>
        <v>-100</v>
      </c>
      <c r="AV171" s="1013">
        <v>161</v>
      </c>
      <c r="AW171" s="990">
        <v>61</v>
      </c>
      <c r="AX171" s="709">
        <f t="shared" si="373"/>
        <v>-62.1</v>
      </c>
      <c r="AY171" s="773">
        <f t="shared" si="374"/>
        <v>9</v>
      </c>
      <c r="AZ171" s="716">
        <f t="shared" si="375"/>
        <v>0</v>
      </c>
      <c r="BA171" s="709">
        <f t="shared" si="376"/>
        <v>-100</v>
      </c>
      <c r="BB171" s="773">
        <v>170</v>
      </c>
      <c r="BC171" s="714">
        <v>61</v>
      </c>
      <c r="BD171" s="709">
        <f t="shared" si="377"/>
        <v>-64.099999999999994</v>
      </c>
      <c r="BE171" s="773">
        <f t="shared" si="378"/>
        <v>20</v>
      </c>
      <c r="BF171" s="716">
        <f t="shared" si="378"/>
        <v>0</v>
      </c>
      <c r="BG171" s="709">
        <f t="shared" si="379"/>
        <v>-100</v>
      </c>
      <c r="BH171" s="773">
        <v>190</v>
      </c>
      <c r="BI171" s="714">
        <v>61</v>
      </c>
      <c r="BJ171" s="709">
        <f t="shared" si="380"/>
        <v>-67.900000000000006</v>
      </c>
      <c r="BK171" s="773">
        <f t="shared" si="381"/>
        <v>7</v>
      </c>
      <c r="BL171" s="716">
        <f t="shared" si="381"/>
        <v>0</v>
      </c>
      <c r="BM171" s="709">
        <f t="shared" ref="BM171:BM172" si="387">ROUND(((BL171/BK171-1)*100), 1)</f>
        <v>-100</v>
      </c>
      <c r="BN171" s="773">
        <v>197</v>
      </c>
      <c r="BO171" s="714">
        <v>61</v>
      </c>
      <c r="BP171" s="709">
        <f t="shared" si="383"/>
        <v>-69</v>
      </c>
      <c r="BQ171" s="773">
        <f t="shared" si="384"/>
        <v>7</v>
      </c>
      <c r="BR171" s="716">
        <f t="shared" si="384"/>
        <v>7</v>
      </c>
      <c r="BS171" s="709">
        <f>ROUND(((BR171/BQ171-1)*100), 1)</f>
        <v>0</v>
      </c>
      <c r="BT171" s="770">
        <v>204</v>
      </c>
      <c r="BU171" s="714">
        <v>68</v>
      </c>
      <c r="BV171" s="709">
        <f t="shared" si="386"/>
        <v>-66.7</v>
      </c>
    </row>
    <row r="172" spans="1:74" s="173" customFormat="1">
      <c r="A172" s="338"/>
      <c r="B172" s="1164"/>
      <c r="C172" s="345" t="s">
        <v>100</v>
      </c>
      <c r="D172" s="341">
        <v>318</v>
      </c>
      <c r="E172" s="341">
        <v>5464</v>
      </c>
      <c r="F172" s="341">
        <v>3761</v>
      </c>
      <c r="G172" s="341">
        <v>261</v>
      </c>
      <c r="H172" s="341">
        <v>410</v>
      </c>
      <c r="I172" s="341">
        <v>795</v>
      </c>
      <c r="J172" s="464">
        <v>1860</v>
      </c>
      <c r="K172" s="341">
        <v>161</v>
      </c>
      <c r="L172" s="428">
        <v>52</v>
      </c>
      <c r="M172" s="397">
        <v>5</v>
      </c>
      <c r="N172" s="346">
        <f t="shared" si="352"/>
        <v>-90.4</v>
      </c>
      <c r="O172" s="428">
        <f t="shared" si="353"/>
        <v>1</v>
      </c>
      <c r="P172" s="397">
        <f t="shared" si="353"/>
        <v>2</v>
      </c>
      <c r="Q172" s="346">
        <f t="shared" si="354"/>
        <v>100</v>
      </c>
      <c r="R172" s="428">
        <v>53</v>
      </c>
      <c r="S172" s="397">
        <v>7</v>
      </c>
      <c r="T172" s="346">
        <f t="shared" si="355"/>
        <v>-86.8</v>
      </c>
      <c r="U172" s="428">
        <f t="shared" si="356"/>
        <v>25</v>
      </c>
      <c r="V172" s="397">
        <f t="shared" si="357"/>
        <v>46</v>
      </c>
      <c r="W172" s="346">
        <f t="shared" si="358"/>
        <v>84</v>
      </c>
      <c r="X172" s="428">
        <v>78</v>
      </c>
      <c r="Y172" s="397">
        <v>53</v>
      </c>
      <c r="Z172" s="346">
        <f t="shared" si="359"/>
        <v>-32.1</v>
      </c>
      <c r="AA172" s="428">
        <f t="shared" si="360"/>
        <v>37</v>
      </c>
      <c r="AB172" s="397">
        <f t="shared" si="361"/>
        <v>0</v>
      </c>
      <c r="AC172" s="346">
        <f t="shared" si="362"/>
        <v>-100</v>
      </c>
      <c r="AD172" s="428">
        <v>115</v>
      </c>
      <c r="AE172" s="397">
        <v>53</v>
      </c>
      <c r="AF172" s="346">
        <f t="shared" si="363"/>
        <v>-53.9</v>
      </c>
      <c r="AG172" s="428">
        <f t="shared" si="364"/>
        <v>0</v>
      </c>
      <c r="AH172" s="397">
        <f t="shared" si="364"/>
        <v>6</v>
      </c>
      <c r="AI172" s="523">
        <v>0</v>
      </c>
      <c r="AJ172" s="428">
        <v>115</v>
      </c>
      <c r="AK172" s="386">
        <v>59</v>
      </c>
      <c r="AL172" s="346">
        <f t="shared" si="366"/>
        <v>-48.7</v>
      </c>
      <c r="AM172" s="733">
        <f t="shared" si="367"/>
        <v>0</v>
      </c>
      <c r="AN172" s="716">
        <f t="shared" si="368"/>
        <v>39</v>
      </c>
      <c r="AO172" s="695">
        <v>0</v>
      </c>
      <c r="AP172" s="773">
        <v>115</v>
      </c>
      <c r="AQ172" s="714">
        <v>98</v>
      </c>
      <c r="AR172" s="709">
        <f t="shared" si="370"/>
        <v>-14.8</v>
      </c>
      <c r="AS172" s="773">
        <f t="shared" si="371"/>
        <v>17</v>
      </c>
      <c r="AT172" s="716">
        <f t="shared" si="371"/>
        <v>3</v>
      </c>
      <c r="AU172" s="709">
        <f t="shared" si="372"/>
        <v>-82.4</v>
      </c>
      <c r="AV172" s="1013">
        <v>132</v>
      </c>
      <c r="AW172" s="990">
        <v>101</v>
      </c>
      <c r="AX172" s="709">
        <f t="shared" si="373"/>
        <v>-23.5</v>
      </c>
      <c r="AY172" s="773">
        <f t="shared" si="374"/>
        <v>0</v>
      </c>
      <c r="AZ172" s="716">
        <f t="shared" si="375"/>
        <v>0</v>
      </c>
      <c r="BA172" s="751">
        <v>0</v>
      </c>
      <c r="BB172" s="773">
        <v>132</v>
      </c>
      <c r="BC172" s="714">
        <v>101</v>
      </c>
      <c r="BD172" s="709">
        <f t="shared" si="377"/>
        <v>-23.5</v>
      </c>
      <c r="BE172" s="773">
        <f t="shared" si="378"/>
        <v>5</v>
      </c>
      <c r="BF172" s="716">
        <f t="shared" si="378"/>
        <v>23</v>
      </c>
      <c r="BG172" s="705">
        <f t="shared" si="379"/>
        <v>360</v>
      </c>
      <c r="BH172" s="773">
        <v>137</v>
      </c>
      <c r="BI172" s="714">
        <v>124</v>
      </c>
      <c r="BJ172" s="709">
        <f t="shared" si="380"/>
        <v>-9.5</v>
      </c>
      <c r="BK172" s="773">
        <f t="shared" si="381"/>
        <v>4</v>
      </c>
      <c r="BL172" s="716">
        <f t="shared" si="381"/>
        <v>0</v>
      </c>
      <c r="BM172" s="705">
        <f t="shared" si="387"/>
        <v>-100</v>
      </c>
      <c r="BN172" s="773">
        <v>141</v>
      </c>
      <c r="BO172" s="714">
        <v>124</v>
      </c>
      <c r="BP172" s="709">
        <f t="shared" si="383"/>
        <v>-12.1</v>
      </c>
      <c r="BQ172" s="773">
        <f t="shared" si="384"/>
        <v>20</v>
      </c>
      <c r="BR172" s="716">
        <f t="shared" si="384"/>
        <v>0</v>
      </c>
      <c r="BS172" s="705">
        <f>ROUND(((BR172/BQ172-1)*100), 1)</f>
        <v>-100</v>
      </c>
      <c r="BT172" s="770">
        <v>161</v>
      </c>
      <c r="BU172" s="714">
        <v>124</v>
      </c>
      <c r="BV172" s="709">
        <f t="shared" si="386"/>
        <v>-23</v>
      </c>
    </row>
    <row r="173" spans="1:74" s="173" customFormat="1">
      <c r="A173" s="338"/>
      <c r="B173" s="1164"/>
      <c r="C173" s="345" t="s">
        <v>58</v>
      </c>
      <c r="D173" s="341">
        <v>3029</v>
      </c>
      <c r="E173" s="341">
        <v>2307</v>
      </c>
      <c r="F173" s="341">
        <v>2564</v>
      </c>
      <c r="G173" s="341">
        <v>1814</v>
      </c>
      <c r="H173" s="341">
        <v>1998</v>
      </c>
      <c r="I173" s="341">
        <v>217</v>
      </c>
      <c r="J173" s="464">
        <v>216</v>
      </c>
      <c r="K173" s="341">
        <v>154</v>
      </c>
      <c r="L173" s="428">
        <v>2</v>
      </c>
      <c r="M173" s="397">
        <v>0</v>
      </c>
      <c r="N173" s="346">
        <f t="shared" si="352"/>
        <v>-100</v>
      </c>
      <c r="O173" s="428">
        <f t="shared" si="353"/>
        <v>20</v>
      </c>
      <c r="P173" s="397">
        <f t="shared" si="353"/>
        <v>6</v>
      </c>
      <c r="Q173" s="346">
        <f t="shared" si="354"/>
        <v>-70</v>
      </c>
      <c r="R173" s="428">
        <v>22</v>
      </c>
      <c r="S173" s="397">
        <v>6</v>
      </c>
      <c r="T173" s="346">
        <f t="shared" si="355"/>
        <v>-72.7</v>
      </c>
      <c r="U173" s="428">
        <f t="shared" si="356"/>
        <v>44</v>
      </c>
      <c r="V173" s="397">
        <f t="shared" si="357"/>
        <v>0</v>
      </c>
      <c r="W173" s="346">
        <f t="shared" si="358"/>
        <v>-100</v>
      </c>
      <c r="X173" s="428">
        <v>66</v>
      </c>
      <c r="Y173" s="397">
        <v>6</v>
      </c>
      <c r="Z173" s="346">
        <f t="shared" si="359"/>
        <v>-90.9</v>
      </c>
      <c r="AA173" s="428">
        <f t="shared" si="360"/>
        <v>0</v>
      </c>
      <c r="AB173" s="397">
        <f t="shared" si="361"/>
        <v>0</v>
      </c>
      <c r="AC173" s="523">
        <v>0</v>
      </c>
      <c r="AD173" s="428">
        <v>66</v>
      </c>
      <c r="AE173" s="397">
        <v>6</v>
      </c>
      <c r="AF173" s="346">
        <f t="shared" si="363"/>
        <v>-90.9</v>
      </c>
      <c r="AG173" s="428">
        <f t="shared" si="364"/>
        <v>2</v>
      </c>
      <c r="AH173" s="397">
        <f t="shared" si="364"/>
        <v>1</v>
      </c>
      <c r="AI173" s="346">
        <f t="shared" si="365"/>
        <v>-50</v>
      </c>
      <c r="AJ173" s="428">
        <v>68</v>
      </c>
      <c r="AK173" s="386">
        <v>7</v>
      </c>
      <c r="AL173" s="346">
        <f t="shared" si="366"/>
        <v>-89.7</v>
      </c>
      <c r="AM173" s="733">
        <f t="shared" si="367"/>
        <v>29</v>
      </c>
      <c r="AN173" s="716">
        <f t="shared" si="368"/>
        <v>7</v>
      </c>
      <c r="AO173" s="709">
        <f t="shared" ref="AO173:AO174" si="388">ROUND(((AN173/AM173-1)*100), 1)</f>
        <v>-75.900000000000006</v>
      </c>
      <c r="AP173" s="773">
        <v>97</v>
      </c>
      <c r="AQ173" s="714">
        <v>14</v>
      </c>
      <c r="AR173" s="709">
        <f t="shared" si="370"/>
        <v>-85.6</v>
      </c>
      <c r="AS173" s="773">
        <f t="shared" si="371"/>
        <v>0</v>
      </c>
      <c r="AT173" s="716">
        <f t="shared" si="371"/>
        <v>0</v>
      </c>
      <c r="AU173" s="751">
        <v>0</v>
      </c>
      <c r="AV173" s="1013">
        <v>97</v>
      </c>
      <c r="AW173" s="990">
        <v>14</v>
      </c>
      <c r="AX173" s="709">
        <f t="shared" si="373"/>
        <v>-85.6</v>
      </c>
      <c r="AY173" s="773">
        <f t="shared" si="374"/>
        <v>16</v>
      </c>
      <c r="AZ173" s="716">
        <f t="shared" si="375"/>
        <v>8</v>
      </c>
      <c r="BA173" s="709">
        <f>ROUND(((AZ173/AY173-1)*100), 1)</f>
        <v>-50</v>
      </c>
      <c r="BB173" s="773">
        <v>113</v>
      </c>
      <c r="BC173" s="714">
        <v>22</v>
      </c>
      <c r="BD173" s="709">
        <f t="shared" si="377"/>
        <v>-80.5</v>
      </c>
      <c r="BE173" s="773">
        <f t="shared" si="378"/>
        <v>14</v>
      </c>
      <c r="BF173" s="716">
        <f t="shared" si="378"/>
        <v>5</v>
      </c>
      <c r="BG173" s="709">
        <f>ROUND(((BF173/BE173-1)*100), 1)</f>
        <v>-64.3</v>
      </c>
      <c r="BH173" s="773">
        <v>127</v>
      </c>
      <c r="BI173" s="714">
        <v>27</v>
      </c>
      <c r="BJ173" s="709">
        <f t="shared" si="380"/>
        <v>-78.7</v>
      </c>
      <c r="BK173" s="773">
        <f t="shared" si="381"/>
        <v>19</v>
      </c>
      <c r="BL173" s="716">
        <f t="shared" si="381"/>
        <v>4</v>
      </c>
      <c r="BM173" s="709">
        <f>ROUND(((BL173/BK173-1)*100), 1)</f>
        <v>-78.900000000000006</v>
      </c>
      <c r="BN173" s="773">
        <v>146</v>
      </c>
      <c r="BO173" s="714">
        <v>31</v>
      </c>
      <c r="BP173" s="709">
        <f t="shared" si="383"/>
        <v>-78.8</v>
      </c>
      <c r="BQ173" s="773">
        <f t="shared" si="384"/>
        <v>6</v>
      </c>
      <c r="BR173" s="716">
        <f t="shared" si="384"/>
        <v>5</v>
      </c>
      <c r="BS173" s="709">
        <f>ROUND(((BR173/BQ173-1)*100), 1)</f>
        <v>-16.7</v>
      </c>
      <c r="BT173" s="770">
        <v>152</v>
      </c>
      <c r="BU173" s="714">
        <v>36</v>
      </c>
      <c r="BV173" s="709">
        <f t="shared" si="386"/>
        <v>-76.3</v>
      </c>
    </row>
    <row r="174" spans="1:74" s="173" customFormat="1">
      <c r="A174" s="338"/>
      <c r="B174" s="1164"/>
      <c r="C174" s="345" t="s">
        <v>106</v>
      </c>
      <c r="D174" s="341">
        <v>137</v>
      </c>
      <c r="E174" s="341">
        <v>238</v>
      </c>
      <c r="F174" s="341">
        <v>57</v>
      </c>
      <c r="G174" s="341">
        <v>53</v>
      </c>
      <c r="H174" s="341">
        <v>126</v>
      </c>
      <c r="I174" s="341">
        <v>383</v>
      </c>
      <c r="J174" s="464">
        <v>397</v>
      </c>
      <c r="K174" s="341">
        <v>121</v>
      </c>
      <c r="L174" s="428">
        <v>4</v>
      </c>
      <c r="M174" s="397">
        <v>3</v>
      </c>
      <c r="N174" s="346">
        <f t="shared" si="352"/>
        <v>-25</v>
      </c>
      <c r="O174" s="428">
        <f t="shared" si="353"/>
        <v>30</v>
      </c>
      <c r="P174" s="397">
        <f t="shared" si="353"/>
        <v>11</v>
      </c>
      <c r="Q174" s="346">
        <f t="shared" si="354"/>
        <v>-63.3</v>
      </c>
      <c r="R174" s="428">
        <v>34</v>
      </c>
      <c r="S174" s="397">
        <v>14</v>
      </c>
      <c r="T174" s="346">
        <f t="shared" si="355"/>
        <v>-58.8</v>
      </c>
      <c r="U174" s="428">
        <f t="shared" si="356"/>
        <v>13</v>
      </c>
      <c r="V174" s="397">
        <f t="shared" si="357"/>
        <v>0</v>
      </c>
      <c r="W174" s="346">
        <f t="shared" si="358"/>
        <v>-100</v>
      </c>
      <c r="X174" s="428">
        <v>47</v>
      </c>
      <c r="Y174" s="397">
        <v>14</v>
      </c>
      <c r="Z174" s="346">
        <f t="shared" si="359"/>
        <v>-70.2</v>
      </c>
      <c r="AA174" s="428">
        <f t="shared" si="360"/>
        <v>17</v>
      </c>
      <c r="AB174" s="397">
        <f t="shared" si="361"/>
        <v>0</v>
      </c>
      <c r="AC174" s="346">
        <f t="shared" si="362"/>
        <v>-100</v>
      </c>
      <c r="AD174" s="428">
        <v>64</v>
      </c>
      <c r="AE174" s="397">
        <v>14</v>
      </c>
      <c r="AF174" s="346">
        <f t="shared" si="363"/>
        <v>-78.099999999999994</v>
      </c>
      <c r="AG174" s="428">
        <f t="shared" si="364"/>
        <v>12</v>
      </c>
      <c r="AH174" s="397">
        <f t="shared" si="364"/>
        <v>0</v>
      </c>
      <c r="AI174" s="346">
        <f t="shared" si="365"/>
        <v>-100</v>
      </c>
      <c r="AJ174" s="428">
        <v>76</v>
      </c>
      <c r="AK174" s="386">
        <v>14</v>
      </c>
      <c r="AL174" s="346">
        <f t="shared" si="366"/>
        <v>-81.599999999999994</v>
      </c>
      <c r="AM174" s="733">
        <f t="shared" si="367"/>
        <v>11</v>
      </c>
      <c r="AN174" s="716">
        <f t="shared" si="368"/>
        <v>0</v>
      </c>
      <c r="AO174" s="709">
        <f t="shared" si="388"/>
        <v>-100</v>
      </c>
      <c r="AP174" s="773">
        <v>87</v>
      </c>
      <c r="AQ174" s="714">
        <v>14</v>
      </c>
      <c r="AR174" s="709">
        <f t="shared" si="370"/>
        <v>-83.9</v>
      </c>
      <c r="AS174" s="773">
        <f t="shared" si="371"/>
        <v>11</v>
      </c>
      <c r="AT174" s="716">
        <f t="shared" si="371"/>
        <v>0</v>
      </c>
      <c r="AU174" s="709">
        <f>ROUND(((AT174/AS174-1)*100), 1)</f>
        <v>-100</v>
      </c>
      <c r="AV174" s="1013">
        <v>98</v>
      </c>
      <c r="AW174" s="990">
        <v>14</v>
      </c>
      <c r="AX174" s="709">
        <f t="shared" si="373"/>
        <v>-85.7</v>
      </c>
      <c r="AY174" s="773">
        <f t="shared" si="374"/>
        <v>2</v>
      </c>
      <c r="AZ174" s="716">
        <f t="shared" si="375"/>
        <v>0</v>
      </c>
      <c r="BA174" s="709">
        <f>ROUND(((AZ174/AY174-1)*100), 1)</f>
        <v>-100</v>
      </c>
      <c r="BB174" s="773">
        <v>100</v>
      </c>
      <c r="BC174" s="714">
        <v>14</v>
      </c>
      <c r="BD174" s="709">
        <f t="shared" si="377"/>
        <v>-86</v>
      </c>
      <c r="BE174" s="773">
        <f t="shared" si="378"/>
        <v>3</v>
      </c>
      <c r="BF174" s="716">
        <f t="shared" si="378"/>
        <v>0</v>
      </c>
      <c r="BG174" s="709">
        <f>ROUND(((BF174/BE174-1)*100), 1)</f>
        <v>-100</v>
      </c>
      <c r="BH174" s="773">
        <v>103</v>
      </c>
      <c r="BI174" s="714">
        <v>14</v>
      </c>
      <c r="BJ174" s="709">
        <f t="shared" si="380"/>
        <v>-86.4</v>
      </c>
      <c r="BK174" s="773">
        <f t="shared" si="381"/>
        <v>7</v>
      </c>
      <c r="BL174" s="716">
        <f t="shared" si="381"/>
        <v>0</v>
      </c>
      <c r="BM174" s="709">
        <f>ROUND(((BL174/BK174-1)*100), 1)</f>
        <v>-100</v>
      </c>
      <c r="BN174" s="773">
        <v>110</v>
      </c>
      <c r="BO174" s="714">
        <v>14</v>
      </c>
      <c r="BP174" s="709">
        <f t="shared" si="383"/>
        <v>-87.3</v>
      </c>
      <c r="BQ174" s="773">
        <f t="shared" si="384"/>
        <v>4</v>
      </c>
      <c r="BR174" s="716">
        <f t="shared" si="384"/>
        <v>7</v>
      </c>
      <c r="BS174" s="709">
        <f>ROUND(((BR174/BQ174-1)*100), 1)</f>
        <v>75</v>
      </c>
      <c r="BT174" s="770">
        <v>114</v>
      </c>
      <c r="BU174" s="714">
        <v>21</v>
      </c>
      <c r="BV174" s="709">
        <f t="shared" si="386"/>
        <v>-81.599999999999994</v>
      </c>
    </row>
    <row r="175" spans="1:74" s="173" customFormat="1">
      <c r="A175" s="338"/>
      <c r="B175" s="1164"/>
      <c r="C175" s="345" t="s">
        <v>482</v>
      </c>
      <c r="D175" s="341">
        <v>68</v>
      </c>
      <c r="E175" s="341">
        <v>53</v>
      </c>
      <c r="F175" s="341">
        <v>174</v>
      </c>
      <c r="G175" s="341">
        <v>88</v>
      </c>
      <c r="H175" s="341">
        <v>139</v>
      </c>
      <c r="I175" s="341">
        <v>196</v>
      </c>
      <c r="J175" s="464">
        <v>15</v>
      </c>
      <c r="K175" s="341">
        <v>67</v>
      </c>
      <c r="L175" s="428">
        <v>10</v>
      </c>
      <c r="M175" s="397">
        <v>0</v>
      </c>
      <c r="N175" s="346">
        <f t="shared" si="352"/>
        <v>-100</v>
      </c>
      <c r="O175" s="428">
        <f t="shared" si="353"/>
        <v>41</v>
      </c>
      <c r="P175" s="397">
        <f t="shared" si="353"/>
        <v>0</v>
      </c>
      <c r="Q175" s="346">
        <f t="shared" si="354"/>
        <v>-100</v>
      </c>
      <c r="R175" s="428">
        <v>51</v>
      </c>
      <c r="S175" s="397">
        <v>0</v>
      </c>
      <c r="T175" s="346">
        <f t="shared" si="355"/>
        <v>-100</v>
      </c>
      <c r="U175" s="428">
        <f t="shared" si="356"/>
        <v>0</v>
      </c>
      <c r="V175" s="397">
        <f t="shared" si="357"/>
        <v>0</v>
      </c>
      <c r="W175" s="523">
        <v>0</v>
      </c>
      <c r="X175" s="428">
        <v>51</v>
      </c>
      <c r="Y175" s="397">
        <v>0</v>
      </c>
      <c r="Z175" s="346">
        <f t="shared" si="359"/>
        <v>-100</v>
      </c>
      <c r="AA175" s="428">
        <f t="shared" si="360"/>
        <v>0</v>
      </c>
      <c r="AB175" s="397">
        <f t="shared" si="361"/>
        <v>0</v>
      </c>
      <c r="AC175" s="523">
        <v>0</v>
      </c>
      <c r="AD175" s="428">
        <v>51</v>
      </c>
      <c r="AE175" s="397">
        <v>0</v>
      </c>
      <c r="AF175" s="346">
        <f t="shared" si="363"/>
        <v>-100</v>
      </c>
      <c r="AG175" s="428">
        <f t="shared" si="364"/>
        <v>0</v>
      </c>
      <c r="AH175" s="397">
        <f t="shared" si="364"/>
        <v>0</v>
      </c>
      <c r="AI175" s="523">
        <v>0</v>
      </c>
      <c r="AJ175" s="428">
        <v>51</v>
      </c>
      <c r="AK175" s="386">
        <v>0</v>
      </c>
      <c r="AL175" s="346">
        <f t="shared" si="366"/>
        <v>-100</v>
      </c>
      <c r="AM175" s="733">
        <f t="shared" si="367"/>
        <v>0</v>
      </c>
      <c r="AN175" s="716">
        <f t="shared" si="368"/>
        <v>0</v>
      </c>
      <c r="AO175" s="695">
        <v>0</v>
      </c>
      <c r="AP175" s="773">
        <v>51</v>
      </c>
      <c r="AQ175" s="714">
        <v>0</v>
      </c>
      <c r="AR175" s="709">
        <f t="shared" si="370"/>
        <v>-100</v>
      </c>
      <c r="AS175" s="773">
        <f t="shared" si="371"/>
        <v>0</v>
      </c>
      <c r="AT175" s="716">
        <f t="shared" si="371"/>
        <v>0</v>
      </c>
      <c r="AU175" s="751">
        <v>0</v>
      </c>
      <c r="AV175" s="1013">
        <v>51</v>
      </c>
      <c r="AW175" s="990">
        <v>0</v>
      </c>
      <c r="AX175" s="709">
        <f t="shared" si="373"/>
        <v>-100</v>
      </c>
      <c r="AY175" s="773">
        <f t="shared" si="374"/>
        <v>5</v>
      </c>
      <c r="AZ175" s="716">
        <f t="shared" si="375"/>
        <v>0</v>
      </c>
      <c r="BA175" s="751">
        <v>0</v>
      </c>
      <c r="BB175" s="773">
        <v>56</v>
      </c>
      <c r="BC175" s="714">
        <v>0</v>
      </c>
      <c r="BD175" s="709">
        <f t="shared" si="377"/>
        <v>-100</v>
      </c>
      <c r="BE175" s="773">
        <f t="shared" si="378"/>
        <v>0</v>
      </c>
      <c r="BF175" s="716">
        <f t="shared" si="378"/>
        <v>0</v>
      </c>
      <c r="BG175" s="751">
        <v>0</v>
      </c>
      <c r="BH175" s="773">
        <v>56</v>
      </c>
      <c r="BI175" s="714">
        <v>0</v>
      </c>
      <c r="BJ175" s="709">
        <f t="shared" si="380"/>
        <v>-100</v>
      </c>
      <c r="BK175" s="773">
        <f t="shared" si="381"/>
        <v>0</v>
      </c>
      <c r="BL175" s="716">
        <f t="shared" si="381"/>
        <v>0</v>
      </c>
      <c r="BM175" s="751">
        <v>0</v>
      </c>
      <c r="BN175" s="773">
        <v>56</v>
      </c>
      <c r="BO175" s="714">
        <v>0</v>
      </c>
      <c r="BP175" s="709">
        <f t="shared" si="383"/>
        <v>-100</v>
      </c>
      <c r="BQ175" s="773">
        <f t="shared" si="384"/>
        <v>0</v>
      </c>
      <c r="BR175" s="716">
        <f t="shared" si="384"/>
        <v>0</v>
      </c>
      <c r="BS175" s="751">
        <v>0</v>
      </c>
      <c r="BT175" s="770">
        <v>56</v>
      </c>
      <c r="BU175" s="714">
        <v>0</v>
      </c>
      <c r="BV175" s="709">
        <f t="shared" si="386"/>
        <v>-100</v>
      </c>
    </row>
    <row r="176" spans="1:74" s="173" customFormat="1">
      <c r="A176" s="338"/>
      <c r="B176" s="1164"/>
      <c r="C176" s="345" t="s">
        <v>125</v>
      </c>
      <c r="D176" s="341">
        <v>68</v>
      </c>
      <c r="E176" s="341">
        <v>0</v>
      </c>
      <c r="F176" s="341">
        <v>37</v>
      </c>
      <c r="G176" s="341">
        <v>95</v>
      </c>
      <c r="H176" s="341">
        <v>63</v>
      </c>
      <c r="I176" s="341">
        <v>19</v>
      </c>
      <c r="J176" s="464">
        <v>149</v>
      </c>
      <c r="K176" s="341">
        <v>51</v>
      </c>
      <c r="L176" s="428">
        <v>0</v>
      </c>
      <c r="M176" s="397">
        <v>0</v>
      </c>
      <c r="N176" s="478">
        <v>0</v>
      </c>
      <c r="O176" s="428">
        <f t="shared" si="353"/>
        <v>0</v>
      </c>
      <c r="P176" s="397">
        <f t="shared" si="353"/>
        <v>74</v>
      </c>
      <c r="Q176" s="478">
        <v>0</v>
      </c>
      <c r="R176" s="428">
        <v>0</v>
      </c>
      <c r="S176" s="397">
        <v>74</v>
      </c>
      <c r="T176" s="478">
        <v>0</v>
      </c>
      <c r="U176" s="428">
        <f t="shared" si="356"/>
        <v>3</v>
      </c>
      <c r="V176" s="397">
        <f t="shared" si="357"/>
        <v>75</v>
      </c>
      <c r="W176" s="265">
        <f t="shared" si="358"/>
        <v>2400</v>
      </c>
      <c r="X176" s="428">
        <v>3</v>
      </c>
      <c r="Y176" s="397">
        <v>149</v>
      </c>
      <c r="Z176" s="265">
        <f t="shared" si="359"/>
        <v>4866.7</v>
      </c>
      <c r="AA176" s="428">
        <f t="shared" si="360"/>
        <v>0</v>
      </c>
      <c r="AB176" s="397">
        <f t="shared" si="361"/>
        <v>0</v>
      </c>
      <c r="AC176" s="523">
        <v>0</v>
      </c>
      <c r="AD176" s="428">
        <v>3</v>
      </c>
      <c r="AE176" s="397">
        <v>149</v>
      </c>
      <c r="AF176" s="265">
        <f t="shared" si="363"/>
        <v>4866.7</v>
      </c>
      <c r="AG176" s="428">
        <f t="shared" si="364"/>
        <v>0</v>
      </c>
      <c r="AH176" s="397">
        <f t="shared" si="364"/>
        <v>0</v>
      </c>
      <c r="AI176" s="523">
        <v>0</v>
      </c>
      <c r="AJ176" s="428">
        <v>3</v>
      </c>
      <c r="AK176" s="386">
        <v>149</v>
      </c>
      <c r="AL176" s="265">
        <f t="shared" si="366"/>
        <v>4866.7</v>
      </c>
      <c r="AM176" s="733">
        <f t="shared" si="367"/>
        <v>3</v>
      </c>
      <c r="AN176" s="716">
        <f t="shared" si="368"/>
        <v>0</v>
      </c>
      <c r="AO176" s="705">
        <f>ROUND(((AN176/AM176-1)*100), 1)</f>
        <v>-100</v>
      </c>
      <c r="AP176" s="773">
        <v>6</v>
      </c>
      <c r="AQ176" s="714">
        <v>149</v>
      </c>
      <c r="AR176" s="705">
        <f t="shared" si="370"/>
        <v>2383.3000000000002</v>
      </c>
      <c r="AS176" s="773">
        <f t="shared" si="371"/>
        <v>0</v>
      </c>
      <c r="AT176" s="716">
        <f t="shared" si="371"/>
        <v>74</v>
      </c>
      <c r="AU176" s="751">
        <v>0</v>
      </c>
      <c r="AV176" s="1013">
        <v>6</v>
      </c>
      <c r="AW176" s="990">
        <v>223</v>
      </c>
      <c r="AX176" s="705">
        <f t="shared" si="373"/>
        <v>3616.7</v>
      </c>
      <c r="AY176" s="773">
        <f t="shared" si="374"/>
        <v>0</v>
      </c>
      <c r="AZ176" s="716">
        <f t="shared" si="375"/>
        <v>74</v>
      </c>
      <c r="BA176" s="751">
        <v>0</v>
      </c>
      <c r="BB176" s="773">
        <v>6</v>
      </c>
      <c r="BC176" s="714">
        <v>297</v>
      </c>
      <c r="BD176" s="705">
        <f t="shared" si="377"/>
        <v>4850</v>
      </c>
      <c r="BE176" s="773">
        <f t="shared" si="378"/>
        <v>0</v>
      </c>
      <c r="BF176" s="716">
        <f t="shared" si="378"/>
        <v>92</v>
      </c>
      <c r="BG176" s="751">
        <v>0</v>
      </c>
      <c r="BH176" s="773">
        <v>6</v>
      </c>
      <c r="BI176" s="714">
        <v>389</v>
      </c>
      <c r="BJ176" s="705">
        <f t="shared" si="380"/>
        <v>6383.3</v>
      </c>
      <c r="BK176" s="773">
        <f t="shared" si="381"/>
        <v>26</v>
      </c>
      <c r="BL176" s="716">
        <f t="shared" si="381"/>
        <v>0</v>
      </c>
      <c r="BM176" s="753">
        <f>ROUND(((BL176/BK176-1)*100), 1)</f>
        <v>-100</v>
      </c>
      <c r="BN176" s="773">
        <v>32</v>
      </c>
      <c r="BO176" s="714">
        <v>389</v>
      </c>
      <c r="BP176" s="705">
        <f t="shared" si="383"/>
        <v>1115.5999999999999</v>
      </c>
      <c r="BQ176" s="773">
        <f t="shared" si="384"/>
        <v>19</v>
      </c>
      <c r="BR176" s="716">
        <f t="shared" si="384"/>
        <v>0</v>
      </c>
      <c r="BS176" s="753">
        <f>ROUND(((BR176/BQ176-1)*100), 1)</f>
        <v>-100</v>
      </c>
      <c r="BT176" s="770">
        <v>51</v>
      </c>
      <c r="BU176" s="714">
        <v>389</v>
      </c>
      <c r="BV176" s="705">
        <f t="shared" si="386"/>
        <v>662.7</v>
      </c>
    </row>
    <row r="177" spans="1:74" s="173" customFormat="1">
      <c r="A177" s="338"/>
      <c r="B177" s="1164"/>
      <c r="C177" s="345" t="s">
        <v>56</v>
      </c>
      <c r="D177" s="341">
        <v>22</v>
      </c>
      <c r="E177" s="341">
        <v>22</v>
      </c>
      <c r="F177" s="341">
        <v>312</v>
      </c>
      <c r="G177" s="341">
        <v>14</v>
      </c>
      <c r="H177" s="341">
        <v>145</v>
      </c>
      <c r="I177" s="341">
        <v>37</v>
      </c>
      <c r="J177" s="464">
        <v>69</v>
      </c>
      <c r="K177" s="341">
        <v>45</v>
      </c>
      <c r="L177" s="428">
        <v>7</v>
      </c>
      <c r="M177" s="397">
        <v>0</v>
      </c>
      <c r="N177" s="346">
        <f t="shared" ref="N177:N206" si="389">ROUND(((M177/L177-1)*100), 1)</f>
        <v>-100</v>
      </c>
      <c r="O177" s="428">
        <f t="shared" si="353"/>
        <v>1</v>
      </c>
      <c r="P177" s="397">
        <f t="shared" si="353"/>
        <v>0</v>
      </c>
      <c r="Q177" s="346">
        <f t="shared" ref="Q177:Q206" si="390">ROUND(((P177/O177-1)*100), 1)</f>
        <v>-100</v>
      </c>
      <c r="R177" s="428">
        <v>8</v>
      </c>
      <c r="S177" s="397">
        <v>0</v>
      </c>
      <c r="T177" s="346">
        <f t="shared" ref="T177:T206" si="391">ROUND(((S177/R177-1)*100), 1)</f>
        <v>-100</v>
      </c>
      <c r="U177" s="428">
        <f t="shared" si="356"/>
        <v>27</v>
      </c>
      <c r="V177" s="397">
        <f t="shared" si="357"/>
        <v>0</v>
      </c>
      <c r="W177" s="346">
        <f t="shared" ref="W177:W206" si="392">ROUND(((V177/U177-1)*100), 1)</f>
        <v>-100</v>
      </c>
      <c r="X177" s="428">
        <v>35</v>
      </c>
      <c r="Y177" s="397">
        <v>0</v>
      </c>
      <c r="Z177" s="346">
        <f t="shared" ref="Z177:Z206" si="393">ROUND(((Y177/X177-1)*100), 1)</f>
        <v>-100</v>
      </c>
      <c r="AA177" s="428">
        <f t="shared" si="360"/>
        <v>3</v>
      </c>
      <c r="AB177" s="397">
        <f t="shared" si="361"/>
        <v>0</v>
      </c>
      <c r="AC177" s="346">
        <f t="shared" ref="AC177:AC206" si="394">ROUND(((AB177/AA177-1)*100), 1)</f>
        <v>-100</v>
      </c>
      <c r="AD177" s="428">
        <v>38</v>
      </c>
      <c r="AE177" s="397">
        <v>0</v>
      </c>
      <c r="AF177" s="346">
        <f t="shared" si="363"/>
        <v>-100</v>
      </c>
      <c r="AG177" s="428">
        <f t="shared" si="364"/>
        <v>0</v>
      </c>
      <c r="AH177" s="397">
        <f t="shared" si="364"/>
        <v>2</v>
      </c>
      <c r="AI177" s="523">
        <v>0</v>
      </c>
      <c r="AJ177" s="428">
        <v>38</v>
      </c>
      <c r="AK177" s="386">
        <v>2</v>
      </c>
      <c r="AL177" s="346">
        <f t="shared" si="366"/>
        <v>-94.7</v>
      </c>
      <c r="AM177" s="733">
        <f t="shared" si="367"/>
        <v>1</v>
      </c>
      <c r="AN177" s="716">
        <f t="shared" si="368"/>
        <v>0</v>
      </c>
      <c r="AO177" s="705">
        <f>ROUND(((AN177/AM177-1)*100), 1)</f>
        <v>-100</v>
      </c>
      <c r="AP177" s="773">
        <v>39</v>
      </c>
      <c r="AQ177" s="714">
        <v>2</v>
      </c>
      <c r="AR177" s="709">
        <f t="shared" si="370"/>
        <v>-94.9</v>
      </c>
      <c r="AS177" s="773">
        <f t="shared" si="371"/>
        <v>0</v>
      </c>
      <c r="AT177" s="716">
        <f t="shared" si="371"/>
        <v>2</v>
      </c>
      <c r="AU177" s="751">
        <v>0</v>
      </c>
      <c r="AV177" s="1013">
        <v>39</v>
      </c>
      <c r="AW177" s="990">
        <v>4</v>
      </c>
      <c r="AX177" s="709">
        <f t="shared" si="373"/>
        <v>-89.7</v>
      </c>
      <c r="AY177" s="773">
        <f t="shared" si="374"/>
        <v>2</v>
      </c>
      <c r="AZ177" s="716">
        <f t="shared" si="375"/>
        <v>0</v>
      </c>
      <c r="BA177" s="709">
        <f>ROUND(((AZ177/AY177-1)*100), 1)</f>
        <v>-100</v>
      </c>
      <c r="BB177" s="773">
        <v>41</v>
      </c>
      <c r="BC177" s="714">
        <v>4</v>
      </c>
      <c r="BD177" s="709">
        <f t="shared" si="377"/>
        <v>-90.2</v>
      </c>
      <c r="BE177" s="773">
        <f t="shared" si="378"/>
        <v>1</v>
      </c>
      <c r="BF177" s="716">
        <f t="shared" si="378"/>
        <v>2</v>
      </c>
      <c r="BG177" s="709">
        <f>ROUND(((BF177/BE177-1)*100), 1)</f>
        <v>100</v>
      </c>
      <c r="BH177" s="773">
        <v>42</v>
      </c>
      <c r="BI177" s="714">
        <v>6</v>
      </c>
      <c r="BJ177" s="709">
        <f t="shared" si="380"/>
        <v>-85.7</v>
      </c>
      <c r="BK177" s="773">
        <f t="shared" si="381"/>
        <v>0</v>
      </c>
      <c r="BL177" s="716">
        <f t="shared" si="381"/>
        <v>1</v>
      </c>
      <c r="BM177" s="751">
        <v>0</v>
      </c>
      <c r="BN177" s="773">
        <v>42</v>
      </c>
      <c r="BO177" s="714">
        <v>7</v>
      </c>
      <c r="BP177" s="709">
        <f t="shared" si="383"/>
        <v>-83.3</v>
      </c>
      <c r="BQ177" s="773">
        <f t="shared" si="384"/>
        <v>1</v>
      </c>
      <c r="BR177" s="716">
        <f t="shared" si="384"/>
        <v>2</v>
      </c>
      <c r="BS177" s="705">
        <f t="shared" ref="BS177:BS203" si="395">ROUND(((BR177/BQ177-1)*100), 1)</f>
        <v>100</v>
      </c>
      <c r="BT177" s="770">
        <v>43</v>
      </c>
      <c r="BU177" s="714">
        <v>9</v>
      </c>
      <c r="BV177" s="709">
        <f t="shared" si="386"/>
        <v>-79.099999999999994</v>
      </c>
    </row>
    <row r="178" spans="1:74" s="173" customFormat="1">
      <c r="A178" s="338"/>
      <c r="B178" s="1164"/>
      <c r="C178" s="345" t="s">
        <v>82</v>
      </c>
      <c r="D178" s="341">
        <f t="shared" ref="D178:M178" si="396">D179-SUM(D162:D177)</f>
        <v>1842</v>
      </c>
      <c r="E178" s="341">
        <f t="shared" si="396"/>
        <v>1363</v>
      </c>
      <c r="F178" s="341">
        <f t="shared" si="396"/>
        <v>1601</v>
      </c>
      <c r="G178" s="341">
        <f t="shared" si="396"/>
        <v>1092</v>
      </c>
      <c r="H178" s="341">
        <f t="shared" si="396"/>
        <v>1189</v>
      </c>
      <c r="I178" s="341">
        <f t="shared" si="396"/>
        <v>945</v>
      </c>
      <c r="J178" s="464">
        <f t="shared" si="396"/>
        <v>935</v>
      </c>
      <c r="K178" s="341">
        <f t="shared" si="396"/>
        <v>484</v>
      </c>
      <c r="L178" s="428">
        <f t="shared" si="396"/>
        <v>112</v>
      </c>
      <c r="M178" s="428">
        <f t="shared" si="396"/>
        <v>31</v>
      </c>
      <c r="N178" s="346">
        <f t="shared" si="389"/>
        <v>-72.3</v>
      </c>
      <c r="O178" s="428">
        <f>O179-SUM(O162:O177)</f>
        <v>42</v>
      </c>
      <c r="P178" s="428">
        <f>P179-SUM(P162:P177)</f>
        <v>60</v>
      </c>
      <c r="Q178" s="346">
        <f t="shared" si="390"/>
        <v>42.9</v>
      </c>
      <c r="R178" s="428">
        <f>R179-SUM(R162:R177)</f>
        <v>154</v>
      </c>
      <c r="S178" s="428">
        <f>S179-SUM(S162:S177)</f>
        <v>91</v>
      </c>
      <c r="T178" s="346">
        <f t="shared" si="391"/>
        <v>-40.9</v>
      </c>
      <c r="U178" s="428">
        <f>U179-SUM(U162:U177)</f>
        <v>56</v>
      </c>
      <c r="V178" s="428">
        <f>V179-SUM(V162:V177)</f>
        <v>23</v>
      </c>
      <c r="W178" s="346">
        <f t="shared" si="392"/>
        <v>-58.9</v>
      </c>
      <c r="X178" s="428">
        <f>X179-SUM(X162:X177)</f>
        <v>210</v>
      </c>
      <c r="Y178" s="428">
        <f>Y179-SUM(Y162:Y177)</f>
        <v>114</v>
      </c>
      <c r="Z178" s="346">
        <f t="shared" si="393"/>
        <v>-45.7</v>
      </c>
      <c r="AA178" s="428">
        <f>AA179-SUM(AA162:AA177)</f>
        <v>42</v>
      </c>
      <c r="AB178" s="428">
        <f>AB179-SUM(AB162:AB177)</f>
        <v>49</v>
      </c>
      <c r="AC178" s="346">
        <f t="shared" si="394"/>
        <v>16.7</v>
      </c>
      <c r="AD178" s="428">
        <f>AD179-SUM(AD162:AD177)</f>
        <v>252</v>
      </c>
      <c r="AE178" s="428">
        <f>AE179-SUM(AE162:AE177)</f>
        <v>163</v>
      </c>
      <c r="AF178" s="346">
        <f t="shared" si="363"/>
        <v>-35.299999999999997</v>
      </c>
      <c r="AG178" s="428">
        <f>AG179-SUM(AG162:AG177)</f>
        <v>29</v>
      </c>
      <c r="AH178" s="428">
        <f>AH179-SUM(AH162:AH177)</f>
        <v>22</v>
      </c>
      <c r="AI178" s="346">
        <f t="shared" ref="AI178:AI206" si="397">ROUND(((AH178/AG178-1)*100), 1)</f>
        <v>-24.1</v>
      </c>
      <c r="AJ178" s="428">
        <f>AJ179-SUM(AJ162:AJ177)</f>
        <v>281</v>
      </c>
      <c r="AK178" s="428">
        <f>AK179-SUM(AK162:AK177)</f>
        <v>185</v>
      </c>
      <c r="AL178" s="346">
        <f t="shared" si="366"/>
        <v>-34.200000000000003</v>
      </c>
      <c r="AM178" s="733">
        <f>AM179-SUM(AM162:AM177)</f>
        <v>38</v>
      </c>
      <c r="AN178" s="733">
        <f>AN179-SUM(AN162:AN177)</f>
        <v>25</v>
      </c>
      <c r="AO178" s="709">
        <f t="shared" ref="AO178:AO206" si="398">ROUND(((AN178/AM178-1)*100), 1)</f>
        <v>-34.200000000000003</v>
      </c>
      <c r="AP178" s="773">
        <f>AP179-SUM(AP162:AP177)</f>
        <v>319</v>
      </c>
      <c r="AQ178" s="773">
        <f>AQ179-SUM(AQ162:AQ177)</f>
        <v>210</v>
      </c>
      <c r="AR178" s="709">
        <f t="shared" si="370"/>
        <v>-34.200000000000003</v>
      </c>
      <c r="AS178" s="773">
        <f>AS179-SUM(AS162:AS177)</f>
        <v>20</v>
      </c>
      <c r="AT178" s="773">
        <f>AT179-SUM(AT162:AT177)</f>
        <v>75</v>
      </c>
      <c r="AU178" s="709">
        <f t="shared" ref="AU178:AU202" si="399">ROUND(((AT178/AS178-1)*100), 1)</f>
        <v>275</v>
      </c>
      <c r="AV178" s="1013">
        <f>AV179-SUM(AV162:AV177)</f>
        <v>339</v>
      </c>
      <c r="AW178" s="1013">
        <f>AW179-SUM(AW162:AW177)</f>
        <v>285</v>
      </c>
      <c r="AX178" s="709">
        <f t="shared" si="373"/>
        <v>-15.9</v>
      </c>
      <c r="AY178" s="773">
        <f>AY179-SUM(AY162:AY177)</f>
        <v>38</v>
      </c>
      <c r="AZ178" s="773">
        <f>AZ179-SUM(AZ162:AZ177)</f>
        <v>33</v>
      </c>
      <c r="BA178" s="709">
        <f t="shared" ref="BA178:BA203" si="400">ROUND(((AZ178/AY178-1)*100), 1)</f>
        <v>-13.2</v>
      </c>
      <c r="BB178" s="773">
        <f>BB179-SUM(BB162:BB177)</f>
        <v>377</v>
      </c>
      <c r="BC178" s="773">
        <f>BC179-SUM(BC162:BC177)</f>
        <v>318</v>
      </c>
      <c r="BD178" s="709">
        <f t="shared" si="377"/>
        <v>-15.6</v>
      </c>
      <c r="BE178" s="773">
        <f>BE179-SUM(BE162:BE177)</f>
        <v>28</v>
      </c>
      <c r="BF178" s="773">
        <f>BF179-SUM(BF162:BF177)</f>
        <v>68</v>
      </c>
      <c r="BG178" s="709">
        <f t="shared" ref="BG178:BG203" si="401">ROUND(((BF178/BE178-1)*100), 1)</f>
        <v>142.9</v>
      </c>
      <c r="BH178" s="773">
        <f>BH179-SUM(BH162:BH177)</f>
        <v>405</v>
      </c>
      <c r="BI178" s="773">
        <f>BI179-SUM(BI162:BI177)</f>
        <v>386</v>
      </c>
      <c r="BJ178" s="709">
        <f t="shared" si="380"/>
        <v>-4.7</v>
      </c>
      <c r="BK178" s="773">
        <f>BK179-SUM(BK162:BK177)</f>
        <v>14</v>
      </c>
      <c r="BL178" s="773">
        <f>BL179-SUM(BL162:BL177)</f>
        <v>51</v>
      </c>
      <c r="BM178" s="709">
        <f t="shared" ref="BM178:BM202" si="402">ROUND(((BL178/BK178-1)*100), 1)</f>
        <v>264.3</v>
      </c>
      <c r="BN178" s="773">
        <f>BN179-SUM(BN162:BN177)</f>
        <v>419</v>
      </c>
      <c r="BO178" s="773">
        <f>BO179-SUM(BO162:BO177)</f>
        <v>437</v>
      </c>
      <c r="BP178" s="709">
        <f t="shared" si="383"/>
        <v>4.3</v>
      </c>
      <c r="BQ178" s="773">
        <f>BQ179-SUM(BQ162:BQ177)</f>
        <v>25</v>
      </c>
      <c r="BR178" s="773">
        <f>BR179-SUM(BR162:BR177)</f>
        <v>43</v>
      </c>
      <c r="BS178" s="709">
        <f t="shared" si="395"/>
        <v>72</v>
      </c>
      <c r="BT178" s="773">
        <f>BT179-SUM(BT162:BT177)</f>
        <v>444</v>
      </c>
      <c r="BU178" s="773">
        <f>BU179-SUM(BU162:BU177)</f>
        <v>480</v>
      </c>
      <c r="BV178" s="709">
        <f t="shared" si="386"/>
        <v>8.1</v>
      </c>
    </row>
    <row r="179" spans="1:74" s="173" customFormat="1">
      <c r="A179" s="338"/>
      <c r="B179" s="1098"/>
      <c r="C179" s="350" t="s">
        <v>226</v>
      </c>
      <c r="D179" s="351">
        <v>23112</v>
      </c>
      <c r="E179" s="351">
        <v>23751</v>
      </c>
      <c r="F179" s="351">
        <v>22118</v>
      </c>
      <c r="G179" s="351">
        <v>15492</v>
      </c>
      <c r="H179" s="351">
        <v>16090</v>
      </c>
      <c r="I179" s="351">
        <v>14017</v>
      </c>
      <c r="J179" s="481">
        <v>14590</v>
      </c>
      <c r="K179" s="351">
        <v>17403</v>
      </c>
      <c r="L179" s="480">
        <v>1291</v>
      </c>
      <c r="M179" s="425">
        <v>1164</v>
      </c>
      <c r="N179" s="352">
        <f t="shared" si="389"/>
        <v>-9.8000000000000007</v>
      </c>
      <c r="O179" s="480">
        <f t="shared" ref="O179:P203" si="403">R179-L179</f>
        <v>995</v>
      </c>
      <c r="P179" s="425">
        <f t="shared" si="403"/>
        <v>1711</v>
      </c>
      <c r="Q179" s="352">
        <f t="shared" si="390"/>
        <v>72</v>
      </c>
      <c r="R179" s="480">
        <v>2286</v>
      </c>
      <c r="S179" s="425">
        <v>2875</v>
      </c>
      <c r="T179" s="352">
        <f t="shared" si="391"/>
        <v>25.8</v>
      </c>
      <c r="U179" s="480">
        <f t="shared" ref="U179:U203" si="404">X179-R179</f>
        <v>1448</v>
      </c>
      <c r="V179" s="425">
        <f t="shared" ref="V179:V203" si="405">Y179-S179</f>
        <v>1429</v>
      </c>
      <c r="W179" s="352">
        <f t="shared" si="392"/>
        <v>-1.3</v>
      </c>
      <c r="X179" s="480">
        <v>3734</v>
      </c>
      <c r="Y179" s="425">
        <v>4304</v>
      </c>
      <c r="Z179" s="352">
        <f t="shared" si="393"/>
        <v>15.3</v>
      </c>
      <c r="AA179" s="480">
        <f t="shared" ref="AA179:AA203" si="406">AD179-X179</f>
        <v>1791</v>
      </c>
      <c r="AB179" s="425">
        <f t="shared" ref="AB179:AB203" si="407">AE179-Y179</f>
        <v>1541</v>
      </c>
      <c r="AC179" s="352">
        <f t="shared" si="394"/>
        <v>-14</v>
      </c>
      <c r="AD179" s="480">
        <v>5525</v>
      </c>
      <c r="AE179" s="425">
        <v>5845</v>
      </c>
      <c r="AF179" s="352">
        <f t="shared" si="363"/>
        <v>5.8</v>
      </c>
      <c r="AG179" s="480">
        <f t="shared" ref="AG179:AH203" si="408">AJ179-AD179</f>
        <v>1315</v>
      </c>
      <c r="AH179" s="425">
        <f t="shared" si="408"/>
        <v>981</v>
      </c>
      <c r="AI179" s="352">
        <f t="shared" si="397"/>
        <v>-25.4</v>
      </c>
      <c r="AJ179" s="480">
        <v>6840</v>
      </c>
      <c r="AK179" s="425">
        <v>6826</v>
      </c>
      <c r="AL179" s="352">
        <f t="shared" si="366"/>
        <v>-0.2</v>
      </c>
      <c r="AM179" s="738">
        <f t="shared" ref="AM179:AM203" si="409">AP179-AJ179</f>
        <v>1519</v>
      </c>
      <c r="AN179" s="730">
        <f t="shared" ref="AN179:AN203" si="410">AQ179-AK179</f>
        <v>783</v>
      </c>
      <c r="AO179" s="711">
        <f t="shared" si="398"/>
        <v>-48.5</v>
      </c>
      <c r="AP179" s="738">
        <v>8359</v>
      </c>
      <c r="AQ179" s="730">
        <v>7609</v>
      </c>
      <c r="AR179" s="711">
        <f t="shared" si="370"/>
        <v>-9</v>
      </c>
      <c r="AS179" s="738">
        <f t="shared" ref="AS179:AT203" si="411">AV179-AP179</f>
        <v>1516</v>
      </c>
      <c r="AT179" s="730">
        <f t="shared" si="411"/>
        <v>896</v>
      </c>
      <c r="AU179" s="711">
        <f t="shared" si="399"/>
        <v>-40.9</v>
      </c>
      <c r="AV179" s="1014">
        <v>9875</v>
      </c>
      <c r="AW179" s="1004">
        <v>8505</v>
      </c>
      <c r="AX179" s="711">
        <f t="shared" si="373"/>
        <v>-13.9</v>
      </c>
      <c r="AY179" s="738">
        <f t="shared" ref="AY179:AY203" si="412">BB179-AV179</f>
        <v>1217</v>
      </c>
      <c r="AZ179" s="730">
        <f t="shared" ref="AZ179:AZ203" si="413">BC179-AW179</f>
        <v>616</v>
      </c>
      <c r="BA179" s="711">
        <f t="shared" si="400"/>
        <v>-49.4</v>
      </c>
      <c r="BB179" s="729">
        <v>11092</v>
      </c>
      <c r="BC179" s="506">
        <v>9121</v>
      </c>
      <c r="BD179" s="711">
        <f t="shared" si="377"/>
        <v>-17.8</v>
      </c>
      <c r="BE179" s="738">
        <f t="shared" ref="BE179:BF203" si="414">BH179-BB179</f>
        <v>1302</v>
      </c>
      <c r="BF179" s="730">
        <f t="shared" si="414"/>
        <v>1355</v>
      </c>
      <c r="BG179" s="711">
        <f t="shared" si="401"/>
        <v>4.0999999999999996</v>
      </c>
      <c r="BH179" s="729">
        <v>12394</v>
      </c>
      <c r="BI179" s="506">
        <v>10476</v>
      </c>
      <c r="BJ179" s="711">
        <f t="shared" si="380"/>
        <v>-15.5</v>
      </c>
      <c r="BK179" s="738">
        <f t="shared" ref="BK179:BL203" si="415">BN179-BH179</f>
        <v>1583</v>
      </c>
      <c r="BL179" s="730">
        <f t="shared" si="415"/>
        <v>1510</v>
      </c>
      <c r="BM179" s="711">
        <f t="shared" si="402"/>
        <v>-4.5999999999999996</v>
      </c>
      <c r="BN179" s="729">
        <v>13977</v>
      </c>
      <c r="BO179" s="506">
        <v>11986</v>
      </c>
      <c r="BP179" s="711">
        <f t="shared" si="383"/>
        <v>-14.2</v>
      </c>
      <c r="BQ179" s="738">
        <f t="shared" ref="BQ179:BR203" si="416">BT179-BN179</f>
        <v>1602</v>
      </c>
      <c r="BR179" s="730">
        <f t="shared" si="416"/>
        <v>1265</v>
      </c>
      <c r="BS179" s="711">
        <f t="shared" si="395"/>
        <v>-21</v>
      </c>
      <c r="BT179" s="729">
        <v>15579</v>
      </c>
      <c r="BU179" s="506">
        <v>13251</v>
      </c>
      <c r="BV179" s="711">
        <f t="shared" si="386"/>
        <v>-14.9</v>
      </c>
    </row>
    <row r="180" spans="1:74" s="173" customFormat="1">
      <c r="A180" s="338"/>
      <c r="B180" s="1086" t="s">
        <v>227</v>
      </c>
      <c r="C180" s="353" t="s">
        <v>98</v>
      </c>
      <c r="D180" s="341">
        <v>69706</v>
      </c>
      <c r="E180" s="341">
        <v>85721</v>
      </c>
      <c r="F180" s="341">
        <v>101052</v>
      </c>
      <c r="G180" s="341">
        <v>113611</v>
      </c>
      <c r="H180" s="341">
        <v>124698</v>
      </c>
      <c r="I180" s="341">
        <v>124790</v>
      </c>
      <c r="J180" s="356">
        <v>136217</v>
      </c>
      <c r="K180" s="341">
        <v>133931</v>
      </c>
      <c r="L180" s="428">
        <v>12582</v>
      </c>
      <c r="M180" s="397">
        <v>12009</v>
      </c>
      <c r="N180" s="346">
        <f t="shared" si="389"/>
        <v>-4.5999999999999996</v>
      </c>
      <c r="O180" s="428">
        <f t="shared" si="403"/>
        <v>9920</v>
      </c>
      <c r="P180" s="397">
        <f t="shared" si="403"/>
        <v>11786</v>
      </c>
      <c r="Q180" s="346">
        <f t="shared" si="390"/>
        <v>18.8</v>
      </c>
      <c r="R180" s="428">
        <v>22502</v>
      </c>
      <c r="S180" s="397">
        <v>23795</v>
      </c>
      <c r="T180" s="346">
        <f t="shared" si="391"/>
        <v>5.7</v>
      </c>
      <c r="U180" s="428">
        <f t="shared" si="404"/>
        <v>10840</v>
      </c>
      <c r="V180" s="397">
        <f t="shared" si="405"/>
        <v>11448</v>
      </c>
      <c r="W180" s="346">
        <f t="shared" si="392"/>
        <v>5.6</v>
      </c>
      <c r="X180" s="428">
        <v>33342</v>
      </c>
      <c r="Y180" s="397">
        <v>35243</v>
      </c>
      <c r="Z180" s="346">
        <f t="shared" si="393"/>
        <v>5.7</v>
      </c>
      <c r="AA180" s="428">
        <f t="shared" si="406"/>
        <v>11956</v>
      </c>
      <c r="AB180" s="397">
        <f t="shared" si="407"/>
        <v>10363</v>
      </c>
      <c r="AC180" s="346">
        <f t="shared" si="394"/>
        <v>-13.3</v>
      </c>
      <c r="AD180" s="428">
        <v>45298</v>
      </c>
      <c r="AE180" s="397">
        <v>45606</v>
      </c>
      <c r="AF180" s="346">
        <f t="shared" si="363"/>
        <v>0.7</v>
      </c>
      <c r="AG180" s="428">
        <f t="shared" si="408"/>
        <v>11238</v>
      </c>
      <c r="AH180" s="397">
        <f t="shared" si="408"/>
        <v>5705</v>
      </c>
      <c r="AI180" s="346">
        <f t="shared" si="397"/>
        <v>-49.2</v>
      </c>
      <c r="AJ180" s="428">
        <v>56536</v>
      </c>
      <c r="AK180" s="397">
        <v>51311</v>
      </c>
      <c r="AL180" s="346">
        <f t="shared" si="366"/>
        <v>-9.1999999999999993</v>
      </c>
      <c r="AM180" s="733">
        <f t="shared" si="409"/>
        <v>10696</v>
      </c>
      <c r="AN180" s="716">
        <f t="shared" si="410"/>
        <v>10247</v>
      </c>
      <c r="AO180" s="709">
        <f t="shared" si="398"/>
        <v>-4.2</v>
      </c>
      <c r="AP180" s="773">
        <v>67232</v>
      </c>
      <c r="AQ180" s="716">
        <v>61558</v>
      </c>
      <c r="AR180" s="709">
        <f t="shared" si="370"/>
        <v>-8.4</v>
      </c>
      <c r="AS180" s="773">
        <f t="shared" si="411"/>
        <v>7843</v>
      </c>
      <c r="AT180" s="716">
        <f t="shared" si="411"/>
        <v>10351</v>
      </c>
      <c r="AU180" s="709">
        <f t="shared" si="399"/>
        <v>32</v>
      </c>
      <c r="AV180" s="1013">
        <v>75075</v>
      </c>
      <c r="AW180" s="1002">
        <v>71909</v>
      </c>
      <c r="AX180" s="709">
        <f t="shared" si="373"/>
        <v>-4.2</v>
      </c>
      <c r="AY180" s="773">
        <f t="shared" si="412"/>
        <v>11669</v>
      </c>
      <c r="AZ180" s="716">
        <f t="shared" si="413"/>
        <v>11395</v>
      </c>
      <c r="BA180" s="709">
        <f t="shared" si="400"/>
        <v>-2.2999999999999998</v>
      </c>
      <c r="BB180" s="773">
        <v>86744</v>
      </c>
      <c r="BC180" s="716">
        <v>83304</v>
      </c>
      <c r="BD180" s="709">
        <f t="shared" si="377"/>
        <v>-4</v>
      </c>
      <c r="BE180" s="773">
        <f t="shared" si="414"/>
        <v>12451</v>
      </c>
      <c r="BF180" s="716">
        <f t="shared" si="414"/>
        <v>9934</v>
      </c>
      <c r="BG180" s="709">
        <f t="shared" si="401"/>
        <v>-20.2</v>
      </c>
      <c r="BH180" s="773">
        <v>99195</v>
      </c>
      <c r="BI180" s="716">
        <v>93238</v>
      </c>
      <c r="BJ180" s="709">
        <f t="shared" si="380"/>
        <v>-6</v>
      </c>
      <c r="BK180" s="773">
        <f t="shared" si="415"/>
        <v>13334</v>
      </c>
      <c r="BL180" s="716">
        <f t="shared" si="415"/>
        <v>8480</v>
      </c>
      <c r="BM180" s="709">
        <f t="shared" si="402"/>
        <v>-36.4</v>
      </c>
      <c r="BN180" s="773">
        <v>112529</v>
      </c>
      <c r="BO180" s="716">
        <v>101718</v>
      </c>
      <c r="BP180" s="709">
        <f t="shared" si="383"/>
        <v>-9.6</v>
      </c>
      <c r="BQ180" s="773">
        <f t="shared" si="416"/>
        <v>10439</v>
      </c>
      <c r="BR180" s="716">
        <f t="shared" si="416"/>
        <v>10574</v>
      </c>
      <c r="BS180" s="709">
        <f t="shared" si="395"/>
        <v>1.3</v>
      </c>
      <c r="BT180" s="773">
        <v>122968</v>
      </c>
      <c r="BU180" s="716">
        <v>112292</v>
      </c>
      <c r="BV180" s="709">
        <f t="shared" si="386"/>
        <v>-8.6999999999999993</v>
      </c>
    </row>
    <row r="181" spans="1:74" s="173" customFormat="1">
      <c r="A181" s="338"/>
      <c r="B181" s="1164"/>
      <c r="C181" s="345" t="s">
        <v>96</v>
      </c>
      <c r="D181" s="341">
        <v>109464</v>
      </c>
      <c r="E181" s="341">
        <v>104762</v>
      </c>
      <c r="F181" s="341">
        <v>118887</v>
      </c>
      <c r="G181" s="341">
        <v>120661</v>
      </c>
      <c r="H181" s="341">
        <v>60549</v>
      </c>
      <c r="I181" s="341">
        <v>70433</v>
      </c>
      <c r="J181" s="356">
        <v>79826</v>
      </c>
      <c r="K181" s="341">
        <v>73705</v>
      </c>
      <c r="L181" s="428">
        <v>3382</v>
      </c>
      <c r="M181" s="397">
        <v>9098</v>
      </c>
      <c r="N181" s="346">
        <f t="shared" si="389"/>
        <v>169</v>
      </c>
      <c r="O181" s="428">
        <f t="shared" si="403"/>
        <v>3520</v>
      </c>
      <c r="P181" s="397">
        <f t="shared" si="403"/>
        <v>6284</v>
      </c>
      <c r="Q181" s="346">
        <f t="shared" si="390"/>
        <v>78.5</v>
      </c>
      <c r="R181" s="428">
        <v>6902</v>
      </c>
      <c r="S181" s="397">
        <v>15382</v>
      </c>
      <c r="T181" s="346">
        <f t="shared" si="391"/>
        <v>122.9</v>
      </c>
      <c r="U181" s="428">
        <f t="shared" si="404"/>
        <v>3828</v>
      </c>
      <c r="V181" s="397">
        <f t="shared" si="405"/>
        <v>7777</v>
      </c>
      <c r="W181" s="346">
        <f t="shared" si="392"/>
        <v>103.2</v>
      </c>
      <c r="X181" s="428">
        <v>10730</v>
      </c>
      <c r="Y181" s="397">
        <v>23159</v>
      </c>
      <c r="Z181" s="346">
        <f t="shared" si="393"/>
        <v>115.8</v>
      </c>
      <c r="AA181" s="428">
        <f t="shared" si="406"/>
        <v>5857</v>
      </c>
      <c r="AB181" s="397">
        <f t="shared" si="407"/>
        <v>8680</v>
      </c>
      <c r="AC181" s="346">
        <f t="shared" si="394"/>
        <v>48.2</v>
      </c>
      <c r="AD181" s="428">
        <v>16587</v>
      </c>
      <c r="AE181" s="397">
        <v>31839</v>
      </c>
      <c r="AF181" s="346">
        <f t="shared" si="363"/>
        <v>92</v>
      </c>
      <c r="AG181" s="428">
        <f t="shared" si="408"/>
        <v>8173</v>
      </c>
      <c r="AH181" s="397">
        <f t="shared" si="408"/>
        <v>10566</v>
      </c>
      <c r="AI181" s="346">
        <f t="shared" si="397"/>
        <v>29.3</v>
      </c>
      <c r="AJ181" s="428">
        <v>24760</v>
      </c>
      <c r="AK181" s="397">
        <v>42405</v>
      </c>
      <c r="AL181" s="346">
        <f t="shared" si="366"/>
        <v>71.3</v>
      </c>
      <c r="AM181" s="733">
        <f t="shared" si="409"/>
        <v>4258</v>
      </c>
      <c r="AN181" s="716">
        <f t="shared" si="410"/>
        <v>9818</v>
      </c>
      <c r="AO181" s="709">
        <f t="shared" si="398"/>
        <v>130.6</v>
      </c>
      <c r="AP181" s="773">
        <v>29018</v>
      </c>
      <c r="AQ181" s="716">
        <v>52223</v>
      </c>
      <c r="AR181" s="709">
        <f t="shared" si="370"/>
        <v>80</v>
      </c>
      <c r="AS181" s="773">
        <f t="shared" si="411"/>
        <v>6077</v>
      </c>
      <c r="AT181" s="716">
        <f t="shared" si="411"/>
        <v>11877</v>
      </c>
      <c r="AU181" s="709">
        <f t="shared" si="399"/>
        <v>95.4</v>
      </c>
      <c r="AV181" s="1013">
        <v>35095</v>
      </c>
      <c r="AW181" s="1002">
        <v>64100</v>
      </c>
      <c r="AX181" s="709">
        <f t="shared" si="373"/>
        <v>82.6</v>
      </c>
      <c r="AY181" s="773">
        <f t="shared" si="412"/>
        <v>4843</v>
      </c>
      <c r="AZ181" s="716">
        <f t="shared" si="413"/>
        <v>12110</v>
      </c>
      <c r="BA181" s="709">
        <f t="shared" si="400"/>
        <v>150.1</v>
      </c>
      <c r="BB181" s="773">
        <v>39938</v>
      </c>
      <c r="BC181" s="716">
        <v>76210</v>
      </c>
      <c r="BD181" s="709">
        <f t="shared" si="377"/>
        <v>90.8</v>
      </c>
      <c r="BE181" s="773">
        <f t="shared" si="414"/>
        <v>6598</v>
      </c>
      <c r="BF181" s="716">
        <f t="shared" si="414"/>
        <v>11153</v>
      </c>
      <c r="BG181" s="709">
        <f t="shared" si="401"/>
        <v>69</v>
      </c>
      <c r="BH181" s="773">
        <v>46536</v>
      </c>
      <c r="BI181" s="716">
        <v>87363</v>
      </c>
      <c r="BJ181" s="709">
        <f t="shared" si="380"/>
        <v>87.7</v>
      </c>
      <c r="BK181" s="773">
        <f t="shared" si="415"/>
        <v>7611</v>
      </c>
      <c r="BL181" s="716">
        <f t="shared" si="415"/>
        <v>9375</v>
      </c>
      <c r="BM181" s="709">
        <f t="shared" si="402"/>
        <v>23.2</v>
      </c>
      <c r="BN181" s="773">
        <v>54147</v>
      </c>
      <c r="BO181" s="716">
        <v>96738</v>
      </c>
      <c r="BP181" s="709">
        <f t="shared" si="383"/>
        <v>78.7</v>
      </c>
      <c r="BQ181" s="773">
        <f t="shared" si="416"/>
        <v>9567</v>
      </c>
      <c r="BR181" s="716">
        <f t="shared" si="416"/>
        <v>8786</v>
      </c>
      <c r="BS181" s="709">
        <f t="shared" si="395"/>
        <v>-8.1999999999999993</v>
      </c>
      <c r="BT181" s="773">
        <v>63714</v>
      </c>
      <c r="BU181" s="716">
        <v>105524</v>
      </c>
      <c r="BV181" s="709">
        <f t="shared" si="386"/>
        <v>65.599999999999994</v>
      </c>
    </row>
    <row r="182" spans="1:74" s="173" customFormat="1">
      <c r="A182" s="338"/>
      <c r="B182" s="1164"/>
      <c r="C182" s="345" t="s">
        <v>113</v>
      </c>
      <c r="D182" s="341">
        <v>1409</v>
      </c>
      <c r="E182" s="341">
        <v>1198</v>
      </c>
      <c r="F182" s="341">
        <v>26696</v>
      </c>
      <c r="G182" s="341">
        <v>14030</v>
      </c>
      <c r="H182" s="341">
        <v>10316</v>
      </c>
      <c r="I182" s="341">
        <v>11439</v>
      </c>
      <c r="J182" s="356">
        <v>21961</v>
      </c>
      <c r="K182" s="341">
        <v>40643</v>
      </c>
      <c r="L182" s="428">
        <v>5607</v>
      </c>
      <c r="M182" s="397">
        <v>2660</v>
      </c>
      <c r="N182" s="346">
        <f t="shared" si="389"/>
        <v>-52.6</v>
      </c>
      <c r="O182" s="428">
        <f t="shared" si="403"/>
        <v>3403</v>
      </c>
      <c r="P182" s="397">
        <f t="shared" si="403"/>
        <v>3518</v>
      </c>
      <c r="Q182" s="346">
        <f t="shared" si="390"/>
        <v>3.4</v>
      </c>
      <c r="R182" s="428">
        <v>9010</v>
      </c>
      <c r="S182" s="397">
        <v>6178</v>
      </c>
      <c r="T182" s="346">
        <f t="shared" si="391"/>
        <v>-31.4</v>
      </c>
      <c r="U182" s="428">
        <f t="shared" si="404"/>
        <v>4221</v>
      </c>
      <c r="V182" s="397">
        <f t="shared" si="405"/>
        <v>2924</v>
      </c>
      <c r="W182" s="346">
        <f t="shared" si="392"/>
        <v>-30.7</v>
      </c>
      <c r="X182" s="428">
        <v>13231</v>
      </c>
      <c r="Y182" s="397">
        <v>9102</v>
      </c>
      <c r="Z182" s="346">
        <f t="shared" si="393"/>
        <v>-31.2</v>
      </c>
      <c r="AA182" s="428">
        <f t="shared" si="406"/>
        <v>3615</v>
      </c>
      <c r="AB182" s="397">
        <f t="shared" si="407"/>
        <v>3019</v>
      </c>
      <c r="AC182" s="346">
        <f t="shared" si="394"/>
        <v>-16.5</v>
      </c>
      <c r="AD182" s="428">
        <v>16846</v>
      </c>
      <c r="AE182" s="397">
        <v>12121</v>
      </c>
      <c r="AF182" s="346">
        <f t="shared" si="363"/>
        <v>-28</v>
      </c>
      <c r="AG182" s="428">
        <f t="shared" si="408"/>
        <v>3952</v>
      </c>
      <c r="AH182" s="397">
        <f t="shared" si="408"/>
        <v>2170</v>
      </c>
      <c r="AI182" s="346">
        <f t="shared" si="397"/>
        <v>-45.1</v>
      </c>
      <c r="AJ182" s="428">
        <v>20798</v>
      </c>
      <c r="AK182" s="397">
        <v>14291</v>
      </c>
      <c r="AL182" s="346">
        <f t="shared" si="366"/>
        <v>-31.3</v>
      </c>
      <c r="AM182" s="733">
        <f t="shared" si="409"/>
        <v>3282</v>
      </c>
      <c r="AN182" s="716">
        <f t="shared" si="410"/>
        <v>1573</v>
      </c>
      <c r="AO182" s="709">
        <f t="shared" si="398"/>
        <v>-52.1</v>
      </c>
      <c r="AP182" s="773">
        <v>24080</v>
      </c>
      <c r="AQ182" s="716">
        <v>15864</v>
      </c>
      <c r="AR182" s="709">
        <f t="shared" si="370"/>
        <v>-34.1</v>
      </c>
      <c r="AS182" s="773">
        <f t="shared" si="411"/>
        <v>2856</v>
      </c>
      <c r="AT182" s="716">
        <f t="shared" si="411"/>
        <v>1614</v>
      </c>
      <c r="AU182" s="709">
        <f t="shared" si="399"/>
        <v>-43.5</v>
      </c>
      <c r="AV182" s="1013">
        <v>26936</v>
      </c>
      <c r="AW182" s="1002">
        <v>17478</v>
      </c>
      <c r="AX182" s="709">
        <f t="shared" si="373"/>
        <v>-35.1</v>
      </c>
      <c r="AY182" s="773">
        <f t="shared" si="412"/>
        <v>2624</v>
      </c>
      <c r="AZ182" s="716">
        <f t="shared" si="413"/>
        <v>1251</v>
      </c>
      <c r="BA182" s="709">
        <f t="shared" si="400"/>
        <v>-52.3</v>
      </c>
      <c r="BB182" s="773">
        <v>29560</v>
      </c>
      <c r="BC182" s="716">
        <v>18729</v>
      </c>
      <c r="BD182" s="709">
        <f t="shared" si="377"/>
        <v>-36.6</v>
      </c>
      <c r="BE182" s="773">
        <f t="shared" si="414"/>
        <v>2600</v>
      </c>
      <c r="BF182" s="716">
        <f t="shared" si="414"/>
        <v>610</v>
      </c>
      <c r="BG182" s="709">
        <f t="shared" si="401"/>
        <v>-76.5</v>
      </c>
      <c r="BH182" s="773">
        <v>32160</v>
      </c>
      <c r="BI182" s="716">
        <v>19339</v>
      </c>
      <c r="BJ182" s="709">
        <f t="shared" si="380"/>
        <v>-39.9</v>
      </c>
      <c r="BK182" s="773">
        <f t="shared" si="415"/>
        <v>4063</v>
      </c>
      <c r="BL182" s="716">
        <f t="shared" si="415"/>
        <v>2306</v>
      </c>
      <c r="BM182" s="709">
        <f t="shared" si="402"/>
        <v>-43.2</v>
      </c>
      <c r="BN182" s="773">
        <v>36223</v>
      </c>
      <c r="BO182" s="716">
        <v>21645</v>
      </c>
      <c r="BP182" s="709">
        <f t="shared" si="383"/>
        <v>-40.200000000000003</v>
      </c>
      <c r="BQ182" s="773">
        <f t="shared" si="416"/>
        <v>2460</v>
      </c>
      <c r="BR182" s="716">
        <f t="shared" si="416"/>
        <v>1182</v>
      </c>
      <c r="BS182" s="709">
        <f t="shared" si="395"/>
        <v>-52</v>
      </c>
      <c r="BT182" s="773">
        <v>38683</v>
      </c>
      <c r="BU182" s="716">
        <v>22827</v>
      </c>
      <c r="BV182" s="709">
        <f t="shared" si="386"/>
        <v>-41</v>
      </c>
    </row>
    <row r="183" spans="1:74" s="173" customFormat="1">
      <c r="A183" s="338"/>
      <c r="B183" s="1164"/>
      <c r="C183" s="345" t="s">
        <v>112</v>
      </c>
      <c r="D183" s="341">
        <v>9300</v>
      </c>
      <c r="E183" s="341">
        <v>7749</v>
      </c>
      <c r="F183" s="341">
        <v>15670</v>
      </c>
      <c r="G183" s="341">
        <v>33354</v>
      </c>
      <c r="H183" s="341">
        <v>28859</v>
      </c>
      <c r="I183" s="341">
        <v>36438</v>
      </c>
      <c r="J183" s="356">
        <v>34870</v>
      </c>
      <c r="K183" s="341">
        <v>37264</v>
      </c>
      <c r="L183" s="428">
        <v>4162</v>
      </c>
      <c r="M183" s="397">
        <v>3721</v>
      </c>
      <c r="N183" s="346">
        <f t="shared" si="389"/>
        <v>-10.6</v>
      </c>
      <c r="O183" s="428">
        <f t="shared" si="403"/>
        <v>3486</v>
      </c>
      <c r="P183" s="397">
        <f t="shared" si="403"/>
        <v>3113</v>
      </c>
      <c r="Q183" s="346">
        <f t="shared" si="390"/>
        <v>-10.7</v>
      </c>
      <c r="R183" s="428">
        <v>7648</v>
      </c>
      <c r="S183" s="397">
        <v>6834</v>
      </c>
      <c r="T183" s="346">
        <f t="shared" si="391"/>
        <v>-10.6</v>
      </c>
      <c r="U183" s="428">
        <f t="shared" si="404"/>
        <v>3192</v>
      </c>
      <c r="V183" s="397">
        <f t="shared" si="405"/>
        <v>4005</v>
      </c>
      <c r="W183" s="346">
        <f t="shared" si="392"/>
        <v>25.5</v>
      </c>
      <c r="X183" s="428">
        <v>10840</v>
      </c>
      <c r="Y183" s="397">
        <v>10839</v>
      </c>
      <c r="Z183" s="346">
        <f t="shared" si="393"/>
        <v>0</v>
      </c>
      <c r="AA183" s="428">
        <f t="shared" si="406"/>
        <v>2054</v>
      </c>
      <c r="AB183" s="397">
        <f t="shared" si="407"/>
        <v>3047</v>
      </c>
      <c r="AC183" s="346">
        <f t="shared" si="394"/>
        <v>48.3</v>
      </c>
      <c r="AD183" s="428">
        <v>12894</v>
      </c>
      <c r="AE183" s="397">
        <v>13886</v>
      </c>
      <c r="AF183" s="346">
        <f t="shared" si="363"/>
        <v>7.7</v>
      </c>
      <c r="AG183" s="428">
        <f t="shared" si="408"/>
        <v>2017</v>
      </c>
      <c r="AH183" s="397">
        <f t="shared" si="408"/>
        <v>3691</v>
      </c>
      <c r="AI183" s="346">
        <f t="shared" si="397"/>
        <v>83</v>
      </c>
      <c r="AJ183" s="428">
        <v>14911</v>
      </c>
      <c r="AK183" s="397">
        <v>17577</v>
      </c>
      <c r="AL183" s="346">
        <f t="shared" si="366"/>
        <v>17.899999999999999</v>
      </c>
      <c r="AM183" s="733">
        <f t="shared" si="409"/>
        <v>3020</v>
      </c>
      <c r="AN183" s="716">
        <f t="shared" si="410"/>
        <v>2125</v>
      </c>
      <c r="AO183" s="709">
        <f t="shared" si="398"/>
        <v>-29.6</v>
      </c>
      <c r="AP183" s="773">
        <v>17931</v>
      </c>
      <c r="AQ183" s="716">
        <v>19702</v>
      </c>
      <c r="AR183" s="709">
        <f t="shared" si="370"/>
        <v>9.9</v>
      </c>
      <c r="AS183" s="773">
        <f t="shared" si="411"/>
        <v>3704</v>
      </c>
      <c r="AT183" s="716">
        <f t="shared" si="411"/>
        <v>2530</v>
      </c>
      <c r="AU183" s="709">
        <f t="shared" si="399"/>
        <v>-31.7</v>
      </c>
      <c r="AV183" s="1013">
        <v>21635</v>
      </c>
      <c r="AW183" s="1002">
        <v>22232</v>
      </c>
      <c r="AX183" s="709">
        <f t="shared" si="373"/>
        <v>2.8</v>
      </c>
      <c r="AY183" s="773">
        <f t="shared" si="412"/>
        <v>3373</v>
      </c>
      <c r="AZ183" s="716">
        <f t="shared" si="413"/>
        <v>3019</v>
      </c>
      <c r="BA183" s="709">
        <f t="shared" si="400"/>
        <v>-10.5</v>
      </c>
      <c r="BB183" s="773">
        <v>25008</v>
      </c>
      <c r="BC183" s="716">
        <v>25251</v>
      </c>
      <c r="BD183" s="709">
        <f t="shared" si="377"/>
        <v>1</v>
      </c>
      <c r="BE183" s="773">
        <f t="shared" si="414"/>
        <v>3032</v>
      </c>
      <c r="BF183" s="716">
        <f t="shared" si="414"/>
        <v>3391</v>
      </c>
      <c r="BG183" s="709">
        <f t="shared" si="401"/>
        <v>11.8</v>
      </c>
      <c r="BH183" s="773">
        <v>28040</v>
      </c>
      <c r="BI183" s="716">
        <v>28642</v>
      </c>
      <c r="BJ183" s="709">
        <f t="shared" si="380"/>
        <v>2.1</v>
      </c>
      <c r="BK183" s="773">
        <f t="shared" si="415"/>
        <v>2905</v>
      </c>
      <c r="BL183" s="716">
        <f t="shared" si="415"/>
        <v>3618</v>
      </c>
      <c r="BM183" s="709">
        <f t="shared" si="402"/>
        <v>24.5</v>
      </c>
      <c r="BN183" s="773">
        <v>30945</v>
      </c>
      <c r="BO183" s="716">
        <v>32260</v>
      </c>
      <c r="BP183" s="709">
        <f t="shared" si="383"/>
        <v>4.2</v>
      </c>
      <c r="BQ183" s="773">
        <f t="shared" si="416"/>
        <v>2552</v>
      </c>
      <c r="BR183" s="716">
        <f t="shared" si="416"/>
        <v>3138</v>
      </c>
      <c r="BS183" s="709">
        <f t="shared" si="395"/>
        <v>23</v>
      </c>
      <c r="BT183" s="773">
        <v>33497</v>
      </c>
      <c r="BU183" s="716">
        <v>35398</v>
      </c>
      <c r="BV183" s="709">
        <f t="shared" si="386"/>
        <v>5.7</v>
      </c>
    </row>
    <row r="184" spans="1:74" s="173" customFormat="1">
      <c r="A184" s="338"/>
      <c r="B184" s="1164"/>
      <c r="C184" s="345" t="s">
        <v>133</v>
      </c>
      <c r="D184" s="341">
        <v>19</v>
      </c>
      <c r="E184" s="341">
        <v>1343</v>
      </c>
      <c r="F184" s="341">
        <v>1495</v>
      </c>
      <c r="G184" s="341">
        <v>173</v>
      </c>
      <c r="H184" s="341">
        <v>320</v>
      </c>
      <c r="I184" s="341">
        <v>9649</v>
      </c>
      <c r="J184" s="356">
        <v>19825</v>
      </c>
      <c r="K184" s="341">
        <v>36998</v>
      </c>
      <c r="L184" s="428">
        <v>2209</v>
      </c>
      <c r="M184" s="397">
        <v>2709</v>
      </c>
      <c r="N184" s="346">
        <f t="shared" si="389"/>
        <v>22.6</v>
      </c>
      <c r="O184" s="428">
        <f t="shared" si="403"/>
        <v>2442</v>
      </c>
      <c r="P184" s="397">
        <f t="shared" si="403"/>
        <v>2765</v>
      </c>
      <c r="Q184" s="346">
        <f t="shared" si="390"/>
        <v>13.2</v>
      </c>
      <c r="R184" s="428">
        <v>4651</v>
      </c>
      <c r="S184" s="397">
        <v>5474</v>
      </c>
      <c r="T184" s="346">
        <f t="shared" si="391"/>
        <v>17.7</v>
      </c>
      <c r="U184" s="428">
        <f t="shared" si="404"/>
        <v>2482</v>
      </c>
      <c r="V184" s="397">
        <f t="shared" si="405"/>
        <v>3198</v>
      </c>
      <c r="W184" s="346">
        <f t="shared" si="392"/>
        <v>28.8</v>
      </c>
      <c r="X184" s="428">
        <v>7133</v>
      </c>
      <c r="Y184" s="397">
        <v>8672</v>
      </c>
      <c r="Z184" s="346">
        <f t="shared" si="393"/>
        <v>21.6</v>
      </c>
      <c r="AA184" s="428">
        <f t="shared" si="406"/>
        <v>3911</v>
      </c>
      <c r="AB184" s="397">
        <f t="shared" si="407"/>
        <v>2997</v>
      </c>
      <c r="AC184" s="346">
        <f t="shared" si="394"/>
        <v>-23.4</v>
      </c>
      <c r="AD184" s="428">
        <v>11044</v>
      </c>
      <c r="AE184" s="397">
        <v>11669</v>
      </c>
      <c r="AF184" s="346">
        <f t="shared" si="363"/>
        <v>5.7</v>
      </c>
      <c r="AG184" s="428">
        <f t="shared" si="408"/>
        <v>3317</v>
      </c>
      <c r="AH184" s="397">
        <f t="shared" si="408"/>
        <v>3038</v>
      </c>
      <c r="AI184" s="346">
        <f t="shared" si="397"/>
        <v>-8.4</v>
      </c>
      <c r="AJ184" s="428">
        <v>14361</v>
      </c>
      <c r="AK184" s="397">
        <v>14707</v>
      </c>
      <c r="AL184" s="346">
        <f t="shared" si="366"/>
        <v>2.4</v>
      </c>
      <c r="AM184" s="733">
        <f t="shared" si="409"/>
        <v>2695</v>
      </c>
      <c r="AN184" s="716">
        <f t="shared" si="410"/>
        <v>3396</v>
      </c>
      <c r="AO184" s="709">
        <f t="shared" si="398"/>
        <v>26</v>
      </c>
      <c r="AP184" s="773">
        <v>17056</v>
      </c>
      <c r="AQ184" s="716">
        <v>18103</v>
      </c>
      <c r="AR184" s="709">
        <f t="shared" si="370"/>
        <v>6.1</v>
      </c>
      <c r="AS184" s="773">
        <f t="shared" si="411"/>
        <v>2142</v>
      </c>
      <c r="AT184" s="716">
        <f t="shared" si="411"/>
        <v>3140</v>
      </c>
      <c r="AU184" s="709">
        <f t="shared" si="399"/>
        <v>46.6</v>
      </c>
      <c r="AV184" s="1013">
        <v>19198</v>
      </c>
      <c r="AW184" s="1002">
        <v>21243</v>
      </c>
      <c r="AX184" s="709">
        <f t="shared" si="373"/>
        <v>10.7</v>
      </c>
      <c r="AY184" s="773">
        <f t="shared" si="412"/>
        <v>3440</v>
      </c>
      <c r="AZ184" s="716">
        <f t="shared" si="413"/>
        <v>1898</v>
      </c>
      <c r="BA184" s="709">
        <f t="shared" si="400"/>
        <v>-44.8</v>
      </c>
      <c r="BB184" s="773">
        <v>22638</v>
      </c>
      <c r="BC184" s="716">
        <v>23141</v>
      </c>
      <c r="BD184" s="709">
        <f t="shared" si="377"/>
        <v>2.2000000000000002</v>
      </c>
      <c r="BE184" s="773">
        <f t="shared" si="414"/>
        <v>3568</v>
      </c>
      <c r="BF184" s="716">
        <f t="shared" si="414"/>
        <v>3851</v>
      </c>
      <c r="BG184" s="709">
        <f t="shared" si="401"/>
        <v>7.9</v>
      </c>
      <c r="BH184" s="773">
        <v>26206</v>
      </c>
      <c r="BI184" s="716">
        <v>26992</v>
      </c>
      <c r="BJ184" s="709">
        <f t="shared" si="380"/>
        <v>3</v>
      </c>
      <c r="BK184" s="773">
        <f t="shared" si="415"/>
        <v>2573</v>
      </c>
      <c r="BL184" s="716">
        <f t="shared" si="415"/>
        <v>3712</v>
      </c>
      <c r="BM184" s="709">
        <f t="shared" si="402"/>
        <v>44.3</v>
      </c>
      <c r="BN184" s="773">
        <v>28779</v>
      </c>
      <c r="BO184" s="716">
        <v>30704</v>
      </c>
      <c r="BP184" s="709">
        <f t="shared" si="383"/>
        <v>6.7</v>
      </c>
      <c r="BQ184" s="773">
        <f t="shared" si="416"/>
        <v>2834</v>
      </c>
      <c r="BR184" s="716">
        <f t="shared" si="416"/>
        <v>1024</v>
      </c>
      <c r="BS184" s="709">
        <f t="shared" si="395"/>
        <v>-63.9</v>
      </c>
      <c r="BT184" s="773">
        <v>31613</v>
      </c>
      <c r="BU184" s="716">
        <v>31728</v>
      </c>
      <c r="BV184" s="709">
        <f t="shared" si="386"/>
        <v>0.4</v>
      </c>
    </row>
    <row r="185" spans="1:74" s="173" customFormat="1">
      <c r="A185" s="338"/>
      <c r="B185" s="1164"/>
      <c r="C185" s="345" t="s">
        <v>101</v>
      </c>
      <c r="D185" s="341">
        <v>19912</v>
      </c>
      <c r="E185" s="341">
        <v>32080</v>
      </c>
      <c r="F185" s="341">
        <v>28941</v>
      </c>
      <c r="G185" s="341">
        <v>29417</v>
      </c>
      <c r="H185" s="341">
        <v>41269</v>
      </c>
      <c r="I185" s="341">
        <v>37044</v>
      </c>
      <c r="J185" s="356">
        <v>26956</v>
      </c>
      <c r="K185" s="341">
        <v>32603</v>
      </c>
      <c r="L185" s="428">
        <v>2637</v>
      </c>
      <c r="M185" s="397">
        <v>3524</v>
      </c>
      <c r="N185" s="346">
        <f t="shared" si="389"/>
        <v>33.6</v>
      </c>
      <c r="O185" s="428">
        <f t="shared" si="403"/>
        <v>1324</v>
      </c>
      <c r="P185" s="397">
        <f t="shared" si="403"/>
        <v>715</v>
      </c>
      <c r="Q185" s="346">
        <f t="shared" si="390"/>
        <v>-46</v>
      </c>
      <c r="R185" s="428">
        <v>3961</v>
      </c>
      <c r="S185" s="397">
        <v>4239</v>
      </c>
      <c r="T185" s="346">
        <f t="shared" si="391"/>
        <v>7</v>
      </c>
      <c r="U185" s="428">
        <f t="shared" si="404"/>
        <v>2941</v>
      </c>
      <c r="V185" s="397">
        <f t="shared" si="405"/>
        <v>3286</v>
      </c>
      <c r="W185" s="346">
        <f t="shared" si="392"/>
        <v>11.7</v>
      </c>
      <c r="X185" s="428">
        <v>6902</v>
      </c>
      <c r="Y185" s="397">
        <v>7525</v>
      </c>
      <c r="Z185" s="346">
        <f t="shared" si="393"/>
        <v>9</v>
      </c>
      <c r="AA185" s="428">
        <f t="shared" si="406"/>
        <v>3929</v>
      </c>
      <c r="AB185" s="397">
        <f t="shared" si="407"/>
        <v>1477</v>
      </c>
      <c r="AC185" s="346">
        <f t="shared" si="394"/>
        <v>-62.4</v>
      </c>
      <c r="AD185" s="428">
        <v>10831</v>
      </c>
      <c r="AE185" s="397">
        <v>9002</v>
      </c>
      <c r="AF185" s="346">
        <f t="shared" si="363"/>
        <v>-16.899999999999999</v>
      </c>
      <c r="AG185" s="428">
        <f t="shared" si="408"/>
        <v>2114</v>
      </c>
      <c r="AH185" s="397">
        <f t="shared" si="408"/>
        <v>1901</v>
      </c>
      <c r="AI185" s="346">
        <f t="shared" si="397"/>
        <v>-10.1</v>
      </c>
      <c r="AJ185" s="428">
        <v>12945</v>
      </c>
      <c r="AK185" s="397">
        <v>10903</v>
      </c>
      <c r="AL185" s="346">
        <f t="shared" si="366"/>
        <v>-15.8</v>
      </c>
      <c r="AM185" s="733">
        <f t="shared" si="409"/>
        <v>2099</v>
      </c>
      <c r="AN185" s="716">
        <f t="shared" si="410"/>
        <v>2230</v>
      </c>
      <c r="AO185" s="709">
        <f t="shared" si="398"/>
        <v>6.2</v>
      </c>
      <c r="AP185" s="773">
        <v>15044</v>
      </c>
      <c r="AQ185" s="716">
        <v>13133</v>
      </c>
      <c r="AR185" s="709">
        <f t="shared" si="370"/>
        <v>-12.7</v>
      </c>
      <c r="AS185" s="773">
        <f t="shared" si="411"/>
        <v>1327</v>
      </c>
      <c r="AT185" s="716">
        <f t="shared" si="411"/>
        <v>2106</v>
      </c>
      <c r="AU185" s="709">
        <f t="shared" si="399"/>
        <v>58.7</v>
      </c>
      <c r="AV185" s="1013">
        <v>16371</v>
      </c>
      <c r="AW185" s="1002">
        <v>15239</v>
      </c>
      <c r="AX185" s="709">
        <f t="shared" si="373"/>
        <v>-6.9</v>
      </c>
      <c r="AY185" s="773">
        <f t="shared" si="412"/>
        <v>2468</v>
      </c>
      <c r="AZ185" s="716">
        <f t="shared" si="413"/>
        <v>670</v>
      </c>
      <c r="BA185" s="709">
        <f t="shared" si="400"/>
        <v>-72.900000000000006</v>
      </c>
      <c r="BB185" s="773">
        <v>18839</v>
      </c>
      <c r="BC185" s="716">
        <v>15909</v>
      </c>
      <c r="BD185" s="709">
        <f t="shared" si="377"/>
        <v>-15.6</v>
      </c>
      <c r="BE185" s="773">
        <f t="shared" si="414"/>
        <v>2691</v>
      </c>
      <c r="BF185" s="716">
        <f t="shared" si="414"/>
        <v>1542</v>
      </c>
      <c r="BG185" s="709">
        <f t="shared" si="401"/>
        <v>-42.7</v>
      </c>
      <c r="BH185" s="773">
        <v>21530</v>
      </c>
      <c r="BI185" s="716">
        <v>17451</v>
      </c>
      <c r="BJ185" s="709">
        <f t="shared" si="380"/>
        <v>-18.899999999999999</v>
      </c>
      <c r="BK185" s="773">
        <f t="shared" si="415"/>
        <v>3948</v>
      </c>
      <c r="BL185" s="716">
        <f t="shared" si="415"/>
        <v>743</v>
      </c>
      <c r="BM185" s="709">
        <f t="shared" si="402"/>
        <v>-81.2</v>
      </c>
      <c r="BN185" s="773">
        <v>25478</v>
      </c>
      <c r="BO185" s="716">
        <v>18194</v>
      </c>
      <c r="BP185" s="709">
        <f t="shared" si="383"/>
        <v>-28.6</v>
      </c>
      <c r="BQ185" s="773">
        <f t="shared" si="416"/>
        <v>3829</v>
      </c>
      <c r="BR185" s="716">
        <f t="shared" si="416"/>
        <v>1192</v>
      </c>
      <c r="BS185" s="709">
        <f t="shared" si="395"/>
        <v>-68.900000000000006</v>
      </c>
      <c r="BT185" s="773">
        <v>29307</v>
      </c>
      <c r="BU185" s="716">
        <v>19386</v>
      </c>
      <c r="BV185" s="709">
        <f t="shared" si="386"/>
        <v>-33.9</v>
      </c>
    </row>
    <row r="186" spans="1:74" s="173" customFormat="1">
      <c r="A186" s="338"/>
      <c r="B186" s="1164"/>
      <c r="C186" s="345" t="s">
        <v>52</v>
      </c>
      <c r="D186" s="341">
        <v>11679</v>
      </c>
      <c r="E186" s="341">
        <v>11853</v>
      </c>
      <c r="F186" s="341">
        <v>20485</v>
      </c>
      <c r="G186" s="341">
        <v>22217</v>
      </c>
      <c r="H186" s="341">
        <v>18826</v>
      </c>
      <c r="I186" s="341">
        <v>21711</v>
      </c>
      <c r="J186" s="356">
        <v>30413</v>
      </c>
      <c r="K186" s="341">
        <v>24830</v>
      </c>
      <c r="L186" s="428">
        <v>1876</v>
      </c>
      <c r="M186" s="397">
        <v>2229</v>
      </c>
      <c r="N186" s="346">
        <f t="shared" si="389"/>
        <v>18.8</v>
      </c>
      <c r="O186" s="428">
        <f t="shared" si="403"/>
        <v>2299</v>
      </c>
      <c r="P186" s="397">
        <f t="shared" si="403"/>
        <v>3987</v>
      </c>
      <c r="Q186" s="346">
        <f t="shared" si="390"/>
        <v>73.400000000000006</v>
      </c>
      <c r="R186" s="428">
        <v>4175</v>
      </c>
      <c r="S186" s="397">
        <v>6216</v>
      </c>
      <c r="T186" s="346">
        <f t="shared" si="391"/>
        <v>48.9</v>
      </c>
      <c r="U186" s="428">
        <f t="shared" si="404"/>
        <v>2458</v>
      </c>
      <c r="V186" s="397">
        <f t="shared" si="405"/>
        <v>5010</v>
      </c>
      <c r="W186" s="346">
        <f t="shared" si="392"/>
        <v>103.8</v>
      </c>
      <c r="X186" s="428">
        <v>6633</v>
      </c>
      <c r="Y186" s="397">
        <v>11226</v>
      </c>
      <c r="Z186" s="346">
        <f t="shared" si="393"/>
        <v>69.2</v>
      </c>
      <c r="AA186" s="428">
        <f t="shared" si="406"/>
        <v>2324</v>
      </c>
      <c r="AB186" s="397">
        <f t="shared" si="407"/>
        <v>3479</v>
      </c>
      <c r="AC186" s="346">
        <f t="shared" si="394"/>
        <v>49.7</v>
      </c>
      <c r="AD186" s="428">
        <v>8957</v>
      </c>
      <c r="AE186" s="397">
        <v>14705</v>
      </c>
      <c r="AF186" s="346">
        <f t="shared" si="363"/>
        <v>64.2</v>
      </c>
      <c r="AG186" s="428">
        <f t="shared" si="408"/>
        <v>2711</v>
      </c>
      <c r="AH186" s="397">
        <f t="shared" si="408"/>
        <v>126</v>
      </c>
      <c r="AI186" s="346">
        <f t="shared" si="397"/>
        <v>-95.4</v>
      </c>
      <c r="AJ186" s="428">
        <v>11668</v>
      </c>
      <c r="AK186" s="397">
        <v>14831</v>
      </c>
      <c r="AL186" s="346">
        <f t="shared" si="366"/>
        <v>27.1</v>
      </c>
      <c r="AM186" s="733">
        <f t="shared" si="409"/>
        <v>2555</v>
      </c>
      <c r="AN186" s="716">
        <f t="shared" si="410"/>
        <v>289</v>
      </c>
      <c r="AO186" s="709">
        <f t="shared" si="398"/>
        <v>-88.7</v>
      </c>
      <c r="AP186" s="773">
        <v>14223</v>
      </c>
      <c r="AQ186" s="716">
        <v>15120</v>
      </c>
      <c r="AR186" s="709">
        <f t="shared" si="370"/>
        <v>6.3</v>
      </c>
      <c r="AS186" s="773">
        <f t="shared" si="411"/>
        <v>2936</v>
      </c>
      <c r="AT186" s="716">
        <f t="shared" si="411"/>
        <v>122</v>
      </c>
      <c r="AU186" s="709">
        <f t="shared" si="399"/>
        <v>-95.8</v>
      </c>
      <c r="AV186" s="1013">
        <v>17159</v>
      </c>
      <c r="AW186" s="1002">
        <v>15242</v>
      </c>
      <c r="AX186" s="709">
        <f t="shared" si="373"/>
        <v>-11.2</v>
      </c>
      <c r="AY186" s="773">
        <f t="shared" si="412"/>
        <v>2161</v>
      </c>
      <c r="AZ186" s="716">
        <f t="shared" si="413"/>
        <v>134</v>
      </c>
      <c r="BA186" s="709">
        <f t="shared" si="400"/>
        <v>-93.8</v>
      </c>
      <c r="BB186" s="773">
        <v>19320</v>
      </c>
      <c r="BC186" s="716">
        <v>15376</v>
      </c>
      <c r="BD186" s="709">
        <f t="shared" si="377"/>
        <v>-20.399999999999999</v>
      </c>
      <c r="BE186" s="773">
        <f t="shared" si="414"/>
        <v>1450</v>
      </c>
      <c r="BF186" s="716">
        <f t="shared" si="414"/>
        <v>820</v>
      </c>
      <c r="BG186" s="709">
        <f t="shared" si="401"/>
        <v>-43.4</v>
      </c>
      <c r="BH186" s="773">
        <v>20770</v>
      </c>
      <c r="BI186" s="716">
        <v>16196</v>
      </c>
      <c r="BJ186" s="709">
        <f t="shared" si="380"/>
        <v>-22</v>
      </c>
      <c r="BK186" s="773">
        <f t="shared" si="415"/>
        <v>1177</v>
      </c>
      <c r="BL186" s="716">
        <f t="shared" si="415"/>
        <v>2219</v>
      </c>
      <c r="BM186" s="709">
        <f t="shared" si="402"/>
        <v>88.5</v>
      </c>
      <c r="BN186" s="773">
        <v>21947</v>
      </c>
      <c r="BO186" s="716">
        <v>18415</v>
      </c>
      <c r="BP186" s="709">
        <f t="shared" si="383"/>
        <v>-16.100000000000001</v>
      </c>
      <c r="BQ186" s="773">
        <f t="shared" si="416"/>
        <v>378</v>
      </c>
      <c r="BR186" s="716">
        <f t="shared" si="416"/>
        <v>3148</v>
      </c>
      <c r="BS186" s="709">
        <f t="shared" si="395"/>
        <v>732.8</v>
      </c>
      <c r="BT186" s="773">
        <v>22325</v>
      </c>
      <c r="BU186" s="716">
        <v>21563</v>
      </c>
      <c r="BV186" s="709">
        <f t="shared" si="386"/>
        <v>-3.4</v>
      </c>
    </row>
    <row r="187" spans="1:74" s="173" customFormat="1">
      <c r="A187" s="338"/>
      <c r="B187" s="1164"/>
      <c r="C187" s="345" t="s">
        <v>107</v>
      </c>
      <c r="D187" s="341">
        <v>15061</v>
      </c>
      <c r="E187" s="341">
        <v>12516</v>
      </c>
      <c r="F187" s="341">
        <v>13973</v>
      </c>
      <c r="G187" s="341">
        <v>13050</v>
      </c>
      <c r="H187" s="341">
        <v>19645</v>
      </c>
      <c r="I187" s="341">
        <v>21838</v>
      </c>
      <c r="J187" s="356">
        <v>24197</v>
      </c>
      <c r="K187" s="341">
        <v>23495</v>
      </c>
      <c r="L187" s="428">
        <v>1092</v>
      </c>
      <c r="M187" s="397">
        <v>1839</v>
      </c>
      <c r="N187" s="346">
        <f t="shared" si="389"/>
        <v>68.400000000000006</v>
      </c>
      <c r="O187" s="428">
        <f t="shared" si="403"/>
        <v>1408</v>
      </c>
      <c r="P187" s="397">
        <f t="shared" si="403"/>
        <v>2158</v>
      </c>
      <c r="Q187" s="346">
        <f t="shared" si="390"/>
        <v>53.3</v>
      </c>
      <c r="R187" s="428">
        <v>2500</v>
      </c>
      <c r="S187" s="397">
        <v>3997</v>
      </c>
      <c r="T187" s="346">
        <f t="shared" si="391"/>
        <v>59.9</v>
      </c>
      <c r="U187" s="428">
        <f t="shared" si="404"/>
        <v>1991</v>
      </c>
      <c r="V187" s="397">
        <f t="shared" si="405"/>
        <v>1705</v>
      </c>
      <c r="W187" s="346">
        <f t="shared" si="392"/>
        <v>-14.4</v>
      </c>
      <c r="X187" s="428">
        <v>4491</v>
      </c>
      <c r="Y187" s="397">
        <v>5702</v>
      </c>
      <c r="Z187" s="346">
        <f t="shared" si="393"/>
        <v>27</v>
      </c>
      <c r="AA187" s="428">
        <f t="shared" si="406"/>
        <v>2561</v>
      </c>
      <c r="AB187" s="397">
        <f t="shared" si="407"/>
        <v>1969</v>
      </c>
      <c r="AC187" s="346">
        <f t="shared" si="394"/>
        <v>-23.1</v>
      </c>
      <c r="AD187" s="428">
        <v>7052</v>
      </c>
      <c r="AE187" s="397">
        <v>7671</v>
      </c>
      <c r="AF187" s="346">
        <f t="shared" si="363"/>
        <v>8.8000000000000007</v>
      </c>
      <c r="AG187" s="428">
        <f t="shared" si="408"/>
        <v>2643</v>
      </c>
      <c r="AH187" s="397">
        <f t="shared" si="408"/>
        <v>1330</v>
      </c>
      <c r="AI187" s="346">
        <f t="shared" si="397"/>
        <v>-49.7</v>
      </c>
      <c r="AJ187" s="428">
        <v>9695</v>
      </c>
      <c r="AK187" s="397">
        <v>9001</v>
      </c>
      <c r="AL187" s="346">
        <f t="shared" si="366"/>
        <v>-7.2</v>
      </c>
      <c r="AM187" s="733">
        <f t="shared" si="409"/>
        <v>2154</v>
      </c>
      <c r="AN187" s="716">
        <f t="shared" si="410"/>
        <v>2401</v>
      </c>
      <c r="AO187" s="709">
        <f t="shared" si="398"/>
        <v>11.5</v>
      </c>
      <c r="AP187" s="773">
        <v>11849</v>
      </c>
      <c r="AQ187" s="716">
        <v>11402</v>
      </c>
      <c r="AR187" s="709">
        <f t="shared" si="370"/>
        <v>-3.8</v>
      </c>
      <c r="AS187" s="773">
        <f t="shared" si="411"/>
        <v>2114</v>
      </c>
      <c r="AT187" s="716">
        <f t="shared" si="411"/>
        <v>2742</v>
      </c>
      <c r="AU187" s="709">
        <f t="shared" si="399"/>
        <v>29.7</v>
      </c>
      <c r="AV187" s="1013">
        <v>13963</v>
      </c>
      <c r="AW187" s="1002">
        <v>14144</v>
      </c>
      <c r="AX187" s="709">
        <f t="shared" si="373"/>
        <v>1.3</v>
      </c>
      <c r="AY187" s="773">
        <f t="shared" si="412"/>
        <v>2312</v>
      </c>
      <c r="AZ187" s="716">
        <f t="shared" si="413"/>
        <v>1775</v>
      </c>
      <c r="BA187" s="709">
        <f t="shared" si="400"/>
        <v>-23.2</v>
      </c>
      <c r="BB187" s="773">
        <v>16275</v>
      </c>
      <c r="BC187" s="716">
        <v>15919</v>
      </c>
      <c r="BD187" s="709">
        <f t="shared" si="377"/>
        <v>-2.2000000000000002</v>
      </c>
      <c r="BE187" s="773">
        <f t="shared" si="414"/>
        <v>1513</v>
      </c>
      <c r="BF187" s="716">
        <f t="shared" si="414"/>
        <v>2329</v>
      </c>
      <c r="BG187" s="709">
        <f t="shared" si="401"/>
        <v>53.9</v>
      </c>
      <c r="BH187" s="773">
        <v>17788</v>
      </c>
      <c r="BI187" s="716">
        <v>18248</v>
      </c>
      <c r="BJ187" s="709">
        <f t="shared" si="380"/>
        <v>2.6</v>
      </c>
      <c r="BK187" s="773">
        <f t="shared" si="415"/>
        <v>2159</v>
      </c>
      <c r="BL187" s="716">
        <f t="shared" si="415"/>
        <v>2018</v>
      </c>
      <c r="BM187" s="709">
        <f t="shared" si="402"/>
        <v>-6.5</v>
      </c>
      <c r="BN187" s="773">
        <v>19947</v>
      </c>
      <c r="BO187" s="716">
        <v>20266</v>
      </c>
      <c r="BP187" s="709">
        <f t="shared" si="383"/>
        <v>1.6</v>
      </c>
      <c r="BQ187" s="773">
        <f t="shared" si="416"/>
        <v>2014</v>
      </c>
      <c r="BR187" s="716">
        <f t="shared" si="416"/>
        <v>1694</v>
      </c>
      <c r="BS187" s="709">
        <f t="shared" si="395"/>
        <v>-15.9</v>
      </c>
      <c r="BT187" s="773">
        <v>21961</v>
      </c>
      <c r="BU187" s="716">
        <v>21960</v>
      </c>
      <c r="BV187" s="709">
        <f t="shared" si="386"/>
        <v>0</v>
      </c>
    </row>
    <row r="188" spans="1:74" s="173" customFormat="1">
      <c r="A188" s="338"/>
      <c r="B188" s="1164"/>
      <c r="C188" s="345" t="s">
        <v>330</v>
      </c>
      <c r="D188" s="341">
        <v>23</v>
      </c>
      <c r="E188" s="341">
        <v>1078</v>
      </c>
      <c r="F188" s="341">
        <v>996</v>
      </c>
      <c r="G188" s="341">
        <v>3447</v>
      </c>
      <c r="H188" s="341">
        <v>129</v>
      </c>
      <c r="I188" s="341">
        <v>1144</v>
      </c>
      <c r="J188" s="356">
        <v>7240</v>
      </c>
      <c r="K188" s="341">
        <v>18957</v>
      </c>
      <c r="L188" s="428">
        <v>2673</v>
      </c>
      <c r="M188" s="397">
        <v>1465</v>
      </c>
      <c r="N188" s="346">
        <f t="shared" si="389"/>
        <v>-45.2</v>
      </c>
      <c r="O188" s="428">
        <f t="shared" si="403"/>
        <v>1751</v>
      </c>
      <c r="P188" s="397">
        <f t="shared" si="403"/>
        <v>1896</v>
      </c>
      <c r="Q188" s="346">
        <f t="shared" si="390"/>
        <v>8.3000000000000007</v>
      </c>
      <c r="R188" s="428">
        <v>4424</v>
      </c>
      <c r="S188" s="397">
        <v>3361</v>
      </c>
      <c r="T188" s="346">
        <f t="shared" si="391"/>
        <v>-24</v>
      </c>
      <c r="U188" s="428">
        <f t="shared" si="404"/>
        <v>1666</v>
      </c>
      <c r="V188" s="397">
        <f t="shared" si="405"/>
        <v>2031</v>
      </c>
      <c r="W188" s="346">
        <f t="shared" si="392"/>
        <v>21.9</v>
      </c>
      <c r="X188" s="428">
        <v>6090</v>
      </c>
      <c r="Y188" s="397">
        <v>5392</v>
      </c>
      <c r="Z188" s="346">
        <f t="shared" si="393"/>
        <v>-11.5</v>
      </c>
      <c r="AA188" s="428">
        <f t="shared" si="406"/>
        <v>1059</v>
      </c>
      <c r="AB188" s="397">
        <f t="shared" si="407"/>
        <v>2134</v>
      </c>
      <c r="AC188" s="346">
        <f t="shared" si="394"/>
        <v>101.5</v>
      </c>
      <c r="AD188" s="428">
        <v>7149</v>
      </c>
      <c r="AE188" s="397">
        <v>7526</v>
      </c>
      <c r="AF188" s="346">
        <f t="shared" si="363"/>
        <v>5.3</v>
      </c>
      <c r="AG188" s="428">
        <f t="shared" si="408"/>
        <v>1095</v>
      </c>
      <c r="AH188" s="397">
        <f t="shared" si="408"/>
        <v>1711</v>
      </c>
      <c r="AI188" s="346">
        <f t="shared" si="397"/>
        <v>56.3</v>
      </c>
      <c r="AJ188" s="428">
        <v>8244</v>
      </c>
      <c r="AK188" s="397">
        <v>9237</v>
      </c>
      <c r="AL188" s="346">
        <f t="shared" si="366"/>
        <v>12</v>
      </c>
      <c r="AM188" s="733">
        <f t="shared" si="409"/>
        <v>1302</v>
      </c>
      <c r="AN188" s="716">
        <f t="shared" si="410"/>
        <v>2185</v>
      </c>
      <c r="AO188" s="709">
        <f t="shared" si="398"/>
        <v>67.8</v>
      </c>
      <c r="AP188" s="773">
        <v>9546</v>
      </c>
      <c r="AQ188" s="716">
        <v>11422</v>
      </c>
      <c r="AR188" s="709">
        <f t="shared" si="370"/>
        <v>19.7</v>
      </c>
      <c r="AS188" s="773">
        <f t="shared" si="411"/>
        <v>1157</v>
      </c>
      <c r="AT188" s="716">
        <f t="shared" si="411"/>
        <v>3234</v>
      </c>
      <c r="AU188" s="709">
        <f t="shared" si="399"/>
        <v>179.5</v>
      </c>
      <c r="AV188" s="1013">
        <v>10703</v>
      </c>
      <c r="AW188" s="1002">
        <v>14656</v>
      </c>
      <c r="AX188" s="709">
        <f t="shared" si="373"/>
        <v>36.9</v>
      </c>
      <c r="AY188" s="773">
        <f t="shared" si="412"/>
        <v>1474</v>
      </c>
      <c r="AZ188" s="716">
        <f t="shared" si="413"/>
        <v>2144</v>
      </c>
      <c r="BA188" s="709">
        <f t="shared" si="400"/>
        <v>45.5</v>
      </c>
      <c r="BB188" s="773">
        <v>12177</v>
      </c>
      <c r="BC188" s="716">
        <v>16800</v>
      </c>
      <c r="BD188" s="709">
        <f t="shared" si="377"/>
        <v>38</v>
      </c>
      <c r="BE188" s="773">
        <f t="shared" si="414"/>
        <v>2064</v>
      </c>
      <c r="BF188" s="716">
        <f t="shared" si="414"/>
        <v>1709</v>
      </c>
      <c r="BG188" s="709">
        <f t="shared" si="401"/>
        <v>-17.2</v>
      </c>
      <c r="BH188" s="773">
        <v>14241</v>
      </c>
      <c r="BI188" s="716">
        <v>18509</v>
      </c>
      <c r="BJ188" s="709">
        <f t="shared" si="380"/>
        <v>30</v>
      </c>
      <c r="BK188" s="773">
        <f t="shared" si="415"/>
        <v>1193</v>
      </c>
      <c r="BL188" s="716">
        <f t="shared" si="415"/>
        <v>1729</v>
      </c>
      <c r="BM188" s="709">
        <f t="shared" si="402"/>
        <v>44.9</v>
      </c>
      <c r="BN188" s="773">
        <v>15434</v>
      </c>
      <c r="BO188" s="716">
        <v>20238</v>
      </c>
      <c r="BP188" s="709">
        <f t="shared" si="383"/>
        <v>31.1</v>
      </c>
      <c r="BQ188" s="773">
        <f t="shared" si="416"/>
        <v>1469</v>
      </c>
      <c r="BR188" s="716">
        <f t="shared" si="416"/>
        <v>1750</v>
      </c>
      <c r="BS188" s="709">
        <f t="shared" si="395"/>
        <v>19.100000000000001</v>
      </c>
      <c r="BT188" s="773">
        <v>16903</v>
      </c>
      <c r="BU188" s="716">
        <v>21988</v>
      </c>
      <c r="BV188" s="709">
        <f t="shared" si="386"/>
        <v>30.1</v>
      </c>
    </row>
    <row r="189" spans="1:74" s="173" customFormat="1">
      <c r="A189" s="338"/>
      <c r="B189" s="1164"/>
      <c r="C189" s="345" t="s">
        <v>345</v>
      </c>
      <c r="D189" s="341"/>
      <c r="E189" s="341"/>
      <c r="F189" s="341"/>
      <c r="G189" s="341"/>
      <c r="H189" s="341"/>
      <c r="I189" s="341"/>
      <c r="J189" s="356">
        <v>3235</v>
      </c>
      <c r="K189" s="341">
        <v>18339</v>
      </c>
      <c r="L189" s="428">
        <v>1095</v>
      </c>
      <c r="M189" s="397">
        <v>1330</v>
      </c>
      <c r="N189" s="346">
        <f t="shared" si="389"/>
        <v>21.5</v>
      </c>
      <c r="O189" s="428">
        <f t="shared" si="403"/>
        <v>755</v>
      </c>
      <c r="P189" s="397">
        <f t="shared" si="403"/>
        <v>2032</v>
      </c>
      <c r="Q189" s="346">
        <f t="shared" si="390"/>
        <v>169.1</v>
      </c>
      <c r="R189" s="428">
        <v>1850</v>
      </c>
      <c r="S189" s="397">
        <v>3362</v>
      </c>
      <c r="T189" s="346">
        <f t="shared" si="391"/>
        <v>81.7</v>
      </c>
      <c r="U189" s="428">
        <f t="shared" si="404"/>
        <v>357</v>
      </c>
      <c r="V189" s="397">
        <f t="shared" si="405"/>
        <v>2064</v>
      </c>
      <c r="W189" s="346">
        <f t="shared" si="392"/>
        <v>478.2</v>
      </c>
      <c r="X189" s="428">
        <v>2207</v>
      </c>
      <c r="Y189" s="397">
        <v>5426</v>
      </c>
      <c r="Z189" s="346">
        <f t="shared" si="393"/>
        <v>145.9</v>
      </c>
      <c r="AA189" s="428">
        <f t="shared" si="406"/>
        <v>1437</v>
      </c>
      <c r="AB189" s="397">
        <f t="shared" si="407"/>
        <v>1693</v>
      </c>
      <c r="AC189" s="346">
        <f t="shared" si="394"/>
        <v>17.8</v>
      </c>
      <c r="AD189" s="428">
        <v>3644</v>
      </c>
      <c r="AE189" s="397">
        <v>7119</v>
      </c>
      <c r="AF189" s="346">
        <f t="shared" si="363"/>
        <v>95.4</v>
      </c>
      <c r="AG189" s="428">
        <f t="shared" si="408"/>
        <v>1967</v>
      </c>
      <c r="AH189" s="397">
        <f t="shared" si="408"/>
        <v>3652</v>
      </c>
      <c r="AI189" s="346">
        <f t="shared" si="397"/>
        <v>85.7</v>
      </c>
      <c r="AJ189" s="428">
        <v>5611</v>
      </c>
      <c r="AK189" s="397">
        <v>10771</v>
      </c>
      <c r="AL189" s="346">
        <f t="shared" si="366"/>
        <v>92</v>
      </c>
      <c r="AM189" s="733">
        <f t="shared" si="409"/>
        <v>2218</v>
      </c>
      <c r="AN189" s="716">
        <f t="shared" si="410"/>
        <v>1672</v>
      </c>
      <c r="AO189" s="709">
        <f t="shared" si="398"/>
        <v>-24.6</v>
      </c>
      <c r="AP189" s="773">
        <v>7829</v>
      </c>
      <c r="AQ189" s="716">
        <v>12443</v>
      </c>
      <c r="AR189" s="709">
        <f t="shared" si="370"/>
        <v>58.9</v>
      </c>
      <c r="AS189" s="773">
        <f t="shared" si="411"/>
        <v>2276</v>
      </c>
      <c r="AT189" s="716">
        <f t="shared" si="411"/>
        <v>3598</v>
      </c>
      <c r="AU189" s="709">
        <f t="shared" si="399"/>
        <v>58.1</v>
      </c>
      <c r="AV189" s="1013">
        <v>10105</v>
      </c>
      <c r="AW189" s="1002">
        <v>16041</v>
      </c>
      <c r="AX189" s="709">
        <f t="shared" si="373"/>
        <v>58.7</v>
      </c>
      <c r="AY189" s="773">
        <f t="shared" si="412"/>
        <v>1192</v>
      </c>
      <c r="AZ189" s="716">
        <f t="shared" si="413"/>
        <v>3662</v>
      </c>
      <c r="BA189" s="709">
        <f t="shared" si="400"/>
        <v>207.2</v>
      </c>
      <c r="BB189" s="773">
        <v>11297</v>
      </c>
      <c r="BC189" s="716">
        <v>19703</v>
      </c>
      <c r="BD189" s="709">
        <f t="shared" si="377"/>
        <v>74.400000000000006</v>
      </c>
      <c r="BE189" s="773">
        <f t="shared" si="414"/>
        <v>1754</v>
      </c>
      <c r="BF189" s="716">
        <f t="shared" si="414"/>
        <v>2239</v>
      </c>
      <c r="BG189" s="709">
        <f t="shared" si="401"/>
        <v>27.7</v>
      </c>
      <c r="BH189" s="773">
        <v>13051</v>
      </c>
      <c r="BI189" s="716">
        <v>21942</v>
      </c>
      <c r="BJ189" s="709">
        <f t="shared" si="380"/>
        <v>68.099999999999994</v>
      </c>
      <c r="BK189" s="773">
        <f t="shared" si="415"/>
        <v>1720</v>
      </c>
      <c r="BL189" s="716">
        <f t="shared" si="415"/>
        <v>3069</v>
      </c>
      <c r="BM189" s="709">
        <f t="shared" si="402"/>
        <v>78.400000000000006</v>
      </c>
      <c r="BN189" s="773">
        <v>14771</v>
      </c>
      <c r="BO189" s="716">
        <v>25011</v>
      </c>
      <c r="BP189" s="709">
        <f t="shared" si="383"/>
        <v>69.3</v>
      </c>
      <c r="BQ189" s="773">
        <f t="shared" si="416"/>
        <v>1190</v>
      </c>
      <c r="BR189" s="716">
        <f t="shared" si="416"/>
        <v>2989</v>
      </c>
      <c r="BS189" s="709">
        <f t="shared" si="395"/>
        <v>151.19999999999999</v>
      </c>
      <c r="BT189" s="773">
        <v>15961</v>
      </c>
      <c r="BU189" s="716">
        <v>28000</v>
      </c>
      <c r="BV189" s="709">
        <f t="shared" si="386"/>
        <v>75.400000000000006</v>
      </c>
    </row>
    <row r="190" spans="1:74" s="173" customFormat="1">
      <c r="A190" s="338"/>
      <c r="B190" s="1164"/>
      <c r="C190" s="345" t="s">
        <v>220</v>
      </c>
      <c r="D190" s="341">
        <v>2474</v>
      </c>
      <c r="E190" s="341">
        <v>2416</v>
      </c>
      <c r="F190" s="341">
        <v>146</v>
      </c>
      <c r="G190" s="341">
        <v>1747</v>
      </c>
      <c r="H190" s="341">
        <v>512</v>
      </c>
      <c r="I190" s="341">
        <v>1664</v>
      </c>
      <c r="J190" s="356">
        <v>10930</v>
      </c>
      <c r="K190" s="341">
        <v>16216</v>
      </c>
      <c r="L190" s="428">
        <v>1818</v>
      </c>
      <c r="M190" s="397">
        <v>380</v>
      </c>
      <c r="N190" s="346">
        <f t="shared" si="389"/>
        <v>-79.099999999999994</v>
      </c>
      <c r="O190" s="428">
        <f t="shared" si="403"/>
        <v>3391</v>
      </c>
      <c r="P190" s="397">
        <f t="shared" si="403"/>
        <v>621</v>
      </c>
      <c r="Q190" s="346">
        <f t="shared" si="390"/>
        <v>-81.7</v>
      </c>
      <c r="R190" s="428">
        <v>5209</v>
      </c>
      <c r="S190" s="397">
        <v>1001</v>
      </c>
      <c r="T190" s="346">
        <f t="shared" si="391"/>
        <v>-80.8</v>
      </c>
      <c r="U190" s="428">
        <f t="shared" si="404"/>
        <v>957</v>
      </c>
      <c r="V190" s="397">
        <f t="shared" si="405"/>
        <v>1524</v>
      </c>
      <c r="W190" s="346">
        <f t="shared" si="392"/>
        <v>59.2</v>
      </c>
      <c r="X190" s="428">
        <v>6166</v>
      </c>
      <c r="Y190" s="397">
        <v>2525</v>
      </c>
      <c r="Z190" s="346">
        <f t="shared" si="393"/>
        <v>-59</v>
      </c>
      <c r="AA190" s="428">
        <f t="shared" si="406"/>
        <v>1159</v>
      </c>
      <c r="AB190" s="397">
        <f t="shared" si="407"/>
        <v>933</v>
      </c>
      <c r="AC190" s="346">
        <f t="shared" si="394"/>
        <v>-19.5</v>
      </c>
      <c r="AD190" s="428">
        <v>7325</v>
      </c>
      <c r="AE190" s="397">
        <v>3458</v>
      </c>
      <c r="AF190" s="346">
        <f t="shared" si="363"/>
        <v>-52.8</v>
      </c>
      <c r="AG190" s="428">
        <f t="shared" si="408"/>
        <v>1994</v>
      </c>
      <c r="AH190" s="397">
        <f t="shared" si="408"/>
        <v>974</v>
      </c>
      <c r="AI190" s="346">
        <f t="shared" si="397"/>
        <v>-51.2</v>
      </c>
      <c r="AJ190" s="428">
        <v>9319</v>
      </c>
      <c r="AK190" s="397">
        <v>4432</v>
      </c>
      <c r="AL190" s="346">
        <f t="shared" si="366"/>
        <v>-52.4</v>
      </c>
      <c r="AM190" s="733">
        <f t="shared" si="409"/>
        <v>1401</v>
      </c>
      <c r="AN190" s="716">
        <f t="shared" si="410"/>
        <v>227</v>
      </c>
      <c r="AO190" s="709">
        <f t="shared" si="398"/>
        <v>-83.8</v>
      </c>
      <c r="AP190" s="773">
        <v>10720</v>
      </c>
      <c r="AQ190" s="716">
        <v>4659</v>
      </c>
      <c r="AR190" s="709">
        <f t="shared" si="370"/>
        <v>-56.5</v>
      </c>
      <c r="AS190" s="773">
        <f t="shared" si="411"/>
        <v>441</v>
      </c>
      <c r="AT190" s="716">
        <f t="shared" si="411"/>
        <v>1078</v>
      </c>
      <c r="AU190" s="709">
        <f t="shared" si="399"/>
        <v>144.4</v>
      </c>
      <c r="AV190" s="1013">
        <v>11161</v>
      </c>
      <c r="AW190" s="1002">
        <v>5737</v>
      </c>
      <c r="AX190" s="709">
        <f t="shared" si="373"/>
        <v>-48.6</v>
      </c>
      <c r="AY190" s="773">
        <f t="shared" si="412"/>
        <v>2464</v>
      </c>
      <c r="AZ190" s="716">
        <f t="shared" si="413"/>
        <v>1262</v>
      </c>
      <c r="BA190" s="709">
        <f t="shared" si="400"/>
        <v>-48.8</v>
      </c>
      <c r="BB190" s="773">
        <v>13625</v>
      </c>
      <c r="BC190" s="716">
        <v>6999</v>
      </c>
      <c r="BD190" s="709">
        <f t="shared" si="377"/>
        <v>-48.6</v>
      </c>
      <c r="BE190" s="773">
        <f t="shared" si="414"/>
        <v>1250</v>
      </c>
      <c r="BF190" s="716">
        <f t="shared" si="414"/>
        <v>20</v>
      </c>
      <c r="BG190" s="709">
        <f t="shared" si="401"/>
        <v>-98.4</v>
      </c>
      <c r="BH190" s="773">
        <v>14875</v>
      </c>
      <c r="BI190" s="716">
        <v>7019</v>
      </c>
      <c r="BJ190" s="709">
        <f t="shared" si="380"/>
        <v>-52.8</v>
      </c>
      <c r="BK190" s="773">
        <f t="shared" si="415"/>
        <v>205</v>
      </c>
      <c r="BL190" s="716">
        <f t="shared" si="415"/>
        <v>62</v>
      </c>
      <c r="BM190" s="709">
        <f t="shared" si="402"/>
        <v>-69.8</v>
      </c>
      <c r="BN190" s="773">
        <v>15080</v>
      </c>
      <c r="BO190" s="716">
        <v>7081</v>
      </c>
      <c r="BP190" s="709">
        <f t="shared" si="383"/>
        <v>-53</v>
      </c>
      <c r="BQ190" s="773">
        <f t="shared" si="416"/>
        <v>2</v>
      </c>
      <c r="BR190" s="716">
        <f t="shared" si="416"/>
        <v>600</v>
      </c>
      <c r="BS190" s="709">
        <f t="shared" si="395"/>
        <v>29900</v>
      </c>
      <c r="BT190" s="773">
        <v>15082</v>
      </c>
      <c r="BU190" s="716">
        <v>7681</v>
      </c>
      <c r="BV190" s="709">
        <f t="shared" si="386"/>
        <v>-49.1</v>
      </c>
    </row>
    <row r="191" spans="1:74" s="173" customFormat="1">
      <c r="A191" s="338"/>
      <c r="B191" s="1164"/>
      <c r="C191" s="345" t="s">
        <v>222</v>
      </c>
      <c r="D191" s="341">
        <v>13996</v>
      </c>
      <c r="E191" s="341">
        <v>23658</v>
      </c>
      <c r="F191" s="341">
        <v>21581</v>
      </c>
      <c r="G191" s="341">
        <v>24067</v>
      </c>
      <c r="H191" s="341">
        <v>29931</v>
      </c>
      <c r="I191" s="341">
        <v>29240</v>
      </c>
      <c r="J191" s="356">
        <v>11996</v>
      </c>
      <c r="K191" s="341">
        <v>14247</v>
      </c>
      <c r="L191" s="428">
        <v>2198</v>
      </c>
      <c r="M191" s="397">
        <v>854</v>
      </c>
      <c r="N191" s="346">
        <f t="shared" si="389"/>
        <v>-61.1</v>
      </c>
      <c r="O191" s="428">
        <f t="shared" si="403"/>
        <v>1034</v>
      </c>
      <c r="P191" s="397">
        <f t="shared" si="403"/>
        <v>1373</v>
      </c>
      <c r="Q191" s="346">
        <f t="shared" si="390"/>
        <v>32.799999999999997</v>
      </c>
      <c r="R191" s="428">
        <v>3232</v>
      </c>
      <c r="S191" s="397">
        <v>2227</v>
      </c>
      <c r="T191" s="346">
        <f t="shared" si="391"/>
        <v>-31.1</v>
      </c>
      <c r="U191" s="428">
        <f t="shared" si="404"/>
        <v>1879</v>
      </c>
      <c r="V191" s="397">
        <f t="shared" si="405"/>
        <v>1283</v>
      </c>
      <c r="W191" s="346">
        <f t="shared" si="392"/>
        <v>-31.7</v>
      </c>
      <c r="X191" s="428">
        <v>5111</v>
      </c>
      <c r="Y191" s="397">
        <v>3510</v>
      </c>
      <c r="Z191" s="346">
        <f t="shared" si="393"/>
        <v>-31.3</v>
      </c>
      <c r="AA191" s="428">
        <f t="shared" si="406"/>
        <v>1025</v>
      </c>
      <c r="AB191" s="397">
        <f t="shared" si="407"/>
        <v>1185</v>
      </c>
      <c r="AC191" s="346">
        <f t="shared" si="394"/>
        <v>15.6</v>
      </c>
      <c r="AD191" s="428">
        <v>6136</v>
      </c>
      <c r="AE191" s="397">
        <v>4695</v>
      </c>
      <c r="AF191" s="346">
        <f t="shared" si="363"/>
        <v>-23.5</v>
      </c>
      <c r="AG191" s="428">
        <f t="shared" si="408"/>
        <v>983</v>
      </c>
      <c r="AH191" s="397">
        <f t="shared" si="408"/>
        <v>1289</v>
      </c>
      <c r="AI191" s="346">
        <f t="shared" si="397"/>
        <v>31.1</v>
      </c>
      <c r="AJ191" s="428">
        <v>7119</v>
      </c>
      <c r="AK191" s="397">
        <v>5984</v>
      </c>
      <c r="AL191" s="346">
        <f t="shared" si="366"/>
        <v>-15.9</v>
      </c>
      <c r="AM191" s="733">
        <f t="shared" si="409"/>
        <v>609</v>
      </c>
      <c r="AN191" s="716">
        <f t="shared" si="410"/>
        <v>2389</v>
      </c>
      <c r="AO191" s="709">
        <f t="shared" si="398"/>
        <v>292.3</v>
      </c>
      <c r="AP191" s="773">
        <v>7728</v>
      </c>
      <c r="AQ191" s="716">
        <v>8373</v>
      </c>
      <c r="AR191" s="709">
        <f t="shared" si="370"/>
        <v>8.3000000000000007</v>
      </c>
      <c r="AS191" s="773">
        <f t="shared" si="411"/>
        <v>1198</v>
      </c>
      <c r="AT191" s="716">
        <f t="shared" si="411"/>
        <v>2208</v>
      </c>
      <c r="AU191" s="709">
        <f t="shared" si="399"/>
        <v>84.3</v>
      </c>
      <c r="AV191" s="1013">
        <v>8926</v>
      </c>
      <c r="AW191" s="1002">
        <v>10581</v>
      </c>
      <c r="AX191" s="709">
        <f t="shared" si="373"/>
        <v>18.5</v>
      </c>
      <c r="AY191" s="773">
        <f t="shared" si="412"/>
        <v>292</v>
      </c>
      <c r="AZ191" s="716">
        <f t="shared" si="413"/>
        <v>2705</v>
      </c>
      <c r="BA191" s="709">
        <f t="shared" si="400"/>
        <v>826.4</v>
      </c>
      <c r="BB191" s="773">
        <v>9218</v>
      </c>
      <c r="BC191" s="716">
        <v>13286</v>
      </c>
      <c r="BD191" s="709">
        <f t="shared" si="377"/>
        <v>44.1</v>
      </c>
      <c r="BE191" s="773">
        <f t="shared" si="414"/>
        <v>586</v>
      </c>
      <c r="BF191" s="716">
        <f t="shared" si="414"/>
        <v>2058</v>
      </c>
      <c r="BG191" s="709">
        <f t="shared" si="401"/>
        <v>251.2</v>
      </c>
      <c r="BH191" s="773">
        <v>9804</v>
      </c>
      <c r="BI191" s="716">
        <v>15344</v>
      </c>
      <c r="BJ191" s="709">
        <f t="shared" si="380"/>
        <v>56.5</v>
      </c>
      <c r="BK191" s="773">
        <f t="shared" si="415"/>
        <v>1950</v>
      </c>
      <c r="BL191" s="716">
        <f t="shared" si="415"/>
        <v>871</v>
      </c>
      <c r="BM191" s="709">
        <f t="shared" si="402"/>
        <v>-55.3</v>
      </c>
      <c r="BN191" s="773">
        <v>11754</v>
      </c>
      <c r="BO191" s="716">
        <v>16215</v>
      </c>
      <c r="BP191" s="709">
        <f t="shared" si="383"/>
        <v>38</v>
      </c>
      <c r="BQ191" s="773">
        <f t="shared" si="416"/>
        <v>784</v>
      </c>
      <c r="BR191" s="716">
        <f t="shared" si="416"/>
        <v>931</v>
      </c>
      <c r="BS191" s="709">
        <f t="shared" si="395"/>
        <v>18.8</v>
      </c>
      <c r="BT191" s="773">
        <v>12538</v>
      </c>
      <c r="BU191" s="716">
        <v>17146</v>
      </c>
      <c r="BV191" s="709">
        <f t="shared" si="386"/>
        <v>36.799999999999997</v>
      </c>
    </row>
    <row r="192" spans="1:74" s="173" customFormat="1">
      <c r="A192" s="338"/>
      <c r="B192" s="1164"/>
      <c r="C192" s="345" t="s">
        <v>145</v>
      </c>
      <c r="D192" s="341">
        <v>1225</v>
      </c>
      <c r="E192" s="341">
        <v>7135</v>
      </c>
      <c r="F192" s="341">
        <v>5734</v>
      </c>
      <c r="G192" s="341">
        <v>16721</v>
      </c>
      <c r="H192" s="341">
        <v>10226</v>
      </c>
      <c r="I192" s="341">
        <v>10883</v>
      </c>
      <c r="J192" s="356">
        <v>14693</v>
      </c>
      <c r="K192" s="341">
        <v>13465</v>
      </c>
      <c r="L192" s="428">
        <v>1216</v>
      </c>
      <c r="M192" s="397">
        <v>1415</v>
      </c>
      <c r="N192" s="346">
        <f t="shared" si="389"/>
        <v>16.399999999999999</v>
      </c>
      <c r="O192" s="428">
        <f t="shared" si="403"/>
        <v>978</v>
      </c>
      <c r="P192" s="397">
        <f t="shared" si="403"/>
        <v>1636</v>
      </c>
      <c r="Q192" s="346">
        <f t="shared" si="390"/>
        <v>67.3</v>
      </c>
      <c r="R192" s="428">
        <v>2194</v>
      </c>
      <c r="S192" s="397">
        <v>3051</v>
      </c>
      <c r="T192" s="346">
        <f t="shared" si="391"/>
        <v>39.1</v>
      </c>
      <c r="U192" s="428">
        <f t="shared" si="404"/>
        <v>1073</v>
      </c>
      <c r="V192" s="397">
        <f t="shared" si="405"/>
        <v>1556</v>
      </c>
      <c r="W192" s="346">
        <f t="shared" si="392"/>
        <v>45</v>
      </c>
      <c r="X192" s="428">
        <v>3267</v>
      </c>
      <c r="Y192" s="397">
        <v>4607</v>
      </c>
      <c r="Z192" s="346">
        <f t="shared" si="393"/>
        <v>41</v>
      </c>
      <c r="AA192" s="428">
        <f t="shared" si="406"/>
        <v>792</v>
      </c>
      <c r="AB192" s="397">
        <f t="shared" si="407"/>
        <v>541</v>
      </c>
      <c r="AC192" s="346">
        <f t="shared" si="394"/>
        <v>-31.7</v>
      </c>
      <c r="AD192" s="428">
        <v>4059</v>
      </c>
      <c r="AE192" s="397">
        <v>5148</v>
      </c>
      <c r="AF192" s="346">
        <f t="shared" si="363"/>
        <v>26.8</v>
      </c>
      <c r="AG192" s="428">
        <f t="shared" si="408"/>
        <v>1074</v>
      </c>
      <c r="AH192" s="397">
        <f t="shared" si="408"/>
        <v>2219</v>
      </c>
      <c r="AI192" s="346">
        <f t="shared" si="397"/>
        <v>106.6</v>
      </c>
      <c r="AJ192" s="428">
        <v>5133</v>
      </c>
      <c r="AK192" s="397">
        <v>7367</v>
      </c>
      <c r="AL192" s="346">
        <f t="shared" si="366"/>
        <v>43.5</v>
      </c>
      <c r="AM192" s="733">
        <f t="shared" si="409"/>
        <v>1629</v>
      </c>
      <c r="AN192" s="716">
        <f t="shared" si="410"/>
        <v>2751</v>
      </c>
      <c r="AO192" s="709">
        <f t="shared" si="398"/>
        <v>68.900000000000006</v>
      </c>
      <c r="AP192" s="773">
        <v>6762</v>
      </c>
      <c r="AQ192" s="716">
        <v>10118</v>
      </c>
      <c r="AR192" s="709">
        <f t="shared" si="370"/>
        <v>49.6</v>
      </c>
      <c r="AS192" s="773">
        <f t="shared" si="411"/>
        <v>1038</v>
      </c>
      <c r="AT192" s="716">
        <f t="shared" si="411"/>
        <v>360</v>
      </c>
      <c r="AU192" s="709">
        <f t="shared" si="399"/>
        <v>-65.3</v>
      </c>
      <c r="AV192" s="1013">
        <v>7800</v>
      </c>
      <c r="AW192" s="1002">
        <v>10478</v>
      </c>
      <c r="AX192" s="709">
        <f t="shared" si="373"/>
        <v>34.299999999999997</v>
      </c>
      <c r="AY192" s="773">
        <f t="shared" si="412"/>
        <v>1463</v>
      </c>
      <c r="AZ192" s="716">
        <f t="shared" si="413"/>
        <v>394</v>
      </c>
      <c r="BA192" s="709">
        <f t="shared" si="400"/>
        <v>-73.099999999999994</v>
      </c>
      <c r="BB192" s="773">
        <v>9263</v>
      </c>
      <c r="BC192" s="716">
        <v>10872</v>
      </c>
      <c r="BD192" s="709">
        <f t="shared" si="377"/>
        <v>17.399999999999999</v>
      </c>
      <c r="BE192" s="773">
        <f t="shared" si="414"/>
        <v>825</v>
      </c>
      <c r="BF192" s="716">
        <f t="shared" si="414"/>
        <v>164</v>
      </c>
      <c r="BG192" s="709">
        <f t="shared" si="401"/>
        <v>-80.099999999999994</v>
      </c>
      <c r="BH192" s="773">
        <v>10088</v>
      </c>
      <c r="BI192" s="716">
        <v>11036</v>
      </c>
      <c r="BJ192" s="709">
        <f t="shared" si="380"/>
        <v>9.4</v>
      </c>
      <c r="BK192" s="773">
        <f t="shared" si="415"/>
        <v>1382</v>
      </c>
      <c r="BL192" s="716">
        <f t="shared" si="415"/>
        <v>156</v>
      </c>
      <c r="BM192" s="709">
        <f t="shared" si="402"/>
        <v>-88.7</v>
      </c>
      <c r="BN192" s="773">
        <v>11470</v>
      </c>
      <c r="BO192" s="716">
        <v>11192</v>
      </c>
      <c r="BP192" s="709">
        <f t="shared" si="383"/>
        <v>-2.4</v>
      </c>
      <c r="BQ192" s="773">
        <f t="shared" si="416"/>
        <v>1194</v>
      </c>
      <c r="BR192" s="716">
        <f t="shared" si="416"/>
        <v>0</v>
      </c>
      <c r="BS192" s="709">
        <f t="shared" si="395"/>
        <v>-100</v>
      </c>
      <c r="BT192" s="773">
        <v>12664</v>
      </c>
      <c r="BU192" s="716">
        <v>11192</v>
      </c>
      <c r="BV192" s="709">
        <f t="shared" si="386"/>
        <v>-11.6</v>
      </c>
    </row>
    <row r="193" spans="1:74" s="173" customFormat="1">
      <c r="A193" s="338"/>
      <c r="B193" s="1164"/>
      <c r="C193" s="345" t="s">
        <v>64</v>
      </c>
      <c r="D193" s="341">
        <v>1809</v>
      </c>
      <c r="E193" s="341">
        <v>4398</v>
      </c>
      <c r="F193" s="341">
        <v>9403</v>
      </c>
      <c r="G193" s="341">
        <v>15770</v>
      </c>
      <c r="H193" s="341">
        <v>14440</v>
      </c>
      <c r="I193" s="341">
        <v>15776</v>
      </c>
      <c r="J193" s="356">
        <v>12193</v>
      </c>
      <c r="K193" s="341">
        <v>11433</v>
      </c>
      <c r="L193" s="428">
        <v>1273</v>
      </c>
      <c r="M193" s="397">
        <v>731</v>
      </c>
      <c r="N193" s="346">
        <f t="shared" si="389"/>
        <v>-42.6</v>
      </c>
      <c r="O193" s="428">
        <f t="shared" si="403"/>
        <v>705</v>
      </c>
      <c r="P193" s="397">
        <f t="shared" si="403"/>
        <v>1409</v>
      </c>
      <c r="Q193" s="346">
        <f t="shared" si="390"/>
        <v>99.9</v>
      </c>
      <c r="R193" s="428">
        <v>1978</v>
      </c>
      <c r="S193" s="397">
        <v>2140</v>
      </c>
      <c r="T193" s="346">
        <f t="shared" si="391"/>
        <v>8.1999999999999993</v>
      </c>
      <c r="U193" s="428">
        <f t="shared" si="404"/>
        <v>1265</v>
      </c>
      <c r="V193" s="397">
        <f t="shared" si="405"/>
        <v>391</v>
      </c>
      <c r="W193" s="346">
        <f t="shared" si="392"/>
        <v>-69.099999999999994</v>
      </c>
      <c r="X193" s="428">
        <v>3243</v>
      </c>
      <c r="Y193" s="397">
        <v>2531</v>
      </c>
      <c r="Z193" s="346">
        <f t="shared" si="393"/>
        <v>-22</v>
      </c>
      <c r="AA193" s="428">
        <f t="shared" si="406"/>
        <v>853</v>
      </c>
      <c r="AB193" s="397">
        <f t="shared" si="407"/>
        <v>2918</v>
      </c>
      <c r="AC193" s="346">
        <f t="shared" si="394"/>
        <v>242.1</v>
      </c>
      <c r="AD193" s="428">
        <v>4096</v>
      </c>
      <c r="AE193" s="397">
        <v>5449</v>
      </c>
      <c r="AF193" s="346">
        <f t="shared" si="363"/>
        <v>33</v>
      </c>
      <c r="AG193" s="428">
        <f t="shared" si="408"/>
        <v>960</v>
      </c>
      <c r="AH193" s="397">
        <f t="shared" si="408"/>
        <v>2049</v>
      </c>
      <c r="AI193" s="346">
        <f t="shared" si="397"/>
        <v>113.4</v>
      </c>
      <c r="AJ193" s="428">
        <v>5056</v>
      </c>
      <c r="AK193" s="397">
        <v>7498</v>
      </c>
      <c r="AL193" s="346">
        <f t="shared" si="366"/>
        <v>48.3</v>
      </c>
      <c r="AM193" s="733">
        <f t="shared" si="409"/>
        <v>1350</v>
      </c>
      <c r="AN193" s="716">
        <f t="shared" si="410"/>
        <v>1009</v>
      </c>
      <c r="AO193" s="709">
        <f t="shared" si="398"/>
        <v>-25.3</v>
      </c>
      <c r="AP193" s="773">
        <v>6406</v>
      </c>
      <c r="AQ193" s="716">
        <v>8507</v>
      </c>
      <c r="AR193" s="709">
        <f t="shared" si="370"/>
        <v>32.799999999999997</v>
      </c>
      <c r="AS193" s="773">
        <f t="shared" si="411"/>
        <v>671</v>
      </c>
      <c r="AT193" s="716">
        <f t="shared" si="411"/>
        <v>1761</v>
      </c>
      <c r="AU193" s="709">
        <f t="shared" si="399"/>
        <v>162.4</v>
      </c>
      <c r="AV193" s="1013">
        <v>7077</v>
      </c>
      <c r="AW193" s="1002">
        <v>10268</v>
      </c>
      <c r="AX193" s="709">
        <f t="shared" si="373"/>
        <v>45.1</v>
      </c>
      <c r="AY193" s="773">
        <f t="shared" si="412"/>
        <v>1225</v>
      </c>
      <c r="AZ193" s="716">
        <f t="shared" si="413"/>
        <v>1503</v>
      </c>
      <c r="BA193" s="709">
        <f t="shared" si="400"/>
        <v>22.7</v>
      </c>
      <c r="BB193" s="773">
        <v>8302</v>
      </c>
      <c r="BC193" s="716">
        <v>11771</v>
      </c>
      <c r="BD193" s="709">
        <f t="shared" si="377"/>
        <v>41.8</v>
      </c>
      <c r="BE193" s="773">
        <f t="shared" si="414"/>
        <v>628</v>
      </c>
      <c r="BF193" s="716">
        <f t="shared" si="414"/>
        <v>1448</v>
      </c>
      <c r="BG193" s="709">
        <f t="shared" si="401"/>
        <v>130.6</v>
      </c>
      <c r="BH193" s="773">
        <v>8930</v>
      </c>
      <c r="BI193" s="716">
        <v>13219</v>
      </c>
      <c r="BJ193" s="709">
        <f t="shared" si="380"/>
        <v>48</v>
      </c>
      <c r="BK193" s="773">
        <f t="shared" si="415"/>
        <v>1091</v>
      </c>
      <c r="BL193" s="716">
        <f t="shared" si="415"/>
        <v>1905</v>
      </c>
      <c r="BM193" s="709">
        <f t="shared" si="402"/>
        <v>74.599999999999994</v>
      </c>
      <c r="BN193" s="773">
        <v>10021</v>
      </c>
      <c r="BO193" s="716">
        <v>15124</v>
      </c>
      <c r="BP193" s="709">
        <f t="shared" si="383"/>
        <v>50.9</v>
      </c>
      <c r="BQ193" s="773">
        <f t="shared" si="416"/>
        <v>900</v>
      </c>
      <c r="BR193" s="716">
        <f t="shared" si="416"/>
        <v>672</v>
      </c>
      <c r="BS193" s="709">
        <f t="shared" si="395"/>
        <v>-25.3</v>
      </c>
      <c r="BT193" s="773">
        <v>10921</v>
      </c>
      <c r="BU193" s="716">
        <v>15796</v>
      </c>
      <c r="BV193" s="709">
        <f t="shared" si="386"/>
        <v>44.6</v>
      </c>
    </row>
    <row r="194" spans="1:74" s="173" customFormat="1">
      <c r="A194" s="338"/>
      <c r="B194" s="1164"/>
      <c r="C194" s="345" t="s">
        <v>228</v>
      </c>
      <c r="D194" s="341">
        <v>893</v>
      </c>
      <c r="E194" s="341">
        <v>4022</v>
      </c>
      <c r="F194" s="341">
        <v>4241</v>
      </c>
      <c r="G194" s="341">
        <v>6526</v>
      </c>
      <c r="H194" s="341">
        <v>4047</v>
      </c>
      <c r="I194" s="341">
        <v>5466</v>
      </c>
      <c r="J194" s="356">
        <v>7868</v>
      </c>
      <c r="K194" s="341">
        <v>10062</v>
      </c>
      <c r="L194" s="428">
        <v>789</v>
      </c>
      <c r="M194" s="397">
        <v>387</v>
      </c>
      <c r="N194" s="346">
        <f t="shared" si="389"/>
        <v>-51</v>
      </c>
      <c r="O194" s="428">
        <f t="shared" si="403"/>
        <v>384</v>
      </c>
      <c r="P194" s="397">
        <f t="shared" si="403"/>
        <v>642</v>
      </c>
      <c r="Q194" s="346">
        <f t="shared" si="390"/>
        <v>67.2</v>
      </c>
      <c r="R194" s="428">
        <v>1173</v>
      </c>
      <c r="S194" s="397">
        <v>1029</v>
      </c>
      <c r="T194" s="346">
        <f t="shared" si="391"/>
        <v>-12.3</v>
      </c>
      <c r="U194" s="428">
        <f t="shared" si="404"/>
        <v>1259</v>
      </c>
      <c r="V194" s="397">
        <f t="shared" si="405"/>
        <v>722</v>
      </c>
      <c r="W194" s="346">
        <f t="shared" si="392"/>
        <v>-42.7</v>
      </c>
      <c r="X194" s="428">
        <v>2432</v>
      </c>
      <c r="Y194" s="397">
        <v>1751</v>
      </c>
      <c r="Z194" s="346">
        <f t="shared" si="393"/>
        <v>-28</v>
      </c>
      <c r="AA194" s="428">
        <f t="shared" si="406"/>
        <v>1082</v>
      </c>
      <c r="AB194" s="397">
        <f t="shared" si="407"/>
        <v>496</v>
      </c>
      <c r="AC194" s="346">
        <f t="shared" si="394"/>
        <v>-54.2</v>
      </c>
      <c r="AD194" s="428">
        <v>3514</v>
      </c>
      <c r="AE194" s="397">
        <v>2247</v>
      </c>
      <c r="AF194" s="346">
        <f t="shared" si="363"/>
        <v>-36.1</v>
      </c>
      <c r="AG194" s="428">
        <f t="shared" si="408"/>
        <v>569</v>
      </c>
      <c r="AH194" s="397">
        <f t="shared" si="408"/>
        <v>871</v>
      </c>
      <c r="AI194" s="346">
        <f t="shared" si="397"/>
        <v>53.1</v>
      </c>
      <c r="AJ194" s="428">
        <v>4083</v>
      </c>
      <c r="AK194" s="397">
        <v>3118</v>
      </c>
      <c r="AL194" s="346">
        <f t="shared" si="366"/>
        <v>-23.6</v>
      </c>
      <c r="AM194" s="733">
        <f t="shared" si="409"/>
        <v>1509</v>
      </c>
      <c r="AN194" s="716">
        <f t="shared" si="410"/>
        <v>843</v>
      </c>
      <c r="AO194" s="709">
        <f t="shared" si="398"/>
        <v>-44.1</v>
      </c>
      <c r="AP194" s="773">
        <v>5592</v>
      </c>
      <c r="AQ194" s="716">
        <v>3961</v>
      </c>
      <c r="AR194" s="709">
        <f t="shared" si="370"/>
        <v>-29.2</v>
      </c>
      <c r="AS194" s="773">
        <f t="shared" si="411"/>
        <v>994</v>
      </c>
      <c r="AT194" s="716">
        <f t="shared" si="411"/>
        <v>803</v>
      </c>
      <c r="AU194" s="709">
        <f t="shared" si="399"/>
        <v>-19.2</v>
      </c>
      <c r="AV194" s="1013">
        <v>6586</v>
      </c>
      <c r="AW194" s="1002">
        <v>4764</v>
      </c>
      <c r="AX194" s="709">
        <f t="shared" si="373"/>
        <v>-27.7</v>
      </c>
      <c r="AY194" s="773">
        <f t="shared" si="412"/>
        <v>754</v>
      </c>
      <c r="AZ194" s="716">
        <f t="shared" si="413"/>
        <v>444</v>
      </c>
      <c r="BA194" s="709">
        <f t="shared" si="400"/>
        <v>-41.1</v>
      </c>
      <c r="BB194" s="773">
        <v>7340</v>
      </c>
      <c r="BC194" s="716">
        <v>5208</v>
      </c>
      <c r="BD194" s="709">
        <f t="shared" si="377"/>
        <v>-29</v>
      </c>
      <c r="BE194" s="773">
        <f t="shared" si="414"/>
        <v>894</v>
      </c>
      <c r="BF194" s="716">
        <f t="shared" si="414"/>
        <v>779</v>
      </c>
      <c r="BG194" s="709">
        <f t="shared" si="401"/>
        <v>-12.9</v>
      </c>
      <c r="BH194" s="773">
        <v>8234</v>
      </c>
      <c r="BI194" s="716">
        <v>5987</v>
      </c>
      <c r="BJ194" s="709">
        <f t="shared" si="380"/>
        <v>-27.3</v>
      </c>
      <c r="BK194" s="773">
        <f t="shared" si="415"/>
        <v>606</v>
      </c>
      <c r="BL194" s="716">
        <f t="shared" si="415"/>
        <v>568</v>
      </c>
      <c r="BM194" s="709">
        <f t="shared" si="402"/>
        <v>-6.3</v>
      </c>
      <c r="BN194" s="773">
        <v>8840</v>
      </c>
      <c r="BO194" s="716">
        <v>6555</v>
      </c>
      <c r="BP194" s="709">
        <f t="shared" si="383"/>
        <v>-25.8</v>
      </c>
      <c r="BQ194" s="773">
        <f t="shared" si="416"/>
        <v>489</v>
      </c>
      <c r="BR194" s="716">
        <f t="shared" si="416"/>
        <v>563</v>
      </c>
      <c r="BS194" s="709">
        <f t="shared" si="395"/>
        <v>15.1</v>
      </c>
      <c r="BT194" s="773">
        <v>9329</v>
      </c>
      <c r="BU194" s="716">
        <v>7118</v>
      </c>
      <c r="BV194" s="709">
        <f t="shared" si="386"/>
        <v>-23.7</v>
      </c>
    </row>
    <row r="195" spans="1:74" s="173" customFormat="1">
      <c r="A195" s="338"/>
      <c r="B195" s="1164"/>
      <c r="C195" s="345" t="s">
        <v>103</v>
      </c>
      <c r="D195" s="341">
        <v>23600</v>
      </c>
      <c r="E195" s="341">
        <v>22621</v>
      </c>
      <c r="F195" s="341">
        <v>16128</v>
      </c>
      <c r="G195" s="341">
        <v>13263</v>
      </c>
      <c r="H195" s="341">
        <v>17761</v>
      </c>
      <c r="I195" s="341">
        <v>16665</v>
      </c>
      <c r="J195" s="356">
        <v>14066</v>
      </c>
      <c r="K195" s="341">
        <v>8912</v>
      </c>
      <c r="L195" s="428">
        <v>1313</v>
      </c>
      <c r="M195" s="397">
        <v>570</v>
      </c>
      <c r="N195" s="346">
        <f t="shared" si="389"/>
        <v>-56.6</v>
      </c>
      <c r="O195" s="428">
        <f t="shared" si="403"/>
        <v>660</v>
      </c>
      <c r="P195" s="397">
        <f t="shared" si="403"/>
        <v>588</v>
      </c>
      <c r="Q195" s="346">
        <f t="shared" si="390"/>
        <v>-10.9</v>
      </c>
      <c r="R195" s="428">
        <v>1973</v>
      </c>
      <c r="S195" s="397">
        <v>1158</v>
      </c>
      <c r="T195" s="346">
        <f t="shared" si="391"/>
        <v>-41.3</v>
      </c>
      <c r="U195" s="428">
        <f t="shared" si="404"/>
        <v>595</v>
      </c>
      <c r="V195" s="397">
        <f t="shared" si="405"/>
        <v>677</v>
      </c>
      <c r="W195" s="346">
        <f t="shared" si="392"/>
        <v>13.8</v>
      </c>
      <c r="X195" s="428">
        <v>2568</v>
      </c>
      <c r="Y195" s="397">
        <v>1835</v>
      </c>
      <c r="Z195" s="346">
        <f t="shared" si="393"/>
        <v>-28.5</v>
      </c>
      <c r="AA195" s="428">
        <f t="shared" si="406"/>
        <v>865</v>
      </c>
      <c r="AB195" s="397">
        <f t="shared" si="407"/>
        <v>1072</v>
      </c>
      <c r="AC195" s="346">
        <f t="shared" si="394"/>
        <v>23.9</v>
      </c>
      <c r="AD195" s="428">
        <v>3433</v>
      </c>
      <c r="AE195" s="397">
        <v>2907</v>
      </c>
      <c r="AF195" s="346">
        <f t="shared" si="363"/>
        <v>-15.3</v>
      </c>
      <c r="AG195" s="428">
        <f t="shared" si="408"/>
        <v>289</v>
      </c>
      <c r="AH195" s="397">
        <f t="shared" si="408"/>
        <v>383</v>
      </c>
      <c r="AI195" s="346">
        <f t="shared" si="397"/>
        <v>32.5</v>
      </c>
      <c r="AJ195" s="428">
        <v>3722</v>
      </c>
      <c r="AK195" s="397">
        <v>3290</v>
      </c>
      <c r="AL195" s="346">
        <f t="shared" si="366"/>
        <v>-11.6</v>
      </c>
      <c r="AM195" s="733">
        <f t="shared" si="409"/>
        <v>821</v>
      </c>
      <c r="AN195" s="716">
        <f t="shared" si="410"/>
        <v>271</v>
      </c>
      <c r="AO195" s="709">
        <f t="shared" si="398"/>
        <v>-67</v>
      </c>
      <c r="AP195" s="773">
        <v>4543</v>
      </c>
      <c r="AQ195" s="716">
        <v>3561</v>
      </c>
      <c r="AR195" s="709">
        <f t="shared" si="370"/>
        <v>-21.6</v>
      </c>
      <c r="AS195" s="773">
        <f t="shared" si="411"/>
        <v>486</v>
      </c>
      <c r="AT195" s="716">
        <f t="shared" si="411"/>
        <v>482</v>
      </c>
      <c r="AU195" s="709">
        <f t="shared" si="399"/>
        <v>-0.8</v>
      </c>
      <c r="AV195" s="1013">
        <v>5029</v>
      </c>
      <c r="AW195" s="1002">
        <v>4043</v>
      </c>
      <c r="AX195" s="709">
        <f t="shared" si="373"/>
        <v>-19.600000000000001</v>
      </c>
      <c r="AY195" s="773">
        <f t="shared" si="412"/>
        <v>817</v>
      </c>
      <c r="AZ195" s="716">
        <f t="shared" si="413"/>
        <v>381</v>
      </c>
      <c r="BA195" s="709">
        <f t="shared" si="400"/>
        <v>-53.4</v>
      </c>
      <c r="BB195" s="773">
        <v>5846</v>
      </c>
      <c r="BC195" s="716">
        <v>4424</v>
      </c>
      <c r="BD195" s="709">
        <f t="shared" si="377"/>
        <v>-24.3</v>
      </c>
      <c r="BE195" s="773">
        <f t="shared" si="414"/>
        <v>792</v>
      </c>
      <c r="BF195" s="716">
        <f t="shared" si="414"/>
        <v>666</v>
      </c>
      <c r="BG195" s="709">
        <f t="shared" si="401"/>
        <v>-15.9</v>
      </c>
      <c r="BH195" s="773">
        <v>6638</v>
      </c>
      <c r="BI195" s="716">
        <v>5090</v>
      </c>
      <c r="BJ195" s="709">
        <f t="shared" si="380"/>
        <v>-23.3</v>
      </c>
      <c r="BK195" s="773">
        <f t="shared" si="415"/>
        <v>1097</v>
      </c>
      <c r="BL195" s="716">
        <f t="shared" si="415"/>
        <v>971</v>
      </c>
      <c r="BM195" s="709">
        <f t="shared" si="402"/>
        <v>-11.5</v>
      </c>
      <c r="BN195" s="773">
        <v>7735</v>
      </c>
      <c r="BO195" s="716">
        <v>6061</v>
      </c>
      <c r="BP195" s="709">
        <f t="shared" si="383"/>
        <v>-21.6</v>
      </c>
      <c r="BQ195" s="773">
        <f t="shared" si="416"/>
        <v>509</v>
      </c>
      <c r="BR195" s="716">
        <f t="shared" si="416"/>
        <v>863</v>
      </c>
      <c r="BS195" s="709">
        <f t="shared" si="395"/>
        <v>69.5</v>
      </c>
      <c r="BT195" s="773">
        <v>8244</v>
      </c>
      <c r="BU195" s="716">
        <v>6924</v>
      </c>
      <c r="BV195" s="709">
        <f t="shared" si="386"/>
        <v>-16</v>
      </c>
    </row>
    <row r="196" spans="1:74" s="173" customFormat="1">
      <c r="A196" s="338"/>
      <c r="B196" s="1164"/>
      <c r="C196" s="345" t="s">
        <v>56</v>
      </c>
      <c r="D196" s="341">
        <v>11440</v>
      </c>
      <c r="E196" s="341">
        <v>14183</v>
      </c>
      <c r="F196" s="341">
        <v>11811</v>
      </c>
      <c r="G196" s="341">
        <v>16474</v>
      </c>
      <c r="H196" s="341">
        <v>14887</v>
      </c>
      <c r="I196" s="341">
        <v>14120</v>
      </c>
      <c r="J196" s="356">
        <v>10075</v>
      </c>
      <c r="K196" s="341">
        <v>7901</v>
      </c>
      <c r="L196" s="428">
        <v>911</v>
      </c>
      <c r="M196" s="397">
        <v>615</v>
      </c>
      <c r="N196" s="346">
        <f t="shared" si="389"/>
        <v>-32.5</v>
      </c>
      <c r="O196" s="428">
        <f t="shared" si="403"/>
        <v>788</v>
      </c>
      <c r="P196" s="397">
        <f t="shared" si="403"/>
        <v>1280</v>
      </c>
      <c r="Q196" s="346">
        <f t="shared" si="390"/>
        <v>62.4</v>
      </c>
      <c r="R196" s="428">
        <v>1699</v>
      </c>
      <c r="S196" s="397">
        <v>1895</v>
      </c>
      <c r="T196" s="346">
        <f t="shared" si="391"/>
        <v>11.5</v>
      </c>
      <c r="U196" s="428">
        <f t="shared" si="404"/>
        <v>790</v>
      </c>
      <c r="V196" s="397">
        <f t="shared" si="405"/>
        <v>203</v>
      </c>
      <c r="W196" s="346">
        <f t="shared" si="392"/>
        <v>-74.3</v>
      </c>
      <c r="X196" s="428">
        <v>2489</v>
      </c>
      <c r="Y196" s="397">
        <v>2098</v>
      </c>
      <c r="Z196" s="346">
        <f t="shared" si="393"/>
        <v>-15.7</v>
      </c>
      <c r="AA196" s="428">
        <f t="shared" si="406"/>
        <v>610</v>
      </c>
      <c r="AB196" s="397">
        <f t="shared" si="407"/>
        <v>80</v>
      </c>
      <c r="AC196" s="346">
        <f t="shared" si="394"/>
        <v>-86.9</v>
      </c>
      <c r="AD196" s="428">
        <v>3099</v>
      </c>
      <c r="AE196" s="397">
        <v>2178</v>
      </c>
      <c r="AF196" s="346">
        <f t="shared" si="363"/>
        <v>-29.7</v>
      </c>
      <c r="AG196" s="428">
        <f t="shared" si="408"/>
        <v>960</v>
      </c>
      <c r="AH196" s="397">
        <f t="shared" si="408"/>
        <v>297</v>
      </c>
      <c r="AI196" s="346">
        <f t="shared" si="397"/>
        <v>-69.099999999999994</v>
      </c>
      <c r="AJ196" s="428">
        <v>4059</v>
      </c>
      <c r="AK196" s="397">
        <v>2475</v>
      </c>
      <c r="AL196" s="346">
        <f t="shared" si="366"/>
        <v>-39</v>
      </c>
      <c r="AM196" s="733">
        <f t="shared" si="409"/>
        <v>351</v>
      </c>
      <c r="AN196" s="716">
        <f t="shared" si="410"/>
        <v>625</v>
      </c>
      <c r="AO196" s="709">
        <f t="shared" si="398"/>
        <v>78.099999999999994</v>
      </c>
      <c r="AP196" s="773">
        <v>4410</v>
      </c>
      <c r="AQ196" s="716">
        <v>3100</v>
      </c>
      <c r="AR196" s="709">
        <f t="shared" si="370"/>
        <v>-29.7</v>
      </c>
      <c r="AS196" s="773">
        <f t="shared" si="411"/>
        <v>346</v>
      </c>
      <c r="AT196" s="716">
        <f t="shared" si="411"/>
        <v>510</v>
      </c>
      <c r="AU196" s="709">
        <f t="shared" si="399"/>
        <v>47.4</v>
      </c>
      <c r="AV196" s="1013">
        <v>4756</v>
      </c>
      <c r="AW196" s="1002">
        <v>3610</v>
      </c>
      <c r="AX196" s="709">
        <f t="shared" si="373"/>
        <v>-24.1</v>
      </c>
      <c r="AY196" s="773">
        <f t="shared" si="412"/>
        <v>153</v>
      </c>
      <c r="AZ196" s="716">
        <f t="shared" si="413"/>
        <v>629</v>
      </c>
      <c r="BA196" s="709">
        <f t="shared" si="400"/>
        <v>311.10000000000002</v>
      </c>
      <c r="BB196" s="773">
        <v>4909</v>
      </c>
      <c r="BC196" s="716">
        <v>4239</v>
      </c>
      <c r="BD196" s="709">
        <f t="shared" si="377"/>
        <v>-13.6</v>
      </c>
      <c r="BE196" s="773">
        <f t="shared" si="414"/>
        <v>828</v>
      </c>
      <c r="BF196" s="716">
        <f t="shared" si="414"/>
        <v>441</v>
      </c>
      <c r="BG196" s="709">
        <f t="shared" si="401"/>
        <v>-46.7</v>
      </c>
      <c r="BH196" s="773">
        <v>5737</v>
      </c>
      <c r="BI196" s="716">
        <v>4680</v>
      </c>
      <c r="BJ196" s="709">
        <f t="shared" si="380"/>
        <v>-18.399999999999999</v>
      </c>
      <c r="BK196" s="773">
        <f t="shared" si="415"/>
        <v>609</v>
      </c>
      <c r="BL196" s="716">
        <f t="shared" si="415"/>
        <v>304</v>
      </c>
      <c r="BM196" s="709">
        <f t="shared" si="402"/>
        <v>-50.1</v>
      </c>
      <c r="BN196" s="773">
        <v>6346</v>
      </c>
      <c r="BO196" s="716">
        <v>4984</v>
      </c>
      <c r="BP196" s="709">
        <f t="shared" si="383"/>
        <v>-21.5</v>
      </c>
      <c r="BQ196" s="773">
        <f t="shared" si="416"/>
        <v>710</v>
      </c>
      <c r="BR196" s="716">
        <f t="shared" si="416"/>
        <v>142</v>
      </c>
      <c r="BS196" s="709">
        <f t="shared" si="395"/>
        <v>-80</v>
      </c>
      <c r="BT196" s="773">
        <v>7056</v>
      </c>
      <c r="BU196" s="716">
        <v>5126</v>
      </c>
      <c r="BV196" s="709">
        <f t="shared" si="386"/>
        <v>-27.4</v>
      </c>
    </row>
    <row r="197" spans="1:74" s="173" customFormat="1">
      <c r="A197" s="338"/>
      <c r="B197" s="1164"/>
      <c r="C197" s="345" t="s">
        <v>331</v>
      </c>
      <c r="D197" s="341">
        <v>4</v>
      </c>
      <c r="E197" s="341">
        <v>2</v>
      </c>
      <c r="F197" s="341">
        <v>0</v>
      </c>
      <c r="G197" s="341">
        <v>17</v>
      </c>
      <c r="H197" s="341">
        <v>861</v>
      </c>
      <c r="I197" s="341">
        <v>2553</v>
      </c>
      <c r="J197" s="356">
        <v>6134</v>
      </c>
      <c r="K197" s="341">
        <v>7402</v>
      </c>
      <c r="L197" s="428">
        <v>425</v>
      </c>
      <c r="M197" s="397">
        <v>572</v>
      </c>
      <c r="N197" s="346">
        <f t="shared" si="389"/>
        <v>34.6</v>
      </c>
      <c r="O197" s="428">
        <f t="shared" si="403"/>
        <v>519</v>
      </c>
      <c r="P197" s="397">
        <f t="shared" si="403"/>
        <v>854</v>
      </c>
      <c r="Q197" s="346">
        <f t="shared" si="390"/>
        <v>64.5</v>
      </c>
      <c r="R197" s="428">
        <v>944</v>
      </c>
      <c r="S197" s="397">
        <v>1426</v>
      </c>
      <c r="T197" s="346">
        <f t="shared" si="391"/>
        <v>51.1</v>
      </c>
      <c r="U197" s="428">
        <f t="shared" si="404"/>
        <v>244</v>
      </c>
      <c r="V197" s="397">
        <f t="shared" si="405"/>
        <v>341</v>
      </c>
      <c r="W197" s="346">
        <f t="shared" si="392"/>
        <v>39.799999999999997</v>
      </c>
      <c r="X197" s="428">
        <v>1188</v>
      </c>
      <c r="Y197" s="397">
        <v>1767</v>
      </c>
      <c r="Z197" s="346">
        <f t="shared" si="393"/>
        <v>48.7</v>
      </c>
      <c r="AA197" s="428">
        <f t="shared" si="406"/>
        <v>884</v>
      </c>
      <c r="AB197" s="397">
        <f t="shared" si="407"/>
        <v>812</v>
      </c>
      <c r="AC197" s="346">
        <f t="shared" si="394"/>
        <v>-8.1</v>
      </c>
      <c r="AD197" s="428">
        <v>2072</v>
      </c>
      <c r="AE197" s="397">
        <v>2579</v>
      </c>
      <c r="AF197" s="346">
        <f t="shared" si="363"/>
        <v>24.5</v>
      </c>
      <c r="AG197" s="428">
        <f t="shared" si="408"/>
        <v>615</v>
      </c>
      <c r="AH197" s="397">
        <f t="shared" si="408"/>
        <v>366</v>
      </c>
      <c r="AI197" s="346">
        <f t="shared" si="397"/>
        <v>-40.5</v>
      </c>
      <c r="AJ197" s="428">
        <v>2687</v>
      </c>
      <c r="AK197" s="397">
        <v>2945</v>
      </c>
      <c r="AL197" s="346">
        <f t="shared" si="366"/>
        <v>9.6</v>
      </c>
      <c r="AM197" s="733">
        <f t="shared" si="409"/>
        <v>512</v>
      </c>
      <c r="AN197" s="716">
        <f t="shared" si="410"/>
        <v>1015</v>
      </c>
      <c r="AO197" s="709">
        <f t="shared" si="398"/>
        <v>98.2</v>
      </c>
      <c r="AP197" s="773">
        <v>3199</v>
      </c>
      <c r="AQ197" s="716">
        <v>3960</v>
      </c>
      <c r="AR197" s="709">
        <f t="shared" si="370"/>
        <v>23.8</v>
      </c>
      <c r="AS197" s="773">
        <f t="shared" si="411"/>
        <v>800</v>
      </c>
      <c r="AT197" s="716">
        <f t="shared" si="411"/>
        <v>429</v>
      </c>
      <c r="AU197" s="709">
        <f t="shared" si="399"/>
        <v>-46.4</v>
      </c>
      <c r="AV197" s="1013">
        <v>3999</v>
      </c>
      <c r="AW197" s="1002">
        <v>4389</v>
      </c>
      <c r="AX197" s="709">
        <f t="shared" si="373"/>
        <v>9.8000000000000007</v>
      </c>
      <c r="AY197" s="773">
        <f t="shared" si="412"/>
        <v>516</v>
      </c>
      <c r="AZ197" s="716">
        <f t="shared" si="413"/>
        <v>701</v>
      </c>
      <c r="BA197" s="709">
        <f t="shared" si="400"/>
        <v>35.9</v>
      </c>
      <c r="BB197" s="773">
        <v>4515</v>
      </c>
      <c r="BC197" s="716">
        <v>5090</v>
      </c>
      <c r="BD197" s="709">
        <f t="shared" si="377"/>
        <v>12.7</v>
      </c>
      <c r="BE197" s="773">
        <f t="shared" si="414"/>
        <v>495</v>
      </c>
      <c r="BF197" s="716">
        <f t="shared" si="414"/>
        <v>563</v>
      </c>
      <c r="BG197" s="709">
        <f t="shared" si="401"/>
        <v>13.7</v>
      </c>
      <c r="BH197" s="773">
        <v>5010</v>
      </c>
      <c r="BI197" s="716">
        <v>5653</v>
      </c>
      <c r="BJ197" s="709">
        <f t="shared" si="380"/>
        <v>12.8</v>
      </c>
      <c r="BK197" s="773">
        <f t="shared" si="415"/>
        <v>830</v>
      </c>
      <c r="BL197" s="716">
        <f t="shared" si="415"/>
        <v>498</v>
      </c>
      <c r="BM197" s="709">
        <f t="shared" si="402"/>
        <v>-40</v>
      </c>
      <c r="BN197" s="773">
        <v>5840</v>
      </c>
      <c r="BO197" s="716">
        <v>6151</v>
      </c>
      <c r="BP197" s="709">
        <f t="shared" si="383"/>
        <v>5.3</v>
      </c>
      <c r="BQ197" s="773">
        <f t="shared" si="416"/>
        <v>849</v>
      </c>
      <c r="BR197" s="716">
        <f t="shared" si="416"/>
        <v>302</v>
      </c>
      <c r="BS197" s="709">
        <f t="shared" si="395"/>
        <v>-64.400000000000006</v>
      </c>
      <c r="BT197" s="773">
        <v>6689</v>
      </c>
      <c r="BU197" s="716">
        <v>6453</v>
      </c>
      <c r="BV197" s="709">
        <f t="shared" si="386"/>
        <v>-3.5</v>
      </c>
    </row>
    <row r="198" spans="1:74" s="173" customFormat="1">
      <c r="A198" s="338"/>
      <c r="B198" s="1164"/>
      <c r="C198" s="345" t="s">
        <v>484</v>
      </c>
      <c r="D198" s="341">
        <v>398</v>
      </c>
      <c r="E198" s="341">
        <v>288</v>
      </c>
      <c r="F198" s="341">
        <v>71</v>
      </c>
      <c r="G198" s="341">
        <v>146</v>
      </c>
      <c r="H198" s="341">
        <v>203</v>
      </c>
      <c r="I198" s="341">
        <v>175</v>
      </c>
      <c r="J198" s="356">
        <v>3754</v>
      </c>
      <c r="K198" s="341">
        <v>6628</v>
      </c>
      <c r="L198" s="428">
        <v>701</v>
      </c>
      <c r="M198" s="397">
        <v>0</v>
      </c>
      <c r="N198" s="346">
        <f t="shared" si="389"/>
        <v>-100</v>
      </c>
      <c r="O198" s="428">
        <f t="shared" si="403"/>
        <v>306</v>
      </c>
      <c r="P198" s="397">
        <f t="shared" si="403"/>
        <v>0</v>
      </c>
      <c r="Q198" s="346">
        <f t="shared" si="390"/>
        <v>-100</v>
      </c>
      <c r="R198" s="428">
        <v>1007</v>
      </c>
      <c r="S198" s="397">
        <v>0</v>
      </c>
      <c r="T198" s="346">
        <f t="shared" si="391"/>
        <v>-100</v>
      </c>
      <c r="U198" s="428">
        <f t="shared" si="404"/>
        <v>454</v>
      </c>
      <c r="V198" s="397">
        <f t="shared" si="405"/>
        <v>699</v>
      </c>
      <c r="W198" s="346">
        <f t="shared" si="392"/>
        <v>54</v>
      </c>
      <c r="X198" s="428">
        <v>1461</v>
      </c>
      <c r="Y198" s="397">
        <v>699</v>
      </c>
      <c r="Z198" s="346">
        <f t="shared" si="393"/>
        <v>-52.2</v>
      </c>
      <c r="AA198" s="428">
        <f t="shared" si="406"/>
        <v>823</v>
      </c>
      <c r="AB198" s="397">
        <f t="shared" si="407"/>
        <v>1081</v>
      </c>
      <c r="AC198" s="346">
        <f t="shared" si="394"/>
        <v>31.3</v>
      </c>
      <c r="AD198" s="428">
        <v>2284</v>
      </c>
      <c r="AE198" s="397">
        <v>1780</v>
      </c>
      <c r="AF198" s="346">
        <f t="shared" si="363"/>
        <v>-22.1</v>
      </c>
      <c r="AG198" s="428">
        <f t="shared" si="408"/>
        <v>458</v>
      </c>
      <c r="AH198" s="397">
        <f t="shared" si="408"/>
        <v>630</v>
      </c>
      <c r="AI198" s="346">
        <f t="shared" si="397"/>
        <v>37.6</v>
      </c>
      <c r="AJ198" s="428">
        <v>2742</v>
      </c>
      <c r="AK198" s="397">
        <v>2410</v>
      </c>
      <c r="AL198" s="346">
        <f t="shared" si="366"/>
        <v>-12.1</v>
      </c>
      <c r="AM198" s="733">
        <f t="shared" si="409"/>
        <v>355</v>
      </c>
      <c r="AN198" s="716">
        <f t="shared" si="410"/>
        <v>0</v>
      </c>
      <c r="AO198" s="709">
        <f t="shared" si="398"/>
        <v>-100</v>
      </c>
      <c r="AP198" s="773">
        <v>3097</v>
      </c>
      <c r="AQ198" s="716">
        <v>2410</v>
      </c>
      <c r="AR198" s="709">
        <f t="shared" si="370"/>
        <v>-22.2</v>
      </c>
      <c r="AS198" s="773">
        <f t="shared" si="411"/>
        <v>793</v>
      </c>
      <c r="AT198" s="716">
        <f t="shared" si="411"/>
        <v>0</v>
      </c>
      <c r="AU198" s="709">
        <f t="shared" si="399"/>
        <v>-100</v>
      </c>
      <c r="AV198" s="1013">
        <v>3890</v>
      </c>
      <c r="AW198" s="1002">
        <v>2410</v>
      </c>
      <c r="AX198" s="709">
        <f t="shared" si="373"/>
        <v>-38</v>
      </c>
      <c r="AY198" s="773">
        <f t="shared" si="412"/>
        <v>690</v>
      </c>
      <c r="AZ198" s="716">
        <f t="shared" si="413"/>
        <v>847</v>
      </c>
      <c r="BA198" s="709">
        <f t="shared" si="400"/>
        <v>22.8</v>
      </c>
      <c r="BB198" s="773">
        <v>4580</v>
      </c>
      <c r="BC198" s="716">
        <v>3257</v>
      </c>
      <c r="BD198" s="709">
        <f t="shared" si="377"/>
        <v>-28.9</v>
      </c>
      <c r="BE198" s="773">
        <f t="shared" si="414"/>
        <v>555</v>
      </c>
      <c r="BF198" s="716">
        <f t="shared" si="414"/>
        <v>1008</v>
      </c>
      <c r="BG198" s="709">
        <f t="shared" si="401"/>
        <v>81.599999999999994</v>
      </c>
      <c r="BH198" s="773">
        <v>5135</v>
      </c>
      <c r="BI198" s="716">
        <v>4265</v>
      </c>
      <c r="BJ198" s="709">
        <f t="shared" si="380"/>
        <v>-16.899999999999999</v>
      </c>
      <c r="BK198" s="773">
        <f t="shared" si="415"/>
        <v>1071</v>
      </c>
      <c r="BL198" s="716">
        <f t="shared" si="415"/>
        <v>383</v>
      </c>
      <c r="BM198" s="709">
        <f t="shared" si="402"/>
        <v>-64.2</v>
      </c>
      <c r="BN198" s="773">
        <v>6206</v>
      </c>
      <c r="BO198" s="716">
        <v>4648</v>
      </c>
      <c r="BP198" s="709">
        <f t="shared" si="383"/>
        <v>-25.1</v>
      </c>
      <c r="BQ198" s="773">
        <f t="shared" si="416"/>
        <v>422</v>
      </c>
      <c r="BR198" s="716">
        <f t="shared" si="416"/>
        <v>1150</v>
      </c>
      <c r="BS198" s="709">
        <f t="shared" si="395"/>
        <v>172.5</v>
      </c>
      <c r="BT198" s="773">
        <v>6628</v>
      </c>
      <c r="BU198" s="716">
        <v>5798</v>
      </c>
      <c r="BV198" s="709">
        <f t="shared" si="386"/>
        <v>-12.5</v>
      </c>
    </row>
    <row r="199" spans="1:74" s="173" customFormat="1">
      <c r="A199" s="338"/>
      <c r="B199" s="1164"/>
      <c r="C199" s="345" t="s">
        <v>124</v>
      </c>
      <c r="D199" s="341">
        <v>49</v>
      </c>
      <c r="E199" s="341">
        <v>66</v>
      </c>
      <c r="F199" s="341">
        <v>178</v>
      </c>
      <c r="G199" s="341">
        <v>1147</v>
      </c>
      <c r="H199" s="341">
        <v>2781</v>
      </c>
      <c r="I199" s="341">
        <v>807</v>
      </c>
      <c r="J199" s="356">
        <v>6753</v>
      </c>
      <c r="K199" s="341">
        <v>6416</v>
      </c>
      <c r="L199" s="428">
        <v>846</v>
      </c>
      <c r="M199" s="397">
        <v>479</v>
      </c>
      <c r="N199" s="346">
        <f t="shared" si="389"/>
        <v>-43.4</v>
      </c>
      <c r="O199" s="428">
        <f t="shared" si="403"/>
        <v>651</v>
      </c>
      <c r="P199" s="397">
        <f t="shared" si="403"/>
        <v>119</v>
      </c>
      <c r="Q199" s="346">
        <f t="shared" si="390"/>
        <v>-81.7</v>
      </c>
      <c r="R199" s="428">
        <v>1497</v>
      </c>
      <c r="S199" s="397">
        <v>598</v>
      </c>
      <c r="T199" s="346">
        <f t="shared" si="391"/>
        <v>-60.1</v>
      </c>
      <c r="U199" s="428">
        <f t="shared" si="404"/>
        <v>866</v>
      </c>
      <c r="V199" s="397">
        <f t="shared" si="405"/>
        <v>453</v>
      </c>
      <c r="W199" s="346">
        <f t="shared" si="392"/>
        <v>-47.7</v>
      </c>
      <c r="X199" s="428">
        <v>2363</v>
      </c>
      <c r="Y199" s="397">
        <v>1051</v>
      </c>
      <c r="Z199" s="346">
        <f t="shared" si="393"/>
        <v>-55.5</v>
      </c>
      <c r="AA199" s="428">
        <f t="shared" si="406"/>
        <v>1010</v>
      </c>
      <c r="AB199" s="397">
        <f t="shared" si="407"/>
        <v>417</v>
      </c>
      <c r="AC199" s="346">
        <f t="shared" si="394"/>
        <v>-58.7</v>
      </c>
      <c r="AD199" s="428">
        <v>3373</v>
      </c>
      <c r="AE199" s="397">
        <v>1468</v>
      </c>
      <c r="AF199" s="346">
        <f t="shared" si="363"/>
        <v>-56.5</v>
      </c>
      <c r="AG199" s="428">
        <f t="shared" si="408"/>
        <v>32</v>
      </c>
      <c r="AH199" s="397">
        <f t="shared" si="408"/>
        <v>512</v>
      </c>
      <c r="AI199" s="346">
        <f t="shared" si="397"/>
        <v>1500</v>
      </c>
      <c r="AJ199" s="428">
        <v>3405</v>
      </c>
      <c r="AK199" s="397">
        <v>1980</v>
      </c>
      <c r="AL199" s="346">
        <f t="shared" si="366"/>
        <v>-41.9</v>
      </c>
      <c r="AM199" s="733">
        <f t="shared" si="409"/>
        <v>733</v>
      </c>
      <c r="AN199" s="716">
        <f t="shared" si="410"/>
        <v>74</v>
      </c>
      <c r="AO199" s="709">
        <f t="shared" si="398"/>
        <v>-89.9</v>
      </c>
      <c r="AP199" s="773">
        <v>4138</v>
      </c>
      <c r="AQ199" s="716">
        <v>2054</v>
      </c>
      <c r="AR199" s="709">
        <f t="shared" si="370"/>
        <v>-50.4</v>
      </c>
      <c r="AS199" s="773">
        <f t="shared" si="411"/>
        <v>441</v>
      </c>
      <c r="AT199" s="716">
        <f t="shared" si="411"/>
        <v>455</v>
      </c>
      <c r="AU199" s="709">
        <f t="shared" si="399"/>
        <v>3.2</v>
      </c>
      <c r="AV199" s="1013">
        <v>4579</v>
      </c>
      <c r="AW199" s="1002">
        <v>2509</v>
      </c>
      <c r="AX199" s="709">
        <f t="shared" si="373"/>
        <v>-45.2</v>
      </c>
      <c r="AY199" s="773">
        <f t="shared" si="412"/>
        <v>520</v>
      </c>
      <c r="AZ199" s="716">
        <f t="shared" si="413"/>
        <v>206</v>
      </c>
      <c r="BA199" s="709">
        <f t="shared" si="400"/>
        <v>-60.4</v>
      </c>
      <c r="BB199" s="773">
        <v>5099</v>
      </c>
      <c r="BC199" s="716">
        <v>2715</v>
      </c>
      <c r="BD199" s="709">
        <f t="shared" si="377"/>
        <v>-46.8</v>
      </c>
      <c r="BE199" s="773">
        <f t="shared" si="414"/>
        <v>240</v>
      </c>
      <c r="BF199" s="716">
        <f t="shared" si="414"/>
        <v>375</v>
      </c>
      <c r="BG199" s="709">
        <f t="shared" si="401"/>
        <v>56.3</v>
      </c>
      <c r="BH199" s="773">
        <v>5339</v>
      </c>
      <c r="BI199" s="716">
        <v>3090</v>
      </c>
      <c r="BJ199" s="709">
        <f t="shared" si="380"/>
        <v>-42.1</v>
      </c>
      <c r="BK199" s="773">
        <f t="shared" si="415"/>
        <v>450</v>
      </c>
      <c r="BL199" s="716">
        <f t="shared" si="415"/>
        <v>107</v>
      </c>
      <c r="BM199" s="709">
        <f t="shared" si="402"/>
        <v>-76.2</v>
      </c>
      <c r="BN199" s="773">
        <v>5789</v>
      </c>
      <c r="BO199" s="716">
        <v>3197</v>
      </c>
      <c r="BP199" s="709">
        <f t="shared" si="383"/>
        <v>-44.8</v>
      </c>
      <c r="BQ199" s="773">
        <f t="shared" si="416"/>
        <v>373</v>
      </c>
      <c r="BR199" s="716">
        <f t="shared" si="416"/>
        <v>103</v>
      </c>
      <c r="BS199" s="709">
        <f t="shared" si="395"/>
        <v>-72.400000000000006</v>
      </c>
      <c r="BT199" s="773">
        <v>6162</v>
      </c>
      <c r="BU199" s="716">
        <v>3300</v>
      </c>
      <c r="BV199" s="709">
        <f t="shared" si="386"/>
        <v>-46.4</v>
      </c>
    </row>
    <row r="200" spans="1:74" s="173" customFormat="1">
      <c r="A200" s="338"/>
      <c r="B200" s="1164"/>
      <c r="C200" s="345" t="s">
        <v>229</v>
      </c>
      <c r="D200" s="341">
        <v>39</v>
      </c>
      <c r="E200" s="341">
        <v>0</v>
      </c>
      <c r="F200" s="341">
        <v>0</v>
      </c>
      <c r="G200" s="341">
        <v>614</v>
      </c>
      <c r="H200" s="341">
        <v>3191</v>
      </c>
      <c r="I200" s="341">
        <v>316</v>
      </c>
      <c r="J200" s="356">
        <v>5133</v>
      </c>
      <c r="K200" s="341">
        <v>5837</v>
      </c>
      <c r="L200" s="428">
        <v>694</v>
      </c>
      <c r="M200" s="397">
        <v>527</v>
      </c>
      <c r="N200" s="346">
        <f t="shared" si="389"/>
        <v>-24.1</v>
      </c>
      <c r="O200" s="428">
        <f t="shared" si="403"/>
        <v>807</v>
      </c>
      <c r="P200" s="397">
        <f t="shared" si="403"/>
        <v>224</v>
      </c>
      <c r="Q200" s="346">
        <f t="shared" si="390"/>
        <v>-72.2</v>
      </c>
      <c r="R200" s="428">
        <v>1501</v>
      </c>
      <c r="S200" s="397">
        <v>751</v>
      </c>
      <c r="T200" s="346">
        <f t="shared" si="391"/>
        <v>-50</v>
      </c>
      <c r="U200" s="428">
        <f t="shared" si="404"/>
        <v>685</v>
      </c>
      <c r="V200" s="397">
        <f t="shared" si="405"/>
        <v>302</v>
      </c>
      <c r="W200" s="346">
        <f t="shared" si="392"/>
        <v>-55.9</v>
      </c>
      <c r="X200" s="428">
        <v>2186</v>
      </c>
      <c r="Y200" s="397">
        <v>1053</v>
      </c>
      <c r="Z200" s="346">
        <f t="shared" si="393"/>
        <v>-51.8</v>
      </c>
      <c r="AA200" s="428">
        <f t="shared" si="406"/>
        <v>728</v>
      </c>
      <c r="AB200" s="397">
        <f t="shared" si="407"/>
        <v>20</v>
      </c>
      <c r="AC200" s="346">
        <f t="shared" si="394"/>
        <v>-97.3</v>
      </c>
      <c r="AD200" s="428">
        <v>2914</v>
      </c>
      <c r="AE200" s="397">
        <v>1073</v>
      </c>
      <c r="AF200" s="346">
        <f t="shared" si="363"/>
        <v>-63.2</v>
      </c>
      <c r="AG200" s="428">
        <f t="shared" si="408"/>
        <v>477</v>
      </c>
      <c r="AH200" s="397">
        <f t="shared" si="408"/>
        <v>0</v>
      </c>
      <c r="AI200" s="346">
        <f t="shared" si="397"/>
        <v>-100</v>
      </c>
      <c r="AJ200" s="428">
        <v>3391</v>
      </c>
      <c r="AK200" s="397">
        <v>1073</v>
      </c>
      <c r="AL200" s="346">
        <f t="shared" si="366"/>
        <v>-68.400000000000006</v>
      </c>
      <c r="AM200" s="733">
        <f t="shared" si="409"/>
        <v>294</v>
      </c>
      <c r="AN200" s="716">
        <f t="shared" si="410"/>
        <v>203</v>
      </c>
      <c r="AO200" s="709">
        <f t="shared" si="398"/>
        <v>-31</v>
      </c>
      <c r="AP200" s="773">
        <v>3685</v>
      </c>
      <c r="AQ200" s="716">
        <v>1276</v>
      </c>
      <c r="AR200" s="709">
        <f t="shared" si="370"/>
        <v>-65.400000000000006</v>
      </c>
      <c r="AS200" s="773">
        <f t="shared" si="411"/>
        <v>494</v>
      </c>
      <c r="AT200" s="716">
        <f t="shared" si="411"/>
        <v>40</v>
      </c>
      <c r="AU200" s="709">
        <f t="shared" si="399"/>
        <v>-91.9</v>
      </c>
      <c r="AV200" s="1013">
        <v>4179</v>
      </c>
      <c r="AW200" s="1002">
        <v>1316</v>
      </c>
      <c r="AX200" s="709">
        <f t="shared" si="373"/>
        <v>-68.5</v>
      </c>
      <c r="AY200" s="773">
        <f t="shared" si="412"/>
        <v>109</v>
      </c>
      <c r="AZ200" s="716">
        <f t="shared" si="413"/>
        <v>0</v>
      </c>
      <c r="BA200" s="709">
        <f t="shared" si="400"/>
        <v>-100</v>
      </c>
      <c r="BB200" s="773">
        <v>4288</v>
      </c>
      <c r="BC200" s="716">
        <v>1316</v>
      </c>
      <c r="BD200" s="709">
        <f t="shared" si="377"/>
        <v>-69.3</v>
      </c>
      <c r="BE200" s="773">
        <f t="shared" si="414"/>
        <v>666</v>
      </c>
      <c r="BF200" s="716">
        <f t="shared" si="414"/>
        <v>97</v>
      </c>
      <c r="BG200" s="709">
        <f t="shared" si="401"/>
        <v>-85.4</v>
      </c>
      <c r="BH200" s="773">
        <v>4954</v>
      </c>
      <c r="BI200" s="716">
        <v>1413</v>
      </c>
      <c r="BJ200" s="709">
        <f t="shared" si="380"/>
        <v>-71.5</v>
      </c>
      <c r="BK200" s="773">
        <f t="shared" si="415"/>
        <v>153</v>
      </c>
      <c r="BL200" s="716">
        <f t="shared" si="415"/>
        <v>164</v>
      </c>
      <c r="BM200" s="709">
        <f t="shared" si="402"/>
        <v>7.2</v>
      </c>
      <c r="BN200" s="773">
        <v>5107</v>
      </c>
      <c r="BO200" s="716">
        <v>1577</v>
      </c>
      <c r="BP200" s="709">
        <f t="shared" si="383"/>
        <v>-69.099999999999994</v>
      </c>
      <c r="BQ200" s="773">
        <f t="shared" si="416"/>
        <v>262</v>
      </c>
      <c r="BR200" s="716">
        <f t="shared" si="416"/>
        <v>20</v>
      </c>
      <c r="BS200" s="709">
        <f t="shared" si="395"/>
        <v>-92.4</v>
      </c>
      <c r="BT200" s="773">
        <v>5369</v>
      </c>
      <c r="BU200" s="716">
        <v>1597</v>
      </c>
      <c r="BV200" s="709">
        <f t="shared" si="386"/>
        <v>-70.3</v>
      </c>
    </row>
    <row r="201" spans="1:74" s="173" customFormat="1">
      <c r="A201" s="338"/>
      <c r="B201" s="1164"/>
      <c r="C201" s="345" t="s">
        <v>122</v>
      </c>
      <c r="D201" s="341">
        <v>1162</v>
      </c>
      <c r="E201" s="341">
        <v>10569</v>
      </c>
      <c r="F201" s="341">
        <v>16519</v>
      </c>
      <c r="G201" s="341">
        <v>8861</v>
      </c>
      <c r="H201" s="341">
        <v>1832</v>
      </c>
      <c r="I201" s="341">
        <v>6489</v>
      </c>
      <c r="J201" s="356">
        <v>12960</v>
      </c>
      <c r="K201" s="341">
        <v>5234</v>
      </c>
      <c r="L201" s="428">
        <v>875</v>
      </c>
      <c r="M201" s="397">
        <v>0</v>
      </c>
      <c r="N201" s="346">
        <f t="shared" si="389"/>
        <v>-100</v>
      </c>
      <c r="O201" s="428">
        <f t="shared" si="403"/>
        <v>304</v>
      </c>
      <c r="P201" s="397">
        <f t="shared" si="403"/>
        <v>0</v>
      </c>
      <c r="Q201" s="346">
        <f t="shared" si="390"/>
        <v>-100</v>
      </c>
      <c r="R201" s="428">
        <v>1179</v>
      </c>
      <c r="S201" s="397">
        <v>0</v>
      </c>
      <c r="T201" s="346">
        <f t="shared" si="391"/>
        <v>-100</v>
      </c>
      <c r="U201" s="428">
        <f t="shared" si="404"/>
        <v>726</v>
      </c>
      <c r="V201" s="397">
        <f t="shared" si="405"/>
        <v>0</v>
      </c>
      <c r="W201" s="346">
        <f t="shared" si="392"/>
        <v>-100</v>
      </c>
      <c r="X201" s="428">
        <v>1905</v>
      </c>
      <c r="Y201" s="397">
        <v>0</v>
      </c>
      <c r="Z201" s="346">
        <f t="shared" si="393"/>
        <v>-100</v>
      </c>
      <c r="AA201" s="428">
        <f t="shared" si="406"/>
        <v>1234</v>
      </c>
      <c r="AB201" s="397">
        <f t="shared" si="407"/>
        <v>0</v>
      </c>
      <c r="AC201" s="346">
        <f t="shared" si="394"/>
        <v>-100</v>
      </c>
      <c r="AD201" s="428">
        <v>3139</v>
      </c>
      <c r="AE201" s="397">
        <v>0</v>
      </c>
      <c r="AF201" s="346">
        <f t="shared" si="363"/>
        <v>-100</v>
      </c>
      <c r="AG201" s="428">
        <f t="shared" si="408"/>
        <v>102</v>
      </c>
      <c r="AH201" s="397">
        <f t="shared" si="408"/>
        <v>0</v>
      </c>
      <c r="AI201" s="346">
        <f t="shared" si="397"/>
        <v>-100</v>
      </c>
      <c r="AJ201" s="428">
        <v>3241</v>
      </c>
      <c r="AK201" s="397">
        <v>0</v>
      </c>
      <c r="AL201" s="346">
        <f t="shared" si="366"/>
        <v>-100</v>
      </c>
      <c r="AM201" s="733">
        <f t="shared" si="409"/>
        <v>200</v>
      </c>
      <c r="AN201" s="716">
        <f t="shared" si="410"/>
        <v>27</v>
      </c>
      <c r="AO201" s="709">
        <f t="shared" si="398"/>
        <v>-86.5</v>
      </c>
      <c r="AP201" s="773">
        <v>3441</v>
      </c>
      <c r="AQ201" s="716">
        <v>27</v>
      </c>
      <c r="AR201" s="709">
        <f t="shared" si="370"/>
        <v>-99.2</v>
      </c>
      <c r="AS201" s="773">
        <f t="shared" si="411"/>
        <v>475</v>
      </c>
      <c r="AT201" s="716">
        <f t="shared" si="411"/>
        <v>0</v>
      </c>
      <c r="AU201" s="709">
        <f t="shared" si="399"/>
        <v>-100</v>
      </c>
      <c r="AV201" s="1013">
        <v>3916</v>
      </c>
      <c r="AW201" s="1002">
        <v>27</v>
      </c>
      <c r="AX201" s="709">
        <f t="shared" si="373"/>
        <v>-99.3</v>
      </c>
      <c r="AY201" s="773">
        <f t="shared" si="412"/>
        <v>971</v>
      </c>
      <c r="AZ201" s="716">
        <f t="shared" si="413"/>
        <v>0</v>
      </c>
      <c r="BA201" s="709">
        <f t="shared" si="400"/>
        <v>-100</v>
      </c>
      <c r="BB201" s="773">
        <v>4887</v>
      </c>
      <c r="BC201" s="716">
        <v>27</v>
      </c>
      <c r="BD201" s="709">
        <f t="shared" si="377"/>
        <v>-99.4</v>
      </c>
      <c r="BE201" s="773">
        <f t="shared" si="414"/>
        <v>332</v>
      </c>
      <c r="BF201" s="716">
        <f t="shared" si="414"/>
        <v>0</v>
      </c>
      <c r="BG201" s="709">
        <f t="shared" si="401"/>
        <v>-100</v>
      </c>
      <c r="BH201" s="773">
        <v>5219</v>
      </c>
      <c r="BI201" s="716">
        <v>27</v>
      </c>
      <c r="BJ201" s="709">
        <f t="shared" si="380"/>
        <v>-99.5</v>
      </c>
      <c r="BK201" s="773">
        <f t="shared" si="415"/>
        <v>15</v>
      </c>
      <c r="BL201" s="716">
        <f t="shared" si="415"/>
        <v>0</v>
      </c>
      <c r="BM201" s="709">
        <f t="shared" si="402"/>
        <v>-100</v>
      </c>
      <c r="BN201" s="773">
        <v>5234</v>
      </c>
      <c r="BO201" s="716">
        <v>27</v>
      </c>
      <c r="BP201" s="709">
        <f t="shared" si="383"/>
        <v>-99.5</v>
      </c>
      <c r="BQ201" s="773">
        <f t="shared" si="416"/>
        <v>0</v>
      </c>
      <c r="BR201" s="716">
        <f t="shared" si="416"/>
        <v>0</v>
      </c>
      <c r="BS201" s="751">
        <v>0</v>
      </c>
      <c r="BT201" s="773">
        <v>5234</v>
      </c>
      <c r="BU201" s="716">
        <v>27</v>
      </c>
      <c r="BV201" s="709">
        <f t="shared" si="386"/>
        <v>-99.5</v>
      </c>
    </row>
    <row r="202" spans="1:74" s="173" customFormat="1">
      <c r="A202" s="338"/>
      <c r="B202" s="1164"/>
      <c r="C202" s="345" t="s">
        <v>485</v>
      </c>
      <c r="D202" s="341">
        <v>80</v>
      </c>
      <c r="E202" s="341">
        <v>68</v>
      </c>
      <c r="F202" s="341">
        <v>87</v>
      </c>
      <c r="G202" s="341">
        <v>16</v>
      </c>
      <c r="H202" s="341">
        <v>12</v>
      </c>
      <c r="I202" s="341">
        <v>720</v>
      </c>
      <c r="J202" s="356">
        <v>3137</v>
      </c>
      <c r="K202" s="341">
        <v>5080</v>
      </c>
      <c r="L202" s="428">
        <v>327</v>
      </c>
      <c r="M202" s="397">
        <v>0</v>
      </c>
      <c r="N202" s="346">
        <f t="shared" si="389"/>
        <v>-100</v>
      </c>
      <c r="O202" s="428">
        <f t="shared" si="403"/>
        <v>832</v>
      </c>
      <c r="P202" s="397">
        <f t="shared" si="403"/>
        <v>1782</v>
      </c>
      <c r="Q202" s="346">
        <f t="shared" si="390"/>
        <v>114.2</v>
      </c>
      <c r="R202" s="428">
        <v>1159</v>
      </c>
      <c r="S202" s="397">
        <v>1782</v>
      </c>
      <c r="T202" s="346">
        <f t="shared" si="391"/>
        <v>53.8</v>
      </c>
      <c r="U202" s="428">
        <f t="shared" si="404"/>
        <v>384</v>
      </c>
      <c r="V202" s="397">
        <f t="shared" si="405"/>
        <v>727</v>
      </c>
      <c r="W202" s="346">
        <f t="shared" si="392"/>
        <v>89.3</v>
      </c>
      <c r="X202" s="428">
        <v>1543</v>
      </c>
      <c r="Y202" s="397">
        <v>2509</v>
      </c>
      <c r="Z202" s="346">
        <f t="shared" si="393"/>
        <v>62.6</v>
      </c>
      <c r="AA202" s="428">
        <f t="shared" si="406"/>
        <v>565</v>
      </c>
      <c r="AB202" s="397">
        <f t="shared" si="407"/>
        <v>0</v>
      </c>
      <c r="AC202" s="346">
        <f t="shared" si="394"/>
        <v>-100</v>
      </c>
      <c r="AD202" s="428">
        <v>2108</v>
      </c>
      <c r="AE202" s="397">
        <v>2509</v>
      </c>
      <c r="AF202" s="346">
        <f t="shared" si="363"/>
        <v>19</v>
      </c>
      <c r="AG202" s="428">
        <f t="shared" si="408"/>
        <v>648</v>
      </c>
      <c r="AH202" s="397">
        <f t="shared" si="408"/>
        <v>601</v>
      </c>
      <c r="AI202" s="346">
        <f t="shared" si="397"/>
        <v>-7.3</v>
      </c>
      <c r="AJ202" s="428">
        <v>2756</v>
      </c>
      <c r="AK202" s="397">
        <v>3110</v>
      </c>
      <c r="AL202" s="346">
        <f t="shared" si="366"/>
        <v>12.8</v>
      </c>
      <c r="AM202" s="733">
        <f t="shared" si="409"/>
        <v>611</v>
      </c>
      <c r="AN202" s="716">
        <f t="shared" si="410"/>
        <v>1060</v>
      </c>
      <c r="AO202" s="709">
        <f t="shared" si="398"/>
        <v>73.5</v>
      </c>
      <c r="AP202" s="773">
        <v>3367</v>
      </c>
      <c r="AQ202" s="716">
        <v>4170</v>
      </c>
      <c r="AR202" s="709">
        <f t="shared" si="370"/>
        <v>23.8</v>
      </c>
      <c r="AS202" s="773">
        <f t="shared" si="411"/>
        <v>423</v>
      </c>
      <c r="AT202" s="716">
        <f t="shared" si="411"/>
        <v>2</v>
      </c>
      <c r="AU202" s="709">
        <f t="shared" si="399"/>
        <v>-99.5</v>
      </c>
      <c r="AV202" s="1013">
        <v>3790</v>
      </c>
      <c r="AW202" s="1002">
        <v>4172</v>
      </c>
      <c r="AX202" s="709">
        <f t="shared" si="373"/>
        <v>10.1</v>
      </c>
      <c r="AY202" s="773">
        <f t="shared" si="412"/>
        <v>293</v>
      </c>
      <c r="AZ202" s="716">
        <f t="shared" si="413"/>
        <v>233</v>
      </c>
      <c r="BA202" s="709">
        <f t="shared" si="400"/>
        <v>-20.5</v>
      </c>
      <c r="BB202" s="773">
        <v>4083</v>
      </c>
      <c r="BC202" s="716">
        <v>4405</v>
      </c>
      <c r="BD202" s="709">
        <f t="shared" si="377"/>
        <v>7.9</v>
      </c>
      <c r="BE202" s="773">
        <f t="shared" si="414"/>
        <v>477</v>
      </c>
      <c r="BF202" s="716">
        <f t="shared" si="414"/>
        <v>3</v>
      </c>
      <c r="BG202" s="709">
        <f t="shared" si="401"/>
        <v>-99.4</v>
      </c>
      <c r="BH202" s="773">
        <v>4560</v>
      </c>
      <c r="BI202" s="716">
        <v>4408</v>
      </c>
      <c r="BJ202" s="709">
        <f t="shared" si="380"/>
        <v>-3.3</v>
      </c>
      <c r="BK202" s="773">
        <f t="shared" si="415"/>
        <v>520</v>
      </c>
      <c r="BL202" s="716">
        <f t="shared" si="415"/>
        <v>42</v>
      </c>
      <c r="BM202" s="709">
        <f t="shared" si="402"/>
        <v>-91.9</v>
      </c>
      <c r="BN202" s="773">
        <v>5080</v>
      </c>
      <c r="BO202" s="716">
        <v>4450</v>
      </c>
      <c r="BP202" s="709">
        <f t="shared" si="383"/>
        <v>-12.4</v>
      </c>
      <c r="BQ202" s="773">
        <f t="shared" si="416"/>
        <v>0</v>
      </c>
      <c r="BR202" s="716">
        <f t="shared" si="416"/>
        <v>0</v>
      </c>
      <c r="BS202" s="751">
        <v>0</v>
      </c>
      <c r="BT202" s="773">
        <v>5080</v>
      </c>
      <c r="BU202" s="716">
        <v>4450</v>
      </c>
      <c r="BV202" s="709">
        <f t="shared" si="386"/>
        <v>-12.4</v>
      </c>
    </row>
    <row r="203" spans="1:74" s="173" customFormat="1">
      <c r="A203" s="338"/>
      <c r="B203" s="1164"/>
      <c r="C203" s="345" t="s">
        <v>486</v>
      </c>
      <c r="D203" s="341">
        <v>282</v>
      </c>
      <c r="E203" s="341">
        <v>987</v>
      </c>
      <c r="F203" s="341">
        <v>888</v>
      </c>
      <c r="G203" s="341">
        <v>308</v>
      </c>
      <c r="H203" s="341">
        <v>616</v>
      </c>
      <c r="I203" s="341">
        <v>336</v>
      </c>
      <c r="J203" s="356">
        <v>3727</v>
      </c>
      <c r="K203" s="341">
        <v>4891</v>
      </c>
      <c r="L203" s="428">
        <v>626</v>
      </c>
      <c r="M203" s="397">
        <v>308</v>
      </c>
      <c r="N203" s="346">
        <f t="shared" si="389"/>
        <v>-50.8</v>
      </c>
      <c r="O203" s="428">
        <f t="shared" si="403"/>
        <v>856</v>
      </c>
      <c r="P203" s="397">
        <f t="shared" si="403"/>
        <v>0</v>
      </c>
      <c r="Q203" s="346">
        <f t="shared" si="390"/>
        <v>-100</v>
      </c>
      <c r="R203" s="428">
        <v>1482</v>
      </c>
      <c r="S203" s="397">
        <v>308</v>
      </c>
      <c r="T203" s="346">
        <f t="shared" si="391"/>
        <v>-79.2</v>
      </c>
      <c r="U203" s="428">
        <f t="shared" si="404"/>
        <v>526</v>
      </c>
      <c r="V203" s="397">
        <f t="shared" si="405"/>
        <v>199</v>
      </c>
      <c r="W203" s="346">
        <f t="shared" si="392"/>
        <v>-62.2</v>
      </c>
      <c r="X203" s="428">
        <v>2008</v>
      </c>
      <c r="Y203" s="397">
        <v>507</v>
      </c>
      <c r="Z203" s="346">
        <f t="shared" si="393"/>
        <v>-74.8</v>
      </c>
      <c r="AA203" s="428">
        <f t="shared" si="406"/>
        <v>407</v>
      </c>
      <c r="AB203" s="397">
        <f t="shared" si="407"/>
        <v>393</v>
      </c>
      <c r="AC203" s="346">
        <f t="shared" si="394"/>
        <v>-3.4</v>
      </c>
      <c r="AD203" s="428">
        <v>2415</v>
      </c>
      <c r="AE203" s="397">
        <v>900</v>
      </c>
      <c r="AF203" s="346">
        <f t="shared" si="363"/>
        <v>-62.7</v>
      </c>
      <c r="AG203" s="428">
        <f t="shared" si="408"/>
        <v>851</v>
      </c>
      <c r="AH203" s="397">
        <f t="shared" si="408"/>
        <v>15</v>
      </c>
      <c r="AI203" s="346">
        <f t="shared" si="397"/>
        <v>-98.2</v>
      </c>
      <c r="AJ203" s="428">
        <v>3266</v>
      </c>
      <c r="AK203" s="397">
        <v>915</v>
      </c>
      <c r="AL203" s="346">
        <f t="shared" si="366"/>
        <v>-72</v>
      </c>
      <c r="AM203" s="733">
        <f t="shared" si="409"/>
        <v>0</v>
      </c>
      <c r="AN203" s="716">
        <f t="shared" si="410"/>
        <v>193</v>
      </c>
      <c r="AO203" s="751">
        <v>0</v>
      </c>
      <c r="AP203" s="773">
        <v>3266</v>
      </c>
      <c r="AQ203" s="716">
        <v>1108</v>
      </c>
      <c r="AR203" s="709">
        <f t="shared" si="370"/>
        <v>-66.099999999999994</v>
      </c>
      <c r="AS203" s="773">
        <f t="shared" si="411"/>
        <v>0</v>
      </c>
      <c r="AT203" s="716">
        <f t="shared" si="411"/>
        <v>1234</v>
      </c>
      <c r="AU203" s="751">
        <v>0</v>
      </c>
      <c r="AV203" s="1013">
        <v>3266</v>
      </c>
      <c r="AW203" s="1002">
        <v>2342</v>
      </c>
      <c r="AX203" s="709">
        <f t="shared" si="373"/>
        <v>-28.3</v>
      </c>
      <c r="AY203" s="773">
        <f t="shared" si="412"/>
        <v>20</v>
      </c>
      <c r="AZ203" s="716">
        <f t="shared" si="413"/>
        <v>749</v>
      </c>
      <c r="BA203" s="709">
        <f t="shared" si="400"/>
        <v>3645</v>
      </c>
      <c r="BB203" s="773">
        <v>3286</v>
      </c>
      <c r="BC203" s="716">
        <v>3091</v>
      </c>
      <c r="BD203" s="709">
        <f t="shared" si="377"/>
        <v>-5.9</v>
      </c>
      <c r="BE203" s="773">
        <f t="shared" si="414"/>
        <v>207</v>
      </c>
      <c r="BF203" s="716">
        <f t="shared" si="414"/>
        <v>730</v>
      </c>
      <c r="BG203" s="709">
        <f t="shared" si="401"/>
        <v>252.7</v>
      </c>
      <c r="BH203" s="773">
        <v>3493</v>
      </c>
      <c r="BI203" s="716">
        <v>3821</v>
      </c>
      <c r="BJ203" s="709">
        <f t="shared" si="380"/>
        <v>9.4</v>
      </c>
      <c r="BK203" s="773">
        <f t="shared" si="415"/>
        <v>0</v>
      </c>
      <c r="BL203" s="716">
        <f t="shared" si="415"/>
        <v>640</v>
      </c>
      <c r="BM203" s="751">
        <v>0</v>
      </c>
      <c r="BN203" s="773">
        <v>3493</v>
      </c>
      <c r="BO203" s="716">
        <v>4461</v>
      </c>
      <c r="BP203" s="709">
        <f t="shared" si="383"/>
        <v>27.7</v>
      </c>
      <c r="BQ203" s="773">
        <f t="shared" si="416"/>
        <v>712</v>
      </c>
      <c r="BR203" s="716">
        <f t="shared" si="416"/>
        <v>426</v>
      </c>
      <c r="BS203" s="705">
        <f t="shared" si="395"/>
        <v>-40.200000000000003</v>
      </c>
      <c r="BT203" s="773">
        <v>4205</v>
      </c>
      <c r="BU203" s="716">
        <v>4887</v>
      </c>
      <c r="BV203" s="709">
        <f t="shared" si="386"/>
        <v>16.2</v>
      </c>
    </row>
    <row r="204" spans="1:74">
      <c r="A204" s="96"/>
      <c r="B204" s="1164"/>
      <c r="C204" s="105" t="s">
        <v>82</v>
      </c>
      <c r="D204" s="98">
        <f t="shared" ref="D204:M204" si="417">D205-SUM(D180:D203)</f>
        <v>33745</v>
      </c>
      <c r="E204" s="98">
        <f t="shared" si="417"/>
        <v>24261</v>
      </c>
      <c r="F204" s="98">
        <f t="shared" si="417"/>
        <v>25591</v>
      </c>
      <c r="G204" s="98">
        <f t="shared" si="417"/>
        <v>42035</v>
      </c>
      <c r="H204" s="98">
        <f t="shared" si="417"/>
        <v>43055</v>
      </c>
      <c r="I204" s="98">
        <f t="shared" si="417"/>
        <v>48111</v>
      </c>
      <c r="J204" s="106">
        <f t="shared" si="417"/>
        <v>29166</v>
      </c>
      <c r="K204" s="98">
        <f t="shared" si="417"/>
        <v>36173</v>
      </c>
      <c r="L204" s="417">
        <f t="shared" si="417"/>
        <v>3707</v>
      </c>
      <c r="M204" s="386">
        <f t="shared" si="417"/>
        <v>2595</v>
      </c>
      <c r="N204" s="265">
        <f t="shared" si="389"/>
        <v>-30</v>
      </c>
      <c r="O204" s="417">
        <f>O205-SUM(O180:O203)</f>
        <v>2231</v>
      </c>
      <c r="P204" s="386">
        <f>P205-SUM(P180:P203)</f>
        <v>1650</v>
      </c>
      <c r="Q204" s="265">
        <f t="shared" si="390"/>
        <v>-26</v>
      </c>
      <c r="R204" s="417">
        <f>R205-SUM(R180:R203)</f>
        <v>5938</v>
      </c>
      <c r="S204" s="417">
        <f>S205-SUM(S180:S203)</f>
        <v>4245</v>
      </c>
      <c r="T204" s="265">
        <f t="shared" si="391"/>
        <v>-28.5</v>
      </c>
      <c r="U204" s="417">
        <f>U205-SUM(U180:U203)</f>
        <v>4347</v>
      </c>
      <c r="V204" s="386">
        <f>V205-SUM(V180:V203)</f>
        <v>2334</v>
      </c>
      <c r="W204" s="265">
        <f t="shared" si="392"/>
        <v>-46.3</v>
      </c>
      <c r="X204" s="417">
        <f>X205-SUM(X180:X203)</f>
        <v>10285</v>
      </c>
      <c r="Y204" s="417">
        <f>Y205-SUM(Y180:Y203)</f>
        <v>6579</v>
      </c>
      <c r="Z204" s="265">
        <f t="shared" si="393"/>
        <v>-36</v>
      </c>
      <c r="AA204" s="417">
        <f>AA205-SUM(AA180:AA203)</f>
        <v>3224</v>
      </c>
      <c r="AB204" s="386">
        <f>AB205-SUM(AB180:AB203)</f>
        <v>2763</v>
      </c>
      <c r="AC204" s="265">
        <f t="shared" si="394"/>
        <v>-14.3</v>
      </c>
      <c r="AD204" s="417">
        <f>AD205-SUM(AD180:AD203)</f>
        <v>13509</v>
      </c>
      <c r="AE204" s="417">
        <f>AE205-SUM(AE180:AE203)</f>
        <v>9342</v>
      </c>
      <c r="AF204" s="265">
        <f t="shared" si="363"/>
        <v>-30.8</v>
      </c>
      <c r="AG204" s="417">
        <f>AG205-SUM(AG180:AG203)</f>
        <v>2868</v>
      </c>
      <c r="AH204" s="386">
        <f>AH205-SUM(AH180:AH203)</f>
        <v>1510</v>
      </c>
      <c r="AI204" s="265">
        <f t="shared" si="397"/>
        <v>-47.4</v>
      </c>
      <c r="AJ204" s="417">
        <f>AJ205-SUM(AJ180:AJ203)</f>
        <v>16377</v>
      </c>
      <c r="AK204" s="417">
        <f>AK205-SUM(AK180:AK203)</f>
        <v>10852</v>
      </c>
      <c r="AL204" s="265">
        <f t="shared" si="366"/>
        <v>-33.700000000000003</v>
      </c>
      <c r="AM204" s="722">
        <f>AM205-SUM(AM180:AM203)</f>
        <v>2021</v>
      </c>
      <c r="AN204" s="714">
        <f>AN205-SUM(AN180:AN203)</f>
        <v>1769</v>
      </c>
      <c r="AO204" s="705">
        <f t="shared" si="398"/>
        <v>-12.5</v>
      </c>
      <c r="AP204" s="770">
        <f>AP205-SUM(AP180:AP203)</f>
        <v>18398</v>
      </c>
      <c r="AQ204" s="770">
        <f>AQ205-SUM(AQ180:AQ203)</f>
        <v>12621</v>
      </c>
      <c r="AR204" s="705">
        <f t="shared" si="370"/>
        <v>-31.4</v>
      </c>
      <c r="AS204" s="770">
        <f>AS205-SUM(AS180:AS203)</f>
        <v>3420</v>
      </c>
      <c r="AT204" s="714">
        <f>AT205-SUM(AT180:AT203)</f>
        <v>2001</v>
      </c>
      <c r="AU204" s="705">
        <f>ROUND(((AT204/AS204-1)*100), 1)</f>
        <v>-41.5</v>
      </c>
      <c r="AV204" s="992">
        <f>AV205-SUM(AV180:AV203)</f>
        <v>21818</v>
      </c>
      <c r="AW204" s="992">
        <f>AW205-SUM(AW180:AW203)</f>
        <v>14622</v>
      </c>
      <c r="AX204" s="705">
        <f t="shared" si="373"/>
        <v>-33</v>
      </c>
      <c r="AY204" s="770">
        <f>AY205-SUM(AY180:AY203)</f>
        <v>3258</v>
      </c>
      <c r="AZ204" s="714">
        <f>AZ205-SUM(AZ180:AZ203)</f>
        <v>1712</v>
      </c>
      <c r="BA204" s="705">
        <f>ROUND(((AZ204/AY204-1)*100), 1)</f>
        <v>-47.5</v>
      </c>
      <c r="BB204" s="770">
        <f>BB205-SUM(BB180:BB203)</f>
        <v>25076</v>
      </c>
      <c r="BC204" s="770">
        <f>BC205-SUM(BC180:BC203)</f>
        <v>16334</v>
      </c>
      <c r="BD204" s="705">
        <f t="shared" si="377"/>
        <v>-34.9</v>
      </c>
      <c r="BE204" s="770">
        <f>BE205-SUM(BE180:BE203)</f>
        <v>3006</v>
      </c>
      <c r="BF204" s="714">
        <f>BF205-SUM(BF180:BF203)</f>
        <v>2671</v>
      </c>
      <c r="BG204" s="705">
        <f>ROUND(((BF204/BE204-1)*100), 1)</f>
        <v>-11.1</v>
      </c>
      <c r="BH204" s="770">
        <f>BH205-SUM(BH180:BH203)</f>
        <v>28082</v>
      </c>
      <c r="BI204" s="770">
        <f>BI205-SUM(BI180:BI203)</f>
        <v>19005</v>
      </c>
      <c r="BJ204" s="705">
        <f t="shared" si="380"/>
        <v>-32.299999999999997</v>
      </c>
      <c r="BK204" s="770">
        <f>BK205-SUM(BK180:BK203)</f>
        <v>3135</v>
      </c>
      <c r="BL204" s="714">
        <f>BL205-SUM(BL180:BL203)</f>
        <v>1907</v>
      </c>
      <c r="BM204" s="705">
        <f>ROUND(((BL204/BK204-1)*100), 1)</f>
        <v>-39.200000000000003</v>
      </c>
      <c r="BN204" s="770">
        <f>BN205-SUM(BN180:BN203)</f>
        <v>31217</v>
      </c>
      <c r="BO204" s="770">
        <f>BO205-SUM(BO180:BO203)</f>
        <v>20912</v>
      </c>
      <c r="BP204" s="705">
        <f t="shared" si="383"/>
        <v>-33</v>
      </c>
      <c r="BQ204" s="770">
        <f>BQ205-SUM(BQ180:BQ203)</f>
        <v>2441</v>
      </c>
      <c r="BR204" s="714">
        <f>BR205-SUM(BR180:BR203)</f>
        <v>1853</v>
      </c>
      <c r="BS204" s="705">
        <f>ROUND(((BR204/BQ204-1)*100), 1)</f>
        <v>-24.1</v>
      </c>
      <c r="BT204" s="770">
        <f>BT205-SUM(BT180:BT203)</f>
        <v>33658</v>
      </c>
      <c r="BU204" s="770">
        <f>BU205-SUM(BU180:BU203)</f>
        <v>22765</v>
      </c>
      <c r="BV204" s="705">
        <f t="shared" si="386"/>
        <v>-32.4</v>
      </c>
    </row>
    <row r="205" spans="1:74">
      <c r="A205" s="96"/>
      <c r="B205" s="1164"/>
      <c r="C205" s="45" t="s">
        <v>226</v>
      </c>
      <c r="D205" s="99">
        <v>327769</v>
      </c>
      <c r="E205" s="99">
        <v>372974</v>
      </c>
      <c r="F205" s="99">
        <v>440573</v>
      </c>
      <c r="G205" s="99">
        <v>497672</v>
      </c>
      <c r="H205" s="99">
        <v>448966</v>
      </c>
      <c r="I205" s="99">
        <v>487807</v>
      </c>
      <c r="J205" s="342">
        <v>537325</v>
      </c>
      <c r="K205" s="99">
        <v>600662</v>
      </c>
      <c r="L205" s="409">
        <v>55034</v>
      </c>
      <c r="M205" s="387">
        <v>50017</v>
      </c>
      <c r="N205" s="266">
        <f t="shared" si="389"/>
        <v>-9.1</v>
      </c>
      <c r="O205" s="409">
        <f>R205-L205</f>
        <v>44754</v>
      </c>
      <c r="P205" s="387">
        <f>S205-M205</f>
        <v>50432</v>
      </c>
      <c r="Q205" s="266">
        <f t="shared" si="390"/>
        <v>12.7</v>
      </c>
      <c r="R205" s="422">
        <v>99788</v>
      </c>
      <c r="S205" s="506">
        <v>100449</v>
      </c>
      <c r="T205" s="494">
        <f t="shared" si="391"/>
        <v>0.7</v>
      </c>
      <c r="U205" s="409">
        <f>X205-R205</f>
        <v>50026</v>
      </c>
      <c r="V205" s="387">
        <f>Y205-S205</f>
        <v>54859</v>
      </c>
      <c r="W205" s="266">
        <f t="shared" si="392"/>
        <v>9.6999999999999993</v>
      </c>
      <c r="X205" s="422">
        <v>149814</v>
      </c>
      <c r="Y205" s="506">
        <v>155308</v>
      </c>
      <c r="Z205" s="494">
        <f t="shared" si="393"/>
        <v>3.7</v>
      </c>
      <c r="AA205" s="409">
        <f>AD205-X205</f>
        <v>53964</v>
      </c>
      <c r="AB205" s="387">
        <f>AE205-Y205</f>
        <v>51569</v>
      </c>
      <c r="AC205" s="266">
        <f t="shared" si="394"/>
        <v>-4.4000000000000004</v>
      </c>
      <c r="AD205" s="422">
        <v>203778</v>
      </c>
      <c r="AE205" s="506">
        <v>206877</v>
      </c>
      <c r="AF205" s="494">
        <f t="shared" si="363"/>
        <v>1.5</v>
      </c>
      <c r="AG205" s="409">
        <f>AJ205-AD205</f>
        <v>52107</v>
      </c>
      <c r="AH205" s="387">
        <f>AK205-AE205</f>
        <v>45606</v>
      </c>
      <c r="AI205" s="266">
        <f t="shared" si="397"/>
        <v>-12.5</v>
      </c>
      <c r="AJ205" s="422">
        <v>255885</v>
      </c>
      <c r="AK205" s="506">
        <v>252483</v>
      </c>
      <c r="AL205" s="494">
        <f t="shared" si="366"/>
        <v>-1.3</v>
      </c>
      <c r="AM205" s="721">
        <f>AP205-AJ205</f>
        <v>46675</v>
      </c>
      <c r="AN205" s="715">
        <f>AQ205-AK205</f>
        <v>48392</v>
      </c>
      <c r="AO205" s="706">
        <f t="shared" si="398"/>
        <v>3.7</v>
      </c>
      <c r="AP205" s="727">
        <v>302560</v>
      </c>
      <c r="AQ205" s="506">
        <v>300875</v>
      </c>
      <c r="AR205" s="739">
        <f t="shared" si="370"/>
        <v>-0.6</v>
      </c>
      <c r="AS205" s="721">
        <f>AV205-AP205</f>
        <v>44452</v>
      </c>
      <c r="AT205" s="715">
        <f>AW205-AQ205</f>
        <v>52677</v>
      </c>
      <c r="AU205" s="706">
        <f>ROUND(((AT205/AS205-1)*100), 1)</f>
        <v>18.5</v>
      </c>
      <c r="AV205" s="1000">
        <v>347012</v>
      </c>
      <c r="AW205" s="1015">
        <v>353552</v>
      </c>
      <c r="AX205" s="739">
        <f t="shared" si="373"/>
        <v>1.9</v>
      </c>
      <c r="AY205" s="721">
        <f>BB205-AV205</f>
        <v>49101</v>
      </c>
      <c r="AZ205" s="715">
        <f>BC205-AW205</f>
        <v>49824</v>
      </c>
      <c r="BA205" s="706">
        <f>ROUND(((AZ205/AY205-1)*100), 1)</f>
        <v>1.5</v>
      </c>
      <c r="BB205" s="727">
        <v>396113</v>
      </c>
      <c r="BC205" s="506">
        <v>403376</v>
      </c>
      <c r="BD205" s="739">
        <f t="shared" si="377"/>
        <v>1.8</v>
      </c>
      <c r="BE205" s="721">
        <f>BH205-BB205</f>
        <v>49502</v>
      </c>
      <c r="BF205" s="715">
        <f>BI205-BC205</f>
        <v>48601</v>
      </c>
      <c r="BG205" s="706">
        <f>ROUND(((BF205/BE205-1)*100), 1)</f>
        <v>-1.8</v>
      </c>
      <c r="BH205" s="727">
        <v>445615</v>
      </c>
      <c r="BI205" s="506">
        <v>451977</v>
      </c>
      <c r="BJ205" s="739">
        <f t="shared" si="380"/>
        <v>1.4</v>
      </c>
      <c r="BK205" s="721">
        <f>BN205-BH205</f>
        <v>53797</v>
      </c>
      <c r="BL205" s="715">
        <f>BO205-BI205</f>
        <v>45847</v>
      </c>
      <c r="BM205" s="706">
        <f>ROUND(((BL205/BK205-1)*100), 1)</f>
        <v>-14.8</v>
      </c>
      <c r="BN205" s="727">
        <v>499412</v>
      </c>
      <c r="BO205" s="506">
        <v>497824</v>
      </c>
      <c r="BP205" s="739">
        <f t="shared" si="383"/>
        <v>-0.3</v>
      </c>
      <c r="BQ205" s="721">
        <f>BT205-BN205</f>
        <v>46379</v>
      </c>
      <c r="BR205" s="715">
        <f>BU205-BO205</f>
        <v>43102</v>
      </c>
      <c r="BS205" s="706">
        <f>ROUND(((BR205/BQ205-1)*100), 1)</f>
        <v>-7.1</v>
      </c>
      <c r="BT205" s="727">
        <v>545791</v>
      </c>
      <c r="BU205" s="506">
        <v>540926</v>
      </c>
      <c r="BV205" s="739">
        <f t="shared" si="386"/>
        <v>-0.9</v>
      </c>
    </row>
    <row r="206" spans="1:74">
      <c r="A206" s="9"/>
      <c r="B206" s="1162" t="s">
        <v>181</v>
      </c>
      <c r="C206" s="1121"/>
      <c r="D206" s="108">
        <f t="shared" ref="D206:M206" si="418">SUM(D179+D205)</f>
        <v>350881</v>
      </c>
      <c r="E206" s="108">
        <f t="shared" si="418"/>
        <v>396725</v>
      </c>
      <c r="F206" s="108">
        <f t="shared" si="418"/>
        <v>462691</v>
      </c>
      <c r="G206" s="108">
        <f t="shared" si="418"/>
        <v>513164</v>
      </c>
      <c r="H206" s="108">
        <f t="shared" si="418"/>
        <v>465056</v>
      </c>
      <c r="I206" s="108">
        <f t="shared" si="418"/>
        <v>501824</v>
      </c>
      <c r="J206" s="343">
        <f t="shared" si="418"/>
        <v>551915</v>
      </c>
      <c r="K206" s="107">
        <f t="shared" si="418"/>
        <v>618065</v>
      </c>
      <c r="L206" s="408">
        <f t="shared" si="418"/>
        <v>56325</v>
      </c>
      <c r="M206" s="406">
        <f t="shared" si="418"/>
        <v>51181</v>
      </c>
      <c r="N206" s="266">
        <f t="shared" si="389"/>
        <v>-9.1</v>
      </c>
      <c r="O206" s="408">
        <f>SUM(O179+O205)</f>
        <v>45749</v>
      </c>
      <c r="P206" s="406">
        <f>SUM(P179+P205)</f>
        <v>52143</v>
      </c>
      <c r="Q206" s="266">
        <f t="shared" si="390"/>
        <v>14</v>
      </c>
      <c r="R206" s="408">
        <f>SUM(R179+R205)</f>
        <v>102074</v>
      </c>
      <c r="S206" s="406">
        <f>SUM(S179+S205)</f>
        <v>103324</v>
      </c>
      <c r="T206" s="266">
        <f t="shared" si="391"/>
        <v>1.2</v>
      </c>
      <c r="U206" s="408">
        <f>SUM(U179+U205)</f>
        <v>51474</v>
      </c>
      <c r="V206" s="406">
        <f>SUM(V179+V205)</f>
        <v>56288</v>
      </c>
      <c r="W206" s="266">
        <f t="shared" si="392"/>
        <v>9.4</v>
      </c>
      <c r="X206" s="408">
        <f>SUM(X179+X205)</f>
        <v>153548</v>
      </c>
      <c r="Y206" s="406">
        <f>SUM(Y179+Y205)</f>
        <v>159612</v>
      </c>
      <c r="Z206" s="266">
        <f t="shared" si="393"/>
        <v>3.9</v>
      </c>
      <c r="AA206" s="408">
        <f>SUM(AA179+AA205)</f>
        <v>55755</v>
      </c>
      <c r="AB206" s="406">
        <f>SUM(AB179+AB205)</f>
        <v>53110</v>
      </c>
      <c r="AC206" s="266">
        <f t="shared" si="394"/>
        <v>-4.7</v>
      </c>
      <c r="AD206" s="408">
        <f>SUM(AD179+AD205)</f>
        <v>209303</v>
      </c>
      <c r="AE206" s="406">
        <f>SUM(AE179+AE205)</f>
        <v>212722</v>
      </c>
      <c r="AF206" s="266">
        <f t="shared" si="363"/>
        <v>1.6</v>
      </c>
      <c r="AG206" s="408">
        <f>SUM(AG179+AG205)</f>
        <v>53422</v>
      </c>
      <c r="AH206" s="406">
        <f>SUM(AH179+AH205)</f>
        <v>46587</v>
      </c>
      <c r="AI206" s="266">
        <f t="shared" si="397"/>
        <v>-12.8</v>
      </c>
      <c r="AJ206" s="408">
        <f>SUM(AJ179+AJ205)</f>
        <v>262725</v>
      </c>
      <c r="AK206" s="406">
        <f>SUM(AK179+AK205)</f>
        <v>259309</v>
      </c>
      <c r="AL206" s="266">
        <f t="shared" si="366"/>
        <v>-1.3</v>
      </c>
      <c r="AM206" s="720">
        <f>SUM(AM179+AM205)</f>
        <v>48194</v>
      </c>
      <c r="AN206" s="718">
        <f>SUM(AN179+AN205)</f>
        <v>49175</v>
      </c>
      <c r="AO206" s="706">
        <f t="shared" si="398"/>
        <v>2</v>
      </c>
      <c r="AP206" s="720">
        <f>SUM(AP179+AP205)</f>
        <v>310919</v>
      </c>
      <c r="AQ206" s="718">
        <f>SUM(AQ179+AQ205)</f>
        <v>308484</v>
      </c>
      <c r="AR206" s="706">
        <f t="shared" si="370"/>
        <v>-0.8</v>
      </c>
      <c r="AS206" s="720">
        <f>SUM(AS179+AS205)</f>
        <v>45968</v>
      </c>
      <c r="AT206" s="718">
        <f>SUM(AT179+AT205)</f>
        <v>53573</v>
      </c>
      <c r="AU206" s="706">
        <f>ROUND(((AT206/AS206-1)*100), 1)</f>
        <v>16.5</v>
      </c>
      <c r="AV206" s="1016">
        <f>SUM(AV179+AV205)</f>
        <v>356887</v>
      </c>
      <c r="AW206" s="1008">
        <f>SUM(AW179+AW205)</f>
        <v>362057</v>
      </c>
      <c r="AX206" s="706">
        <f t="shared" si="373"/>
        <v>1.4</v>
      </c>
      <c r="AY206" s="720">
        <f>SUM(AY179+AY205)</f>
        <v>50318</v>
      </c>
      <c r="AZ206" s="718">
        <f>SUM(AZ179+AZ205)</f>
        <v>50440</v>
      </c>
      <c r="BA206" s="706">
        <f>ROUND(((AZ206/AY206-1)*100), 1)</f>
        <v>0.2</v>
      </c>
      <c r="BB206" s="720">
        <f>SUM(BB179+BB205)</f>
        <v>407205</v>
      </c>
      <c r="BC206" s="718">
        <f>SUM(BC179+BC205)</f>
        <v>412497</v>
      </c>
      <c r="BD206" s="706">
        <f t="shared" si="377"/>
        <v>1.3</v>
      </c>
      <c r="BE206" s="720">
        <f>SUM(BE179+BE205)</f>
        <v>50804</v>
      </c>
      <c r="BF206" s="718">
        <f>SUM(BF179+BF205)</f>
        <v>49956</v>
      </c>
      <c r="BG206" s="706">
        <f>ROUND(((BF206/BE206-1)*100), 1)</f>
        <v>-1.7</v>
      </c>
      <c r="BH206" s="720">
        <f>SUM(BH179+BH205)</f>
        <v>458009</v>
      </c>
      <c r="BI206" s="718">
        <f>SUM(BI179+BI205)</f>
        <v>462453</v>
      </c>
      <c r="BJ206" s="706">
        <f t="shared" si="380"/>
        <v>1</v>
      </c>
      <c r="BK206" s="720">
        <f>SUM(BK179+BK205)</f>
        <v>55380</v>
      </c>
      <c r="BL206" s="718">
        <f>SUM(BL179+BL205)</f>
        <v>47357</v>
      </c>
      <c r="BM206" s="706">
        <f>ROUND(((BL206/BK206-1)*100), 1)</f>
        <v>-14.5</v>
      </c>
      <c r="BN206" s="720">
        <f>SUM(BN179+BN205)</f>
        <v>513389</v>
      </c>
      <c r="BO206" s="718">
        <f>SUM(BO179+BO205)</f>
        <v>509810</v>
      </c>
      <c r="BP206" s="706">
        <f t="shared" si="383"/>
        <v>-0.7</v>
      </c>
      <c r="BQ206" s="720">
        <f>SUM(BQ179+BQ205)</f>
        <v>47981</v>
      </c>
      <c r="BR206" s="718">
        <f>SUM(BR179+BR205)</f>
        <v>44367</v>
      </c>
      <c r="BS206" s="706">
        <f>ROUND(((BR206/BQ206-1)*100), 1)</f>
        <v>-7.5</v>
      </c>
      <c r="BT206" s="720">
        <f>SUM(BT179+BT205)</f>
        <v>561370</v>
      </c>
      <c r="BU206" s="718">
        <f>SUM(BU179+BU205)</f>
        <v>554177</v>
      </c>
      <c r="BV206" s="706">
        <f t="shared" si="386"/>
        <v>-1.3</v>
      </c>
    </row>
    <row r="207" spans="1:74" ht="11.25" customHeight="1">
      <c r="N207" s="256"/>
    </row>
    <row r="208" spans="1:74">
      <c r="N208" s="256"/>
    </row>
    <row r="209" spans="1:74">
      <c r="A209" s="30"/>
      <c r="B209" s="30"/>
      <c r="D209" s="75"/>
      <c r="E209" s="75"/>
      <c r="F209" s="75"/>
      <c r="G209" s="75"/>
      <c r="H209" s="75"/>
      <c r="I209" s="75"/>
      <c r="J209" s="279"/>
      <c r="K209" s="279"/>
      <c r="L209" s="279"/>
      <c r="M209" s="279"/>
      <c r="N209" s="257" t="s">
        <v>94</v>
      </c>
      <c r="O209" s="279"/>
      <c r="P209" s="279"/>
      <c r="Q209" s="274"/>
      <c r="R209" s="279"/>
      <c r="S209" s="279"/>
      <c r="T209" s="274" t="s">
        <v>94</v>
      </c>
      <c r="U209" s="279"/>
      <c r="V209" s="279"/>
      <c r="W209" s="274"/>
      <c r="X209" s="279"/>
      <c r="Y209" s="279"/>
      <c r="Z209" s="274" t="s">
        <v>94</v>
      </c>
      <c r="AA209" s="279"/>
      <c r="AB209" s="279"/>
      <c r="AC209" s="274"/>
      <c r="AD209" s="279"/>
      <c r="AE209" s="279"/>
      <c r="AF209" s="274" t="s">
        <v>94</v>
      </c>
      <c r="AG209" s="279"/>
      <c r="AH209" s="279"/>
      <c r="AI209" s="274"/>
      <c r="AJ209" s="279"/>
      <c r="AK209" s="279"/>
      <c r="AL209" s="274" t="s">
        <v>94</v>
      </c>
      <c r="AM209" s="691"/>
      <c r="AN209" s="691"/>
      <c r="AO209" s="697"/>
      <c r="AP209" s="746"/>
      <c r="AQ209" s="746"/>
      <c r="AR209" s="697" t="s">
        <v>94</v>
      </c>
      <c r="AS209" s="746"/>
      <c r="AT209" s="746"/>
      <c r="AU209" s="755"/>
      <c r="AV209" s="961"/>
      <c r="AW209" s="961"/>
      <c r="AX209" s="755" t="s">
        <v>94</v>
      </c>
      <c r="AY209" s="746"/>
      <c r="AZ209" s="746"/>
      <c r="BA209" s="755"/>
      <c r="BB209" s="746"/>
      <c r="BC209" s="746"/>
      <c r="BD209" s="755" t="s">
        <v>94</v>
      </c>
      <c r="BE209" s="746"/>
      <c r="BF209" s="746"/>
      <c r="BG209" s="755"/>
      <c r="BH209" s="746"/>
      <c r="BI209" s="746"/>
      <c r="BJ209" s="755" t="s">
        <v>94</v>
      </c>
      <c r="BK209" s="746"/>
      <c r="BL209" s="746"/>
      <c r="BM209" s="755"/>
      <c r="BN209" s="746"/>
      <c r="BO209" s="746"/>
      <c r="BP209" s="755" t="s">
        <v>94</v>
      </c>
      <c r="BQ209" s="746"/>
      <c r="BR209" s="746"/>
      <c r="BS209" s="755"/>
      <c r="BT209" s="746"/>
      <c r="BU209" s="746"/>
      <c r="BV209" s="755" t="s">
        <v>94</v>
      </c>
    </row>
    <row r="210" spans="1:74">
      <c r="A210" s="1082" t="s">
        <v>95</v>
      </c>
      <c r="B210" s="1082"/>
      <c r="C210" s="1082"/>
      <c r="D210" s="1170" t="s">
        <v>3</v>
      </c>
      <c r="E210" s="1170" t="s">
        <v>4</v>
      </c>
      <c r="F210" s="1170" t="s">
        <v>5</v>
      </c>
      <c r="G210" s="1170" t="s">
        <v>6</v>
      </c>
      <c r="H210" s="1170" t="s">
        <v>7</v>
      </c>
      <c r="I210" s="1170" t="s">
        <v>81</v>
      </c>
      <c r="J210" s="1170" t="s">
        <v>83</v>
      </c>
      <c r="K210" s="1172" t="s">
        <v>315</v>
      </c>
      <c r="L210" s="1171" t="s">
        <v>40</v>
      </c>
      <c r="M210" s="1170"/>
      <c r="N210" s="1082"/>
      <c r="O210" s="1155" t="s">
        <v>505</v>
      </c>
      <c r="P210" s="1156"/>
      <c r="Q210" s="1157"/>
      <c r="R210" s="1155" t="s">
        <v>506</v>
      </c>
      <c r="S210" s="1156"/>
      <c r="T210" s="1157"/>
      <c r="U210" s="1155" t="s">
        <v>513</v>
      </c>
      <c r="V210" s="1156"/>
      <c r="W210" s="1157"/>
      <c r="X210" s="1155" t="s">
        <v>514</v>
      </c>
      <c r="Y210" s="1156"/>
      <c r="Z210" s="1157"/>
      <c r="AA210" s="1155" t="s">
        <v>531</v>
      </c>
      <c r="AB210" s="1156"/>
      <c r="AC210" s="1157"/>
      <c r="AD210" s="1155" t="s">
        <v>533</v>
      </c>
      <c r="AE210" s="1156"/>
      <c r="AF210" s="1157"/>
      <c r="AG210" s="1155" t="s">
        <v>555</v>
      </c>
      <c r="AH210" s="1156"/>
      <c r="AI210" s="1157"/>
      <c r="AJ210" s="1155" t="s">
        <v>556</v>
      </c>
      <c r="AK210" s="1156"/>
      <c r="AL210" s="1157"/>
      <c r="AM210" s="1155" t="s">
        <v>583</v>
      </c>
      <c r="AN210" s="1156"/>
      <c r="AO210" s="1157"/>
      <c r="AP210" s="1155" t="s">
        <v>584</v>
      </c>
      <c r="AQ210" s="1156"/>
      <c r="AR210" s="1157"/>
      <c r="AS210" s="1155" t="s">
        <v>621</v>
      </c>
      <c r="AT210" s="1156"/>
      <c r="AU210" s="1157"/>
      <c r="AV210" s="1155" t="s">
        <v>622</v>
      </c>
      <c r="AW210" s="1156"/>
      <c r="AX210" s="1157"/>
      <c r="AY210" s="1155" t="s">
        <v>626</v>
      </c>
      <c r="AZ210" s="1156"/>
      <c r="BA210" s="1157"/>
      <c r="BB210" s="1155" t="s">
        <v>628</v>
      </c>
      <c r="BC210" s="1156"/>
      <c r="BD210" s="1157"/>
      <c r="BE210" s="1155" t="s">
        <v>650</v>
      </c>
      <c r="BF210" s="1156"/>
      <c r="BG210" s="1157"/>
      <c r="BH210" s="1155" t="s">
        <v>651</v>
      </c>
      <c r="BI210" s="1156"/>
      <c r="BJ210" s="1157"/>
      <c r="BK210" s="1155" t="s">
        <v>674</v>
      </c>
      <c r="BL210" s="1156"/>
      <c r="BM210" s="1157"/>
      <c r="BN210" s="1155" t="s">
        <v>675</v>
      </c>
      <c r="BO210" s="1156"/>
      <c r="BP210" s="1157"/>
      <c r="BQ210" s="1155" t="s">
        <v>712</v>
      </c>
      <c r="BR210" s="1156"/>
      <c r="BS210" s="1157"/>
      <c r="BT210" s="1155" t="s">
        <v>711</v>
      </c>
      <c r="BU210" s="1156"/>
      <c r="BV210" s="1157"/>
    </row>
    <row r="211" spans="1:74">
      <c r="A211" s="1082"/>
      <c r="B211" s="1082"/>
      <c r="C211" s="1082"/>
      <c r="D211" s="1170"/>
      <c r="E211" s="1170"/>
      <c r="F211" s="1170"/>
      <c r="G211" s="1170"/>
      <c r="H211" s="1170"/>
      <c r="I211" s="1170"/>
      <c r="J211" s="1170"/>
      <c r="K211" s="1173"/>
      <c r="L211" s="418" t="s">
        <v>445</v>
      </c>
      <c r="M211" s="427" t="s">
        <v>446</v>
      </c>
      <c r="N211" s="262" t="s">
        <v>10</v>
      </c>
      <c r="O211" s="418" t="s">
        <v>445</v>
      </c>
      <c r="P211" s="427" t="s">
        <v>446</v>
      </c>
      <c r="Q211" s="277" t="s">
        <v>10</v>
      </c>
      <c r="R211" s="418" t="s">
        <v>445</v>
      </c>
      <c r="S211" s="427" t="s">
        <v>446</v>
      </c>
      <c r="T211" s="277" t="s">
        <v>10</v>
      </c>
      <c r="U211" s="418" t="s">
        <v>445</v>
      </c>
      <c r="V211" s="427" t="s">
        <v>446</v>
      </c>
      <c r="W211" s="277" t="s">
        <v>10</v>
      </c>
      <c r="X211" s="418" t="s">
        <v>445</v>
      </c>
      <c r="Y211" s="427" t="s">
        <v>446</v>
      </c>
      <c r="Z211" s="277" t="s">
        <v>10</v>
      </c>
      <c r="AA211" s="418" t="s">
        <v>445</v>
      </c>
      <c r="AB211" s="427" t="s">
        <v>446</v>
      </c>
      <c r="AC211" s="277" t="s">
        <v>10</v>
      </c>
      <c r="AD211" s="418" t="s">
        <v>445</v>
      </c>
      <c r="AE211" s="427" t="s">
        <v>446</v>
      </c>
      <c r="AF211" s="277" t="s">
        <v>10</v>
      </c>
      <c r="AG211" s="418" t="s">
        <v>445</v>
      </c>
      <c r="AH211" s="427" t="s">
        <v>446</v>
      </c>
      <c r="AI211" s="277" t="s">
        <v>10</v>
      </c>
      <c r="AJ211" s="418" t="s">
        <v>445</v>
      </c>
      <c r="AK211" s="427" t="s">
        <v>446</v>
      </c>
      <c r="AL211" s="277" t="s">
        <v>10</v>
      </c>
      <c r="AM211" s="723" t="s">
        <v>445</v>
      </c>
      <c r="AN211" s="732" t="s">
        <v>446</v>
      </c>
      <c r="AO211" s="702" t="s">
        <v>10</v>
      </c>
      <c r="AP211" s="815" t="s">
        <v>445</v>
      </c>
      <c r="AQ211" s="816" t="s">
        <v>446</v>
      </c>
      <c r="AR211" s="702" t="s">
        <v>10</v>
      </c>
      <c r="AS211" s="815" t="s">
        <v>445</v>
      </c>
      <c r="AT211" s="816" t="s">
        <v>446</v>
      </c>
      <c r="AU211" s="757" t="s">
        <v>10</v>
      </c>
      <c r="AV211" s="996" t="s">
        <v>445</v>
      </c>
      <c r="AW211" s="1009" t="s">
        <v>446</v>
      </c>
      <c r="AX211" s="757" t="s">
        <v>10</v>
      </c>
      <c r="AY211" s="815" t="s">
        <v>445</v>
      </c>
      <c r="AZ211" s="816" t="s">
        <v>446</v>
      </c>
      <c r="BA211" s="757" t="s">
        <v>10</v>
      </c>
      <c r="BB211" s="815" t="s">
        <v>445</v>
      </c>
      <c r="BC211" s="816" t="s">
        <v>446</v>
      </c>
      <c r="BD211" s="757" t="s">
        <v>10</v>
      </c>
      <c r="BE211" s="815" t="s">
        <v>669</v>
      </c>
      <c r="BF211" s="816" t="s">
        <v>671</v>
      </c>
      <c r="BG211" s="757" t="s">
        <v>10</v>
      </c>
      <c r="BH211" s="815" t="s">
        <v>669</v>
      </c>
      <c r="BI211" s="816" t="s">
        <v>671</v>
      </c>
      <c r="BJ211" s="757" t="s">
        <v>10</v>
      </c>
      <c r="BK211" s="815" t="s">
        <v>698</v>
      </c>
      <c r="BL211" s="816" t="s">
        <v>699</v>
      </c>
      <c r="BM211" s="757" t="s">
        <v>10</v>
      </c>
      <c r="BN211" s="815" t="s">
        <v>698</v>
      </c>
      <c r="BO211" s="816" t="s">
        <v>699</v>
      </c>
      <c r="BP211" s="757" t="s">
        <v>10</v>
      </c>
      <c r="BQ211" s="815" t="s">
        <v>445</v>
      </c>
      <c r="BR211" s="816" t="s">
        <v>446</v>
      </c>
      <c r="BS211" s="757" t="s">
        <v>10</v>
      </c>
      <c r="BT211" s="815" t="s">
        <v>751</v>
      </c>
      <c r="BU211" s="816" t="s">
        <v>446</v>
      </c>
      <c r="BV211" s="757" t="s">
        <v>10</v>
      </c>
    </row>
    <row r="212" spans="1:74">
      <c r="A212" s="96"/>
      <c r="B212" s="1165" t="s">
        <v>225</v>
      </c>
      <c r="C212" s="105" t="s">
        <v>96</v>
      </c>
      <c r="D212" s="98">
        <v>26300</v>
      </c>
      <c r="E212" s="98">
        <v>97243</v>
      </c>
      <c r="F212" s="98">
        <v>64872</v>
      </c>
      <c r="G212" s="98">
        <v>105532</v>
      </c>
      <c r="H212" s="98">
        <v>28422</v>
      </c>
      <c r="I212" s="98">
        <v>69089</v>
      </c>
      <c r="J212" s="98">
        <v>167289</v>
      </c>
      <c r="K212" s="98">
        <v>93430</v>
      </c>
      <c r="L212" s="417">
        <v>17061</v>
      </c>
      <c r="M212" s="386">
        <v>2326</v>
      </c>
      <c r="N212" s="265">
        <f t="shared" ref="N212:N221" si="419">ROUND(((M212/L212-1)*100), 1)</f>
        <v>-86.4</v>
      </c>
      <c r="O212" s="417">
        <f t="shared" ref="O212:P223" si="420">R212-L212</f>
        <v>11063</v>
      </c>
      <c r="P212" s="386">
        <f t="shared" si="420"/>
        <v>1662</v>
      </c>
      <c r="Q212" s="265">
        <f>ROUND(((P212/O212-1)*100), 1)</f>
        <v>-85</v>
      </c>
      <c r="R212" s="417">
        <v>28124</v>
      </c>
      <c r="S212" s="386">
        <v>3988</v>
      </c>
      <c r="T212" s="265">
        <f>ROUND(((S212/R212-1)*100), 1)</f>
        <v>-85.8</v>
      </c>
      <c r="U212" s="417">
        <f t="shared" ref="U212:U223" si="421">X212-R212</f>
        <v>15472</v>
      </c>
      <c r="V212" s="386">
        <f t="shared" ref="V212:V223" si="422">Y212-S212</f>
        <v>2760</v>
      </c>
      <c r="W212" s="265">
        <f t="shared" ref="W212:W218" si="423">ROUND(((V212/U212-1)*100), 1)</f>
        <v>-82.2</v>
      </c>
      <c r="X212" s="417">
        <v>43596</v>
      </c>
      <c r="Y212" s="386">
        <v>6748</v>
      </c>
      <c r="Z212" s="265">
        <f t="shared" ref="Z212:Z218" si="424">ROUND(((Y212/X212-1)*100), 1)</f>
        <v>-84.5</v>
      </c>
      <c r="AA212" s="417">
        <f t="shared" ref="AA212:AA223" si="425">AD212-X212</f>
        <v>15232</v>
      </c>
      <c r="AB212" s="386">
        <f t="shared" ref="AB212:AB223" si="426">AE212-Y212</f>
        <v>7922</v>
      </c>
      <c r="AC212" s="265">
        <f t="shared" ref="AC212:AC218" si="427">ROUND(((AB212/AA212-1)*100), 1)</f>
        <v>-48</v>
      </c>
      <c r="AD212" s="417">
        <v>58828</v>
      </c>
      <c r="AE212" s="386">
        <v>14670</v>
      </c>
      <c r="AF212" s="265">
        <f t="shared" ref="AF212:AF218" si="428">ROUND(((AE212/AD212-1)*100), 1)</f>
        <v>-75.099999999999994</v>
      </c>
      <c r="AG212" s="417">
        <f t="shared" ref="AG212:AH223" si="429">AJ212-AD212</f>
        <v>9233</v>
      </c>
      <c r="AH212" s="386">
        <f t="shared" si="429"/>
        <v>6317</v>
      </c>
      <c r="AI212" s="265">
        <f t="shared" ref="AI212:AI220" si="430">ROUND(((AH212/AG212-1)*100), 1)</f>
        <v>-31.6</v>
      </c>
      <c r="AJ212" s="417">
        <v>68061</v>
      </c>
      <c r="AK212" s="386">
        <v>20987</v>
      </c>
      <c r="AL212" s="265">
        <f t="shared" ref="AL212:AL219" si="431">ROUND(((AK212/AJ212-1)*100), 1)</f>
        <v>-69.2</v>
      </c>
      <c r="AM212" s="722">
        <f t="shared" ref="AM212:AM223" si="432">AP212-AJ212</f>
        <v>7123</v>
      </c>
      <c r="AN212" s="714">
        <f t="shared" ref="AN212:AN223" si="433">AQ212-AK212</f>
        <v>5636</v>
      </c>
      <c r="AO212" s="705">
        <f t="shared" ref="AO212:AO220" si="434">ROUND(((AN212/AM212-1)*100), 1)</f>
        <v>-20.9</v>
      </c>
      <c r="AP212" s="770">
        <v>75184</v>
      </c>
      <c r="AQ212" s="714">
        <v>26623</v>
      </c>
      <c r="AR212" s="705">
        <f t="shared" ref="AR212:AR219" si="435">ROUND(((AQ212/AP212-1)*100), 1)</f>
        <v>-64.599999999999994</v>
      </c>
      <c r="AS212" s="770">
        <f t="shared" ref="AS212:AT223" si="436">AV212-AP212</f>
        <v>4389</v>
      </c>
      <c r="AT212" s="714">
        <f t="shared" si="436"/>
        <v>2176</v>
      </c>
      <c r="AU212" s="705">
        <f>ROUND(((AT212/AS212-1)*100), 1)</f>
        <v>-50.4</v>
      </c>
      <c r="AV212" s="992">
        <v>79573</v>
      </c>
      <c r="AW212" s="990">
        <v>28799</v>
      </c>
      <c r="AX212" s="705">
        <f t="shared" ref="AX212:AX219" si="437">ROUND(((AW212/AV212-1)*100), 1)</f>
        <v>-63.8</v>
      </c>
      <c r="AY212" s="770">
        <f t="shared" ref="AY212:AY223" si="438">BB212-AV212</f>
        <v>4900</v>
      </c>
      <c r="AZ212" s="714">
        <f t="shared" ref="AZ212:AZ223" si="439">BC212-AW212</f>
        <v>1809</v>
      </c>
      <c r="BA212" s="705">
        <f>ROUND(((AZ212/AY212-1)*100), 1)</f>
        <v>-63.1</v>
      </c>
      <c r="BB212" s="770">
        <v>84473</v>
      </c>
      <c r="BC212" s="714">
        <v>30608</v>
      </c>
      <c r="BD212" s="705">
        <f t="shared" ref="BD212:BD219" si="440">ROUND(((BC212/BB212-1)*100), 1)</f>
        <v>-63.8</v>
      </c>
      <c r="BE212" s="770">
        <f t="shared" ref="BE212:BF223" si="441">BH212-BB212</f>
        <v>1682</v>
      </c>
      <c r="BF212" s="714">
        <f t="shared" si="441"/>
        <v>2071</v>
      </c>
      <c r="BG212" s="705">
        <f>ROUND(((BF212/BE212-1)*100), 1)</f>
        <v>23.1</v>
      </c>
      <c r="BH212" s="770">
        <v>86155</v>
      </c>
      <c r="BI212" s="714">
        <v>32679</v>
      </c>
      <c r="BJ212" s="705">
        <f t="shared" ref="BJ212:BJ219" si="442">ROUND(((BI212/BH212-1)*100), 1)</f>
        <v>-62.1</v>
      </c>
      <c r="BK212" s="770">
        <f t="shared" ref="BK212:BL223" si="443">BN212-BH212</f>
        <v>2629</v>
      </c>
      <c r="BL212" s="714">
        <f t="shared" si="443"/>
        <v>2711</v>
      </c>
      <c r="BM212" s="705">
        <f>ROUND(((BL212/BK212-1)*100), 1)</f>
        <v>3.1</v>
      </c>
      <c r="BN212" s="770">
        <v>88784</v>
      </c>
      <c r="BO212" s="714">
        <v>35390</v>
      </c>
      <c r="BP212" s="705">
        <f t="shared" ref="BP212:BP219" si="444">ROUND(((BO212/BN212-1)*100), 1)</f>
        <v>-60.1</v>
      </c>
      <c r="BQ212" s="770">
        <f t="shared" ref="BQ212:BR223" si="445">BT212-BN212</f>
        <v>1942</v>
      </c>
      <c r="BR212" s="714">
        <f t="shared" si="445"/>
        <v>2152</v>
      </c>
      <c r="BS212" s="705">
        <f t="shared" ref="BS212:BS218" si="446">ROUND(((BR212/BQ212-1)*100), 1)</f>
        <v>10.8</v>
      </c>
      <c r="BT212" s="770">
        <v>90726</v>
      </c>
      <c r="BU212" s="714">
        <v>37542</v>
      </c>
      <c r="BV212" s="705">
        <f t="shared" ref="BV212:BV219" si="447">ROUND(((BU212/BT212-1)*100), 1)</f>
        <v>-58.6</v>
      </c>
    </row>
    <row r="213" spans="1:74">
      <c r="A213" s="96" t="s">
        <v>134</v>
      </c>
      <c r="B213" s="1164"/>
      <c r="C213" s="105" t="s">
        <v>128</v>
      </c>
      <c r="D213" s="98">
        <v>586</v>
      </c>
      <c r="E213" s="98">
        <v>657</v>
      </c>
      <c r="F213" s="98">
        <v>919</v>
      </c>
      <c r="G213" s="98">
        <v>665</v>
      </c>
      <c r="H213" s="98">
        <v>858</v>
      </c>
      <c r="I213" s="98">
        <v>902</v>
      </c>
      <c r="J213" s="98">
        <v>865</v>
      </c>
      <c r="K213" s="98">
        <v>789</v>
      </c>
      <c r="L213" s="417">
        <v>104</v>
      </c>
      <c r="M213" s="386">
        <v>29</v>
      </c>
      <c r="N213" s="265">
        <f t="shared" si="419"/>
        <v>-72.099999999999994</v>
      </c>
      <c r="O213" s="417">
        <f t="shared" si="420"/>
        <v>13</v>
      </c>
      <c r="P213" s="386">
        <f t="shared" si="420"/>
        <v>21</v>
      </c>
      <c r="Q213" s="265">
        <f>ROUND(((P213/O213-1)*100), 1)</f>
        <v>61.5</v>
      </c>
      <c r="R213" s="417">
        <v>117</v>
      </c>
      <c r="S213" s="386">
        <v>50</v>
      </c>
      <c r="T213" s="265">
        <f>ROUND(((S213/R213-1)*100), 1)</f>
        <v>-57.3</v>
      </c>
      <c r="U213" s="417">
        <f t="shared" si="421"/>
        <v>28</v>
      </c>
      <c r="V213" s="386">
        <f t="shared" si="422"/>
        <v>81</v>
      </c>
      <c r="W213" s="265">
        <f t="shared" si="423"/>
        <v>189.3</v>
      </c>
      <c r="X213" s="417">
        <v>145</v>
      </c>
      <c r="Y213" s="386">
        <v>131</v>
      </c>
      <c r="Z213" s="265">
        <f t="shared" si="424"/>
        <v>-9.6999999999999993</v>
      </c>
      <c r="AA213" s="417">
        <f t="shared" si="425"/>
        <v>122</v>
      </c>
      <c r="AB213" s="386">
        <f t="shared" si="426"/>
        <v>77</v>
      </c>
      <c r="AC213" s="265">
        <f t="shared" si="427"/>
        <v>-36.9</v>
      </c>
      <c r="AD213" s="417">
        <v>267</v>
      </c>
      <c r="AE213" s="386">
        <v>208</v>
      </c>
      <c r="AF213" s="265">
        <f t="shared" si="428"/>
        <v>-22.1</v>
      </c>
      <c r="AG213" s="417">
        <f t="shared" si="429"/>
        <v>177</v>
      </c>
      <c r="AH213" s="386">
        <f t="shared" si="429"/>
        <v>120</v>
      </c>
      <c r="AI213" s="265">
        <f t="shared" si="430"/>
        <v>-32.200000000000003</v>
      </c>
      <c r="AJ213" s="417">
        <v>444</v>
      </c>
      <c r="AK213" s="386">
        <v>328</v>
      </c>
      <c r="AL213" s="265">
        <f t="shared" si="431"/>
        <v>-26.1</v>
      </c>
      <c r="AM213" s="722">
        <f t="shared" si="432"/>
        <v>34</v>
      </c>
      <c r="AN213" s="714">
        <f t="shared" si="433"/>
        <v>113</v>
      </c>
      <c r="AO213" s="705">
        <f t="shared" si="434"/>
        <v>232.4</v>
      </c>
      <c r="AP213" s="770">
        <v>478</v>
      </c>
      <c r="AQ213" s="714">
        <v>441</v>
      </c>
      <c r="AR213" s="705">
        <f t="shared" si="435"/>
        <v>-7.7</v>
      </c>
      <c r="AS213" s="770">
        <f t="shared" si="436"/>
        <v>70</v>
      </c>
      <c r="AT213" s="714">
        <f t="shared" si="436"/>
        <v>87</v>
      </c>
      <c r="AU213" s="705">
        <f>ROUND(((AT213/AS213-1)*100), 1)</f>
        <v>24.3</v>
      </c>
      <c r="AV213" s="992">
        <v>548</v>
      </c>
      <c r="AW213" s="990">
        <v>528</v>
      </c>
      <c r="AX213" s="705">
        <f t="shared" si="437"/>
        <v>-3.6</v>
      </c>
      <c r="AY213" s="770">
        <f t="shared" si="438"/>
        <v>38</v>
      </c>
      <c r="AZ213" s="714">
        <f t="shared" si="439"/>
        <v>10</v>
      </c>
      <c r="BA213" s="705">
        <f>ROUND(((AZ213/AY213-1)*100), 1)</f>
        <v>-73.7</v>
      </c>
      <c r="BB213" s="770">
        <v>586</v>
      </c>
      <c r="BC213" s="714">
        <v>538</v>
      </c>
      <c r="BD213" s="705">
        <f t="shared" si="440"/>
        <v>-8.1999999999999993</v>
      </c>
      <c r="BE213" s="770">
        <f t="shared" si="441"/>
        <v>120</v>
      </c>
      <c r="BF213" s="714">
        <f t="shared" si="441"/>
        <v>54</v>
      </c>
      <c r="BG213" s="705">
        <f>ROUND(((BF213/BE213-1)*100), 1)</f>
        <v>-55</v>
      </c>
      <c r="BH213" s="770">
        <v>706</v>
      </c>
      <c r="BI213" s="714">
        <v>592</v>
      </c>
      <c r="BJ213" s="705">
        <f t="shared" si="442"/>
        <v>-16.100000000000001</v>
      </c>
      <c r="BK213" s="770">
        <f t="shared" si="443"/>
        <v>27</v>
      </c>
      <c r="BL213" s="714">
        <f t="shared" si="443"/>
        <v>30</v>
      </c>
      <c r="BM213" s="705">
        <f>ROUND(((BL213/BK213-1)*100), 1)</f>
        <v>11.1</v>
      </c>
      <c r="BN213" s="770">
        <v>733</v>
      </c>
      <c r="BO213" s="714">
        <v>622</v>
      </c>
      <c r="BP213" s="705">
        <f t="shared" si="444"/>
        <v>-15.1</v>
      </c>
      <c r="BQ213" s="770">
        <f t="shared" si="445"/>
        <v>4</v>
      </c>
      <c r="BR213" s="714">
        <f t="shared" si="445"/>
        <v>64</v>
      </c>
      <c r="BS213" s="705">
        <f t="shared" si="446"/>
        <v>1500</v>
      </c>
      <c r="BT213" s="770">
        <v>737</v>
      </c>
      <c r="BU213" s="714">
        <v>686</v>
      </c>
      <c r="BV213" s="705">
        <f t="shared" si="447"/>
        <v>-6.9</v>
      </c>
    </row>
    <row r="214" spans="1:74">
      <c r="A214" s="96"/>
      <c r="B214" s="1164"/>
      <c r="C214" s="105" t="s">
        <v>107</v>
      </c>
      <c r="D214" s="98">
        <v>2924</v>
      </c>
      <c r="E214" s="98">
        <v>2525</v>
      </c>
      <c r="F214" s="98">
        <v>4867</v>
      </c>
      <c r="G214" s="98">
        <v>4713</v>
      </c>
      <c r="H214" s="98">
        <v>3537</v>
      </c>
      <c r="I214" s="98">
        <v>635</v>
      </c>
      <c r="J214" s="98">
        <v>577</v>
      </c>
      <c r="K214" s="98">
        <v>609</v>
      </c>
      <c r="L214" s="417">
        <v>34</v>
      </c>
      <c r="M214" s="386">
        <v>29</v>
      </c>
      <c r="N214" s="265">
        <f t="shared" si="419"/>
        <v>-14.7</v>
      </c>
      <c r="O214" s="417">
        <f t="shared" si="420"/>
        <v>5</v>
      </c>
      <c r="P214" s="386">
        <f t="shared" si="420"/>
        <v>39</v>
      </c>
      <c r="Q214" s="265">
        <f>ROUND(((P214/O214-1)*100), 1)</f>
        <v>680</v>
      </c>
      <c r="R214" s="417">
        <v>39</v>
      </c>
      <c r="S214" s="386">
        <v>68</v>
      </c>
      <c r="T214" s="265">
        <f>ROUND(((S214/R214-1)*100), 1)</f>
        <v>74.400000000000006</v>
      </c>
      <c r="U214" s="417">
        <f t="shared" si="421"/>
        <v>48</v>
      </c>
      <c r="V214" s="386">
        <f t="shared" si="422"/>
        <v>26</v>
      </c>
      <c r="W214" s="265">
        <f t="shared" si="423"/>
        <v>-45.8</v>
      </c>
      <c r="X214" s="417">
        <v>87</v>
      </c>
      <c r="Y214" s="386">
        <v>94</v>
      </c>
      <c r="Z214" s="265">
        <f t="shared" si="424"/>
        <v>8</v>
      </c>
      <c r="AA214" s="417">
        <f t="shared" si="425"/>
        <v>278</v>
      </c>
      <c r="AB214" s="386">
        <f t="shared" si="426"/>
        <v>33</v>
      </c>
      <c r="AC214" s="265">
        <f t="shared" si="427"/>
        <v>-88.1</v>
      </c>
      <c r="AD214" s="417">
        <v>365</v>
      </c>
      <c r="AE214" s="386">
        <v>127</v>
      </c>
      <c r="AF214" s="265">
        <f t="shared" si="428"/>
        <v>-65.2</v>
      </c>
      <c r="AG214" s="417">
        <f t="shared" si="429"/>
        <v>26</v>
      </c>
      <c r="AH214" s="386">
        <f t="shared" si="429"/>
        <v>41</v>
      </c>
      <c r="AI214" s="265">
        <f t="shared" si="430"/>
        <v>57.7</v>
      </c>
      <c r="AJ214" s="417">
        <v>391</v>
      </c>
      <c r="AK214" s="386">
        <v>168</v>
      </c>
      <c r="AL214" s="265">
        <f t="shared" si="431"/>
        <v>-57</v>
      </c>
      <c r="AM214" s="722">
        <f t="shared" si="432"/>
        <v>31</v>
      </c>
      <c r="AN214" s="714">
        <f t="shared" si="433"/>
        <v>39</v>
      </c>
      <c r="AO214" s="705">
        <f t="shared" si="434"/>
        <v>25.8</v>
      </c>
      <c r="AP214" s="770">
        <v>422</v>
      </c>
      <c r="AQ214" s="714">
        <v>207</v>
      </c>
      <c r="AR214" s="705">
        <f t="shared" si="435"/>
        <v>-50.9</v>
      </c>
      <c r="AS214" s="770">
        <f t="shared" si="436"/>
        <v>20</v>
      </c>
      <c r="AT214" s="714">
        <f t="shared" si="436"/>
        <v>41</v>
      </c>
      <c r="AU214" s="705">
        <f>ROUND(((AT214/AS214-1)*100), 1)</f>
        <v>105</v>
      </c>
      <c r="AV214" s="992">
        <v>442</v>
      </c>
      <c r="AW214" s="990">
        <v>248</v>
      </c>
      <c r="AX214" s="705">
        <f t="shared" si="437"/>
        <v>-43.9</v>
      </c>
      <c r="AY214" s="770">
        <f t="shared" si="438"/>
        <v>30</v>
      </c>
      <c r="AZ214" s="714">
        <f t="shared" si="439"/>
        <v>29</v>
      </c>
      <c r="BA214" s="705">
        <f>ROUND(((AZ214/AY214-1)*100), 1)</f>
        <v>-3.3</v>
      </c>
      <c r="BB214" s="770">
        <v>472</v>
      </c>
      <c r="BC214" s="714">
        <v>277</v>
      </c>
      <c r="BD214" s="705">
        <f t="shared" si="440"/>
        <v>-41.3</v>
      </c>
      <c r="BE214" s="770">
        <f t="shared" si="441"/>
        <v>41</v>
      </c>
      <c r="BF214" s="714">
        <f t="shared" si="441"/>
        <v>59</v>
      </c>
      <c r="BG214" s="705">
        <f>ROUND(((BF214/BE214-1)*100), 1)</f>
        <v>43.9</v>
      </c>
      <c r="BH214" s="770">
        <v>513</v>
      </c>
      <c r="BI214" s="714">
        <v>336</v>
      </c>
      <c r="BJ214" s="705">
        <f t="shared" si="442"/>
        <v>-34.5</v>
      </c>
      <c r="BK214" s="770">
        <f t="shared" si="443"/>
        <v>21</v>
      </c>
      <c r="BL214" s="714">
        <f t="shared" si="443"/>
        <v>36</v>
      </c>
      <c r="BM214" s="705">
        <f>ROUND(((BL214/BK214-1)*100), 1)</f>
        <v>71.400000000000006</v>
      </c>
      <c r="BN214" s="770">
        <v>534</v>
      </c>
      <c r="BO214" s="714">
        <v>372</v>
      </c>
      <c r="BP214" s="705">
        <f t="shared" si="444"/>
        <v>-30.3</v>
      </c>
      <c r="BQ214" s="770">
        <f t="shared" si="445"/>
        <v>44</v>
      </c>
      <c r="BR214" s="714">
        <f t="shared" si="445"/>
        <v>45</v>
      </c>
      <c r="BS214" s="705">
        <f t="shared" si="446"/>
        <v>2.2999999999999998</v>
      </c>
      <c r="BT214" s="770">
        <v>578</v>
      </c>
      <c r="BU214" s="714">
        <v>417</v>
      </c>
      <c r="BV214" s="705">
        <f t="shared" si="447"/>
        <v>-27.9</v>
      </c>
    </row>
    <row r="215" spans="1:74">
      <c r="A215" s="96"/>
      <c r="B215" s="1164"/>
      <c r="C215" s="105" t="s">
        <v>112</v>
      </c>
      <c r="D215" s="98">
        <v>351</v>
      </c>
      <c r="E215" s="98">
        <v>82</v>
      </c>
      <c r="F215" s="98">
        <v>298</v>
      </c>
      <c r="G215" s="98">
        <v>685</v>
      </c>
      <c r="H215" s="98">
        <v>342</v>
      </c>
      <c r="I215" s="98">
        <v>365</v>
      </c>
      <c r="J215" s="98">
        <v>569</v>
      </c>
      <c r="K215" s="98">
        <v>431</v>
      </c>
      <c r="L215" s="417">
        <v>0</v>
      </c>
      <c r="M215" s="386">
        <v>0</v>
      </c>
      <c r="N215" s="179">
        <v>0</v>
      </c>
      <c r="O215" s="417">
        <f t="shared" si="420"/>
        <v>0</v>
      </c>
      <c r="P215" s="386">
        <f t="shared" si="420"/>
        <v>69</v>
      </c>
      <c r="Q215" s="179">
        <v>0</v>
      </c>
      <c r="R215" s="417">
        <v>0</v>
      </c>
      <c r="S215" s="386">
        <v>69</v>
      </c>
      <c r="T215" s="179">
        <v>0</v>
      </c>
      <c r="U215" s="417">
        <f t="shared" si="421"/>
        <v>61</v>
      </c>
      <c r="V215" s="386">
        <f t="shared" si="422"/>
        <v>68</v>
      </c>
      <c r="W215" s="265">
        <f t="shared" si="423"/>
        <v>11.5</v>
      </c>
      <c r="X215" s="417">
        <v>61</v>
      </c>
      <c r="Y215" s="386">
        <v>137</v>
      </c>
      <c r="Z215" s="265">
        <f t="shared" si="424"/>
        <v>124.6</v>
      </c>
      <c r="AA215" s="417">
        <f t="shared" si="425"/>
        <v>0</v>
      </c>
      <c r="AB215" s="386">
        <f t="shared" si="426"/>
        <v>0</v>
      </c>
      <c r="AC215" s="523">
        <v>0</v>
      </c>
      <c r="AD215" s="417">
        <v>61</v>
      </c>
      <c r="AE215" s="386">
        <v>137</v>
      </c>
      <c r="AF215" s="265">
        <f t="shared" si="428"/>
        <v>124.6</v>
      </c>
      <c r="AG215" s="417">
        <f t="shared" si="429"/>
        <v>64</v>
      </c>
      <c r="AH215" s="386">
        <f t="shared" si="429"/>
        <v>35</v>
      </c>
      <c r="AI215" s="265">
        <f t="shared" si="430"/>
        <v>-45.3</v>
      </c>
      <c r="AJ215" s="417">
        <v>125</v>
      </c>
      <c r="AK215" s="386">
        <v>172</v>
      </c>
      <c r="AL215" s="265">
        <f t="shared" si="431"/>
        <v>37.6</v>
      </c>
      <c r="AM215" s="722">
        <f t="shared" si="432"/>
        <v>63</v>
      </c>
      <c r="AN215" s="714">
        <f t="shared" si="433"/>
        <v>0</v>
      </c>
      <c r="AO215" s="705">
        <f t="shared" si="434"/>
        <v>-100</v>
      </c>
      <c r="AP215" s="770">
        <v>188</v>
      </c>
      <c r="AQ215" s="714">
        <v>172</v>
      </c>
      <c r="AR215" s="705">
        <f t="shared" si="435"/>
        <v>-8.5</v>
      </c>
      <c r="AS215" s="770">
        <f t="shared" si="436"/>
        <v>0</v>
      </c>
      <c r="AT215" s="714">
        <f t="shared" si="436"/>
        <v>6</v>
      </c>
      <c r="AU215" s="751">
        <v>0</v>
      </c>
      <c r="AV215" s="992">
        <v>188</v>
      </c>
      <c r="AW215" s="990">
        <v>178</v>
      </c>
      <c r="AX215" s="705">
        <f t="shared" si="437"/>
        <v>-5.3</v>
      </c>
      <c r="AY215" s="770">
        <f t="shared" si="438"/>
        <v>5</v>
      </c>
      <c r="AZ215" s="714">
        <f t="shared" si="439"/>
        <v>55</v>
      </c>
      <c r="BA215" s="709">
        <f t="shared" ref="BA215:BA218" si="448">ROUND(((AZ215/AY215-1)*100), 1)</f>
        <v>1000</v>
      </c>
      <c r="BB215" s="770">
        <v>193</v>
      </c>
      <c r="BC215" s="714">
        <v>233</v>
      </c>
      <c r="BD215" s="705">
        <f t="shared" si="440"/>
        <v>20.7</v>
      </c>
      <c r="BE215" s="770">
        <f t="shared" si="441"/>
        <v>0</v>
      </c>
      <c r="BF215" s="714">
        <f t="shared" si="441"/>
        <v>78</v>
      </c>
      <c r="BG215" s="751">
        <v>0</v>
      </c>
      <c r="BH215" s="770">
        <v>193</v>
      </c>
      <c r="BI215" s="714">
        <v>311</v>
      </c>
      <c r="BJ215" s="705">
        <f t="shared" si="442"/>
        <v>61.1</v>
      </c>
      <c r="BK215" s="770">
        <f t="shared" si="443"/>
        <v>103</v>
      </c>
      <c r="BL215" s="714">
        <f t="shared" si="443"/>
        <v>0</v>
      </c>
      <c r="BM215" s="753">
        <f>ROUND(((BL215/BK215-1)*100), 1)</f>
        <v>-100</v>
      </c>
      <c r="BN215" s="770">
        <v>296</v>
      </c>
      <c r="BO215" s="714">
        <v>311</v>
      </c>
      <c r="BP215" s="705">
        <f t="shared" si="444"/>
        <v>5.0999999999999996</v>
      </c>
      <c r="BQ215" s="770">
        <f t="shared" si="445"/>
        <v>64</v>
      </c>
      <c r="BR215" s="714">
        <f t="shared" si="445"/>
        <v>63</v>
      </c>
      <c r="BS215" s="753">
        <f t="shared" si="446"/>
        <v>-1.6</v>
      </c>
      <c r="BT215" s="770">
        <v>360</v>
      </c>
      <c r="BU215" s="714">
        <v>374</v>
      </c>
      <c r="BV215" s="705">
        <f t="shared" si="447"/>
        <v>3.9</v>
      </c>
    </row>
    <row r="216" spans="1:74">
      <c r="A216" s="96"/>
      <c r="B216" s="1164"/>
      <c r="C216" s="105" t="s">
        <v>116</v>
      </c>
      <c r="D216" s="98">
        <v>2185</v>
      </c>
      <c r="E216" s="98">
        <v>1374</v>
      </c>
      <c r="F216" s="98">
        <v>1012</v>
      </c>
      <c r="G216" s="98">
        <v>776</v>
      </c>
      <c r="H216" s="98">
        <v>575</v>
      </c>
      <c r="I216" s="98">
        <v>512</v>
      </c>
      <c r="J216" s="98">
        <v>851</v>
      </c>
      <c r="K216" s="98">
        <v>355</v>
      </c>
      <c r="L216" s="417">
        <v>60</v>
      </c>
      <c r="M216" s="386">
        <v>27</v>
      </c>
      <c r="N216" s="265">
        <f t="shared" si="419"/>
        <v>-55</v>
      </c>
      <c r="O216" s="417">
        <f t="shared" si="420"/>
        <v>34</v>
      </c>
      <c r="P216" s="386">
        <f t="shared" si="420"/>
        <v>0</v>
      </c>
      <c r="Q216" s="265">
        <f>ROUND(((P216/O216-1)*100), 1)</f>
        <v>-100</v>
      </c>
      <c r="R216" s="417">
        <v>94</v>
      </c>
      <c r="S216" s="386">
        <v>27</v>
      </c>
      <c r="T216" s="265">
        <f>ROUND(((S216/R216-1)*100), 1)</f>
        <v>-71.3</v>
      </c>
      <c r="U216" s="417">
        <f t="shared" si="421"/>
        <v>63</v>
      </c>
      <c r="V216" s="386">
        <f t="shared" si="422"/>
        <v>1</v>
      </c>
      <c r="W216" s="265">
        <f t="shared" si="423"/>
        <v>-98.4</v>
      </c>
      <c r="X216" s="417">
        <v>157</v>
      </c>
      <c r="Y216" s="386">
        <v>28</v>
      </c>
      <c r="Z216" s="265">
        <f t="shared" si="424"/>
        <v>-82.2</v>
      </c>
      <c r="AA216" s="417">
        <f t="shared" si="425"/>
        <v>7</v>
      </c>
      <c r="AB216" s="386">
        <f t="shared" si="426"/>
        <v>7</v>
      </c>
      <c r="AC216" s="265">
        <f t="shared" si="427"/>
        <v>0</v>
      </c>
      <c r="AD216" s="417">
        <v>164</v>
      </c>
      <c r="AE216" s="386">
        <v>35</v>
      </c>
      <c r="AF216" s="265">
        <f t="shared" si="428"/>
        <v>-78.7</v>
      </c>
      <c r="AG216" s="417">
        <f t="shared" si="429"/>
        <v>5</v>
      </c>
      <c r="AH216" s="386">
        <f t="shared" si="429"/>
        <v>90</v>
      </c>
      <c r="AI216" s="265">
        <f t="shared" si="430"/>
        <v>1700</v>
      </c>
      <c r="AJ216" s="417">
        <v>169</v>
      </c>
      <c r="AK216" s="386">
        <v>125</v>
      </c>
      <c r="AL216" s="265">
        <f t="shared" si="431"/>
        <v>-26</v>
      </c>
      <c r="AM216" s="722">
        <f t="shared" si="432"/>
        <v>36</v>
      </c>
      <c r="AN216" s="714">
        <f t="shared" si="433"/>
        <v>23</v>
      </c>
      <c r="AO216" s="705">
        <f t="shared" si="434"/>
        <v>-36.1</v>
      </c>
      <c r="AP216" s="770">
        <v>205</v>
      </c>
      <c r="AQ216" s="714">
        <v>148</v>
      </c>
      <c r="AR216" s="705">
        <f t="shared" si="435"/>
        <v>-27.8</v>
      </c>
      <c r="AS216" s="770">
        <f t="shared" si="436"/>
        <v>11</v>
      </c>
      <c r="AT216" s="714">
        <f t="shared" si="436"/>
        <v>46</v>
      </c>
      <c r="AU216" s="705">
        <f>ROUND(((AT216/AS216-1)*100), 1)</f>
        <v>318.2</v>
      </c>
      <c r="AV216" s="992">
        <v>216</v>
      </c>
      <c r="AW216" s="990">
        <v>194</v>
      </c>
      <c r="AX216" s="705">
        <f t="shared" si="437"/>
        <v>-10.199999999999999</v>
      </c>
      <c r="AY216" s="770">
        <f t="shared" si="438"/>
        <v>51</v>
      </c>
      <c r="AZ216" s="714">
        <f t="shared" si="439"/>
        <v>52</v>
      </c>
      <c r="BA216" s="705">
        <f>ROUND(((AZ216/AY216-1)*100), 1)</f>
        <v>2</v>
      </c>
      <c r="BB216" s="770">
        <v>267</v>
      </c>
      <c r="BC216" s="714">
        <v>246</v>
      </c>
      <c r="BD216" s="705">
        <f t="shared" si="440"/>
        <v>-7.9</v>
      </c>
      <c r="BE216" s="770">
        <f t="shared" si="441"/>
        <v>28</v>
      </c>
      <c r="BF216" s="714">
        <f t="shared" si="441"/>
        <v>26</v>
      </c>
      <c r="BG216" s="705">
        <f>ROUND(((BF216/BE216-1)*100), 1)</f>
        <v>-7.1</v>
      </c>
      <c r="BH216" s="770">
        <v>295</v>
      </c>
      <c r="BI216" s="714">
        <v>272</v>
      </c>
      <c r="BJ216" s="705">
        <f t="shared" si="442"/>
        <v>-7.8</v>
      </c>
      <c r="BK216" s="770">
        <f t="shared" si="443"/>
        <v>19</v>
      </c>
      <c r="BL216" s="714">
        <f t="shared" si="443"/>
        <v>20</v>
      </c>
      <c r="BM216" s="705">
        <f>ROUND(((BL216/BK216-1)*100), 1)</f>
        <v>5.3</v>
      </c>
      <c r="BN216" s="770">
        <v>314</v>
      </c>
      <c r="BO216" s="714">
        <v>292</v>
      </c>
      <c r="BP216" s="705">
        <f t="shared" si="444"/>
        <v>-7</v>
      </c>
      <c r="BQ216" s="770">
        <f t="shared" si="445"/>
        <v>10</v>
      </c>
      <c r="BR216" s="714">
        <f t="shared" si="445"/>
        <v>13</v>
      </c>
      <c r="BS216" s="705">
        <f t="shared" si="446"/>
        <v>30</v>
      </c>
      <c r="BT216" s="770">
        <v>324</v>
      </c>
      <c r="BU216" s="714">
        <v>305</v>
      </c>
      <c r="BV216" s="705">
        <f t="shared" si="447"/>
        <v>-5.9</v>
      </c>
    </row>
    <row r="217" spans="1:74">
      <c r="A217" s="96"/>
      <c r="B217" s="1164"/>
      <c r="C217" s="105" t="s">
        <v>98</v>
      </c>
      <c r="D217" s="98">
        <v>7258</v>
      </c>
      <c r="E217" s="98">
        <v>10099</v>
      </c>
      <c r="F217" s="98">
        <v>4</v>
      </c>
      <c r="G217" s="98">
        <v>34</v>
      </c>
      <c r="H217" s="98">
        <v>49</v>
      </c>
      <c r="I217" s="98">
        <v>99</v>
      </c>
      <c r="J217" s="98">
        <v>70</v>
      </c>
      <c r="K217" s="98">
        <v>95</v>
      </c>
      <c r="L217" s="417">
        <v>3</v>
      </c>
      <c r="M217" s="386">
        <v>1</v>
      </c>
      <c r="N217" s="265">
        <f t="shared" si="419"/>
        <v>-66.7</v>
      </c>
      <c r="O217" s="417">
        <f t="shared" si="420"/>
        <v>1</v>
      </c>
      <c r="P217" s="386">
        <f t="shared" si="420"/>
        <v>12</v>
      </c>
      <c r="Q217" s="265">
        <f>ROUND(((P217/O217-1)*100), 1)</f>
        <v>1100</v>
      </c>
      <c r="R217" s="417">
        <v>4</v>
      </c>
      <c r="S217" s="386">
        <v>13</v>
      </c>
      <c r="T217" s="265">
        <f>ROUND(((S217/R217-1)*100), 1)</f>
        <v>225</v>
      </c>
      <c r="U217" s="417">
        <f t="shared" si="421"/>
        <v>2</v>
      </c>
      <c r="V217" s="386">
        <f t="shared" si="422"/>
        <v>0</v>
      </c>
      <c r="W217" s="265">
        <f t="shared" si="423"/>
        <v>-100</v>
      </c>
      <c r="X217" s="417">
        <v>6</v>
      </c>
      <c r="Y217" s="386">
        <v>13</v>
      </c>
      <c r="Z217" s="265">
        <f t="shared" si="424"/>
        <v>116.7</v>
      </c>
      <c r="AA217" s="417">
        <f t="shared" si="425"/>
        <v>2</v>
      </c>
      <c r="AB217" s="386">
        <f t="shared" si="426"/>
        <v>0</v>
      </c>
      <c r="AC217" s="265">
        <f t="shared" si="427"/>
        <v>-100</v>
      </c>
      <c r="AD217" s="417">
        <v>8</v>
      </c>
      <c r="AE217" s="386">
        <v>13</v>
      </c>
      <c r="AF217" s="265">
        <f t="shared" si="428"/>
        <v>62.5</v>
      </c>
      <c r="AG217" s="417">
        <f t="shared" si="429"/>
        <v>1</v>
      </c>
      <c r="AH217" s="386">
        <f t="shared" si="429"/>
        <v>0</v>
      </c>
      <c r="AI217" s="265">
        <f t="shared" si="430"/>
        <v>-100</v>
      </c>
      <c r="AJ217" s="417">
        <v>9</v>
      </c>
      <c r="AK217" s="386">
        <v>13</v>
      </c>
      <c r="AL217" s="265">
        <f t="shared" si="431"/>
        <v>44.4</v>
      </c>
      <c r="AM217" s="722">
        <f t="shared" si="432"/>
        <v>0</v>
      </c>
      <c r="AN217" s="714">
        <f t="shared" si="433"/>
        <v>1</v>
      </c>
      <c r="AO217" s="751">
        <v>0</v>
      </c>
      <c r="AP217" s="770">
        <v>9</v>
      </c>
      <c r="AQ217" s="714">
        <v>14</v>
      </c>
      <c r="AR217" s="705">
        <f t="shared" si="435"/>
        <v>55.6</v>
      </c>
      <c r="AS217" s="770">
        <f t="shared" si="436"/>
        <v>1</v>
      </c>
      <c r="AT217" s="714">
        <f t="shared" si="436"/>
        <v>1</v>
      </c>
      <c r="AU217" s="709">
        <f t="shared" ref="AU217:AU218" si="449">ROUND(((AT217/AS217-1)*100), 1)</f>
        <v>0</v>
      </c>
      <c r="AV217" s="992">
        <v>10</v>
      </c>
      <c r="AW217" s="990">
        <v>15</v>
      </c>
      <c r="AX217" s="705">
        <f t="shared" si="437"/>
        <v>50</v>
      </c>
      <c r="AY217" s="770">
        <f t="shared" si="438"/>
        <v>7</v>
      </c>
      <c r="AZ217" s="714">
        <f t="shared" si="439"/>
        <v>1</v>
      </c>
      <c r="BA217" s="709">
        <f t="shared" si="448"/>
        <v>-85.7</v>
      </c>
      <c r="BB217" s="770">
        <v>17</v>
      </c>
      <c r="BC217" s="714">
        <v>16</v>
      </c>
      <c r="BD217" s="705">
        <f t="shared" si="440"/>
        <v>-5.9</v>
      </c>
      <c r="BE217" s="770">
        <f t="shared" si="441"/>
        <v>49</v>
      </c>
      <c r="BF217" s="714">
        <f t="shared" si="441"/>
        <v>1</v>
      </c>
      <c r="BG217" s="709">
        <f t="shared" ref="BG217:BG218" si="450">ROUND(((BF217/BE217-1)*100), 1)</f>
        <v>-98</v>
      </c>
      <c r="BH217" s="770">
        <v>66</v>
      </c>
      <c r="BI217" s="714">
        <v>17</v>
      </c>
      <c r="BJ217" s="705">
        <f t="shared" si="442"/>
        <v>-74.2</v>
      </c>
      <c r="BK217" s="770">
        <f t="shared" si="443"/>
        <v>10</v>
      </c>
      <c r="BL217" s="714">
        <f t="shared" si="443"/>
        <v>0</v>
      </c>
      <c r="BM217" s="709">
        <f t="shared" ref="BM217:BM218" si="451">ROUND(((BL217/BK217-1)*100), 1)</f>
        <v>-100</v>
      </c>
      <c r="BN217" s="770">
        <v>76</v>
      </c>
      <c r="BO217" s="714">
        <v>17</v>
      </c>
      <c r="BP217" s="705">
        <f t="shared" si="444"/>
        <v>-77.599999999999994</v>
      </c>
      <c r="BQ217" s="770">
        <f t="shared" si="445"/>
        <v>15</v>
      </c>
      <c r="BR217" s="714">
        <f t="shared" si="445"/>
        <v>0</v>
      </c>
      <c r="BS217" s="709">
        <f t="shared" si="446"/>
        <v>-100</v>
      </c>
      <c r="BT217" s="770">
        <v>91</v>
      </c>
      <c r="BU217" s="714">
        <v>17</v>
      </c>
      <c r="BV217" s="705">
        <f t="shared" si="447"/>
        <v>-81.3</v>
      </c>
    </row>
    <row r="218" spans="1:74">
      <c r="A218" s="96"/>
      <c r="B218" s="1164"/>
      <c r="C218" s="105" t="s">
        <v>113</v>
      </c>
      <c r="D218" s="98">
        <v>192</v>
      </c>
      <c r="E218" s="98">
        <v>77</v>
      </c>
      <c r="F218" s="98">
        <v>98</v>
      </c>
      <c r="G218" s="98">
        <v>92</v>
      </c>
      <c r="H218" s="98">
        <v>117</v>
      </c>
      <c r="I218" s="98">
        <v>218</v>
      </c>
      <c r="J218" s="98">
        <v>43</v>
      </c>
      <c r="K218" s="98">
        <v>62</v>
      </c>
      <c r="L218" s="417">
        <v>3</v>
      </c>
      <c r="M218" s="386">
        <v>0</v>
      </c>
      <c r="N218" s="265">
        <f t="shared" si="419"/>
        <v>-100</v>
      </c>
      <c r="O218" s="417">
        <f t="shared" si="420"/>
        <v>4</v>
      </c>
      <c r="P218" s="386">
        <f t="shared" si="420"/>
        <v>1</v>
      </c>
      <c r="Q218" s="265">
        <f>ROUND(((P218/O218-1)*100), 1)</f>
        <v>-75</v>
      </c>
      <c r="R218" s="417">
        <v>7</v>
      </c>
      <c r="S218" s="386">
        <v>1</v>
      </c>
      <c r="T218" s="265">
        <f>ROUND(((S218/R218-1)*100), 1)</f>
        <v>-85.7</v>
      </c>
      <c r="U218" s="417">
        <f t="shared" si="421"/>
        <v>2</v>
      </c>
      <c r="V218" s="386">
        <f t="shared" si="422"/>
        <v>2</v>
      </c>
      <c r="W218" s="265">
        <f t="shared" si="423"/>
        <v>0</v>
      </c>
      <c r="X218" s="417">
        <v>9</v>
      </c>
      <c r="Y218" s="386">
        <v>3</v>
      </c>
      <c r="Z218" s="265">
        <f t="shared" si="424"/>
        <v>-66.7</v>
      </c>
      <c r="AA218" s="417">
        <f t="shared" si="425"/>
        <v>3</v>
      </c>
      <c r="AB218" s="386">
        <f t="shared" si="426"/>
        <v>5</v>
      </c>
      <c r="AC218" s="265">
        <f t="shared" si="427"/>
        <v>66.7</v>
      </c>
      <c r="AD218" s="417">
        <v>12</v>
      </c>
      <c r="AE218" s="386">
        <v>8</v>
      </c>
      <c r="AF218" s="265">
        <f t="shared" si="428"/>
        <v>-33.299999999999997</v>
      </c>
      <c r="AG218" s="417">
        <f t="shared" si="429"/>
        <v>1</v>
      </c>
      <c r="AH218" s="386">
        <f t="shared" si="429"/>
        <v>1</v>
      </c>
      <c r="AI218" s="265">
        <f t="shared" si="430"/>
        <v>0</v>
      </c>
      <c r="AJ218" s="417">
        <v>13</v>
      </c>
      <c r="AK218" s="386">
        <v>9</v>
      </c>
      <c r="AL218" s="265">
        <f t="shared" si="431"/>
        <v>-30.8</v>
      </c>
      <c r="AM218" s="722">
        <f t="shared" si="432"/>
        <v>0</v>
      </c>
      <c r="AN218" s="714">
        <f t="shared" si="433"/>
        <v>1</v>
      </c>
      <c r="AO218" s="751">
        <v>0</v>
      </c>
      <c r="AP218" s="770">
        <v>13</v>
      </c>
      <c r="AQ218" s="714">
        <v>10</v>
      </c>
      <c r="AR218" s="705">
        <f t="shared" si="435"/>
        <v>-23.1</v>
      </c>
      <c r="AS218" s="770">
        <f t="shared" si="436"/>
        <v>3</v>
      </c>
      <c r="AT218" s="714">
        <f t="shared" si="436"/>
        <v>3</v>
      </c>
      <c r="AU218" s="709">
        <f t="shared" si="449"/>
        <v>0</v>
      </c>
      <c r="AV218" s="992">
        <v>16</v>
      </c>
      <c r="AW218" s="990">
        <v>13</v>
      </c>
      <c r="AX218" s="705">
        <f t="shared" si="437"/>
        <v>-18.8</v>
      </c>
      <c r="AY218" s="770">
        <f t="shared" si="438"/>
        <v>1</v>
      </c>
      <c r="AZ218" s="714">
        <f t="shared" si="439"/>
        <v>6</v>
      </c>
      <c r="BA218" s="709">
        <f t="shared" si="448"/>
        <v>500</v>
      </c>
      <c r="BB218" s="770">
        <v>17</v>
      </c>
      <c r="BC218" s="714">
        <v>19</v>
      </c>
      <c r="BD218" s="705">
        <f t="shared" si="440"/>
        <v>11.8</v>
      </c>
      <c r="BE218" s="770">
        <f t="shared" si="441"/>
        <v>2</v>
      </c>
      <c r="BF218" s="714">
        <f t="shared" si="441"/>
        <v>28</v>
      </c>
      <c r="BG218" s="709">
        <f t="shared" si="450"/>
        <v>1300</v>
      </c>
      <c r="BH218" s="770">
        <v>19</v>
      </c>
      <c r="BI218" s="714">
        <v>47</v>
      </c>
      <c r="BJ218" s="705">
        <f t="shared" si="442"/>
        <v>147.4</v>
      </c>
      <c r="BK218" s="770">
        <f t="shared" si="443"/>
        <v>41</v>
      </c>
      <c r="BL218" s="714">
        <f t="shared" si="443"/>
        <v>1</v>
      </c>
      <c r="BM218" s="709">
        <f t="shared" si="451"/>
        <v>-97.6</v>
      </c>
      <c r="BN218" s="770">
        <v>60</v>
      </c>
      <c r="BO218" s="714">
        <v>48</v>
      </c>
      <c r="BP218" s="705">
        <f t="shared" si="444"/>
        <v>-20</v>
      </c>
      <c r="BQ218" s="770">
        <f t="shared" si="445"/>
        <v>0</v>
      </c>
      <c r="BR218" s="714">
        <f t="shared" si="445"/>
        <v>4</v>
      </c>
      <c r="BS218" s="751">
        <v>0</v>
      </c>
      <c r="BT218" s="770">
        <v>60</v>
      </c>
      <c r="BU218" s="714">
        <v>52</v>
      </c>
      <c r="BV218" s="705">
        <f t="shared" si="447"/>
        <v>-13.3</v>
      </c>
    </row>
    <row r="219" spans="1:74">
      <c r="A219" s="96"/>
      <c r="B219" s="1164"/>
      <c r="C219" s="105" t="s">
        <v>122</v>
      </c>
      <c r="D219" s="98">
        <v>49</v>
      </c>
      <c r="E219" s="98">
        <v>19</v>
      </c>
      <c r="F219" s="98">
        <v>52</v>
      </c>
      <c r="G219" s="98">
        <v>15</v>
      </c>
      <c r="H219" s="98">
        <v>19</v>
      </c>
      <c r="I219" s="98">
        <v>61</v>
      </c>
      <c r="J219" s="98">
        <v>13</v>
      </c>
      <c r="K219" s="98">
        <v>38</v>
      </c>
      <c r="L219" s="417">
        <v>0</v>
      </c>
      <c r="M219" s="386">
        <v>0</v>
      </c>
      <c r="N219" s="179">
        <v>0</v>
      </c>
      <c r="O219" s="417">
        <f t="shared" si="420"/>
        <v>0</v>
      </c>
      <c r="P219" s="386">
        <f t="shared" si="420"/>
        <v>0</v>
      </c>
      <c r="Q219" s="179">
        <v>0</v>
      </c>
      <c r="R219" s="417">
        <v>0</v>
      </c>
      <c r="S219" s="386">
        <v>0</v>
      </c>
      <c r="T219" s="179">
        <v>0</v>
      </c>
      <c r="U219" s="417">
        <f t="shared" si="421"/>
        <v>0</v>
      </c>
      <c r="V219" s="386">
        <f t="shared" si="422"/>
        <v>0</v>
      </c>
      <c r="W219" s="179">
        <v>0</v>
      </c>
      <c r="X219" s="417">
        <v>0</v>
      </c>
      <c r="Y219" s="386">
        <v>0</v>
      </c>
      <c r="Z219" s="179">
        <v>0</v>
      </c>
      <c r="AA219" s="417">
        <f t="shared" si="425"/>
        <v>0</v>
      </c>
      <c r="AB219" s="386">
        <f t="shared" si="426"/>
        <v>0</v>
      </c>
      <c r="AC219" s="523">
        <v>0</v>
      </c>
      <c r="AD219" s="417">
        <v>0</v>
      </c>
      <c r="AE219" s="386">
        <v>0</v>
      </c>
      <c r="AF219" s="523">
        <v>0</v>
      </c>
      <c r="AG219" s="417">
        <f t="shared" si="429"/>
        <v>38</v>
      </c>
      <c r="AH219" s="386">
        <f t="shared" si="429"/>
        <v>0</v>
      </c>
      <c r="AI219" s="265">
        <f t="shared" si="430"/>
        <v>-100</v>
      </c>
      <c r="AJ219" s="417">
        <v>38</v>
      </c>
      <c r="AK219" s="386">
        <v>0</v>
      </c>
      <c r="AL219" s="265">
        <f t="shared" si="431"/>
        <v>-100</v>
      </c>
      <c r="AM219" s="722">
        <f t="shared" si="432"/>
        <v>0</v>
      </c>
      <c r="AN219" s="714">
        <f t="shared" si="433"/>
        <v>1</v>
      </c>
      <c r="AO219" s="751">
        <v>0</v>
      </c>
      <c r="AP219" s="770">
        <v>38</v>
      </c>
      <c r="AQ219" s="714">
        <v>1</v>
      </c>
      <c r="AR219" s="705">
        <f t="shared" si="435"/>
        <v>-97.4</v>
      </c>
      <c r="AS219" s="770">
        <f t="shared" si="436"/>
        <v>0</v>
      </c>
      <c r="AT219" s="714">
        <f t="shared" si="436"/>
        <v>0</v>
      </c>
      <c r="AU219" s="751">
        <v>0</v>
      </c>
      <c r="AV219" s="992">
        <v>38</v>
      </c>
      <c r="AW219" s="990">
        <v>1</v>
      </c>
      <c r="AX219" s="705">
        <f t="shared" si="437"/>
        <v>-97.4</v>
      </c>
      <c r="AY219" s="770">
        <f t="shared" si="438"/>
        <v>0</v>
      </c>
      <c r="AZ219" s="714">
        <f t="shared" si="439"/>
        <v>0</v>
      </c>
      <c r="BA219" s="751">
        <v>0</v>
      </c>
      <c r="BB219" s="770">
        <v>38</v>
      </c>
      <c r="BC219" s="714">
        <v>1</v>
      </c>
      <c r="BD219" s="705">
        <f t="shared" si="440"/>
        <v>-97.4</v>
      </c>
      <c r="BE219" s="770">
        <f t="shared" si="441"/>
        <v>0</v>
      </c>
      <c r="BF219" s="714">
        <f t="shared" si="441"/>
        <v>0</v>
      </c>
      <c r="BG219" s="751">
        <v>0</v>
      </c>
      <c r="BH219" s="770">
        <v>38</v>
      </c>
      <c r="BI219" s="714">
        <v>1</v>
      </c>
      <c r="BJ219" s="705">
        <f t="shared" si="442"/>
        <v>-97.4</v>
      </c>
      <c r="BK219" s="770">
        <f t="shared" si="443"/>
        <v>0</v>
      </c>
      <c r="BL219" s="714">
        <f t="shared" si="443"/>
        <v>0</v>
      </c>
      <c r="BM219" s="751">
        <v>0</v>
      </c>
      <c r="BN219" s="770">
        <v>38</v>
      </c>
      <c r="BO219" s="714">
        <v>1</v>
      </c>
      <c r="BP219" s="705">
        <f t="shared" si="444"/>
        <v>-97.4</v>
      </c>
      <c r="BQ219" s="770">
        <f t="shared" si="445"/>
        <v>0</v>
      </c>
      <c r="BR219" s="714">
        <f t="shared" si="445"/>
        <v>0</v>
      </c>
      <c r="BS219" s="751">
        <v>0</v>
      </c>
      <c r="BT219" s="770">
        <v>38</v>
      </c>
      <c r="BU219" s="714">
        <v>1</v>
      </c>
      <c r="BV219" s="705">
        <f t="shared" si="447"/>
        <v>-97.4</v>
      </c>
    </row>
    <row r="220" spans="1:74" s="173" customFormat="1">
      <c r="A220" s="338"/>
      <c r="B220" s="1164"/>
      <c r="C220" s="345" t="s">
        <v>483</v>
      </c>
      <c r="D220" s="341">
        <v>13</v>
      </c>
      <c r="E220" s="341">
        <v>2</v>
      </c>
      <c r="F220" s="341">
        <v>16</v>
      </c>
      <c r="G220" s="341">
        <v>13</v>
      </c>
      <c r="H220" s="341">
        <v>11</v>
      </c>
      <c r="I220" s="341">
        <v>36</v>
      </c>
      <c r="J220" s="341">
        <v>26</v>
      </c>
      <c r="K220" s="341">
        <v>28</v>
      </c>
      <c r="L220" s="428">
        <v>3</v>
      </c>
      <c r="M220" s="397">
        <v>6</v>
      </c>
      <c r="N220" s="346">
        <f t="shared" si="419"/>
        <v>100</v>
      </c>
      <c r="O220" s="428">
        <f t="shared" si="420"/>
        <v>2</v>
      </c>
      <c r="P220" s="397">
        <f t="shared" si="420"/>
        <v>0</v>
      </c>
      <c r="Q220" s="346">
        <f>ROUND(((P220/O220-1)*100), 1)</f>
        <v>-100</v>
      </c>
      <c r="R220" s="428">
        <v>5</v>
      </c>
      <c r="S220" s="397">
        <v>6</v>
      </c>
      <c r="T220" s="346">
        <f>ROUND(((S220/R220-1)*100), 1)</f>
        <v>20</v>
      </c>
      <c r="U220" s="428">
        <f t="shared" si="421"/>
        <v>0</v>
      </c>
      <c r="V220" s="397">
        <f t="shared" si="422"/>
        <v>0</v>
      </c>
      <c r="W220" s="523">
        <v>0</v>
      </c>
      <c r="X220" s="428">
        <v>5</v>
      </c>
      <c r="Y220" s="397">
        <v>6</v>
      </c>
      <c r="Z220" s="346">
        <f>ROUND(((Y220/X220-1)*100), 1)</f>
        <v>20</v>
      </c>
      <c r="AA220" s="428">
        <f t="shared" si="425"/>
        <v>4</v>
      </c>
      <c r="AB220" s="397">
        <f t="shared" si="426"/>
        <v>0</v>
      </c>
      <c r="AC220" s="265">
        <f t="shared" ref="AC220" si="452">ROUND(((AB220/AA220-1)*100), 1)</f>
        <v>-100</v>
      </c>
      <c r="AD220" s="428">
        <v>9</v>
      </c>
      <c r="AE220" s="397">
        <v>6</v>
      </c>
      <c r="AF220" s="346">
        <f>ROUND(((AE220/AD220-1)*100), 1)</f>
        <v>-33.299999999999997</v>
      </c>
      <c r="AG220" s="428">
        <f t="shared" si="429"/>
        <v>5</v>
      </c>
      <c r="AH220" s="397">
        <f t="shared" si="429"/>
        <v>0</v>
      </c>
      <c r="AI220" s="265">
        <f t="shared" si="430"/>
        <v>-100</v>
      </c>
      <c r="AJ220" s="428">
        <v>14</v>
      </c>
      <c r="AK220" s="397">
        <v>6</v>
      </c>
      <c r="AL220" s="346">
        <f>ROUND(((AK220/AJ220-1)*100), 1)</f>
        <v>-57.1</v>
      </c>
      <c r="AM220" s="733">
        <f t="shared" si="432"/>
        <v>3</v>
      </c>
      <c r="AN220" s="716">
        <f t="shared" si="433"/>
        <v>7</v>
      </c>
      <c r="AO220" s="705">
        <f t="shared" si="434"/>
        <v>133.30000000000001</v>
      </c>
      <c r="AP220" s="773">
        <v>17</v>
      </c>
      <c r="AQ220" s="716">
        <v>13</v>
      </c>
      <c r="AR220" s="709">
        <f>ROUND(((AQ220/AP220-1)*100), 1)</f>
        <v>-23.5</v>
      </c>
      <c r="AS220" s="773">
        <f t="shared" si="436"/>
        <v>3</v>
      </c>
      <c r="AT220" s="716">
        <f t="shared" si="436"/>
        <v>0</v>
      </c>
      <c r="AU220" s="705">
        <f>ROUND(((AT220/AS220-1)*100), 1)</f>
        <v>-100</v>
      </c>
      <c r="AV220" s="1013">
        <v>20</v>
      </c>
      <c r="AW220" s="1002">
        <v>13</v>
      </c>
      <c r="AX220" s="709">
        <f>ROUND(((AW220/AV220-1)*100), 1)</f>
        <v>-35</v>
      </c>
      <c r="AY220" s="773">
        <f t="shared" si="438"/>
        <v>0</v>
      </c>
      <c r="AZ220" s="716">
        <f t="shared" si="439"/>
        <v>0</v>
      </c>
      <c r="BA220" s="751">
        <v>0</v>
      </c>
      <c r="BB220" s="773">
        <v>20</v>
      </c>
      <c r="BC220" s="716">
        <v>13</v>
      </c>
      <c r="BD220" s="709">
        <f>ROUND(((BC220/BB220-1)*100), 1)</f>
        <v>-35</v>
      </c>
      <c r="BE220" s="773">
        <f t="shared" si="441"/>
        <v>4</v>
      </c>
      <c r="BF220" s="716">
        <f t="shared" si="441"/>
        <v>3</v>
      </c>
      <c r="BG220" s="705">
        <f t="shared" ref="BG220" si="453">ROUND(((BF220/BE220-1)*100), 1)</f>
        <v>-25</v>
      </c>
      <c r="BH220" s="773">
        <v>24</v>
      </c>
      <c r="BI220" s="716">
        <v>16</v>
      </c>
      <c r="BJ220" s="709">
        <f>ROUND(((BI220/BH220-1)*100), 1)</f>
        <v>-33.299999999999997</v>
      </c>
      <c r="BK220" s="773">
        <f t="shared" si="443"/>
        <v>0</v>
      </c>
      <c r="BL220" s="716">
        <f t="shared" si="443"/>
        <v>1</v>
      </c>
      <c r="BM220" s="751">
        <v>0</v>
      </c>
      <c r="BN220" s="773">
        <v>24</v>
      </c>
      <c r="BO220" s="716">
        <v>17</v>
      </c>
      <c r="BP220" s="709">
        <f>ROUND(((BO220/BN220-1)*100), 1)</f>
        <v>-29.2</v>
      </c>
      <c r="BQ220" s="773">
        <f t="shared" si="445"/>
        <v>3</v>
      </c>
      <c r="BR220" s="716">
        <f t="shared" si="445"/>
        <v>6</v>
      </c>
      <c r="BS220" s="705">
        <f t="shared" ref="BS220" si="454">ROUND(((BR220/BQ220-1)*100), 1)</f>
        <v>100</v>
      </c>
      <c r="BT220" s="773">
        <v>27</v>
      </c>
      <c r="BU220" s="716">
        <v>23</v>
      </c>
      <c r="BV220" s="709">
        <f>ROUND(((BU220/BT220-1)*100), 1)</f>
        <v>-14.8</v>
      </c>
    </row>
    <row r="221" spans="1:74" s="173" customFormat="1">
      <c r="A221" s="338"/>
      <c r="B221" s="1164"/>
      <c r="C221" s="345" t="s">
        <v>101</v>
      </c>
      <c r="D221" s="341">
        <v>74</v>
      </c>
      <c r="E221" s="341">
        <v>2</v>
      </c>
      <c r="F221" s="341">
        <v>1</v>
      </c>
      <c r="G221" s="341">
        <v>1</v>
      </c>
      <c r="H221" s="341">
        <v>228</v>
      </c>
      <c r="I221" s="341">
        <v>686</v>
      </c>
      <c r="J221" s="341">
        <v>514</v>
      </c>
      <c r="K221" s="341">
        <v>20</v>
      </c>
      <c r="L221" s="428">
        <v>1</v>
      </c>
      <c r="M221" s="397">
        <v>0</v>
      </c>
      <c r="N221" s="346">
        <f t="shared" si="419"/>
        <v>-100</v>
      </c>
      <c r="O221" s="428">
        <f t="shared" si="420"/>
        <v>0</v>
      </c>
      <c r="P221" s="397">
        <f t="shared" si="420"/>
        <v>1</v>
      </c>
      <c r="Q221" s="523">
        <v>0</v>
      </c>
      <c r="R221" s="428">
        <v>1</v>
      </c>
      <c r="S221" s="397">
        <v>1</v>
      </c>
      <c r="T221" s="346">
        <f>ROUND(((S221/R221-1)*100), 1)</f>
        <v>0</v>
      </c>
      <c r="U221" s="428">
        <f t="shared" si="421"/>
        <v>0</v>
      </c>
      <c r="V221" s="397">
        <f t="shared" si="422"/>
        <v>2</v>
      </c>
      <c r="W221" s="523">
        <v>0</v>
      </c>
      <c r="X221" s="428">
        <v>1</v>
      </c>
      <c r="Y221" s="397">
        <v>3</v>
      </c>
      <c r="Z221" s="346">
        <f>ROUND(((Y221/X221-1)*100), 1)</f>
        <v>200</v>
      </c>
      <c r="AA221" s="428">
        <f t="shared" si="425"/>
        <v>0</v>
      </c>
      <c r="AB221" s="397">
        <f t="shared" si="426"/>
        <v>0</v>
      </c>
      <c r="AC221" s="523">
        <v>0</v>
      </c>
      <c r="AD221" s="428">
        <v>1</v>
      </c>
      <c r="AE221" s="397">
        <v>3</v>
      </c>
      <c r="AF221" s="346">
        <f>ROUND(((AE221/AD221-1)*100), 1)</f>
        <v>200</v>
      </c>
      <c r="AG221" s="428">
        <f t="shared" si="429"/>
        <v>0</v>
      </c>
      <c r="AH221" s="397">
        <f t="shared" si="429"/>
        <v>0</v>
      </c>
      <c r="AI221" s="523">
        <v>0</v>
      </c>
      <c r="AJ221" s="428">
        <v>1</v>
      </c>
      <c r="AK221" s="397">
        <v>3</v>
      </c>
      <c r="AL221" s="346">
        <f>ROUND(((AK221/AJ221-1)*100), 1)</f>
        <v>200</v>
      </c>
      <c r="AM221" s="733">
        <f t="shared" si="432"/>
        <v>0</v>
      </c>
      <c r="AN221" s="716">
        <f t="shared" si="433"/>
        <v>0</v>
      </c>
      <c r="AO221" s="695">
        <v>0</v>
      </c>
      <c r="AP221" s="773">
        <v>1</v>
      </c>
      <c r="AQ221" s="716">
        <v>3</v>
      </c>
      <c r="AR221" s="709">
        <f>ROUND(((AQ221/AP221-1)*100), 1)</f>
        <v>200</v>
      </c>
      <c r="AS221" s="773">
        <f t="shared" si="436"/>
        <v>0</v>
      </c>
      <c r="AT221" s="716">
        <f t="shared" si="436"/>
        <v>0</v>
      </c>
      <c r="AU221" s="751">
        <v>0</v>
      </c>
      <c r="AV221" s="1013">
        <v>1</v>
      </c>
      <c r="AW221" s="1002">
        <v>3</v>
      </c>
      <c r="AX221" s="709">
        <f>ROUND(((AW221/AV221-1)*100), 1)</f>
        <v>200</v>
      </c>
      <c r="AY221" s="773">
        <f t="shared" si="438"/>
        <v>19</v>
      </c>
      <c r="AZ221" s="716">
        <f t="shared" si="439"/>
        <v>0</v>
      </c>
      <c r="BA221" s="709">
        <f t="shared" ref="BA221" si="455">ROUND(((AZ221/AY221-1)*100), 1)</f>
        <v>-100</v>
      </c>
      <c r="BB221" s="773">
        <v>20</v>
      </c>
      <c r="BC221" s="716">
        <v>3</v>
      </c>
      <c r="BD221" s="709">
        <f>ROUND(((BC221/BB221-1)*100), 1)</f>
        <v>-85</v>
      </c>
      <c r="BE221" s="773">
        <f t="shared" si="441"/>
        <v>0</v>
      </c>
      <c r="BF221" s="716">
        <f t="shared" si="441"/>
        <v>0</v>
      </c>
      <c r="BG221" s="751">
        <v>0</v>
      </c>
      <c r="BH221" s="773">
        <v>20</v>
      </c>
      <c r="BI221" s="716">
        <v>3</v>
      </c>
      <c r="BJ221" s="709">
        <f>ROUND(((BI221/BH221-1)*100), 1)</f>
        <v>-85</v>
      </c>
      <c r="BK221" s="773">
        <f t="shared" si="443"/>
        <v>0</v>
      </c>
      <c r="BL221" s="716">
        <f t="shared" si="443"/>
        <v>0</v>
      </c>
      <c r="BM221" s="751">
        <v>0</v>
      </c>
      <c r="BN221" s="773">
        <v>20</v>
      </c>
      <c r="BO221" s="716">
        <v>3</v>
      </c>
      <c r="BP221" s="709">
        <f>ROUND(((BO221/BN221-1)*100), 1)</f>
        <v>-85</v>
      </c>
      <c r="BQ221" s="773">
        <f t="shared" si="445"/>
        <v>0</v>
      </c>
      <c r="BR221" s="716">
        <f t="shared" si="445"/>
        <v>0</v>
      </c>
      <c r="BS221" s="751">
        <v>0</v>
      </c>
      <c r="BT221" s="773">
        <v>20</v>
      </c>
      <c r="BU221" s="716">
        <v>3</v>
      </c>
      <c r="BV221" s="709">
        <f>ROUND(((BU221/BT221-1)*100), 1)</f>
        <v>-85</v>
      </c>
    </row>
    <row r="222" spans="1:74" s="173" customFormat="1">
      <c r="A222" s="338"/>
      <c r="B222" s="1164"/>
      <c r="C222" s="345" t="s">
        <v>100</v>
      </c>
      <c r="D222" s="341">
        <v>12</v>
      </c>
      <c r="E222" s="341">
        <v>21</v>
      </c>
      <c r="F222" s="341">
        <v>74</v>
      </c>
      <c r="G222" s="341">
        <v>84</v>
      </c>
      <c r="H222" s="341">
        <v>105</v>
      </c>
      <c r="I222" s="341">
        <v>86</v>
      </c>
      <c r="J222" s="341">
        <v>29</v>
      </c>
      <c r="K222" s="341">
        <v>12</v>
      </c>
      <c r="L222" s="428">
        <v>0</v>
      </c>
      <c r="M222" s="397">
        <v>0</v>
      </c>
      <c r="N222" s="478">
        <v>0</v>
      </c>
      <c r="O222" s="428">
        <f t="shared" si="420"/>
        <v>1</v>
      </c>
      <c r="P222" s="397">
        <f t="shared" si="420"/>
        <v>0</v>
      </c>
      <c r="Q222" s="265">
        <f>ROUND(((P222/O222-1)*100), 1)</f>
        <v>-100</v>
      </c>
      <c r="R222" s="428">
        <v>1</v>
      </c>
      <c r="S222" s="397">
        <v>0</v>
      </c>
      <c r="T222" s="265">
        <f>ROUND(((S222/R222-1)*100), 1)</f>
        <v>-100</v>
      </c>
      <c r="U222" s="428">
        <f t="shared" si="421"/>
        <v>0</v>
      </c>
      <c r="V222" s="397">
        <f t="shared" si="422"/>
        <v>0</v>
      </c>
      <c r="W222" s="523">
        <v>0</v>
      </c>
      <c r="X222" s="428">
        <v>1</v>
      </c>
      <c r="Y222" s="397">
        <v>0</v>
      </c>
      <c r="Z222" s="265">
        <f>ROUND(((Y222/X222-1)*100), 1)</f>
        <v>-100</v>
      </c>
      <c r="AA222" s="428">
        <f t="shared" si="425"/>
        <v>5</v>
      </c>
      <c r="AB222" s="397">
        <f t="shared" si="426"/>
        <v>3</v>
      </c>
      <c r="AC222" s="265">
        <f t="shared" ref="AC222" si="456">ROUND(((AB222/AA222-1)*100), 1)</f>
        <v>-40</v>
      </c>
      <c r="AD222" s="428">
        <v>6</v>
      </c>
      <c r="AE222" s="397">
        <v>3</v>
      </c>
      <c r="AF222" s="265">
        <f>ROUND(((AE222/AD222-1)*100), 1)</f>
        <v>-50</v>
      </c>
      <c r="AG222" s="428">
        <f t="shared" si="429"/>
        <v>3</v>
      </c>
      <c r="AH222" s="397">
        <f t="shared" si="429"/>
        <v>2</v>
      </c>
      <c r="AI222" s="265">
        <f t="shared" ref="AI222" si="457">ROUND(((AH222/AG222-1)*100), 1)</f>
        <v>-33.299999999999997</v>
      </c>
      <c r="AJ222" s="428">
        <v>9</v>
      </c>
      <c r="AK222" s="397">
        <v>5</v>
      </c>
      <c r="AL222" s="265">
        <f>ROUND(((AK222/AJ222-1)*100), 1)</f>
        <v>-44.4</v>
      </c>
      <c r="AM222" s="733">
        <f t="shared" si="432"/>
        <v>3</v>
      </c>
      <c r="AN222" s="716">
        <f t="shared" si="433"/>
        <v>0</v>
      </c>
      <c r="AO222" s="705">
        <f t="shared" ref="AO222" si="458">ROUND(((AN222/AM222-1)*100), 1)</f>
        <v>-100</v>
      </c>
      <c r="AP222" s="773">
        <v>12</v>
      </c>
      <c r="AQ222" s="716">
        <v>5</v>
      </c>
      <c r="AR222" s="705">
        <f>ROUND(((AQ222/AP222-1)*100), 1)</f>
        <v>-58.3</v>
      </c>
      <c r="AS222" s="773">
        <f t="shared" si="436"/>
        <v>0</v>
      </c>
      <c r="AT222" s="716">
        <f t="shared" si="436"/>
        <v>0</v>
      </c>
      <c r="AU222" s="751">
        <v>0</v>
      </c>
      <c r="AV222" s="1013">
        <v>12</v>
      </c>
      <c r="AW222" s="1002">
        <v>5</v>
      </c>
      <c r="AX222" s="705">
        <f>ROUND(((AW222/AV222-1)*100), 1)</f>
        <v>-58.3</v>
      </c>
      <c r="AY222" s="773">
        <f t="shared" si="438"/>
        <v>0</v>
      </c>
      <c r="AZ222" s="716">
        <f t="shared" si="439"/>
        <v>0</v>
      </c>
      <c r="BA222" s="751">
        <v>0</v>
      </c>
      <c r="BB222" s="773">
        <v>12</v>
      </c>
      <c r="BC222" s="716">
        <v>5</v>
      </c>
      <c r="BD222" s="705">
        <f>ROUND(((BC222/BB222-1)*100), 1)</f>
        <v>-58.3</v>
      </c>
      <c r="BE222" s="773">
        <f t="shared" si="441"/>
        <v>0</v>
      </c>
      <c r="BF222" s="716">
        <f t="shared" si="441"/>
        <v>0</v>
      </c>
      <c r="BG222" s="751">
        <v>0</v>
      </c>
      <c r="BH222" s="773">
        <v>12</v>
      </c>
      <c r="BI222" s="716">
        <v>5</v>
      </c>
      <c r="BJ222" s="705">
        <f>ROUND(((BI222/BH222-1)*100), 1)</f>
        <v>-58.3</v>
      </c>
      <c r="BK222" s="773">
        <f t="shared" si="443"/>
        <v>0</v>
      </c>
      <c r="BL222" s="716">
        <f t="shared" si="443"/>
        <v>0</v>
      </c>
      <c r="BM222" s="751">
        <v>0</v>
      </c>
      <c r="BN222" s="773">
        <v>12</v>
      </c>
      <c r="BO222" s="716">
        <v>5</v>
      </c>
      <c r="BP222" s="705">
        <f>ROUND(((BO222/BN222-1)*100), 1)</f>
        <v>-58.3</v>
      </c>
      <c r="BQ222" s="773">
        <f t="shared" si="445"/>
        <v>0</v>
      </c>
      <c r="BR222" s="716">
        <f t="shared" si="445"/>
        <v>0</v>
      </c>
      <c r="BS222" s="751">
        <v>0</v>
      </c>
      <c r="BT222" s="773">
        <v>12</v>
      </c>
      <c r="BU222" s="716">
        <v>5</v>
      </c>
      <c r="BV222" s="705">
        <f>ROUND(((BU222/BT222-1)*100), 1)</f>
        <v>-58.3</v>
      </c>
    </row>
    <row r="223" spans="1:74" s="173" customFormat="1">
      <c r="A223" s="338"/>
      <c r="B223" s="1164"/>
      <c r="C223" s="345" t="s">
        <v>52</v>
      </c>
      <c r="D223" s="341">
        <v>716</v>
      </c>
      <c r="E223" s="341">
        <v>2327</v>
      </c>
      <c r="F223" s="341">
        <v>2316</v>
      </c>
      <c r="G223" s="341">
        <v>1271</v>
      </c>
      <c r="H223" s="341">
        <v>827</v>
      </c>
      <c r="I223" s="341">
        <v>474</v>
      </c>
      <c r="J223" s="341">
        <v>211</v>
      </c>
      <c r="K223" s="341">
        <v>0</v>
      </c>
      <c r="L223" s="428">
        <v>0</v>
      </c>
      <c r="M223" s="397">
        <v>0</v>
      </c>
      <c r="N223" s="478">
        <v>0</v>
      </c>
      <c r="O223" s="428">
        <f t="shared" si="420"/>
        <v>0</v>
      </c>
      <c r="P223" s="397">
        <f t="shared" si="420"/>
        <v>0</v>
      </c>
      <c r="Q223" s="478">
        <v>0</v>
      </c>
      <c r="R223" s="428">
        <v>0</v>
      </c>
      <c r="S223" s="397">
        <v>0</v>
      </c>
      <c r="T223" s="478">
        <v>0</v>
      </c>
      <c r="U223" s="428">
        <f t="shared" si="421"/>
        <v>0</v>
      </c>
      <c r="V223" s="397">
        <f t="shared" si="422"/>
        <v>0</v>
      </c>
      <c r="W223" s="478">
        <v>0</v>
      </c>
      <c r="X223" s="428">
        <v>0</v>
      </c>
      <c r="Y223" s="397">
        <v>0</v>
      </c>
      <c r="Z223" s="478">
        <v>0</v>
      </c>
      <c r="AA223" s="428">
        <f t="shared" si="425"/>
        <v>0</v>
      </c>
      <c r="AB223" s="397">
        <f t="shared" si="426"/>
        <v>0</v>
      </c>
      <c r="AC223" s="529">
        <v>0</v>
      </c>
      <c r="AD223" s="428">
        <v>0</v>
      </c>
      <c r="AE223" s="397">
        <v>0</v>
      </c>
      <c r="AF223" s="529">
        <v>0</v>
      </c>
      <c r="AG223" s="428">
        <f t="shared" si="429"/>
        <v>0</v>
      </c>
      <c r="AH223" s="397">
        <f t="shared" si="429"/>
        <v>0</v>
      </c>
      <c r="AI223" s="529">
        <v>0</v>
      </c>
      <c r="AJ223" s="428">
        <v>0</v>
      </c>
      <c r="AK223" s="397">
        <v>0</v>
      </c>
      <c r="AL223" s="529">
        <v>0</v>
      </c>
      <c r="AM223" s="733">
        <f t="shared" si="432"/>
        <v>0</v>
      </c>
      <c r="AN223" s="716">
        <f t="shared" si="433"/>
        <v>0</v>
      </c>
      <c r="AO223" s="737">
        <v>0</v>
      </c>
      <c r="AP223" s="773">
        <v>0</v>
      </c>
      <c r="AQ223" s="716">
        <v>0</v>
      </c>
      <c r="AR223" s="737">
        <v>0</v>
      </c>
      <c r="AS223" s="773">
        <f t="shared" si="436"/>
        <v>0</v>
      </c>
      <c r="AT223" s="716">
        <f t="shared" si="436"/>
        <v>0</v>
      </c>
      <c r="AU223" s="737">
        <v>0</v>
      </c>
      <c r="AV223" s="1013">
        <v>0</v>
      </c>
      <c r="AW223" s="1002">
        <v>0</v>
      </c>
      <c r="AX223" s="737">
        <v>0</v>
      </c>
      <c r="AY223" s="773">
        <f t="shared" si="438"/>
        <v>0</v>
      </c>
      <c r="AZ223" s="716">
        <f t="shared" si="439"/>
        <v>0</v>
      </c>
      <c r="BA223" s="737">
        <v>0</v>
      </c>
      <c r="BB223" s="773">
        <v>0</v>
      </c>
      <c r="BC223" s="716">
        <v>0</v>
      </c>
      <c r="BD223" s="737">
        <v>0</v>
      </c>
      <c r="BE223" s="773">
        <f t="shared" si="441"/>
        <v>0</v>
      </c>
      <c r="BF223" s="716">
        <f t="shared" si="441"/>
        <v>33</v>
      </c>
      <c r="BG223" s="737">
        <v>0</v>
      </c>
      <c r="BH223" s="773">
        <v>0</v>
      </c>
      <c r="BI223" s="716">
        <v>33</v>
      </c>
      <c r="BJ223" s="737">
        <v>0</v>
      </c>
      <c r="BK223" s="773">
        <f t="shared" si="443"/>
        <v>0</v>
      </c>
      <c r="BL223" s="716">
        <f t="shared" si="443"/>
        <v>13</v>
      </c>
      <c r="BM223" s="737">
        <v>0</v>
      </c>
      <c r="BN223" s="773">
        <v>0</v>
      </c>
      <c r="BO223" s="716">
        <v>46</v>
      </c>
      <c r="BP223" s="737">
        <v>0</v>
      </c>
      <c r="BQ223" s="773">
        <f t="shared" si="445"/>
        <v>0</v>
      </c>
      <c r="BR223" s="716">
        <f t="shared" si="445"/>
        <v>20</v>
      </c>
      <c r="BS223" s="737">
        <v>0</v>
      </c>
      <c r="BT223" s="773">
        <v>0</v>
      </c>
      <c r="BU223" s="716">
        <v>66</v>
      </c>
      <c r="BV223" s="737">
        <v>0</v>
      </c>
    </row>
    <row r="224" spans="1:74" s="173" customFormat="1">
      <c r="A224" s="338"/>
      <c r="B224" s="1164"/>
      <c r="C224" s="345" t="s">
        <v>82</v>
      </c>
      <c r="D224" s="341">
        <f t="shared" ref="D224:M224" si="459">D225-SUM(D212:D223)</f>
        <v>64</v>
      </c>
      <c r="E224" s="341">
        <f t="shared" si="459"/>
        <v>43</v>
      </c>
      <c r="F224" s="341">
        <f t="shared" si="459"/>
        <v>192</v>
      </c>
      <c r="G224" s="341">
        <f t="shared" si="459"/>
        <v>49</v>
      </c>
      <c r="H224" s="341">
        <f t="shared" si="459"/>
        <v>153</v>
      </c>
      <c r="I224" s="341">
        <f t="shared" si="459"/>
        <v>53</v>
      </c>
      <c r="J224" s="341">
        <f t="shared" si="459"/>
        <v>37</v>
      </c>
      <c r="K224" s="341">
        <f t="shared" si="459"/>
        <v>21</v>
      </c>
      <c r="L224" s="428">
        <f t="shared" si="459"/>
        <v>2</v>
      </c>
      <c r="M224" s="397">
        <f t="shared" si="459"/>
        <v>37</v>
      </c>
      <c r="N224" s="346">
        <f t="shared" ref="N224:N243" si="460">ROUND(((M224/L224-1)*100), 1)</f>
        <v>1750</v>
      </c>
      <c r="O224" s="428">
        <f>O225-SUM(O212:O223)</f>
        <v>0</v>
      </c>
      <c r="P224" s="397">
        <f>P225-SUM(P212:P223)</f>
        <v>0</v>
      </c>
      <c r="Q224" s="525">
        <v>0</v>
      </c>
      <c r="R224" s="428">
        <f>R225-SUM(R212:R223)</f>
        <v>2</v>
      </c>
      <c r="S224" s="397">
        <f>S225-SUM(S212:S223)</f>
        <v>37</v>
      </c>
      <c r="T224" s="346">
        <f t="shared" ref="T224:T243" si="461">ROUND(((S224/R224-1)*100), 1)</f>
        <v>1750</v>
      </c>
      <c r="U224" s="428">
        <f>U225-SUM(U212:U223)</f>
        <v>5</v>
      </c>
      <c r="V224" s="397">
        <f>V225-SUM(V212:V223)</f>
        <v>0</v>
      </c>
      <c r="W224" s="346">
        <f t="shared" ref="W224:W243" si="462">ROUND(((V224/U224-1)*100), 1)</f>
        <v>-100</v>
      </c>
      <c r="X224" s="428">
        <f>X225-SUM(X212:X223)</f>
        <v>7</v>
      </c>
      <c r="Y224" s="397">
        <f>Y225-SUM(Y212:Y223)</f>
        <v>37</v>
      </c>
      <c r="Z224" s="346">
        <f t="shared" ref="Z224:Z244" si="463">ROUND(((Y224/X224-1)*100), 1)</f>
        <v>428.6</v>
      </c>
      <c r="AA224" s="428">
        <f>AA225-SUM(AA212:AA223)</f>
        <v>2</v>
      </c>
      <c r="AB224" s="397">
        <f>AB225-SUM(AB212:AB223)</f>
        <v>7</v>
      </c>
      <c r="AC224" s="346">
        <f t="shared" ref="AC224:AC237" si="464">ROUND(((AB224/AA224-1)*100), 1)</f>
        <v>250</v>
      </c>
      <c r="AD224" s="428">
        <f>AD225-SUM(AD212:AD223)</f>
        <v>9</v>
      </c>
      <c r="AE224" s="397">
        <f>AE225-SUM(AE212:AE223)</f>
        <v>44</v>
      </c>
      <c r="AF224" s="346">
        <f t="shared" ref="AF224:AF244" si="465">ROUND(((AE224/AD224-1)*100), 1)</f>
        <v>388.9</v>
      </c>
      <c r="AG224" s="428">
        <f>AG225-SUM(AG212:AG223)</f>
        <v>1</v>
      </c>
      <c r="AH224" s="397">
        <f>AH225-SUM(AH212:AH223)</f>
        <v>20</v>
      </c>
      <c r="AI224" s="346">
        <f t="shared" ref="AI224:AI243" si="466">ROUND(((AH224/AG224-1)*100), 1)</f>
        <v>1900</v>
      </c>
      <c r="AJ224" s="428">
        <f>AJ225-SUM(AJ212:AJ223)</f>
        <v>10</v>
      </c>
      <c r="AK224" s="397">
        <f>AK225-SUM(AK212:AK223)</f>
        <v>64</v>
      </c>
      <c r="AL224" s="346">
        <f t="shared" ref="AL224:AL244" si="467">ROUND(((AK224/AJ224-1)*100), 1)</f>
        <v>540</v>
      </c>
      <c r="AM224" s="733">
        <f>AM225-SUM(AM212:AM223)</f>
        <v>0</v>
      </c>
      <c r="AN224" s="716">
        <f>AN225-SUM(AN212:AN223)</f>
        <v>0</v>
      </c>
      <c r="AO224" s="708">
        <v>0</v>
      </c>
      <c r="AP224" s="773">
        <f>AP225-SUM(AP212:AP223)</f>
        <v>10</v>
      </c>
      <c r="AQ224" s="716">
        <f>AQ225-SUM(AQ212:AQ223)</f>
        <v>64</v>
      </c>
      <c r="AR224" s="709">
        <f t="shared" ref="AR224:AR244" si="468">ROUND(((AQ224/AP224-1)*100), 1)</f>
        <v>540</v>
      </c>
      <c r="AS224" s="773">
        <f>AS225-SUM(AS212:AS223)</f>
        <v>0</v>
      </c>
      <c r="AT224" s="716">
        <f>AT225-SUM(AT212:AT223)</f>
        <v>4</v>
      </c>
      <c r="AU224" s="708">
        <v>0</v>
      </c>
      <c r="AV224" s="1013">
        <f>AV225-SUM(AV212:AV223)</f>
        <v>10</v>
      </c>
      <c r="AW224" s="1002">
        <f>AW225-SUM(AW212:AW223)</f>
        <v>68</v>
      </c>
      <c r="AX224" s="709">
        <f t="shared" ref="AX224:AX244" si="469">ROUND(((AW224/AV224-1)*100), 1)</f>
        <v>580</v>
      </c>
      <c r="AY224" s="773">
        <f>AY225-SUM(AY212:AY223)</f>
        <v>0</v>
      </c>
      <c r="AZ224" s="716">
        <f>AZ225-SUM(AZ212:AZ223)</f>
        <v>15</v>
      </c>
      <c r="BA224" s="708">
        <v>0</v>
      </c>
      <c r="BB224" s="773">
        <f>BB225-SUM(BB212:BB223)</f>
        <v>10</v>
      </c>
      <c r="BC224" s="716">
        <f>BC225-SUM(BC212:BC223)</f>
        <v>83</v>
      </c>
      <c r="BD224" s="709">
        <f t="shared" ref="BD224:BD244" si="470">ROUND(((BC224/BB224-1)*100), 1)</f>
        <v>730</v>
      </c>
      <c r="BE224" s="773">
        <f>BE225-SUM(BE212:BE223)</f>
        <v>0</v>
      </c>
      <c r="BF224" s="716">
        <f>BF225-SUM(BF212:BF223)</f>
        <v>1</v>
      </c>
      <c r="BG224" s="708">
        <v>0</v>
      </c>
      <c r="BH224" s="773">
        <f>BH225-SUM(BH212:BH223)</f>
        <v>10</v>
      </c>
      <c r="BI224" s="716">
        <f>BI225-SUM(BI212:BI223)</f>
        <v>84</v>
      </c>
      <c r="BJ224" s="709">
        <f t="shared" ref="BJ224:BJ244" si="471">ROUND(((BI224/BH224-1)*100), 1)</f>
        <v>740</v>
      </c>
      <c r="BK224" s="773">
        <f>BK225-SUM(BK212:BK223)</f>
        <v>0</v>
      </c>
      <c r="BL224" s="716">
        <f>BL225-SUM(BL212:BL223)</f>
        <v>0</v>
      </c>
      <c r="BM224" s="708">
        <v>0</v>
      </c>
      <c r="BN224" s="773">
        <f>BN225-SUM(BN212:BN223)</f>
        <v>10</v>
      </c>
      <c r="BO224" s="716">
        <f>BO225-SUM(BO212:BO223)</f>
        <v>84</v>
      </c>
      <c r="BP224" s="709">
        <f t="shared" ref="BP224:BP244" si="472">ROUND(((BO224/BN224-1)*100), 1)</f>
        <v>740</v>
      </c>
      <c r="BQ224" s="773">
        <f>BQ225-SUM(BQ212:BQ223)</f>
        <v>4</v>
      </c>
      <c r="BR224" s="716">
        <f>BR225-SUM(BR212:BR223)</f>
        <v>0</v>
      </c>
      <c r="BS224" s="705">
        <f t="shared" ref="BS224:BS239" si="473">ROUND(((BR224/BQ224-1)*100), 1)</f>
        <v>-100</v>
      </c>
      <c r="BT224" s="773">
        <f>BT225-SUM(BT212:BT223)</f>
        <v>14</v>
      </c>
      <c r="BU224" s="716">
        <f>BU225-SUM(BU212:BU223)</f>
        <v>84</v>
      </c>
      <c r="BV224" s="709">
        <f t="shared" ref="BV224:BV244" si="474">ROUND(((BU224/BT224-1)*100), 1)</f>
        <v>500</v>
      </c>
    </row>
    <row r="225" spans="1:74" s="173" customFormat="1">
      <c r="A225" s="338"/>
      <c r="B225" s="1098"/>
      <c r="C225" s="350" t="s">
        <v>230</v>
      </c>
      <c r="D225" s="351">
        <v>40724</v>
      </c>
      <c r="E225" s="351">
        <v>114471</v>
      </c>
      <c r="F225" s="351">
        <v>74721</v>
      </c>
      <c r="G225" s="351">
        <v>113930</v>
      </c>
      <c r="H225" s="351">
        <v>35243</v>
      </c>
      <c r="I225" s="351">
        <v>73216</v>
      </c>
      <c r="J225" s="351">
        <v>171094</v>
      </c>
      <c r="K225" s="479">
        <v>95890</v>
      </c>
      <c r="L225" s="480">
        <v>17271</v>
      </c>
      <c r="M225" s="425">
        <v>2455</v>
      </c>
      <c r="N225" s="352">
        <f t="shared" si="460"/>
        <v>-85.8</v>
      </c>
      <c r="O225" s="480">
        <f t="shared" ref="O225:P243" si="475">R225-L225</f>
        <v>11123</v>
      </c>
      <c r="P225" s="425">
        <f t="shared" si="475"/>
        <v>1805</v>
      </c>
      <c r="Q225" s="352">
        <f t="shared" ref="Q225:Q242" si="476">ROUND(((P225/O225-1)*100), 1)</f>
        <v>-83.8</v>
      </c>
      <c r="R225" s="480">
        <v>28394</v>
      </c>
      <c r="S225" s="425">
        <v>4260</v>
      </c>
      <c r="T225" s="352">
        <f t="shared" si="461"/>
        <v>-85</v>
      </c>
      <c r="U225" s="480">
        <f t="shared" ref="U225:U243" si="477">X225-R225</f>
        <v>15681</v>
      </c>
      <c r="V225" s="425">
        <f t="shared" ref="V225:V243" si="478">Y225-S225</f>
        <v>2940</v>
      </c>
      <c r="W225" s="352">
        <f t="shared" si="462"/>
        <v>-81.3</v>
      </c>
      <c r="X225" s="480">
        <v>44075</v>
      </c>
      <c r="Y225" s="425">
        <v>7200</v>
      </c>
      <c r="Z225" s="352">
        <f t="shared" si="463"/>
        <v>-83.7</v>
      </c>
      <c r="AA225" s="480">
        <f t="shared" ref="AA225:AA243" si="479">AD225-X225</f>
        <v>15655</v>
      </c>
      <c r="AB225" s="425">
        <f t="shared" ref="AB225:AB243" si="480">AE225-Y225</f>
        <v>8054</v>
      </c>
      <c r="AC225" s="352">
        <f t="shared" si="464"/>
        <v>-48.6</v>
      </c>
      <c r="AD225" s="480">
        <v>59730</v>
      </c>
      <c r="AE225" s="425">
        <v>15254</v>
      </c>
      <c r="AF225" s="352">
        <f t="shared" si="465"/>
        <v>-74.5</v>
      </c>
      <c r="AG225" s="480">
        <f t="shared" ref="AG225:AH243" si="481">AJ225-AD225</f>
        <v>9554</v>
      </c>
      <c r="AH225" s="425">
        <f t="shared" si="481"/>
        <v>6626</v>
      </c>
      <c r="AI225" s="352">
        <f t="shared" si="466"/>
        <v>-30.6</v>
      </c>
      <c r="AJ225" s="480">
        <v>69284</v>
      </c>
      <c r="AK225" s="425">
        <v>21880</v>
      </c>
      <c r="AL225" s="352">
        <f t="shared" si="467"/>
        <v>-68.400000000000006</v>
      </c>
      <c r="AM225" s="738">
        <f t="shared" ref="AM225:AM243" si="482">AP225-AJ225</f>
        <v>7293</v>
      </c>
      <c r="AN225" s="730">
        <f t="shared" ref="AN225:AN243" si="483">AQ225-AK225</f>
        <v>5821</v>
      </c>
      <c r="AO225" s="711">
        <f t="shared" ref="AO225:AO242" si="484">ROUND(((AN225/AM225-1)*100), 1)</f>
        <v>-20.2</v>
      </c>
      <c r="AP225" s="738">
        <v>76577</v>
      </c>
      <c r="AQ225" s="730">
        <v>27701</v>
      </c>
      <c r="AR225" s="711">
        <f t="shared" si="468"/>
        <v>-63.8</v>
      </c>
      <c r="AS225" s="738">
        <f t="shared" ref="AS225:AT243" si="485">AV225-AP225</f>
        <v>4497</v>
      </c>
      <c r="AT225" s="730">
        <f t="shared" si="485"/>
        <v>2364</v>
      </c>
      <c r="AU225" s="711">
        <f t="shared" ref="AU225:AU243" si="486">ROUND(((AT225/AS225-1)*100), 1)</f>
        <v>-47.4</v>
      </c>
      <c r="AV225" s="1014">
        <v>81074</v>
      </c>
      <c r="AW225" s="1004">
        <v>30065</v>
      </c>
      <c r="AX225" s="711">
        <f t="shared" si="469"/>
        <v>-62.9</v>
      </c>
      <c r="AY225" s="738">
        <f t="shared" ref="AY225:AY243" si="487">BB225-AV225</f>
        <v>5051</v>
      </c>
      <c r="AZ225" s="730">
        <f t="shared" ref="AZ225:AZ243" si="488">BC225-AW225</f>
        <v>1977</v>
      </c>
      <c r="BA225" s="711">
        <f t="shared" ref="BA225:BA242" si="489">ROUND(((AZ225/AY225-1)*100), 1)</f>
        <v>-60.9</v>
      </c>
      <c r="BB225" s="738">
        <v>86125</v>
      </c>
      <c r="BC225" s="730">
        <v>32042</v>
      </c>
      <c r="BD225" s="711">
        <f t="shared" si="470"/>
        <v>-62.8</v>
      </c>
      <c r="BE225" s="738">
        <f t="shared" ref="BE225:BF243" si="490">BH225-BB225</f>
        <v>1926</v>
      </c>
      <c r="BF225" s="730">
        <f t="shared" si="490"/>
        <v>2354</v>
      </c>
      <c r="BG225" s="711">
        <f t="shared" ref="BG225:BG243" si="491">ROUND(((BF225/BE225-1)*100), 1)</f>
        <v>22.2</v>
      </c>
      <c r="BH225" s="738">
        <v>88051</v>
      </c>
      <c r="BI225" s="730">
        <v>34396</v>
      </c>
      <c r="BJ225" s="711">
        <f t="shared" si="471"/>
        <v>-60.9</v>
      </c>
      <c r="BK225" s="738">
        <f t="shared" ref="BK225:BL243" si="492">BN225-BH225</f>
        <v>2850</v>
      </c>
      <c r="BL225" s="730">
        <f t="shared" si="492"/>
        <v>2812</v>
      </c>
      <c r="BM225" s="711">
        <f t="shared" ref="BM225:BM242" si="493">ROUND(((BL225/BK225-1)*100), 1)</f>
        <v>-1.3</v>
      </c>
      <c r="BN225" s="738">
        <v>90901</v>
      </c>
      <c r="BO225" s="730">
        <v>37208</v>
      </c>
      <c r="BP225" s="711">
        <f t="shared" si="472"/>
        <v>-59.1</v>
      </c>
      <c r="BQ225" s="738">
        <f t="shared" ref="BQ225:BR243" si="494">BT225-BN225</f>
        <v>2086</v>
      </c>
      <c r="BR225" s="730">
        <f t="shared" si="494"/>
        <v>2367</v>
      </c>
      <c r="BS225" s="711">
        <f t="shared" si="473"/>
        <v>13.5</v>
      </c>
      <c r="BT225" s="738">
        <v>92987</v>
      </c>
      <c r="BU225" s="730">
        <v>39575</v>
      </c>
      <c r="BV225" s="711">
        <f t="shared" si="474"/>
        <v>-57.4</v>
      </c>
    </row>
    <row r="226" spans="1:74" s="173" customFormat="1">
      <c r="A226" s="338"/>
      <c r="B226" s="1164" t="s">
        <v>227</v>
      </c>
      <c r="C226" s="345" t="s">
        <v>50</v>
      </c>
      <c r="D226" s="341">
        <v>44137</v>
      </c>
      <c r="E226" s="341">
        <v>57203</v>
      </c>
      <c r="F226" s="341">
        <v>83866</v>
      </c>
      <c r="G226" s="341">
        <v>109309</v>
      </c>
      <c r="H226" s="341">
        <v>84262</v>
      </c>
      <c r="I226" s="341">
        <v>107938</v>
      </c>
      <c r="J226" s="341">
        <v>141157</v>
      </c>
      <c r="K226" s="341">
        <v>167354</v>
      </c>
      <c r="L226" s="428">
        <v>15335</v>
      </c>
      <c r="M226" s="397">
        <v>15609</v>
      </c>
      <c r="N226" s="346">
        <f t="shared" si="460"/>
        <v>1.8</v>
      </c>
      <c r="O226" s="428">
        <f t="shared" si="475"/>
        <v>10085</v>
      </c>
      <c r="P226" s="397">
        <f t="shared" si="475"/>
        <v>9377</v>
      </c>
      <c r="Q226" s="346">
        <f t="shared" si="476"/>
        <v>-7</v>
      </c>
      <c r="R226" s="428">
        <v>25420</v>
      </c>
      <c r="S226" s="397">
        <v>24986</v>
      </c>
      <c r="T226" s="346">
        <f t="shared" si="461"/>
        <v>-1.7</v>
      </c>
      <c r="U226" s="428">
        <f t="shared" si="477"/>
        <v>14009</v>
      </c>
      <c r="V226" s="397">
        <f t="shared" si="478"/>
        <v>18458</v>
      </c>
      <c r="W226" s="346">
        <f t="shared" si="462"/>
        <v>31.8</v>
      </c>
      <c r="X226" s="428">
        <v>39429</v>
      </c>
      <c r="Y226" s="397">
        <v>43444</v>
      </c>
      <c r="Z226" s="346">
        <f t="shared" si="463"/>
        <v>10.199999999999999</v>
      </c>
      <c r="AA226" s="428">
        <f t="shared" si="479"/>
        <v>15576</v>
      </c>
      <c r="AB226" s="397">
        <f t="shared" si="480"/>
        <v>17622</v>
      </c>
      <c r="AC226" s="346">
        <f t="shared" si="464"/>
        <v>13.1</v>
      </c>
      <c r="AD226" s="428">
        <v>55005</v>
      </c>
      <c r="AE226" s="532">
        <v>61066</v>
      </c>
      <c r="AF226" s="346">
        <f t="shared" si="465"/>
        <v>11</v>
      </c>
      <c r="AG226" s="428">
        <f t="shared" si="481"/>
        <v>13411</v>
      </c>
      <c r="AH226" s="397">
        <f t="shared" si="481"/>
        <v>16799</v>
      </c>
      <c r="AI226" s="346">
        <f t="shared" si="466"/>
        <v>25.3</v>
      </c>
      <c r="AJ226" s="428">
        <v>68416</v>
      </c>
      <c r="AK226" s="543">
        <v>77865</v>
      </c>
      <c r="AL226" s="346">
        <f t="shared" si="467"/>
        <v>13.8</v>
      </c>
      <c r="AM226" s="733">
        <f t="shared" si="482"/>
        <v>13103</v>
      </c>
      <c r="AN226" s="716">
        <f t="shared" si="483"/>
        <v>14471</v>
      </c>
      <c r="AO226" s="709">
        <f t="shared" si="484"/>
        <v>10.4</v>
      </c>
      <c r="AP226" s="773">
        <v>81519</v>
      </c>
      <c r="AQ226" s="543">
        <v>92336</v>
      </c>
      <c r="AR226" s="709">
        <f t="shared" si="468"/>
        <v>13.3</v>
      </c>
      <c r="AS226" s="773">
        <f t="shared" si="485"/>
        <v>15085</v>
      </c>
      <c r="AT226" s="716">
        <f t="shared" si="485"/>
        <v>16709</v>
      </c>
      <c r="AU226" s="709">
        <f t="shared" si="486"/>
        <v>10.8</v>
      </c>
      <c r="AV226" s="1013">
        <v>96604</v>
      </c>
      <c r="AW226" s="1017">
        <v>109045</v>
      </c>
      <c r="AX226" s="709">
        <f t="shared" si="469"/>
        <v>12.9</v>
      </c>
      <c r="AY226" s="773">
        <f t="shared" si="487"/>
        <v>14617</v>
      </c>
      <c r="AZ226" s="716">
        <f t="shared" si="488"/>
        <v>13446</v>
      </c>
      <c r="BA226" s="709">
        <f t="shared" si="489"/>
        <v>-8</v>
      </c>
      <c r="BB226" s="773">
        <v>111221</v>
      </c>
      <c r="BC226" s="543">
        <v>122491</v>
      </c>
      <c r="BD226" s="709">
        <f t="shared" si="470"/>
        <v>10.1</v>
      </c>
      <c r="BE226" s="773">
        <f t="shared" si="490"/>
        <v>13333</v>
      </c>
      <c r="BF226" s="716">
        <f t="shared" si="490"/>
        <v>14653</v>
      </c>
      <c r="BG226" s="709">
        <f t="shared" si="491"/>
        <v>9.9</v>
      </c>
      <c r="BH226" s="773">
        <v>124554</v>
      </c>
      <c r="BI226" s="543">
        <v>137144</v>
      </c>
      <c r="BJ226" s="709">
        <f t="shared" si="471"/>
        <v>10.1</v>
      </c>
      <c r="BK226" s="773">
        <f t="shared" si="492"/>
        <v>13772</v>
      </c>
      <c r="BL226" s="716">
        <f t="shared" si="492"/>
        <v>15026</v>
      </c>
      <c r="BM226" s="709">
        <f t="shared" si="493"/>
        <v>9.1</v>
      </c>
      <c r="BN226" s="773">
        <v>138326</v>
      </c>
      <c r="BO226" s="543">
        <v>152170</v>
      </c>
      <c r="BP226" s="709">
        <f t="shared" si="472"/>
        <v>10</v>
      </c>
      <c r="BQ226" s="773">
        <f t="shared" si="494"/>
        <v>14285</v>
      </c>
      <c r="BR226" s="716">
        <f t="shared" si="494"/>
        <v>15383</v>
      </c>
      <c r="BS226" s="709">
        <f t="shared" si="473"/>
        <v>7.7</v>
      </c>
      <c r="BT226" s="773">
        <v>152611</v>
      </c>
      <c r="BU226" s="532">
        <v>167553</v>
      </c>
      <c r="BV226" s="709">
        <f t="shared" si="474"/>
        <v>9.8000000000000007</v>
      </c>
    </row>
    <row r="227" spans="1:74" s="173" customFormat="1">
      <c r="A227" s="338"/>
      <c r="B227" s="1164"/>
      <c r="C227" s="345" t="s">
        <v>113</v>
      </c>
      <c r="D227" s="341">
        <v>15905</v>
      </c>
      <c r="E227" s="341">
        <v>19603</v>
      </c>
      <c r="F227" s="341">
        <v>23233</v>
      </c>
      <c r="G227" s="341">
        <v>25758</v>
      </c>
      <c r="H227" s="341">
        <v>27652</v>
      </c>
      <c r="I227" s="341">
        <v>28038</v>
      </c>
      <c r="J227" s="341">
        <v>26604</v>
      </c>
      <c r="K227" s="341">
        <v>22906</v>
      </c>
      <c r="L227" s="428">
        <v>2197</v>
      </c>
      <c r="M227" s="397">
        <v>1581</v>
      </c>
      <c r="N227" s="346">
        <f t="shared" si="460"/>
        <v>-28</v>
      </c>
      <c r="O227" s="428">
        <f t="shared" si="475"/>
        <v>2544</v>
      </c>
      <c r="P227" s="397">
        <f t="shared" si="475"/>
        <v>1397</v>
      </c>
      <c r="Q227" s="346">
        <f t="shared" si="476"/>
        <v>-45.1</v>
      </c>
      <c r="R227" s="428">
        <v>4741</v>
      </c>
      <c r="S227" s="397">
        <v>2978</v>
      </c>
      <c r="T227" s="346">
        <f t="shared" si="461"/>
        <v>-37.200000000000003</v>
      </c>
      <c r="U227" s="428">
        <f t="shared" si="477"/>
        <v>2465</v>
      </c>
      <c r="V227" s="397">
        <f t="shared" si="478"/>
        <v>1771</v>
      </c>
      <c r="W227" s="346">
        <f t="shared" si="462"/>
        <v>-28.2</v>
      </c>
      <c r="X227" s="428">
        <v>7206</v>
      </c>
      <c r="Y227" s="397">
        <v>4749</v>
      </c>
      <c r="Z227" s="346">
        <f t="shared" si="463"/>
        <v>-34.1</v>
      </c>
      <c r="AA227" s="428">
        <f t="shared" si="479"/>
        <v>2362</v>
      </c>
      <c r="AB227" s="397">
        <f t="shared" si="480"/>
        <v>1440</v>
      </c>
      <c r="AC227" s="346">
        <f t="shared" si="464"/>
        <v>-39</v>
      </c>
      <c r="AD227" s="428">
        <v>9568</v>
      </c>
      <c r="AE227" s="532">
        <v>6189</v>
      </c>
      <c r="AF227" s="346">
        <f t="shared" si="465"/>
        <v>-35.299999999999997</v>
      </c>
      <c r="AG227" s="428">
        <f t="shared" si="481"/>
        <v>2128</v>
      </c>
      <c r="AH227" s="397">
        <f t="shared" si="481"/>
        <v>2015</v>
      </c>
      <c r="AI227" s="346">
        <f t="shared" si="466"/>
        <v>-5.3</v>
      </c>
      <c r="AJ227" s="428">
        <v>11696</v>
      </c>
      <c r="AK227" s="543">
        <v>8204</v>
      </c>
      <c r="AL227" s="346">
        <f t="shared" si="467"/>
        <v>-29.9</v>
      </c>
      <c r="AM227" s="733">
        <f t="shared" si="482"/>
        <v>1593</v>
      </c>
      <c r="AN227" s="716">
        <f t="shared" si="483"/>
        <v>1369</v>
      </c>
      <c r="AO227" s="709">
        <f t="shared" si="484"/>
        <v>-14.1</v>
      </c>
      <c r="AP227" s="773">
        <v>13289</v>
      </c>
      <c r="AQ227" s="543">
        <v>9573</v>
      </c>
      <c r="AR227" s="709">
        <f t="shared" si="468"/>
        <v>-28</v>
      </c>
      <c r="AS227" s="773">
        <f t="shared" si="485"/>
        <v>1574</v>
      </c>
      <c r="AT227" s="716">
        <f t="shared" si="485"/>
        <v>1653</v>
      </c>
      <c r="AU227" s="709">
        <f t="shared" si="486"/>
        <v>5</v>
      </c>
      <c r="AV227" s="1013">
        <v>14863</v>
      </c>
      <c r="AW227" s="1017">
        <v>11226</v>
      </c>
      <c r="AX227" s="709">
        <f t="shared" si="469"/>
        <v>-24.5</v>
      </c>
      <c r="AY227" s="773">
        <f t="shared" si="487"/>
        <v>1488</v>
      </c>
      <c r="AZ227" s="716">
        <f t="shared" si="488"/>
        <v>1253</v>
      </c>
      <c r="BA227" s="709">
        <f t="shared" si="489"/>
        <v>-15.8</v>
      </c>
      <c r="BB227" s="773">
        <v>16351</v>
      </c>
      <c r="BC227" s="543">
        <v>12479</v>
      </c>
      <c r="BD227" s="709">
        <f t="shared" si="470"/>
        <v>-23.7</v>
      </c>
      <c r="BE227" s="773">
        <f t="shared" si="490"/>
        <v>1704</v>
      </c>
      <c r="BF227" s="716">
        <f t="shared" si="490"/>
        <v>1286</v>
      </c>
      <c r="BG227" s="709">
        <f t="shared" si="491"/>
        <v>-24.5</v>
      </c>
      <c r="BH227" s="773">
        <v>18055</v>
      </c>
      <c r="BI227" s="543">
        <v>13765</v>
      </c>
      <c r="BJ227" s="709">
        <f t="shared" si="471"/>
        <v>-23.8</v>
      </c>
      <c r="BK227" s="773">
        <f t="shared" si="492"/>
        <v>1602</v>
      </c>
      <c r="BL227" s="716">
        <f t="shared" si="492"/>
        <v>1015</v>
      </c>
      <c r="BM227" s="709">
        <f t="shared" si="493"/>
        <v>-36.6</v>
      </c>
      <c r="BN227" s="773">
        <v>19657</v>
      </c>
      <c r="BO227" s="543">
        <v>14780</v>
      </c>
      <c r="BP227" s="709">
        <f t="shared" si="472"/>
        <v>-24.8</v>
      </c>
      <c r="BQ227" s="773">
        <f t="shared" si="494"/>
        <v>1997</v>
      </c>
      <c r="BR227" s="716">
        <f t="shared" si="494"/>
        <v>720</v>
      </c>
      <c r="BS227" s="709">
        <f t="shared" si="473"/>
        <v>-63.9</v>
      </c>
      <c r="BT227" s="773">
        <v>21654</v>
      </c>
      <c r="BU227" s="532">
        <v>15500</v>
      </c>
      <c r="BV227" s="709">
        <f t="shared" si="474"/>
        <v>-28.4</v>
      </c>
    </row>
    <row r="228" spans="1:74" s="173" customFormat="1">
      <c r="A228" s="338"/>
      <c r="B228" s="1164"/>
      <c r="C228" s="345" t="s">
        <v>116</v>
      </c>
      <c r="D228" s="341">
        <v>22249</v>
      </c>
      <c r="E228" s="341">
        <v>20597</v>
      </c>
      <c r="F228" s="341">
        <v>22086</v>
      </c>
      <c r="G228" s="341">
        <v>24015</v>
      </c>
      <c r="H228" s="341">
        <v>24625</v>
      </c>
      <c r="I228" s="341">
        <v>23865</v>
      </c>
      <c r="J228" s="341">
        <v>21256</v>
      </c>
      <c r="K228" s="341">
        <v>17633</v>
      </c>
      <c r="L228" s="428">
        <v>1843</v>
      </c>
      <c r="M228" s="397">
        <v>1115</v>
      </c>
      <c r="N228" s="346">
        <f t="shared" si="460"/>
        <v>-39.5</v>
      </c>
      <c r="O228" s="428">
        <f t="shared" si="475"/>
        <v>1107</v>
      </c>
      <c r="P228" s="397">
        <f t="shared" si="475"/>
        <v>1479</v>
      </c>
      <c r="Q228" s="346">
        <f t="shared" si="476"/>
        <v>33.6</v>
      </c>
      <c r="R228" s="428">
        <v>2950</v>
      </c>
      <c r="S228" s="397">
        <v>2594</v>
      </c>
      <c r="T228" s="346">
        <f t="shared" si="461"/>
        <v>-12.1</v>
      </c>
      <c r="U228" s="428">
        <f t="shared" si="477"/>
        <v>1247</v>
      </c>
      <c r="V228" s="397">
        <f t="shared" si="478"/>
        <v>1276</v>
      </c>
      <c r="W228" s="346">
        <f t="shared" si="462"/>
        <v>2.2999999999999998</v>
      </c>
      <c r="X228" s="428">
        <v>4197</v>
      </c>
      <c r="Y228" s="397">
        <v>3870</v>
      </c>
      <c r="Z228" s="346">
        <f t="shared" si="463"/>
        <v>-7.8</v>
      </c>
      <c r="AA228" s="428">
        <f t="shared" si="479"/>
        <v>1602</v>
      </c>
      <c r="AB228" s="397">
        <f t="shared" si="480"/>
        <v>1404</v>
      </c>
      <c r="AC228" s="346">
        <f t="shared" si="464"/>
        <v>-12.4</v>
      </c>
      <c r="AD228" s="428">
        <v>5799</v>
      </c>
      <c r="AE228" s="532">
        <v>5274</v>
      </c>
      <c r="AF228" s="346">
        <f t="shared" si="465"/>
        <v>-9.1</v>
      </c>
      <c r="AG228" s="428">
        <f t="shared" si="481"/>
        <v>1883</v>
      </c>
      <c r="AH228" s="397">
        <f t="shared" si="481"/>
        <v>1096</v>
      </c>
      <c r="AI228" s="346">
        <f t="shared" si="466"/>
        <v>-41.8</v>
      </c>
      <c r="AJ228" s="428">
        <v>7682</v>
      </c>
      <c r="AK228" s="543">
        <v>6370</v>
      </c>
      <c r="AL228" s="346">
        <f t="shared" si="467"/>
        <v>-17.100000000000001</v>
      </c>
      <c r="AM228" s="733">
        <f t="shared" si="482"/>
        <v>1549</v>
      </c>
      <c r="AN228" s="716">
        <f t="shared" si="483"/>
        <v>1165</v>
      </c>
      <c r="AO228" s="709">
        <f t="shared" si="484"/>
        <v>-24.8</v>
      </c>
      <c r="AP228" s="773">
        <v>9231</v>
      </c>
      <c r="AQ228" s="543">
        <v>7535</v>
      </c>
      <c r="AR228" s="709">
        <f t="shared" si="468"/>
        <v>-18.399999999999999</v>
      </c>
      <c r="AS228" s="773">
        <f t="shared" si="485"/>
        <v>2017</v>
      </c>
      <c r="AT228" s="716">
        <f t="shared" si="485"/>
        <v>1593</v>
      </c>
      <c r="AU228" s="709">
        <f t="shared" si="486"/>
        <v>-21</v>
      </c>
      <c r="AV228" s="1013">
        <v>11248</v>
      </c>
      <c r="AW228" s="1017">
        <v>9128</v>
      </c>
      <c r="AX228" s="709">
        <f t="shared" si="469"/>
        <v>-18.8</v>
      </c>
      <c r="AY228" s="773">
        <f t="shared" si="487"/>
        <v>1497</v>
      </c>
      <c r="AZ228" s="716">
        <f t="shared" si="488"/>
        <v>914</v>
      </c>
      <c r="BA228" s="709">
        <f t="shared" si="489"/>
        <v>-38.9</v>
      </c>
      <c r="BB228" s="773">
        <v>12745</v>
      </c>
      <c r="BC228" s="543">
        <v>10042</v>
      </c>
      <c r="BD228" s="709">
        <f t="shared" si="470"/>
        <v>-21.2</v>
      </c>
      <c r="BE228" s="773">
        <f t="shared" si="490"/>
        <v>1304</v>
      </c>
      <c r="BF228" s="716">
        <f t="shared" si="490"/>
        <v>1184</v>
      </c>
      <c r="BG228" s="709">
        <f t="shared" si="491"/>
        <v>-9.1999999999999993</v>
      </c>
      <c r="BH228" s="773">
        <v>14049</v>
      </c>
      <c r="BI228" s="543">
        <v>11226</v>
      </c>
      <c r="BJ228" s="709">
        <f t="shared" si="471"/>
        <v>-20.100000000000001</v>
      </c>
      <c r="BK228" s="773">
        <f t="shared" si="492"/>
        <v>1403</v>
      </c>
      <c r="BL228" s="716">
        <f t="shared" si="492"/>
        <v>677</v>
      </c>
      <c r="BM228" s="709">
        <f t="shared" si="493"/>
        <v>-51.7</v>
      </c>
      <c r="BN228" s="773">
        <v>15452</v>
      </c>
      <c r="BO228" s="543">
        <v>11903</v>
      </c>
      <c r="BP228" s="709">
        <f t="shared" si="472"/>
        <v>-23</v>
      </c>
      <c r="BQ228" s="773">
        <f t="shared" si="494"/>
        <v>1255</v>
      </c>
      <c r="BR228" s="716">
        <f t="shared" si="494"/>
        <v>842</v>
      </c>
      <c r="BS228" s="709">
        <f t="shared" si="473"/>
        <v>-32.9</v>
      </c>
      <c r="BT228" s="773">
        <v>16707</v>
      </c>
      <c r="BU228" s="532">
        <v>12745</v>
      </c>
      <c r="BV228" s="709">
        <f t="shared" si="474"/>
        <v>-23.7</v>
      </c>
    </row>
    <row r="229" spans="1:74" s="173" customFormat="1">
      <c r="A229" s="338"/>
      <c r="B229" s="1164"/>
      <c r="C229" s="345" t="s">
        <v>101</v>
      </c>
      <c r="D229" s="341">
        <v>1836</v>
      </c>
      <c r="E229" s="341">
        <v>1737</v>
      </c>
      <c r="F229" s="341">
        <v>1215</v>
      </c>
      <c r="G229" s="341">
        <v>1803</v>
      </c>
      <c r="H229" s="341">
        <v>4489</v>
      </c>
      <c r="I229" s="341">
        <v>6481</v>
      </c>
      <c r="J229" s="341">
        <v>14921</v>
      </c>
      <c r="K229" s="341">
        <v>16928</v>
      </c>
      <c r="L229" s="428">
        <v>1007</v>
      </c>
      <c r="M229" s="397">
        <v>2070</v>
      </c>
      <c r="N229" s="346">
        <f t="shared" si="460"/>
        <v>105.6</v>
      </c>
      <c r="O229" s="428">
        <f t="shared" si="475"/>
        <v>1256</v>
      </c>
      <c r="P229" s="397">
        <f t="shared" si="475"/>
        <v>810</v>
      </c>
      <c r="Q229" s="346">
        <f t="shared" si="476"/>
        <v>-35.5</v>
      </c>
      <c r="R229" s="428">
        <v>2263</v>
      </c>
      <c r="S229" s="397">
        <v>2880</v>
      </c>
      <c r="T229" s="346">
        <f t="shared" si="461"/>
        <v>27.3</v>
      </c>
      <c r="U229" s="428">
        <f t="shared" si="477"/>
        <v>1462</v>
      </c>
      <c r="V229" s="397">
        <f t="shared" si="478"/>
        <v>1229</v>
      </c>
      <c r="W229" s="346">
        <f t="shared" si="462"/>
        <v>-15.9</v>
      </c>
      <c r="X229" s="428">
        <v>3725</v>
      </c>
      <c r="Y229" s="397">
        <v>4109</v>
      </c>
      <c r="Z229" s="346">
        <f t="shared" si="463"/>
        <v>10.3</v>
      </c>
      <c r="AA229" s="428">
        <f t="shared" si="479"/>
        <v>1158</v>
      </c>
      <c r="AB229" s="397">
        <f t="shared" si="480"/>
        <v>1386</v>
      </c>
      <c r="AC229" s="346">
        <f t="shared" si="464"/>
        <v>19.7</v>
      </c>
      <c r="AD229" s="428">
        <v>4883</v>
      </c>
      <c r="AE229" s="532">
        <v>5495</v>
      </c>
      <c r="AF229" s="346">
        <f t="shared" si="465"/>
        <v>12.5</v>
      </c>
      <c r="AG229" s="428">
        <f t="shared" si="481"/>
        <v>1395</v>
      </c>
      <c r="AH229" s="397">
        <f t="shared" si="481"/>
        <v>1315</v>
      </c>
      <c r="AI229" s="346">
        <f t="shared" si="466"/>
        <v>-5.7</v>
      </c>
      <c r="AJ229" s="428">
        <v>6278</v>
      </c>
      <c r="AK229" s="543">
        <v>6810</v>
      </c>
      <c r="AL229" s="346">
        <f t="shared" si="467"/>
        <v>8.5</v>
      </c>
      <c r="AM229" s="733">
        <f t="shared" si="482"/>
        <v>1632</v>
      </c>
      <c r="AN229" s="716">
        <f t="shared" si="483"/>
        <v>1318</v>
      </c>
      <c r="AO229" s="709">
        <f t="shared" si="484"/>
        <v>-19.2</v>
      </c>
      <c r="AP229" s="773">
        <v>7910</v>
      </c>
      <c r="AQ229" s="543">
        <v>8128</v>
      </c>
      <c r="AR229" s="709">
        <f t="shared" si="468"/>
        <v>2.8</v>
      </c>
      <c r="AS229" s="773">
        <f t="shared" si="485"/>
        <v>1273</v>
      </c>
      <c r="AT229" s="716">
        <f t="shared" si="485"/>
        <v>1838</v>
      </c>
      <c r="AU229" s="709">
        <f t="shared" si="486"/>
        <v>44.4</v>
      </c>
      <c r="AV229" s="1013">
        <v>9183</v>
      </c>
      <c r="AW229" s="1017">
        <v>9966</v>
      </c>
      <c r="AX229" s="709">
        <f t="shared" si="469"/>
        <v>8.5</v>
      </c>
      <c r="AY229" s="773">
        <f t="shared" si="487"/>
        <v>1657</v>
      </c>
      <c r="AZ229" s="716">
        <f t="shared" si="488"/>
        <v>1054</v>
      </c>
      <c r="BA229" s="709">
        <f t="shared" si="489"/>
        <v>-36.4</v>
      </c>
      <c r="BB229" s="773">
        <v>10840</v>
      </c>
      <c r="BC229" s="543">
        <v>11020</v>
      </c>
      <c r="BD229" s="709">
        <f t="shared" si="470"/>
        <v>1.7</v>
      </c>
      <c r="BE229" s="773">
        <f t="shared" si="490"/>
        <v>1031</v>
      </c>
      <c r="BF229" s="716">
        <f t="shared" si="490"/>
        <v>1029</v>
      </c>
      <c r="BG229" s="709">
        <f t="shared" si="491"/>
        <v>-0.2</v>
      </c>
      <c r="BH229" s="773">
        <v>11871</v>
      </c>
      <c r="BI229" s="543">
        <v>12049</v>
      </c>
      <c r="BJ229" s="709">
        <f t="shared" si="471"/>
        <v>1.5</v>
      </c>
      <c r="BK229" s="773">
        <f t="shared" si="492"/>
        <v>1939</v>
      </c>
      <c r="BL229" s="716">
        <f t="shared" si="492"/>
        <v>1582</v>
      </c>
      <c r="BM229" s="709">
        <f t="shared" si="493"/>
        <v>-18.399999999999999</v>
      </c>
      <c r="BN229" s="773">
        <v>13810</v>
      </c>
      <c r="BO229" s="543">
        <v>13631</v>
      </c>
      <c r="BP229" s="709">
        <f t="shared" si="472"/>
        <v>-1.3</v>
      </c>
      <c r="BQ229" s="773">
        <f t="shared" si="494"/>
        <v>1286</v>
      </c>
      <c r="BR229" s="716">
        <f t="shared" si="494"/>
        <v>1705</v>
      </c>
      <c r="BS229" s="709">
        <f t="shared" si="473"/>
        <v>32.6</v>
      </c>
      <c r="BT229" s="773">
        <v>15096</v>
      </c>
      <c r="BU229" s="532">
        <v>15336</v>
      </c>
      <c r="BV229" s="709">
        <f t="shared" si="474"/>
        <v>1.6</v>
      </c>
    </row>
    <row r="230" spans="1:74" s="173" customFormat="1">
      <c r="A230" s="338"/>
      <c r="B230" s="1164"/>
      <c r="C230" s="345" t="s">
        <v>107</v>
      </c>
      <c r="D230" s="341">
        <v>4098</v>
      </c>
      <c r="E230" s="341">
        <v>5968</v>
      </c>
      <c r="F230" s="341">
        <v>8467</v>
      </c>
      <c r="G230" s="341">
        <v>13950</v>
      </c>
      <c r="H230" s="341">
        <v>14377</v>
      </c>
      <c r="I230" s="341">
        <v>12652</v>
      </c>
      <c r="J230" s="341">
        <v>11351</v>
      </c>
      <c r="K230" s="341">
        <v>9225</v>
      </c>
      <c r="L230" s="428">
        <v>664</v>
      </c>
      <c r="M230" s="397">
        <v>653</v>
      </c>
      <c r="N230" s="346">
        <f t="shared" si="460"/>
        <v>-1.7</v>
      </c>
      <c r="O230" s="428">
        <f t="shared" si="475"/>
        <v>610</v>
      </c>
      <c r="P230" s="397">
        <f t="shared" si="475"/>
        <v>618</v>
      </c>
      <c r="Q230" s="346">
        <f t="shared" si="476"/>
        <v>1.3</v>
      </c>
      <c r="R230" s="428">
        <v>1274</v>
      </c>
      <c r="S230" s="397">
        <v>1271</v>
      </c>
      <c r="T230" s="346">
        <f t="shared" si="461"/>
        <v>-0.2</v>
      </c>
      <c r="U230" s="428">
        <f t="shared" si="477"/>
        <v>585</v>
      </c>
      <c r="V230" s="397">
        <f t="shared" si="478"/>
        <v>650</v>
      </c>
      <c r="W230" s="346">
        <f t="shared" si="462"/>
        <v>11.1</v>
      </c>
      <c r="X230" s="428">
        <v>1859</v>
      </c>
      <c r="Y230" s="397">
        <v>1921</v>
      </c>
      <c r="Z230" s="346">
        <f t="shared" si="463"/>
        <v>3.3</v>
      </c>
      <c r="AA230" s="428">
        <f t="shared" si="479"/>
        <v>917</v>
      </c>
      <c r="AB230" s="397">
        <f t="shared" si="480"/>
        <v>719</v>
      </c>
      <c r="AC230" s="346">
        <f t="shared" si="464"/>
        <v>-21.6</v>
      </c>
      <c r="AD230" s="428">
        <v>2776</v>
      </c>
      <c r="AE230" s="532">
        <v>2640</v>
      </c>
      <c r="AF230" s="346">
        <f t="shared" si="465"/>
        <v>-4.9000000000000004</v>
      </c>
      <c r="AG230" s="428">
        <f t="shared" si="481"/>
        <v>834</v>
      </c>
      <c r="AH230" s="397">
        <f t="shared" si="481"/>
        <v>703</v>
      </c>
      <c r="AI230" s="346">
        <f t="shared" si="466"/>
        <v>-15.7</v>
      </c>
      <c r="AJ230" s="428">
        <v>3610</v>
      </c>
      <c r="AK230" s="543">
        <v>3343</v>
      </c>
      <c r="AL230" s="346">
        <f t="shared" si="467"/>
        <v>-7.4</v>
      </c>
      <c r="AM230" s="733">
        <f t="shared" si="482"/>
        <v>1059</v>
      </c>
      <c r="AN230" s="716">
        <f t="shared" si="483"/>
        <v>702</v>
      </c>
      <c r="AO230" s="709">
        <f t="shared" si="484"/>
        <v>-33.700000000000003</v>
      </c>
      <c r="AP230" s="773">
        <v>4669</v>
      </c>
      <c r="AQ230" s="543">
        <v>4045</v>
      </c>
      <c r="AR230" s="709">
        <f t="shared" si="468"/>
        <v>-13.4</v>
      </c>
      <c r="AS230" s="773">
        <f t="shared" si="485"/>
        <v>834</v>
      </c>
      <c r="AT230" s="716">
        <f t="shared" si="485"/>
        <v>703</v>
      </c>
      <c r="AU230" s="709">
        <f t="shared" si="486"/>
        <v>-15.7</v>
      </c>
      <c r="AV230" s="1013">
        <v>5503</v>
      </c>
      <c r="AW230" s="1017">
        <v>4748</v>
      </c>
      <c r="AX230" s="709">
        <f t="shared" si="469"/>
        <v>-13.7</v>
      </c>
      <c r="AY230" s="773">
        <f t="shared" si="487"/>
        <v>926</v>
      </c>
      <c r="AZ230" s="716">
        <f t="shared" si="488"/>
        <v>648</v>
      </c>
      <c r="BA230" s="709">
        <f t="shared" si="489"/>
        <v>-30</v>
      </c>
      <c r="BB230" s="773">
        <v>6429</v>
      </c>
      <c r="BC230" s="543">
        <v>5396</v>
      </c>
      <c r="BD230" s="709">
        <f t="shared" si="470"/>
        <v>-16.100000000000001</v>
      </c>
      <c r="BE230" s="773">
        <f t="shared" si="490"/>
        <v>524</v>
      </c>
      <c r="BF230" s="716">
        <f t="shared" si="490"/>
        <v>585</v>
      </c>
      <c r="BG230" s="709">
        <f t="shared" si="491"/>
        <v>11.6</v>
      </c>
      <c r="BH230" s="773">
        <v>6953</v>
      </c>
      <c r="BI230" s="543">
        <v>5981</v>
      </c>
      <c r="BJ230" s="709">
        <f t="shared" si="471"/>
        <v>-14</v>
      </c>
      <c r="BK230" s="773">
        <f t="shared" si="492"/>
        <v>758</v>
      </c>
      <c r="BL230" s="716">
        <f t="shared" si="492"/>
        <v>804</v>
      </c>
      <c r="BM230" s="709">
        <f t="shared" si="493"/>
        <v>6.1</v>
      </c>
      <c r="BN230" s="773">
        <v>7711</v>
      </c>
      <c r="BO230" s="543">
        <v>6785</v>
      </c>
      <c r="BP230" s="709">
        <f t="shared" si="472"/>
        <v>-12</v>
      </c>
      <c r="BQ230" s="773">
        <f t="shared" si="494"/>
        <v>719</v>
      </c>
      <c r="BR230" s="716">
        <f t="shared" si="494"/>
        <v>637</v>
      </c>
      <c r="BS230" s="709">
        <f t="shared" si="473"/>
        <v>-11.4</v>
      </c>
      <c r="BT230" s="773">
        <v>8430</v>
      </c>
      <c r="BU230" s="532">
        <v>7422</v>
      </c>
      <c r="BV230" s="709">
        <f t="shared" si="474"/>
        <v>-12</v>
      </c>
    </row>
    <row r="231" spans="1:74" s="173" customFormat="1">
      <c r="A231" s="338"/>
      <c r="B231" s="1164"/>
      <c r="C231" s="345" t="s">
        <v>128</v>
      </c>
      <c r="D231" s="341">
        <v>2817</v>
      </c>
      <c r="E231" s="341">
        <v>2721</v>
      </c>
      <c r="F231" s="341">
        <v>3946</v>
      </c>
      <c r="G231" s="341">
        <v>6009</v>
      </c>
      <c r="H231" s="341">
        <v>8067</v>
      </c>
      <c r="I231" s="341">
        <v>6365</v>
      </c>
      <c r="J231" s="341">
        <v>4732</v>
      </c>
      <c r="K231" s="341">
        <v>3667</v>
      </c>
      <c r="L231" s="428">
        <v>424</v>
      </c>
      <c r="M231" s="397">
        <v>468</v>
      </c>
      <c r="N231" s="346">
        <f t="shared" si="460"/>
        <v>10.4</v>
      </c>
      <c r="O231" s="428">
        <f t="shared" si="475"/>
        <v>197</v>
      </c>
      <c r="P231" s="397">
        <f t="shared" si="475"/>
        <v>294</v>
      </c>
      <c r="Q231" s="346">
        <f t="shared" si="476"/>
        <v>49.2</v>
      </c>
      <c r="R231" s="428">
        <v>621</v>
      </c>
      <c r="S231" s="397">
        <v>762</v>
      </c>
      <c r="T231" s="346">
        <f t="shared" si="461"/>
        <v>22.7</v>
      </c>
      <c r="U231" s="428">
        <f t="shared" si="477"/>
        <v>181</v>
      </c>
      <c r="V231" s="397">
        <f t="shared" si="478"/>
        <v>328</v>
      </c>
      <c r="W231" s="346">
        <f t="shared" si="462"/>
        <v>81.2</v>
      </c>
      <c r="X231" s="428">
        <v>802</v>
      </c>
      <c r="Y231" s="397">
        <v>1090</v>
      </c>
      <c r="Z231" s="346">
        <f t="shared" si="463"/>
        <v>35.9</v>
      </c>
      <c r="AA231" s="428">
        <f t="shared" si="479"/>
        <v>187</v>
      </c>
      <c r="AB231" s="397">
        <f t="shared" si="480"/>
        <v>244</v>
      </c>
      <c r="AC231" s="346">
        <f t="shared" si="464"/>
        <v>30.5</v>
      </c>
      <c r="AD231" s="428">
        <v>989</v>
      </c>
      <c r="AE231" s="532">
        <v>1334</v>
      </c>
      <c r="AF231" s="346">
        <f t="shared" si="465"/>
        <v>34.9</v>
      </c>
      <c r="AG231" s="428">
        <f t="shared" si="481"/>
        <v>370</v>
      </c>
      <c r="AH231" s="397">
        <f t="shared" si="481"/>
        <v>188</v>
      </c>
      <c r="AI231" s="346">
        <f t="shared" si="466"/>
        <v>-49.2</v>
      </c>
      <c r="AJ231" s="428">
        <v>1359</v>
      </c>
      <c r="AK231" s="543">
        <v>1522</v>
      </c>
      <c r="AL231" s="346">
        <f t="shared" si="467"/>
        <v>12</v>
      </c>
      <c r="AM231" s="733">
        <f t="shared" si="482"/>
        <v>253</v>
      </c>
      <c r="AN231" s="716">
        <f t="shared" si="483"/>
        <v>139</v>
      </c>
      <c r="AO231" s="709">
        <f t="shared" si="484"/>
        <v>-45.1</v>
      </c>
      <c r="AP231" s="773">
        <v>1612</v>
      </c>
      <c r="AQ231" s="543">
        <v>1661</v>
      </c>
      <c r="AR231" s="709">
        <f t="shared" si="468"/>
        <v>3</v>
      </c>
      <c r="AS231" s="773">
        <f t="shared" si="485"/>
        <v>511</v>
      </c>
      <c r="AT231" s="716">
        <f t="shared" si="485"/>
        <v>311</v>
      </c>
      <c r="AU231" s="709">
        <f t="shared" si="486"/>
        <v>-39.1</v>
      </c>
      <c r="AV231" s="1013">
        <v>2123</v>
      </c>
      <c r="AW231" s="1017">
        <v>1972</v>
      </c>
      <c r="AX231" s="709">
        <f t="shared" si="469"/>
        <v>-7.1</v>
      </c>
      <c r="AY231" s="773">
        <f t="shared" si="487"/>
        <v>286</v>
      </c>
      <c r="AZ231" s="716">
        <f t="shared" si="488"/>
        <v>306</v>
      </c>
      <c r="BA231" s="709">
        <f t="shared" si="489"/>
        <v>7</v>
      </c>
      <c r="BB231" s="773">
        <v>2409</v>
      </c>
      <c r="BC231" s="543">
        <v>2278</v>
      </c>
      <c r="BD231" s="709">
        <f t="shared" si="470"/>
        <v>-5.4</v>
      </c>
      <c r="BE231" s="773">
        <f t="shared" si="490"/>
        <v>344</v>
      </c>
      <c r="BF231" s="716">
        <f t="shared" si="490"/>
        <v>249</v>
      </c>
      <c r="BG231" s="709">
        <f t="shared" si="491"/>
        <v>-27.6</v>
      </c>
      <c r="BH231" s="773">
        <v>2753</v>
      </c>
      <c r="BI231" s="543">
        <v>2527</v>
      </c>
      <c r="BJ231" s="709">
        <f t="shared" si="471"/>
        <v>-8.1999999999999993</v>
      </c>
      <c r="BK231" s="773">
        <f t="shared" si="492"/>
        <v>80</v>
      </c>
      <c r="BL231" s="716">
        <f t="shared" si="492"/>
        <v>107</v>
      </c>
      <c r="BM231" s="709">
        <f t="shared" si="493"/>
        <v>33.799999999999997</v>
      </c>
      <c r="BN231" s="773">
        <v>2833</v>
      </c>
      <c r="BO231" s="543">
        <v>2634</v>
      </c>
      <c r="BP231" s="709">
        <f t="shared" si="472"/>
        <v>-7</v>
      </c>
      <c r="BQ231" s="773">
        <f t="shared" si="494"/>
        <v>526</v>
      </c>
      <c r="BR231" s="716">
        <f t="shared" si="494"/>
        <v>117</v>
      </c>
      <c r="BS231" s="709">
        <f t="shared" si="473"/>
        <v>-77.8</v>
      </c>
      <c r="BT231" s="773">
        <v>3359</v>
      </c>
      <c r="BU231" s="532">
        <v>2751</v>
      </c>
      <c r="BV231" s="709">
        <f t="shared" si="474"/>
        <v>-18.100000000000001</v>
      </c>
    </row>
    <row r="232" spans="1:74" s="173" customFormat="1">
      <c r="A232" s="338"/>
      <c r="B232" s="1164"/>
      <c r="C232" s="345" t="s">
        <v>86</v>
      </c>
      <c r="D232" s="341">
        <v>1900</v>
      </c>
      <c r="E232" s="341">
        <v>1279</v>
      </c>
      <c r="F232" s="341">
        <v>1314</v>
      </c>
      <c r="G232" s="341">
        <v>2436</v>
      </c>
      <c r="H232" s="341">
        <v>2293</v>
      </c>
      <c r="I232" s="341">
        <v>2577</v>
      </c>
      <c r="J232" s="341">
        <v>2913</v>
      </c>
      <c r="K232" s="341">
        <v>2859</v>
      </c>
      <c r="L232" s="428">
        <v>264</v>
      </c>
      <c r="M232" s="397">
        <v>289</v>
      </c>
      <c r="N232" s="346">
        <f t="shared" si="460"/>
        <v>9.5</v>
      </c>
      <c r="O232" s="428">
        <f t="shared" si="475"/>
        <v>163</v>
      </c>
      <c r="P232" s="397">
        <f t="shared" si="475"/>
        <v>391</v>
      </c>
      <c r="Q232" s="346">
        <f t="shared" si="476"/>
        <v>139.9</v>
      </c>
      <c r="R232" s="428">
        <v>427</v>
      </c>
      <c r="S232" s="397">
        <v>680</v>
      </c>
      <c r="T232" s="346">
        <f t="shared" si="461"/>
        <v>59.3</v>
      </c>
      <c r="U232" s="428">
        <f t="shared" si="477"/>
        <v>339</v>
      </c>
      <c r="V232" s="397">
        <f t="shared" si="478"/>
        <v>232</v>
      </c>
      <c r="W232" s="346">
        <f t="shared" si="462"/>
        <v>-31.6</v>
      </c>
      <c r="X232" s="428">
        <v>766</v>
      </c>
      <c r="Y232" s="397">
        <v>912</v>
      </c>
      <c r="Z232" s="346">
        <f t="shared" si="463"/>
        <v>19.100000000000001</v>
      </c>
      <c r="AA232" s="428">
        <f t="shared" si="479"/>
        <v>225</v>
      </c>
      <c r="AB232" s="397">
        <f t="shared" si="480"/>
        <v>433</v>
      </c>
      <c r="AC232" s="346">
        <f t="shared" si="464"/>
        <v>92.4</v>
      </c>
      <c r="AD232" s="428">
        <v>991</v>
      </c>
      <c r="AE232" s="532">
        <v>1345</v>
      </c>
      <c r="AF232" s="346">
        <f t="shared" si="465"/>
        <v>35.700000000000003</v>
      </c>
      <c r="AG232" s="428">
        <f t="shared" si="481"/>
        <v>161</v>
      </c>
      <c r="AH232" s="397">
        <f t="shared" si="481"/>
        <v>431</v>
      </c>
      <c r="AI232" s="346">
        <f t="shared" si="466"/>
        <v>167.7</v>
      </c>
      <c r="AJ232" s="428">
        <v>1152</v>
      </c>
      <c r="AK232" s="543">
        <v>1776</v>
      </c>
      <c r="AL232" s="346">
        <f t="shared" si="467"/>
        <v>54.2</v>
      </c>
      <c r="AM232" s="733">
        <f t="shared" si="482"/>
        <v>215</v>
      </c>
      <c r="AN232" s="716">
        <f t="shared" si="483"/>
        <v>256</v>
      </c>
      <c r="AO232" s="709">
        <f t="shared" si="484"/>
        <v>19.100000000000001</v>
      </c>
      <c r="AP232" s="773">
        <v>1367</v>
      </c>
      <c r="AQ232" s="543">
        <v>2032</v>
      </c>
      <c r="AR232" s="709">
        <f t="shared" si="468"/>
        <v>48.6</v>
      </c>
      <c r="AS232" s="773">
        <f t="shared" si="485"/>
        <v>239</v>
      </c>
      <c r="AT232" s="716">
        <f t="shared" si="485"/>
        <v>304</v>
      </c>
      <c r="AU232" s="709">
        <f t="shared" si="486"/>
        <v>27.2</v>
      </c>
      <c r="AV232" s="1013">
        <v>1606</v>
      </c>
      <c r="AW232" s="1017">
        <v>2336</v>
      </c>
      <c r="AX232" s="709">
        <f t="shared" si="469"/>
        <v>45.5</v>
      </c>
      <c r="AY232" s="773">
        <f t="shared" si="487"/>
        <v>257</v>
      </c>
      <c r="AZ232" s="716">
        <f t="shared" si="488"/>
        <v>95</v>
      </c>
      <c r="BA232" s="709">
        <f t="shared" si="489"/>
        <v>-63</v>
      </c>
      <c r="BB232" s="773">
        <v>1863</v>
      </c>
      <c r="BC232" s="543">
        <v>2431</v>
      </c>
      <c r="BD232" s="709">
        <f t="shared" si="470"/>
        <v>30.5</v>
      </c>
      <c r="BE232" s="773">
        <f t="shared" si="490"/>
        <v>136</v>
      </c>
      <c r="BF232" s="716">
        <f t="shared" si="490"/>
        <v>268</v>
      </c>
      <c r="BG232" s="709">
        <f t="shared" si="491"/>
        <v>97.1</v>
      </c>
      <c r="BH232" s="773">
        <v>1999</v>
      </c>
      <c r="BI232" s="543">
        <v>2699</v>
      </c>
      <c r="BJ232" s="709">
        <f t="shared" si="471"/>
        <v>35</v>
      </c>
      <c r="BK232" s="773">
        <f t="shared" si="492"/>
        <v>265</v>
      </c>
      <c r="BL232" s="716">
        <f t="shared" si="492"/>
        <v>182</v>
      </c>
      <c r="BM232" s="709">
        <f t="shared" si="493"/>
        <v>-31.3</v>
      </c>
      <c r="BN232" s="773">
        <v>2264</v>
      </c>
      <c r="BO232" s="543">
        <v>2881</v>
      </c>
      <c r="BP232" s="709">
        <f t="shared" si="472"/>
        <v>27.3</v>
      </c>
      <c r="BQ232" s="773">
        <f t="shared" si="494"/>
        <v>375</v>
      </c>
      <c r="BR232" s="716">
        <f t="shared" si="494"/>
        <v>130</v>
      </c>
      <c r="BS232" s="709">
        <f t="shared" si="473"/>
        <v>-65.3</v>
      </c>
      <c r="BT232" s="773">
        <v>2639</v>
      </c>
      <c r="BU232" s="532">
        <v>3011</v>
      </c>
      <c r="BV232" s="709">
        <f t="shared" si="474"/>
        <v>14.1</v>
      </c>
    </row>
    <row r="233" spans="1:74" s="173" customFormat="1">
      <c r="A233" s="338"/>
      <c r="B233" s="1164"/>
      <c r="C233" s="345" t="s">
        <v>125</v>
      </c>
      <c r="D233" s="341">
        <v>1147</v>
      </c>
      <c r="E233" s="341">
        <v>1537</v>
      </c>
      <c r="F233" s="341">
        <v>1037</v>
      </c>
      <c r="G233" s="341">
        <v>1511</v>
      </c>
      <c r="H233" s="341">
        <v>1342</v>
      </c>
      <c r="I233" s="341">
        <v>1530</v>
      </c>
      <c r="J233" s="341">
        <v>1870</v>
      </c>
      <c r="K233" s="341">
        <v>2196</v>
      </c>
      <c r="L233" s="428">
        <v>175</v>
      </c>
      <c r="M233" s="397">
        <v>197</v>
      </c>
      <c r="N233" s="346">
        <f t="shared" si="460"/>
        <v>12.6</v>
      </c>
      <c r="O233" s="428">
        <f t="shared" si="475"/>
        <v>70</v>
      </c>
      <c r="P233" s="397">
        <f t="shared" si="475"/>
        <v>32</v>
      </c>
      <c r="Q233" s="346">
        <f t="shared" si="476"/>
        <v>-54.3</v>
      </c>
      <c r="R233" s="428">
        <v>245</v>
      </c>
      <c r="S233" s="397">
        <v>229</v>
      </c>
      <c r="T233" s="346">
        <f t="shared" si="461"/>
        <v>-6.5</v>
      </c>
      <c r="U233" s="428">
        <f t="shared" si="477"/>
        <v>26</v>
      </c>
      <c r="V233" s="397">
        <f t="shared" si="478"/>
        <v>18</v>
      </c>
      <c r="W233" s="346">
        <f t="shared" si="462"/>
        <v>-30.8</v>
      </c>
      <c r="X233" s="428">
        <v>271</v>
      </c>
      <c r="Y233" s="397">
        <v>247</v>
      </c>
      <c r="Z233" s="346">
        <f t="shared" si="463"/>
        <v>-8.9</v>
      </c>
      <c r="AA233" s="428">
        <f t="shared" si="479"/>
        <v>159</v>
      </c>
      <c r="AB233" s="397">
        <f t="shared" si="480"/>
        <v>342</v>
      </c>
      <c r="AC233" s="346">
        <f t="shared" si="464"/>
        <v>115.1</v>
      </c>
      <c r="AD233" s="428">
        <v>430</v>
      </c>
      <c r="AE233" s="532">
        <v>589</v>
      </c>
      <c r="AF233" s="346">
        <f t="shared" si="465"/>
        <v>37</v>
      </c>
      <c r="AG233" s="428">
        <f t="shared" si="481"/>
        <v>310</v>
      </c>
      <c r="AH233" s="397">
        <f t="shared" si="481"/>
        <v>68</v>
      </c>
      <c r="AI233" s="346">
        <f t="shared" si="466"/>
        <v>-78.099999999999994</v>
      </c>
      <c r="AJ233" s="428">
        <v>740</v>
      </c>
      <c r="AK233" s="543">
        <v>657</v>
      </c>
      <c r="AL233" s="346">
        <f t="shared" si="467"/>
        <v>-11.2</v>
      </c>
      <c r="AM233" s="733">
        <f t="shared" si="482"/>
        <v>135</v>
      </c>
      <c r="AN233" s="716">
        <f t="shared" si="483"/>
        <v>96</v>
      </c>
      <c r="AO233" s="709">
        <f t="shared" si="484"/>
        <v>-28.9</v>
      </c>
      <c r="AP233" s="773">
        <v>875</v>
      </c>
      <c r="AQ233" s="543">
        <v>753</v>
      </c>
      <c r="AR233" s="709">
        <f t="shared" si="468"/>
        <v>-13.9</v>
      </c>
      <c r="AS233" s="773">
        <f t="shared" si="485"/>
        <v>147</v>
      </c>
      <c r="AT233" s="716">
        <f t="shared" si="485"/>
        <v>384</v>
      </c>
      <c r="AU233" s="709">
        <f t="shared" si="486"/>
        <v>161.19999999999999</v>
      </c>
      <c r="AV233" s="1013">
        <v>1022</v>
      </c>
      <c r="AW233" s="1017">
        <v>1137</v>
      </c>
      <c r="AX233" s="709">
        <f t="shared" si="469"/>
        <v>11.3</v>
      </c>
      <c r="AY233" s="773">
        <f t="shared" si="487"/>
        <v>272</v>
      </c>
      <c r="AZ233" s="716">
        <f t="shared" si="488"/>
        <v>279</v>
      </c>
      <c r="BA233" s="709">
        <f t="shared" si="489"/>
        <v>2.6</v>
      </c>
      <c r="BB233" s="773">
        <v>1294</v>
      </c>
      <c r="BC233" s="543">
        <v>1416</v>
      </c>
      <c r="BD233" s="709">
        <f t="shared" si="470"/>
        <v>9.4</v>
      </c>
      <c r="BE233" s="773">
        <f t="shared" si="490"/>
        <v>207</v>
      </c>
      <c r="BF233" s="716">
        <f t="shared" si="490"/>
        <v>113</v>
      </c>
      <c r="BG233" s="709">
        <f t="shared" si="491"/>
        <v>-45.4</v>
      </c>
      <c r="BH233" s="773">
        <v>1501</v>
      </c>
      <c r="BI233" s="543">
        <v>1529</v>
      </c>
      <c r="BJ233" s="709">
        <f t="shared" si="471"/>
        <v>1.9</v>
      </c>
      <c r="BK233" s="773">
        <f t="shared" si="492"/>
        <v>172</v>
      </c>
      <c r="BL233" s="716">
        <f t="shared" si="492"/>
        <v>10</v>
      </c>
      <c r="BM233" s="709">
        <f t="shared" si="493"/>
        <v>-94.2</v>
      </c>
      <c r="BN233" s="773">
        <v>1673</v>
      </c>
      <c r="BO233" s="543">
        <v>1539</v>
      </c>
      <c r="BP233" s="709">
        <f t="shared" si="472"/>
        <v>-8</v>
      </c>
      <c r="BQ233" s="773">
        <f t="shared" si="494"/>
        <v>59</v>
      </c>
      <c r="BR233" s="716">
        <f t="shared" si="494"/>
        <v>52</v>
      </c>
      <c r="BS233" s="709">
        <f t="shared" si="473"/>
        <v>-11.9</v>
      </c>
      <c r="BT233" s="773">
        <v>1732</v>
      </c>
      <c r="BU233" s="532">
        <v>1591</v>
      </c>
      <c r="BV233" s="709">
        <f t="shared" si="474"/>
        <v>-8.1</v>
      </c>
    </row>
    <row r="234" spans="1:74" s="173" customFormat="1">
      <c r="A234" s="338"/>
      <c r="B234" s="1164"/>
      <c r="C234" s="345" t="s">
        <v>142</v>
      </c>
      <c r="D234" s="341">
        <v>407</v>
      </c>
      <c r="E234" s="341">
        <v>460</v>
      </c>
      <c r="F234" s="341">
        <v>450</v>
      </c>
      <c r="G234" s="341">
        <v>954</v>
      </c>
      <c r="H234" s="341">
        <v>565</v>
      </c>
      <c r="I234" s="341">
        <v>1259</v>
      </c>
      <c r="J234" s="341">
        <v>1972</v>
      </c>
      <c r="K234" s="341">
        <v>1504</v>
      </c>
      <c r="L234" s="428">
        <v>234</v>
      </c>
      <c r="M234" s="397">
        <v>132</v>
      </c>
      <c r="N234" s="346">
        <f t="shared" si="460"/>
        <v>-43.6</v>
      </c>
      <c r="O234" s="428">
        <f t="shared" si="475"/>
        <v>51</v>
      </c>
      <c r="P234" s="397">
        <f t="shared" si="475"/>
        <v>128</v>
      </c>
      <c r="Q234" s="346">
        <f t="shared" si="476"/>
        <v>151</v>
      </c>
      <c r="R234" s="428">
        <v>285</v>
      </c>
      <c r="S234" s="397">
        <v>260</v>
      </c>
      <c r="T234" s="346">
        <f t="shared" si="461"/>
        <v>-8.8000000000000007</v>
      </c>
      <c r="U234" s="428">
        <f t="shared" si="477"/>
        <v>81</v>
      </c>
      <c r="V234" s="397">
        <f t="shared" si="478"/>
        <v>113</v>
      </c>
      <c r="W234" s="346">
        <f t="shared" si="462"/>
        <v>39.5</v>
      </c>
      <c r="X234" s="428">
        <v>366</v>
      </c>
      <c r="Y234" s="397">
        <v>373</v>
      </c>
      <c r="Z234" s="346">
        <f t="shared" si="463"/>
        <v>1.9</v>
      </c>
      <c r="AA234" s="428">
        <f t="shared" si="479"/>
        <v>68</v>
      </c>
      <c r="AB234" s="397">
        <f t="shared" si="480"/>
        <v>128</v>
      </c>
      <c r="AC234" s="346">
        <f t="shared" si="464"/>
        <v>88.2</v>
      </c>
      <c r="AD234" s="428">
        <v>434</v>
      </c>
      <c r="AE234" s="532">
        <v>501</v>
      </c>
      <c r="AF234" s="346">
        <f t="shared" si="465"/>
        <v>15.4</v>
      </c>
      <c r="AG234" s="428">
        <f t="shared" si="481"/>
        <v>167</v>
      </c>
      <c r="AH234" s="397">
        <f t="shared" si="481"/>
        <v>194</v>
      </c>
      <c r="AI234" s="346">
        <f t="shared" si="466"/>
        <v>16.2</v>
      </c>
      <c r="AJ234" s="428">
        <v>601</v>
      </c>
      <c r="AK234" s="543">
        <v>695</v>
      </c>
      <c r="AL234" s="346">
        <f t="shared" si="467"/>
        <v>15.6</v>
      </c>
      <c r="AM234" s="733">
        <f t="shared" si="482"/>
        <v>54</v>
      </c>
      <c r="AN234" s="716">
        <f t="shared" si="483"/>
        <v>221</v>
      </c>
      <c r="AO234" s="709">
        <f t="shared" si="484"/>
        <v>309.3</v>
      </c>
      <c r="AP234" s="773">
        <v>655</v>
      </c>
      <c r="AQ234" s="543">
        <v>916</v>
      </c>
      <c r="AR234" s="709">
        <f t="shared" si="468"/>
        <v>39.799999999999997</v>
      </c>
      <c r="AS234" s="773">
        <f t="shared" si="485"/>
        <v>243</v>
      </c>
      <c r="AT234" s="716">
        <f t="shared" si="485"/>
        <v>140</v>
      </c>
      <c r="AU234" s="709">
        <f t="shared" si="486"/>
        <v>-42.4</v>
      </c>
      <c r="AV234" s="1013">
        <v>898</v>
      </c>
      <c r="AW234" s="1017">
        <v>1056</v>
      </c>
      <c r="AX234" s="709">
        <f t="shared" si="469"/>
        <v>17.600000000000001</v>
      </c>
      <c r="AY234" s="773">
        <f t="shared" si="487"/>
        <v>110</v>
      </c>
      <c r="AZ234" s="716">
        <f t="shared" si="488"/>
        <v>77</v>
      </c>
      <c r="BA234" s="709">
        <f t="shared" si="489"/>
        <v>-30</v>
      </c>
      <c r="BB234" s="773">
        <v>1008</v>
      </c>
      <c r="BC234" s="543">
        <v>1133</v>
      </c>
      <c r="BD234" s="709">
        <f t="shared" si="470"/>
        <v>12.4</v>
      </c>
      <c r="BE234" s="773">
        <f t="shared" si="490"/>
        <v>121</v>
      </c>
      <c r="BF234" s="716">
        <f t="shared" si="490"/>
        <v>94</v>
      </c>
      <c r="BG234" s="709">
        <f t="shared" si="491"/>
        <v>-22.3</v>
      </c>
      <c r="BH234" s="773">
        <v>1129</v>
      </c>
      <c r="BI234" s="543">
        <v>1227</v>
      </c>
      <c r="BJ234" s="709">
        <f t="shared" si="471"/>
        <v>8.6999999999999993</v>
      </c>
      <c r="BK234" s="773">
        <f t="shared" si="492"/>
        <v>134</v>
      </c>
      <c r="BL234" s="716">
        <f t="shared" si="492"/>
        <v>105</v>
      </c>
      <c r="BM234" s="709">
        <f t="shared" si="493"/>
        <v>-21.6</v>
      </c>
      <c r="BN234" s="773">
        <v>1263</v>
      </c>
      <c r="BO234" s="543">
        <v>1332</v>
      </c>
      <c r="BP234" s="709">
        <f t="shared" si="472"/>
        <v>5.5</v>
      </c>
      <c r="BQ234" s="773">
        <f t="shared" si="494"/>
        <v>110</v>
      </c>
      <c r="BR234" s="716">
        <f t="shared" si="494"/>
        <v>82</v>
      </c>
      <c r="BS234" s="709">
        <f t="shared" si="473"/>
        <v>-25.5</v>
      </c>
      <c r="BT234" s="773">
        <v>1373</v>
      </c>
      <c r="BU234" s="532">
        <v>1414</v>
      </c>
      <c r="BV234" s="709">
        <f t="shared" si="474"/>
        <v>3</v>
      </c>
    </row>
    <row r="235" spans="1:74" s="173" customFormat="1">
      <c r="A235" s="338"/>
      <c r="B235" s="1164"/>
      <c r="C235" s="345" t="s">
        <v>231</v>
      </c>
      <c r="D235" s="341">
        <v>1484</v>
      </c>
      <c r="E235" s="341">
        <v>1400</v>
      </c>
      <c r="F235" s="341">
        <v>851</v>
      </c>
      <c r="G235" s="341">
        <v>895</v>
      </c>
      <c r="H235" s="341">
        <v>476</v>
      </c>
      <c r="I235" s="341">
        <v>479</v>
      </c>
      <c r="J235" s="341">
        <v>1062</v>
      </c>
      <c r="K235" s="341">
        <v>1159</v>
      </c>
      <c r="L235" s="428">
        <v>115</v>
      </c>
      <c r="M235" s="397">
        <v>85</v>
      </c>
      <c r="N235" s="346">
        <f t="shared" si="460"/>
        <v>-26.1</v>
      </c>
      <c r="O235" s="428">
        <f t="shared" si="475"/>
        <v>43</v>
      </c>
      <c r="P235" s="397">
        <f t="shared" si="475"/>
        <v>122</v>
      </c>
      <c r="Q235" s="346">
        <f t="shared" si="476"/>
        <v>183.7</v>
      </c>
      <c r="R235" s="428">
        <v>158</v>
      </c>
      <c r="S235" s="397">
        <v>207</v>
      </c>
      <c r="T235" s="346">
        <f t="shared" si="461"/>
        <v>31</v>
      </c>
      <c r="U235" s="428">
        <f t="shared" si="477"/>
        <v>51</v>
      </c>
      <c r="V235" s="397">
        <f t="shared" si="478"/>
        <v>86</v>
      </c>
      <c r="W235" s="346">
        <f t="shared" si="462"/>
        <v>68.599999999999994</v>
      </c>
      <c r="X235" s="428">
        <v>209</v>
      </c>
      <c r="Y235" s="397">
        <v>293</v>
      </c>
      <c r="Z235" s="346">
        <f t="shared" si="463"/>
        <v>40.200000000000003</v>
      </c>
      <c r="AA235" s="428">
        <f t="shared" si="479"/>
        <v>172</v>
      </c>
      <c r="AB235" s="397">
        <f t="shared" si="480"/>
        <v>96</v>
      </c>
      <c r="AC235" s="346">
        <f t="shared" si="464"/>
        <v>-44.2</v>
      </c>
      <c r="AD235" s="428">
        <v>381</v>
      </c>
      <c r="AE235" s="532">
        <v>389</v>
      </c>
      <c r="AF235" s="346">
        <f t="shared" si="465"/>
        <v>2.1</v>
      </c>
      <c r="AG235" s="428">
        <f t="shared" si="481"/>
        <v>104</v>
      </c>
      <c r="AH235" s="397">
        <f t="shared" si="481"/>
        <v>23</v>
      </c>
      <c r="AI235" s="346">
        <f t="shared" si="466"/>
        <v>-77.900000000000006</v>
      </c>
      <c r="AJ235" s="428">
        <v>485</v>
      </c>
      <c r="AK235" s="543">
        <v>412</v>
      </c>
      <c r="AL235" s="346">
        <f t="shared" si="467"/>
        <v>-15.1</v>
      </c>
      <c r="AM235" s="733">
        <f t="shared" si="482"/>
        <v>78</v>
      </c>
      <c r="AN235" s="716">
        <f t="shared" si="483"/>
        <v>132</v>
      </c>
      <c r="AO235" s="709">
        <f t="shared" si="484"/>
        <v>69.2</v>
      </c>
      <c r="AP235" s="773">
        <v>563</v>
      </c>
      <c r="AQ235" s="543">
        <v>544</v>
      </c>
      <c r="AR235" s="709">
        <f t="shared" si="468"/>
        <v>-3.4</v>
      </c>
      <c r="AS235" s="773">
        <f t="shared" si="485"/>
        <v>138</v>
      </c>
      <c r="AT235" s="716">
        <f t="shared" si="485"/>
        <v>178</v>
      </c>
      <c r="AU235" s="709">
        <f t="shared" si="486"/>
        <v>29</v>
      </c>
      <c r="AV235" s="1013">
        <v>701</v>
      </c>
      <c r="AW235" s="1017">
        <v>722</v>
      </c>
      <c r="AX235" s="709">
        <f t="shared" si="469"/>
        <v>3</v>
      </c>
      <c r="AY235" s="773">
        <f t="shared" si="487"/>
        <v>126</v>
      </c>
      <c r="AZ235" s="716">
        <f t="shared" si="488"/>
        <v>141</v>
      </c>
      <c r="BA235" s="709">
        <f t="shared" si="489"/>
        <v>11.9</v>
      </c>
      <c r="BB235" s="773">
        <v>827</v>
      </c>
      <c r="BC235" s="543">
        <v>863</v>
      </c>
      <c r="BD235" s="709">
        <f t="shared" si="470"/>
        <v>4.4000000000000004</v>
      </c>
      <c r="BE235" s="773">
        <f t="shared" si="490"/>
        <v>63</v>
      </c>
      <c r="BF235" s="716">
        <f t="shared" si="490"/>
        <v>583</v>
      </c>
      <c r="BG235" s="709">
        <f t="shared" si="491"/>
        <v>825.4</v>
      </c>
      <c r="BH235" s="773">
        <v>890</v>
      </c>
      <c r="BI235" s="543">
        <v>1446</v>
      </c>
      <c r="BJ235" s="709">
        <f t="shared" si="471"/>
        <v>62.5</v>
      </c>
      <c r="BK235" s="773">
        <f t="shared" si="492"/>
        <v>96</v>
      </c>
      <c r="BL235" s="716">
        <f t="shared" si="492"/>
        <v>1244</v>
      </c>
      <c r="BM235" s="709">
        <f t="shared" si="493"/>
        <v>1195.8</v>
      </c>
      <c r="BN235" s="773">
        <v>986</v>
      </c>
      <c r="BO235" s="543">
        <v>2690</v>
      </c>
      <c r="BP235" s="709">
        <f t="shared" si="472"/>
        <v>172.8</v>
      </c>
      <c r="BQ235" s="773">
        <f t="shared" si="494"/>
        <v>55</v>
      </c>
      <c r="BR235" s="716">
        <f t="shared" si="494"/>
        <v>696</v>
      </c>
      <c r="BS235" s="709">
        <f t="shared" si="473"/>
        <v>1165.5</v>
      </c>
      <c r="BT235" s="773">
        <v>1041</v>
      </c>
      <c r="BU235" s="532">
        <v>3386</v>
      </c>
      <c r="BV235" s="709">
        <f t="shared" si="474"/>
        <v>225.3</v>
      </c>
    </row>
    <row r="236" spans="1:74" s="173" customFormat="1">
      <c r="A236" s="338"/>
      <c r="B236" s="1164"/>
      <c r="C236" s="345" t="s">
        <v>100</v>
      </c>
      <c r="D236" s="341">
        <v>515</v>
      </c>
      <c r="E236" s="341">
        <v>322</v>
      </c>
      <c r="F236" s="341">
        <v>597</v>
      </c>
      <c r="G236" s="341">
        <v>463</v>
      </c>
      <c r="H236" s="341">
        <v>973</v>
      </c>
      <c r="I236" s="341">
        <v>1409</v>
      </c>
      <c r="J236" s="341">
        <v>1453</v>
      </c>
      <c r="K236" s="341">
        <v>997</v>
      </c>
      <c r="L236" s="428">
        <v>117</v>
      </c>
      <c r="M236" s="397">
        <v>118</v>
      </c>
      <c r="N236" s="346">
        <f t="shared" si="460"/>
        <v>0.9</v>
      </c>
      <c r="O236" s="428">
        <f t="shared" si="475"/>
        <v>34</v>
      </c>
      <c r="P236" s="397">
        <f t="shared" si="475"/>
        <v>131</v>
      </c>
      <c r="Q236" s="346">
        <f t="shared" si="476"/>
        <v>285.3</v>
      </c>
      <c r="R236" s="428">
        <v>151</v>
      </c>
      <c r="S236" s="397">
        <v>249</v>
      </c>
      <c r="T236" s="346">
        <f t="shared" si="461"/>
        <v>64.900000000000006</v>
      </c>
      <c r="U236" s="428">
        <f t="shared" si="477"/>
        <v>78</v>
      </c>
      <c r="V236" s="397">
        <f t="shared" si="478"/>
        <v>82</v>
      </c>
      <c r="W236" s="346">
        <f t="shared" si="462"/>
        <v>5.0999999999999996</v>
      </c>
      <c r="X236" s="428">
        <v>229</v>
      </c>
      <c r="Y236" s="397">
        <v>331</v>
      </c>
      <c r="Z236" s="346">
        <f t="shared" si="463"/>
        <v>44.5</v>
      </c>
      <c r="AA236" s="428">
        <f t="shared" si="479"/>
        <v>84</v>
      </c>
      <c r="AB236" s="397">
        <f t="shared" si="480"/>
        <v>100</v>
      </c>
      <c r="AC236" s="346">
        <f t="shared" si="464"/>
        <v>19</v>
      </c>
      <c r="AD236" s="428">
        <v>313</v>
      </c>
      <c r="AE236" s="532">
        <v>431</v>
      </c>
      <c r="AF236" s="346">
        <f t="shared" si="465"/>
        <v>37.700000000000003</v>
      </c>
      <c r="AG236" s="428">
        <f t="shared" si="481"/>
        <v>106</v>
      </c>
      <c r="AH236" s="397">
        <f t="shared" si="481"/>
        <v>59</v>
      </c>
      <c r="AI236" s="346">
        <f t="shared" si="466"/>
        <v>-44.3</v>
      </c>
      <c r="AJ236" s="428">
        <v>419</v>
      </c>
      <c r="AK236" s="543">
        <v>490</v>
      </c>
      <c r="AL236" s="346">
        <f t="shared" si="467"/>
        <v>16.899999999999999</v>
      </c>
      <c r="AM236" s="733">
        <f t="shared" si="482"/>
        <v>84</v>
      </c>
      <c r="AN236" s="716">
        <f t="shared" si="483"/>
        <v>80</v>
      </c>
      <c r="AO236" s="709">
        <f t="shared" si="484"/>
        <v>-4.8</v>
      </c>
      <c r="AP236" s="773">
        <v>503</v>
      </c>
      <c r="AQ236" s="543">
        <v>570</v>
      </c>
      <c r="AR236" s="709">
        <f t="shared" si="468"/>
        <v>13.3</v>
      </c>
      <c r="AS236" s="773">
        <f t="shared" si="485"/>
        <v>145</v>
      </c>
      <c r="AT236" s="716">
        <f t="shared" si="485"/>
        <v>113</v>
      </c>
      <c r="AU236" s="709">
        <f t="shared" si="486"/>
        <v>-22.1</v>
      </c>
      <c r="AV236" s="1013">
        <v>648</v>
      </c>
      <c r="AW236" s="1017">
        <v>683</v>
      </c>
      <c r="AX236" s="709">
        <f t="shared" si="469"/>
        <v>5.4</v>
      </c>
      <c r="AY236" s="773">
        <f t="shared" si="487"/>
        <v>55</v>
      </c>
      <c r="AZ236" s="716">
        <f t="shared" si="488"/>
        <v>69</v>
      </c>
      <c r="BA236" s="709">
        <f t="shared" si="489"/>
        <v>25.5</v>
      </c>
      <c r="BB236" s="773">
        <v>703</v>
      </c>
      <c r="BC236" s="543">
        <v>752</v>
      </c>
      <c r="BD236" s="709">
        <f t="shared" si="470"/>
        <v>7</v>
      </c>
      <c r="BE236" s="773">
        <f t="shared" si="490"/>
        <v>41</v>
      </c>
      <c r="BF236" s="716">
        <f t="shared" si="490"/>
        <v>78</v>
      </c>
      <c r="BG236" s="709">
        <f t="shared" si="491"/>
        <v>90.2</v>
      </c>
      <c r="BH236" s="773">
        <v>744</v>
      </c>
      <c r="BI236" s="543">
        <v>830</v>
      </c>
      <c r="BJ236" s="709">
        <f t="shared" si="471"/>
        <v>11.6</v>
      </c>
      <c r="BK236" s="773">
        <f t="shared" si="492"/>
        <v>114</v>
      </c>
      <c r="BL236" s="716">
        <f t="shared" si="492"/>
        <v>68</v>
      </c>
      <c r="BM236" s="709">
        <f t="shared" si="493"/>
        <v>-40.4</v>
      </c>
      <c r="BN236" s="773">
        <v>858</v>
      </c>
      <c r="BO236" s="543">
        <v>898</v>
      </c>
      <c r="BP236" s="709">
        <f t="shared" si="472"/>
        <v>4.7</v>
      </c>
      <c r="BQ236" s="773">
        <f t="shared" si="494"/>
        <v>49</v>
      </c>
      <c r="BR236" s="716">
        <f t="shared" si="494"/>
        <v>77</v>
      </c>
      <c r="BS236" s="709">
        <f t="shared" si="473"/>
        <v>57.1</v>
      </c>
      <c r="BT236" s="773">
        <v>907</v>
      </c>
      <c r="BU236" s="532">
        <v>975</v>
      </c>
      <c r="BV236" s="709">
        <f t="shared" si="474"/>
        <v>7.5</v>
      </c>
    </row>
    <row r="237" spans="1:74" s="173" customFormat="1">
      <c r="A237" s="338"/>
      <c r="B237" s="1164"/>
      <c r="C237" s="345" t="s">
        <v>129</v>
      </c>
      <c r="D237" s="341">
        <v>75</v>
      </c>
      <c r="E237" s="341">
        <v>42</v>
      </c>
      <c r="F237" s="341">
        <v>201</v>
      </c>
      <c r="G237" s="341">
        <v>89</v>
      </c>
      <c r="H237" s="341">
        <v>185</v>
      </c>
      <c r="I237" s="341">
        <v>204</v>
      </c>
      <c r="J237" s="341">
        <v>356</v>
      </c>
      <c r="K237" s="341">
        <v>919</v>
      </c>
      <c r="L237" s="428">
        <v>397</v>
      </c>
      <c r="M237" s="397">
        <v>4</v>
      </c>
      <c r="N237" s="346">
        <f t="shared" si="460"/>
        <v>-99</v>
      </c>
      <c r="O237" s="428">
        <f t="shared" si="475"/>
        <v>0</v>
      </c>
      <c r="P237" s="397">
        <f t="shared" si="475"/>
        <v>32</v>
      </c>
      <c r="Q237" s="529">
        <v>0</v>
      </c>
      <c r="R237" s="428">
        <v>397</v>
      </c>
      <c r="S237" s="397">
        <v>36</v>
      </c>
      <c r="T237" s="346">
        <f t="shared" si="461"/>
        <v>-90.9</v>
      </c>
      <c r="U237" s="428">
        <f t="shared" si="477"/>
        <v>0</v>
      </c>
      <c r="V237" s="397">
        <f t="shared" si="478"/>
        <v>17</v>
      </c>
      <c r="W237" s="523">
        <v>0</v>
      </c>
      <c r="X237" s="428">
        <v>397</v>
      </c>
      <c r="Y237" s="397">
        <v>53</v>
      </c>
      <c r="Z237" s="346">
        <f t="shared" si="463"/>
        <v>-86.6</v>
      </c>
      <c r="AA237" s="428">
        <f t="shared" si="479"/>
        <v>17</v>
      </c>
      <c r="AB237" s="397">
        <f t="shared" si="480"/>
        <v>27</v>
      </c>
      <c r="AC237" s="265">
        <f t="shared" si="464"/>
        <v>58.8</v>
      </c>
      <c r="AD237" s="428">
        <v>414</v>
      </c>
      <c r="AE237" s="532">
        <v>80</v>
      </c>
      <c r="AF237" s="346">
        <f t="shared" si="465"/>
        <v>-80.7</v>
      </c>
      <c r="AG237" s="428">
        <f t="shared" si="481"/>
        <v>4</v>
      </c>
      <c r="AH237" s="397">
        <f t="shared" si="481"/>
        <v>39</v>
      </c>
      <c r="AI237" s="265">
        <f t="shared" si="466"/>
        <v>875</v>
      </c>
      <c r="AJ237" s="428">
        <v>418</v>
      </c>
      <c r="AK237" s="543">
        <v>119</v>
      </c>
      <c r="AL237" s="346">
        <f t="shared" si="467"/>
        <v>-71.5</v>
      </c>
      <c r="AM237" s="733">
        <f t="shared" si="482"/>
        <v>3</v>
      </c>
      <c r="AN237" s="716">
        <f t="shared" si="483"/>
        <v>11</v>
      </c>
      <c r="AO237" s="705">
        <f t="shared" si="484"/>
        <v>266.7</v>
      </c>
      <c r="AP237" s="773">
        <v>421</v>
      </c>
      <c r="AQ237" s="543">
        <v>130</v>
      </c>
      <c r="AR237" s="709">
        <f t="shared" si="468"/>
        <v>-69.099999999999994</v>
      </c>
      <c r="AS237" s="773">
        <f t="shared" si="485"/>
        <v>102</v>
      </c>
      <c r="AT237" s="716">
        <f t="shared" si="485"/>
        <v>3</v>
      </c>
      <c r="AU237" s="705">
        <f t="shared" si="486"/>
        <v>-97.1</v>
      </c>
      <c r="AV237" s="1013">
        <v>523</v>
      </c>
      <c r="AW237" s="1017">
        <v>133</v>
      </c>
      <c r="AX237" s="709">
        <f t="shared" si="469"/>
        <v>-74.599999999999994</v>
      </c>
      <c r="AY237" s="773">
        <f t="shared" si="487"/>
        <v>126</v>
      </c>
      <c r="AZ237" s="716">
        <f t="shared" si="488"/>
        <v>9</v>
      </c>
      <c r="BA237" s="705">
        <f t="shared" si="489"/>
        <v>-92.9</v>
      </c>
      <c r="BB237" s="773">
        <v>649</v>
      </c>
      <c r="BC237" s="543">
        <v>142</v>
      </c>
      <c r="BD237" s="709">
        <f t="shared" si="470"/>
        <v>-78.099999999999994</v>
      </c>
      <c r="BE237" s="773">
        <f t="shared" si="490"/>
        <v>128</v>
      </c>
      <c r="BF237" s="716">
        <f t="shared" si="490"/>
        <v>3</v>
      </c>
      <c r="BG237" s="705">
        <f t="shared" si="491"/>
        <v>-97.7</v>
      </c>
      <c r="BH237" s="773">
        <v>777</v>
      </c>
      <c r="BI237" s="543">
        <v>145</v>
      </c>
      <c r="BJ237" s="709">
        <f t="shared" si="471"/>
        <v>-81.3</v>
      </c>
      <c r="BK237" s="773">
        <f t="shared" si="492"/>
        <v>30</v>
      </c>
      <c r="BL237" s="716">
        <f t="shared" si="492"/>
        <v>0</v>
      </c>
      <c r="BM237" s="705">
        <f t="shared" si="493"/>
        <v>-100</v>
      </c>
      <c r="BN237" s="773">
        <v>807</v>
      </c>
      <c r="BO237" s="543">
        <v>145</v>
      </c>
      <c r="BP237" s="709">
        <f t="shared" si="472"/>
        <v>-82</v>
      </c>
      <c r="BQ237" s="773">
        <f t="shared" si="494"/>
        <v>8</v>
      </c>
      <c r="BR237" s="716">
        <f t="shared" si="494"/>
        <v>22</v>
      </c>
      <c r="BS237" s="705">
        <f t="shared" si="473"/>
        <v>175</v>
      </c>
      <c r="BT237" s="773">
        <v>815</v>
      </c>
      <c r="BU237" s="532">
        <v>167</v>
      </c>
      <c r="BV237" s="709">
        <f t="shared" si="474"/>
        <v>-79.5</v>
      </c>
    </row>
    <row r="238" spans="1:74" s="173" customFormat="1">
      <c r="A238" s="338"/>
      <c r="B238" s="1164"/>
      <c r="C238" s="345" t="s">
        <v>130</v>
      </c>
      <c r="D238" s="341">
        <v>394</v>
      </c>
      <c r="E238" s="341">
        <v>86</v>
      </c>
      <c r="F238" s="341">
        <v>41</v>
      </c>
      <c r="G238" s="341">
        <v>93</v>
      </c>
      <c r="H238" s="341">
        <v>308</v>
      </c>
      <c r="I238" s="341">
        <v>358</v>
      </c>
      <c r="J238" s="341">
        <v>681</v>
      </c>
      <c r="K238" s="341">
        <v>894</v>
      </c>
      <c r="L238" s="428">
        <v>144</v>
      </c>
      <c r="M238" s="397">
        <v>140</v>
      </c>
      <c r="N238" s="346">
        <f t="shared" si="460"/>
        <v>-2.8</v>
      </c>
      <c r="O238" s="428">
        <f t="shared" si="475"/>
        <v>9</v>
      </c>
      <c r="P238" s="397">
        <f t="shared" si="475"/>
        <v>41</v>
      </c>
      <c r="Q238" s="346">
        <f t="shared" si="476"/>
        <v>355.6</v>
      </c>
      <c r="R238" s="428">
        <v>153</v>
      </c>
      <c r="S238" s="397">
        <v>181</v>
      </c>
      <c r="T238" s="346">
        <f t="shared" si="461"/>
        <v>18.3</v>
      </c>
      <c r="U238" s="428">
        <f t="shared" si="477"/>
        <v>4</v>
      </c>
      <c r="V238" s="397">
        <f t="shared" si="478"/>
        <v>105</v>
      </c>
      <c r="W238" s="346">
        <f t="shared" si="462"/>
        <v>2525</v>
      </c>
      <c r="X238" s="428">
        <v>157</v>
      </c>
      <c r="Y238" s="397">
        <v>286</v>
      </c>
      <c r="Z238" s="346">
        <f t="shared" si="463"/>
        <v>82.2</v>
      </c>
      <c r="AA238" s="428">
        <f t="shared" si="479"/>
        <v>126</v>
      </c>
      <c r="AB238" s="397">
        <f t="shared" si="480"/>
        <v>103</v>
      </c>
      <c r="AC238" s="346">
        <f t="shared" ref="AC238:AC242" si="495">ROUND(((AB238/AA238-1)*100), 1)</f>
        <v>-18.3</v>
      </c>
      <c r="AD238" s="428">
        <v>283</v>
      </c>
      <c r="AE238" s="532">
        <v>389</v>
      </c>
      <c r="AF238" s="346">
        <f t="shared" si="465"/>
        <v>37.5</v>
      </c>
      <c r="AG238" s="428">
        <f t="shared" si="481"/>
        <v>107</v>
      </c>
      <c r="AH238" s="397">
        <f t="shared" si="481"/>
        <v>60</v>
      </c>
      <c r="AI238" s="346">
        <f t="shared" si="466"/>
        <v>-43.9</v>
      </c>
      <c r="AJ238" s="428">
        <v>390</v>
      </c>
      <c r="AK238" s="543">
        <v>449</v>
      </c>
      <c r="AL238" s="346">
        <f t="shared" si="467"/>
        <v>15.1</v>
      </c>
      <c r="AM238" s="733">
        <f t="shared" si="482"/>
        <v>57</v>
      </c>
      <c r="AN238" s="716">
        <f t="shared" si="483"/>
        <v>100</v>
      </c>
      <c r="AO238" s="709">
        <f t="shared" si="484"/>
        <v>75.400000000000006</v>
      </c>
      <c r="AP238" s="773">
        <v>447</v>
      </c>
      <c r="AQ238" s="543">
        <v>549</v>
      </c>
      <c r="AR238" s="709">
        <f t="shared" si="468"/>
        <v>22.8</v>
      </c>
      <c r="AS238" s="773">
        <f t="shared" si="485"/>
        <v>108</v>
      </c>
      <c r="AT238" s="716">
        <f t="shared" si="485"/>
        <v>127</v>
      </c>
      <c r="AU238" s="709">
        <f t="shared" si="486"/>
        <v>17.600000000000001</v>
      </c>
      <c r="AV238" s="1013">
        <v>555</v>
      </c>
      <c r="AW238" s="1017">
        <v>676</v>
      </c>
      <c r="AX238" s="709">
        <f t="shared" si="469"/>
        <v>21.8</v>
      </c>
      <c r="AY238" s="773">
        <f t="shared" si="487"/>
        <v>68</v>
      </c>
      <c r="AZ238" s="716">
        <f t="shared" si="488"/>
        <v>55</v>
      </c>
      <c r="BA238" s="709">
        <f t="shared" si="489"/>
        <v>-19.100000000000001</v>
      </c>
      <c r="BB238" s="773">
        <v>623</v>
      </c>
      <c r="BC238" s="543">
        <v>731</v>
      </c>
      <c r="BD238" s="709">
        <f t="shared" si="470"/>
        <v>17.3</v>
      </c>
      <c r="BE238" s="773">
        <f t="shared" si="490"/>
        <v>22</v>
      </c>
      <c r="BF238" s="716">
        <f t="shared" si="490"/>
        <v>38</v>
      </c>
      <c r="BG238" s="709">
        <f t="shared" si="491"/>
        <v>72.7</v>
      </c>
      <c r="BH238" s="773">
        <v>645</v>
      </c>
      <c r="BI238" s="543">
        <v>769</v>
      </c>
      <c r="BJ238" s="709">
        <f t="shared" si="471"/>
        <v>19.2</v>
      </c>
      <c r="BK238" s="773">
        <f t="shared" si="492"/>
        <v>45</v>
      </c>
      <c r="BL238" s="716">
        <f t="shared" si="492"/>
        <v>12</v>
      </c>
      <c r="BM238" s="709">
        <f t="shared" si="493"/>
        <v>-73.3</v>
      </c>
      <c r="BN238" s="773">
        <v>690</v>
      </c>
      <c r="BO238" s="543">
        <v>781</v>
      </c>
      <c r="BP238" s="709">
        <f t="shared" si="472"/>
        <v>13.2</v>
      </c>
      <c r="BQ238" s="773">
        <f t="shared" si="494"/>
        <v>120</v>
      </c>
      <c r="BR238" s="716">
        <f t="shared" si="494"/>
        <v>179</v>
      </c>
      <c r="BS238" s="709">
        <f t="shared" si="473"/>
        <v>49.2</v>
      </c>
      <c r="BT238" s="773">
        <v>810</v>
      </c>
      <c r="BU238" s="532">
        <v>960</v>
      </c>
      <c r="BV238" s="709">
        <f t="shared" si="474"/>
        <v>18.5</v>
      </c>
    </row>
    <row r="239" spans="1:74" s="173" customFormat="1">
      <c r="A239" s="338"/>
      <c r="B239" s="1164"/>
      <c r="C239" s="345" t="s">
        <v>137</v>
      </c>
      <c r="D239" s="341">
        <v>855</v>
      </c>
      <c r="E239" s="341">
        <v>1165</v>
      </c>
      <c r="F239" s="341">
        <v>1375</v>
      </c>
      <c r="G239" s="341">
        <v>1466</v>
      </c>
      <c r="H239" s="341">
        <v>747</v>
      </c>
      <c r="I239" s="341">
        <v>1334</v>
      </c>
      <c r="J239" s="341">
        <v>933</v>
      </c>
      <c r="K239" s="341">
        <v>557</v>
      </c>
      <c r="L239" s="428">
        <v>25</v>
      </c>
      <c r="M239" s="397">
        <v>88</v>
      </c>
      <c r="N239" s="346">
        <f t="shared" si="460"/>
        <v>252</v>
      </c>
      <c r="O239" s="428">
        <f t="shared" si="475"/>
        <v>22</v>
      </c>
      <c r="P239" s="397">
        <f t="shared" si="475"/>
        <v>104</v>
      </c>
      <c r="Q239" s="346">
        <f t="shared" si="476"/>
        <v>372.7</v>
      </c>
      <c r="R239" s="428">
        <v>47</v>
      </c>
      <c r="S239" s="397">
        <v>192</v>
      </c>
      <c r="T239" s="346">
        <f t="shared" si="461"/>
        <v>308.5</v>
      </c>
      <c r="U239" s="428">
        <f t="shared" si="477"/>
        <v>65</v>
      </c>
      <c r="V239" s="397">
        <f t="shared" si="478"/>
        <v>67</v>
      </c>
      <c r="W239" s="346">
        <f t="shared" si="462"/>
        <v>3.1</v>
      </c>
      <c r="X239" s="428">
        <v>112</v>
      </c>
      <c r="Y239" s="397">
        <v>259</v>
      </c>
      <c r="Z239" s="346">
        <f t="shared" si="463"/>
        <v>131.30000000000001</v>
      </c>
      <c r="AA239" s="428">
        <f t="shared" si="479"/>
        <v>46</v>
      </c>
      <c r="AB239" s="397">
        <f t="shared" si="480"/>
        <v>65</v>
      </c>
      <c r="AC239" s="346">
        <f t="shared" si="495"/>
        <v>41.3</v>
      </c>
      <c r="AD239" s="428">
        <v>158</v>
      </c>
      <c r="AE239" s="532">
        <v>324</v>
      </c>
      <c r="AF239" s="346">
        <f t="shared" si="465"/>
        <v>105.1</v>
      </c>
      <c r="AG239" s="428">
        <f t="shared" si="481"/>
        <v>21</v>
      </c>
      <c r="AH239" s="397">
        <f t="shared" si="481"/>
        <v>21</v>
      </c>
      <c r="AI239" s="346">
        <f t="shared" si="466"/>
        <v>0</v>
      </c>
      <c r="AJ239" s="428">
        <v>179</v>
      </c>
      <c r="AK239" s="543">
        <v>345</v>
      </c>
      <c r="AL239" s="346">
        <f t="shared" si="467"/>
        <v>92.7</v>
      </c>
      <c r="AM239" s="733">
        <f t="shared" si="482"/>
        <v>67</v>
      </c>
      <c r="AN239" s="716">
        <f t="shared" si="483"/>
        <v>22</v>
      </c>
      <c r="AO239" s="709">
        <f t="shared" si="484"/>
        <v>-67.2</v>
      </c>
      <c r="AP239" s="773">
        <v>246</v>
      </c>
      <c r="AQ239" s="543">
        <v>367</v>
      </c>
      <c r="AR239" s="709">
        <f t="shared" si="468"/>
        <v>49.2</v>
      </c>
      <c r="AS239" s="773">
        <f t="shared" si="485"/>
        <v>44</v>
      </c>
      <c r="AT239" s="716">
        <f t="shared" si="485"/>
        <v>88</v>
      </c>
      <c r="AU239" s="709">
        <f t="shared" si="486"/>
        <v>100</v>
      </c>
      <c r="AV239" s="1013">
        <v>290</v>
      </c>
      <c r="AW239" s="1017">
        <v>455</v>
      </c>
      <c r="AX239" s="709">
        <f t="shared" si="469"/>
        <v>56.9</v>
      </c>
      <c r="AY239" s="773">
        <f t="shared" si="487"/>
        <v>21</v>
      </c>
      <c r="AZ239" s="716">
        <f t="shared" si="488"/>
        <v>111</v>
      </c>
      <c r="BA239" s="709">
        <f t="shared" si="489"/>
        <v>428.6</v>
      </c>
      <c r="BB239" s="773">
        <v>311</v>
      </c>
      <c r="BC239" s="543">
        <v>566</v>
      </c>
      <c r="BD239" s="709">
        <f t="shared" si="470"/>
        <v>82</v>
      </c>
      <c r="BE239" s="773">
        <f t="shared" si="490"/>
        <v>86</v>
      </c>
      <c r="BF239" s="716">
        <f t="shared" si="490"/>
        <v>90</v>
      </c>
      <c r="BG239" s="709">
        <f t="shared" si="491"/>
        <v>4.7</v>
      </c>
      <c r="BH239" s="773">
        <v>397</v>
      </c>
      <c r="BI239" s="543">
        <v>656</v>
      </c>
      <c r="BJ239" s="709">
        <f t="shared" si="471"/>
        <v>65.2</v>
      </c>
      <c r="BK239" s="773">
        <f t="shared" si="492"/>
        <v>23</v>
      </c>
      <c r="BL239" s="716">
        <f t="shared" si="492"/>
        <v>118</v>
      </c>
      <c r="BM239" s="709">
        <f t="shared" si="493"/>
        <v>413</v>
      </c>
      <c r="BN239" s="773">
        <v>420</v>
      </c>
      <c r="BO239" s="543">
        <v>774</v>
      </c>
      <c r="BP239" s="709">
        <f t="shared" si="472"/>
        <v>84.3</v>
      </c>
      <c r="BQ239" s="773">
        <f t="shared" si="494"/>
        <v>47</v>
      </c>
      <c r="BR239" s="716">
        <f t="shared" si="494"/>
        <v>70</v>
      </c>
      <c r="BS239" s="709">
        <f t="shared" si="473"/>
        <v>48.9</v>
      </c>
      <c r="BT239" s="773">
        <v>467</v>
      </c>
      <c r="BU239" s="532">
        <v>844</v>
      </c>
      <c r="BV239" s="709">
        <f t="shared" si="474"/>
        <v>80.7</v>
      </c>
    </row>
    <row r="240" spans="1:74" s="173" customFormat="1">
      <c r="A240" s="338"/>
      <c r="B240" s="1164"/>
      <c r="C240" s="345" t="s">
        <v>103</v>
      </c>
      <c r="D240" s="341">
        <v>5914</v>
      </c>
      <c r="E240" s="341">
        <v>4237</v>
      </c>
      <c r="F240" s="341">
        <v>4142</v>
      </c>
      <c r="G240" s="341">
        <v>3742</v>
      </c>
      <c r="H240" s="341">
        <v>3454</v>
      </c>
      <c r="I240" s="341">
        <v>5339</v>
      </c>
      <c r="J240" s="341">
        <v>3152</v>
      </c>
      <c r="K240" s="341">
        <v>475</v>
      </c>
      <c r="L240" s="428">
        <v>97</v>
      </c>
      <c r="M240" s="397">
        <v>0</v>
      </c>
      <c r="N240" s="346">
        <f t="shared" si="460"/>
        <v>-100</v>
      </c>
      <c r="O240" s="428">
        <f t="shared" si="475"/>
        <v>50</v>
      </c>
      <c r="P240" s="397">
        <f t="shared" si="475"/>
        <v>0</v>
      </c>
      <c r="Q240" s="346">
        <f t="shared" si="476"/>
        <v>-100</v>
      </c>
      <c r="R240" s="428">
        <v>147</v>
      </c>
      <c r="S240" s="397">
        <v>0</v>
      </c>
      <c r="T240" s="346">
        <f t="shared" si="461"/>
        <v>-100</v>
      </c>
      <c r="U240" s="428">
        <f t="shared" si="477"/>
        <v>129</v>
      </c>
      <c r="V240" s="397">
        <f t="shared" si="478"/>
        <v>24</v>
      </c>
      <c r="W240" s="346">
        <f t="shared" si="462"/>
        <v>-81.400000000000006</v>
      </c>
      <c r="X240" s="428">
        <v>276</v>
      </c>
      <c r="Y240" s="397">
        <v>24</v>
      </c>
      <c r="Z240" s="346">
        <f t="shared" si="463"/>
        <v>-91.3</v>
      </c>
      <c r="AA240" s="428">
        <f t="shared" si="479"/>
        <v>0</v>
      </c>
      <c r="AB240" s="397">
        <f t="shared" si="480"/>
        <v>0</v>
      </c>
      <c r="AC240" s="523">
        <v>0</v>
      </c>
      <c r="AD240" s="428">
        <v>276</v>
      </c>
      <c r="AE240" s="532">
        <v>24</v>
      </c>
      <c r="AF240" s="346">
        <f t="shared" si="465"/>
        <v>-91.3</v>
      </c>
      <c r="AG240" s="428">
        <f t="shared" si="481"/>
        <v>1</v>
      </c>
      <c r="AH240" s="397">
        <f t="shared" si="481"/>
        <v>9</v>
      </c>
      <c r="AI240" s="346">
        <f t="shared" si="466"/>
        <v>800</v>
      </c>
      <c r="AJ240" s="428">
        <v>277</v>
      </c>
      <c r="AK240" s="543">
        <v>33</v>
      </c>
      <c r="AL240" s="346">
        <f t="shared" si="467"/>
        <v>-88.1</v>
      </c>
      <c r="AM240" s="733">
        <f t="shared" si="482"/>
        <v>16</v>
      </c>
      <c r="AN240" s="716">
        <f t="shared" si="483"/>
        <v>0</v>
      </c>
      <c r="AO240" s="709">
        <f t="shared" si="484"/>
        <v>-100</v>
      </c>
      <c r="AP240" s="773">
        <v>293</v>
      </c>
      <c r="AQ240" s="543">
        <v>33</v>
      </c>
      <c r="AR240" s="709">
        <f t="shared" si="468"/>
        <v>-88.7</v>
      </c>
      <c r="AS240" s="773">
        <f t="shared" si="485"/>
        <v>40</v>
      </c>
      <c r="AT240" s="716">
        <f t="shared" si="485"/>
        <v>0</v>
      </c>
      <c r="AU240" s="709">
        <f t="shared" si="486"/>
        <v>-100</v>
      </c>
      <c r="AV240" s="1013">
        <v>333</v>
      </c>
      <c r="AW240" s="1017">
        <v>33</v>
      </c>
      <c r="AX240" s="709">
        <f t="shared" si="469"/>
        <v>-90.1</v>
      </c>
      <c r="AY240" s="773">
        <f t="shared" si="487"/>
        <v>79</v>
      </c>
      <c r="AZ240" s="716">
        <f t="shared" si="488"/>
        <v>0</v>
      </c>
      <c r="BA240" s="709">
        <f t="shared" si="489"/>
        <v>-100</v>
      </c>
      <c r="BB240" s="773">
        <v>412</v>
      </c>
      <c r="BC240" s="543">
        <v>33</v>
      </c>
      <c r="BD240" s="709">
        <f t="shared" si="470"/>
        <v>-92</v>
      </c>
      <c r="BE240" s="773">
        <f t="shared" si="490"/>
        <v>63</v>
      </c>
      <c r="BF240" s="716">
        <f t="shared" si="490"/>
        <v>0</v>
      </c>
      <c r="BG240" s="709">
        <f t="shared" si="491"/>
        <v>-100</v>
      </c>
      <c r="BH240" s="773">
        <v>475</v>
      </c>
      <c r="BI240" s="543">
        <v>33</v>
      </c>
      <c r="BJ240" s="709">
        <f t="shared" si="471"/>
        <v>-93.1</v>
      </c>
      <c r="BK240" s="773">
        <f t="shared" si="492"/>
        <v>0</v>
      </c>
      <c r="BL240" s="716">
        <f t="shared" si="492"/>
        <v>0</v>
      </c>
      <c r="BM240" s="751">
        <v>0</v>
      </c>
      <c r="BN240" s="773">
        <v>475</v>
      </c>
      <c r="BO240" s="543">
        <v>33</v>
      </c>
      <c r="BP240" s="709">
        <f t="shared" si="472"/>
        <v>-93.1</v>
      </c>
      <c r="BQ240" s="773">
        <f t="shared" si="494"/>
        <v>0</v>
      </c>
      <c r="BR240" s="716">
        <f t="shared" si="494"/>
        <v>0</v>
      </c>
      <c r="BS240" s="751">
        <v>0</v>
      </c>
      <c r="BT240" s="773">
        <v>475</v>
      </c>
      <c r="BU240" s="532">
        <v>33</v>
      </c>
      <c r="BV240" s="709">
        <f t="shared" si="474"/>
        <v>-93.1</v>
      </c>
    </row>
    <row r="241" spans="1:74" s="173" customFormat="1">
      <c r="A241" s="338"/>
      <c r="B241" s="1164"/>
      <c r="C241" s="345" t="s">
        <v>105</v>
      </c>
      <c r="D241" s="341">
        <v>505</v>
      </c>
      <c r="E241" s="341">
        <v>530</v>
      </c>
      <c r="F241" s="341">
        <v>438</v>
      </c>
      <c r="G241" s="341">
        <v>449</v>
      </c>
      <c r="H241" s="341">
        <v>626</v>
      </c>
      <c r="I241" s="341">
        <v>342</v>
      </c>
      <c r="J241" s="341">
        <v>344</v>
      </c>
      <c r="K241" s="341">
        <v>327</v>
      </c>
      <c r="L241" s="428">
        <v>24</v>
      </c>
      <c r="M241" s="397">
        <v>40</v>
      </c>
      <c r="N241" s="346">
        <f t="shared" si="460"/>
        <v>66.7</v>
      </c>
      <c r="O241" s="428">
        <f t="shared" si="475"/>
        <v>31</v>
      </c>
      <c r="P241" s="397">
        <f t="shared" si="475"/>
        <v>21</v>
      </c>
      <c r="Q241" s="346">
        <f t="shared" si="476"/>
        <v>-32.299999999999997</v>
      </c>
      <c r="R241" s="428">
        <v>55</v>
      </c>
      <c r="S241" s="397">
        <v>61</v>
      </c>
      <c r="T241" s="346">
        <f t="shared" si="461"/>
        <v>10.9</v>
      </c>
      <c r="U241" s="428">
        <f t="shared" si="477"/>
        <v>36</v>
      </c>
      <c r="V241" s="397">
        <f t="shared" si="478"/>
        <v>37</v>
      </c>
      <c r="W241" s="346">
        <f t="shared" si="462"/>
        <v>2.8</v>
      </c>
      <c r="X241" s="428">
        <v>91</v>
      </c>
      <c r="Y241" s="397">
        <v>98</v>
      </c>
      <c r="Z241" s="346">
        <f t="shared" si="463"/>
        <v>7.7</v>
      </c>
      <c r="AA241" s="428">
        <f t="shared" si="479"/>
        <v>42</v>
      </c>
      <c r="AB241" s="397">
        <f t="shared" si="480"/>
        <v>20</v>
      </c>
      <c r="AC241" s="346">
        <f t="shared" si="495"/>
        <v>-52.4</v>
      </c>
      <c r="AD241" s="428">
        <v>133</v>
      </c>
      <c r="AE241" s="532">
        <v>118</v>
      </c>
      <c r="AF241" s="346">
        <f t="shared" si="465"/>
        <v>-11.3</v>
      </c>
      <c r="AG241" s="428">
        <f t="shared" si="481"/>
        <v>20</v>
      </c>
      <c r="AH241" s="397">
        <f t="shared" si="481"/>
        <v>0</v>
      </c>
      <c r="AI241" s="346">
        <f t="shared" si="466"/>
        <v>-100</v>
      </c>
      <c r="AJ241" s="428">
        <v>153</v>
      </c>
      <c r="AK241" s="543">
        <v>118</v>
      </c>
      <c r="AL241" s="346">
        <f t="shared" si="467"/>
        <v>-22.9</v>
      </c>
      <c r="AM241" s="733">
        <f t="shared" si="482"/>
        <v>22</v>
      </c>
      <c r="AN241" s="716">
        <f t="shared" si="483"/>
        <v>58</v>
      </c>
      <c r="AO241" s="709">
        <f t="shared" si="484"/>
        <v>163.6</v>
      </c>
      <c r="AP241" s="773">
        <v>175</v>
      </c>
      <c r="AQ241" s="543">
        <v>176</v>
      </c>
      <c r="AR241" s="709">
        <f t="shared" si="468"/>
        <v>0.6</v>
      </c>
      <c r="AS241" s="773">
        <f t="shared" si="485"/>
        <v>20</v>
      </c>
      <c r="AT241" s="716">
        <f t="shared" si="485"/>
        <v>21</v>
      </c>
      <c r="AU241" s="709">
        <f t="shared" si="486"/>
        <v>5</v>
      </c>
      <c r="AV241" s="1013">
        <v>195</v>
      </c>
      <c r="AW241" s="1017">
        <v>197</v>
      </c>
      <c r="AX241" s="709">
        <f t="shared" si="469"/>
        <v>1</v>
      </c>
      <c r="AY241" s="773">
        <f t="shared" si="487"/>
        <v>26</v>
      </c>
      <c r="AZ241" s="716">
        <f t="shared" si="488"/>
        <v>21</v>
      </c>
      <c r="BA241" s="709">
        <f t="shared" si="489"/>
        <v>-19.2</v>
      </c>
      <c r="BB241" s="773">
        <v>221</v>
      </c>
      <c r="BC241" s="543">
        <v>218</v>
      </c>
      <c r="BD241" s="709">
        <f t="shared" si="470"/>
        <v>-1.4</v>
      </c>
      <c r="BE241" s="773">
        <f t="shared" si="490"/>
        <v>21</v>
      </c>
      <c r="BF241" s="716">
        <f t="shared" si="490"/>
        <v>20</v>
      </c>
      <c r="BG241" s="709">
        <f t="shared" si="491"/>
        <v>-4.8</v>
      </c>
      <c r="BH241" s="773">
        <v>242</v>
      </c>
      <c r="BI241" s="543">
        <v>238</v>
      </c>
      <c r="BJ241" s="709">
        <f t="shared" si="471"/>
        <v>-1.7</v>
      </c>
      <c r="BK241" s="773">
        <f t="shared" si="492"/>
        <v>30</v>
      </c>
      <c r="BL241" s="716">
        <f t="shared" si="492"/>
        <v>15</v>
      </c>
      <c r="BM241" s="709">
        <f t="shared" si="493"/>
        <v>-50</v>
      </c>
      <c r="BN241" s="773">
        <v>272</v>
      </c>
      <c r="BO241" s="543">
        <v>253</v>
      </c>
      <c r="BP241" s="709">
        <f t="shared" si="472"/>
        <v>-7</v>
      </c>
      <c r="BQ241" s="773">
        <f t="shared" si="494"/>
        <v>35</v>
      </c>
      <c r="BR241" s="716">
        <f t="shared" si="494"/>
        <v>48</v>
      </c>
      <c r="BS241" s="709">
        <f>ROUND(((BR241/BQ241-1)*100), 1)</f>
        <v>37.1</v>
      </c>
      <c r="BT241" s="773">
        <v>307</v>
      </c>
      <c r="BU241" s="532">
        <v>301</v>
      </c>
      <c r="BV241" s="709">
        <f t="shared" si="474"/>
        <v>-2</v>
      </c>
    </row>
    <row r="242" spans="1:74" s="173" customFormat="1">
      <c r="A242" s="338"/>
      <c r="B242" s="1164"/>
      <c r="C242" s="345" t="s">
        <v>487</v>
      </c>
      <c r="D242" s="341">
        <v>5</v>
      </c>
      <c r="E242" s="341">
        <v>0</v>
      </c>
      <c r="F242" s="341">
        <v>4</v>
      </c>
      <c r="G242" s="341">
        <v>22</v>
      </c>
      <c r="H242" s="341">
        <v>129</v>
      </c>
      <c r="I242" s="341">
        <v>90</v>
      </c>
      <c r="J242" s="341">
        <v>20</v>
      </c>
      <c r="K242" s="341">
        <v>174</v>
      </c>
      <c r="L242" s="428">
        <v>3</v>
      </c>
      <c r="M242" s="397">
        <v>0</v>
      </c>
      <c r="N242" s="346">
        <f t="shared" si="460"/>
        <v>-100</v>
      </c>
      <c r="O242" s="428">
        <f t="shared" si="475"/>
        <v>8</v>
      </c>
      <c r="P242" s="397">
        <f t="shared" si="475"/>
        <v>0</v>
      </c>
      <c r="Q242" s="346">
        <f t="shared" si="476"/>
        <v>-100</v>
      </c>
      <c r="R242" s="428">
        <v>11</v>
      </c>
      <c r="S242" s="397">
        <v>0</v>
      </c>
      <c r="T242" s="346">
        <f t="shared" si="461"/>
        <v>-100</v>
      </c>
      <c r="U242" s="428">
        <f t="shared" si="477"/>
        <v>38</v>
      </c>
      <c r="V242" s="397">
        <f t="shared" si="478"/>
        <v>0</v>
      </c>
      <c r="W242" s="346">
        <f t="shared" si="462"/>
        <v>-100</v>
      </c>
      <c r="X242" s="428">
        <v>49</v>
      </c>
      <c r="Y242" s="397">
        <v>0</v>
      </c>
      <c r="Z242" s="346">
        <f t="shared" si="463"/>
        <v>-100</v>
      </c>
      <c r="AA242" s="428">
        <f t="shared" si="479"/>
        <v>40</v>
      </c>
      <c r="AB242" s="397">
        <f t="shared" si="480"/>
        <v>1</v>
      </c>
      <c r="AC242" s="346">
        <f t="shared" si="495"/>
        <v>-97.5</v>
      </c>
      <c r="AD242" s="428">
        <v>89</v>
      </c>
      <c r="AE242" s="532">
        <v>1</v>
      </c>
      <c r="AF242" s="346">
        <f t="shared" si="465"/>
        <v>-98.9</v>
      </c>
      <c r="AG242" s="428">
        <f t="shared" si="481"/>
        <v>6</v>
      </c>
      <c r="AH242" s="397">
        <f t="shared" si="481"/>
        <v>0</v>
      </c>
      <c r="AI242" s="346">
        <f t="shared" si="466"/>
        <v>-100</v>
      </c>
      <c r="AJ242" s="428">
        <v>95</v>
      </c>
      <c r="AK242" s="543">
        <v>1</v>
      </c>
      <c r="AL242" s="346">
        <f t="shared" si="467"/>
        <v>-98.9</v>
      </c>
      <c r="AM242" s="733">
        <f t="shared" si="482"/>
        <v>36</v>
      </c>
      <c r="AN242" s="716">
        <f t="shared" si="483"/>
        <v>0</v>
      </c>
      <c r="AO242" s="709">
        <f t="shared" si="484"/>
        <v>-100</v>
      </c>
      <c r="AP242" s="773">
        <v>131</v>
      </c>
      <c r="AQ242" s="543">
        <v>1</v>
      </c>
      <c r="AR242" s="709">
        <f t="shared" si="468"/>
        <v>-99.2</v>
      </c>
      <c r="AS242" s="773">
        <f t="shared" si="485"/>
        <v>0</v>
      </c>
      <c r="AT242" s="716">
        <f t="shared" si="485"/>
        <v>0</v>
      </c>
      <c r="AU242" s="751">
        <v>0</v>
      </c>
      <c r="AV242" s="1013">
        <v>131</v>
      </c>
      <c r="AW242" s="1017">
        <v>1</v>
      </c>
      <c r="AX242" s="709">
        <f t="shared" si="469"/>
        <v>-99.2</v>
      </c>
      <c r="AY242" s="773">
        <f t="shared" si="487"/>
        <v>14</v>
      </c>
      <c r="AZ242" s="716">
        <f t="shared" si="488"/>
        <v>0</v>
      </c>
      <c r="BA242" s="709">
        <f t="shared" si="489"/>
        <v>-100</v>
      </c>
      <c r="BB242" s="773">
        <v>145</v>
      </c>
      <c r="BC242" s="543">
        <v>1</v>
      </c>
      <c r="BD242" s="709">
        <f t="shared" si="470"/>
        <v>-99.3</v>
      </c>
      <c r="BE242" s="773">
        <f t="shared" si="490"/>
        <v>17</v>
      </c>
      <c r="BF242" s="716">
        <f t="shared" si="490"/>
        <v>0</v>
      </c>
      <c r="BG242" s="709">
        <f t="shared" si="491"/>
        <v>-100</v>
      </c>
      <c r="BH242" s="773">
        <v>162</v>
      </c>
      <c r="BI242" s="543">
        <v>1</v>
      </c>
      <c r="BJ242" s="709">
        <f t="shared" si="471"/>
        <v>-99.4</v>
      </c>
      <c r="BK242" s="773">
        <f t="shared" si="492"/>
        <v>5</v>
      </c>
      <c r="BL242" s="716">
        <f t="shared" si="492"/>
        <v>0</v>
      </c>
      <c r="BM242" s="709">
        <f t="shared" si="493"/>
        <v>-100</v>
      </c>
      <c r="BN242" s="773">
        <v>167</v>
      </c>
      <c r="BO242" s="543">
        <v>1</v>
      </c>
      <c r="BP242" s="709">
        <f t="shared" si="472"/>
        <v>-99.4</v>
      </c>
      <c r="BQ242" s="773">
        <f t="shared" si="494"/>
        <v>7</v>
      </c>
      <c r="BR242" s="716">
        <f t="shared" si="494"/>
        <v>0</v>
      </c>
      <c r="BS242" s="709">
        <f>ROUND(((BR242/BQ242-1)*100), 1)</f>
        <v>-100</v>
      </c>
      <c r="BT242" s="773">
        <v>174</v>
      </c>
      <c r="BU242" s="532">
        <v>1</v>
      </c>
      <c r="BV242" s="709">
        <f t="shared" si="474"/>
        <v>-99.4</v>
      </c>
    </row>
    <row r="243" spans="1:74" s="173" customFormat="1">
      <c r="A243" s="338"/>
      <c r="B243" s="1164"/>
      <c r="C243" s="345" t="s">
        <v>114</v>
      </c>
      <c r="D243" s="341">
        <v>166</v>
      </c>
      <c r="E243" s="341">
        <v>211</v>
      </c>
      <c r="F243" s="341">
        <v>176</v>
      </c>
      <c r="G243" s="341">
        <v>28</v>
      </c>
      <c r="H243" s="341">
        <v>8</v>
      </c>
      <c r="I243" s="341">
        <v>341</v>
      </c>
      <c r="J243" s="341">
        <v>238</v>
      </c>
      <c r="K243" s="341">
        <v>128</v>
      </c>
      <c r="L243" s="428">
        <v>98</v>
      </c>
      <c r="M243" s="397">
        <v>21</v>
      </c>
      <c r="N243" s="346">
        <f t="shared" si="460"/>
        <v>-78.599999999999994</v>
      </c>
      <c r="O243" s="428">
        <f t="shared" si="475"/>
        <v>0</v>
      </c>
      <c r="P243" s="397">
        <f t="shared" si="475"/>
        <v>0</v>
      </c>
      <c r="Q243" s="529">
        <v>0</v>
      </c>
      <c r="R243" s="428">
        <v>98</v>
      </c>
      <c r="S243" s="397">
        <v>21</v>
      </c>
      <c r="T243" s="346">
        <f t="shared" si="461"/>
        <v>-78.599999999999994</v>
      </c>
      <c r="U243" s="428">
        <f t="shared" si="477"/>
        <v>5</v>
      </c>
      <c r="V243" s="397">
        <f t="shared" si="478"/>
        <v>0</v>
      </c>
      <c r="W243" s="346">
        <f t="shared" si="462"/>
        <v>-100</v>
      </c>
      <c r="X243" s="428">
        <v>103</v>
      </c>
      <c r="Y243" s="397">
        <v>21</v>
      </c>
      <c r="Z243" s="346">
        <f t="shared" si="463"/>
        <v>-79.599999999999994</v>
      </c>
      <c r="AA243" s="428">
        <f t="shared" si="479"/>
        <v>0</v>
      </c>
      <c r="AB243" s="397">
        <f t="shared" si="480"/>
        <v>7</v>
      </c>
      <c r="AC243" s="523">
        <v>0</v>
      </c>
      <c r="AD243" s="428">
        <v>103</v>
      </c>
      <c r="AE243" s="532">
        <v>28</v>
      </c>
      <c r="AF243" s="346">
        <f t="shared" si="465"/>
        <v>-72.8</v>
      </c>
      <c r="AG243" s="428">
        <f t="shared" si="481"/>
        <v>12</v>
      </c>
      <c r="AH243" s="397">
        <f t="shared" si="481"/>
        <v>2</v>
      </c>
      <c r="AI243" s="346">
        <f t="shared" si="466"/>
        <v>-83.3</v>
      </c>
      <c r="AJ243" s="428">
        <v>115</v>
      </c>
      <c r="AK243" s="543">
        <v>30</v>
      </c>
      <c r="AL243" s="346">
        <f t="shared" si="467"/>
        <v>-73.900000000000006</v>
      </c>
      <c r="AM243" s="733">
        <f t="shared" si="482"/>
        <v>0</v>
      </c>
      <c r="AN243" s="716">
        <f t="shared" si="483"/>
        <v>0</v>
      </c>
      <c r="AO243" s="737">
        <v>0</v>
      </c>
      <c r="AP243" s="773">
        <v>115</v>
      </c>
      <c r="AQ243" s="543">
        <v>30</v>
      </c>
      <c r="AR243" s="709">
        <f t="shared" si="468"/>
        <v>-73.900000000000006</v>
      </c>
      <c r="AS243" s="773">
        <f t="shared" si="485"/>
        <v>12</v>
      </c>
      <c r="AT243" s="716">
        <f t="shared" si="485"/>
        <v>0</v>
      </c>
      <c r="AU243" s="709">
        <f t="shared" si="486"/>
        <v>-100</v>
      </c>
      <c r="AV243" s="1013">
        <v>127</v>
      </c>
      <c r="AW243" s="1017">
        <v>30</v>
      </c>
      <c r="AX243" s="709">
        <f t="shared" si="469"/>
        <v>-76.400000000000006</v>
      </c>
      <c r="AY243" s="773">
        <f t="shared" si="487"/>
        <v>0</v>
      </c>
      <c r="AZ243" s="716">
        <f t="shared" si="488"/>
        <v>0</v>
      </c>
      <c r="BA243" s="737">
        <v>0</v>
      </c>
      <c r="BB243" s="773">
        <v>127</v>
      </c>
      <c r="BC243" s="543">
        <v>30</v>
      </c>
      <c r="BD243" s="709">
        <f t="shared" si="470"/>
        <v>-76.400000000000006</v>
      </c>
      <c r="BE243" s="773">
        <f t="shared" si="490"/>
        <v>1</v>
      </c>
      <c r="BF243" s="716">
        <f t="shared" si="490"/>
        <v>0</v>
      </c>
      <c r="BG243" s="705">
        <f t="shared" si="491"/>
        <v>-100</v>
      </c>
      <c r="BH243" s="773">
        <v>128</v>
      </c>
      <c r="BI243" s="543">
        <v>30</v>
      </c>
      <c r="BJ243" s="709">
        <f t="shared" si="471"/>
        <v>-76.599999999999994</v>
      </c>
      <c r="BK243" s="773">
        <f t="shared" si="492"/>
        <v>0</v>
      </c>
      <c r="BL243" s="716">
        <f t="shared" si="492"/>
        <v>9</v>
      </c>
      <c r="BM243" s="751">
        <v>0</v>
      </c>
      <c r="BN243" s="773">
        <v>128</v>
      </c>
      <c r="BO243" s="543">
        <v>39</v>
      </c>
      <c r="BP243" s="709">
        <f t="shared" si="472"/>
        <v>-69.5</v>
      </c>
      <c r="BQ243" s="773">
        <f t="shared" si="494"/>
        <v>0</v>
      </c>
      <c r="BR243" s="716">
        <f t="shared" si="494"/>
        <v>28</v>
      </c>
      <c r="BS243" s="751">
        <v>0</v>
      </c>
      <c r="BT243" s="773">
        <v>128</v>
      </c>
      <c r="BU243" s="532">
        <v>67</v>
      </c>
      <c r="BV243" s="709">
        <f t="shared" si="474"/>
        <v>-47.7</v>
      </c>
    </row>
    <row r="244" spans="1:74" s="173" customFormat="1">
      <c r="A244" s="338"/>
      <c r="B244" s="1164"/>
      <c r="C244" s="345" t="s">
        <v>149</v>
      </c>
      <c r="D244" s="341">
        <v>2029</v>
      </c>
      <c r="E244" s="341">
        <v>2976</v>
      </c>
      <c r="F244" s="341">
        <v>1936</v>
      </c>
      <c r="G244" s="341">
        <v>1613</v>
      </c>
      <c r="H244" s="341">
        <v>272</v>
      </c>
      <c r="I244" s="341">
        <v>213</v>
      </c>
      <c r="J244" s="341">
        <v>98</v>
      </c>
      <c r="K244" s="341">
        <v>59</v>
      </c>
      <c r="L244" s="428">
        <v>0</v>
      </c>
      <c r="M244" s="397">
        <v>0</v>
      </c>
      <c r="N244" s="478">
        <v>0</v>
      </c>
      <c r="O244" s="428">
        <v>0</v>
      </c>
      <c r="P244" s="397">
        <v>0</v>
      </c>
      <c r="Q244" s="478">
        <v>0</v>
      </c>
      <c r="R244" s="428">
        <v>0</v>
      </c>
      <c r="S244" s="397">
        <v>0</v>
      </c>
      <c r="T244" s="478">
        <v>0</v>
      </c>
      <c r="U244" s="428">
        <v>0</v>
      </c>
      <c r="V244" s="397">
        <v>0</v>
      </c>
      <c r="W244" s="478">
        <v>0</v>
      </c>
      <c r="X244" s="428">
        <v>19</v>
      </c>
      <c r="Y244" s="397">
        <v>0</v>
      </c>
      <c r="Z244" s="265">
        <f t="shared" si="463"/>
        <v>-100</v>
      </c>
      <c r="AA244" s="428">
        <v>0</v>
      </c>
      <c r="AB244" s="397">
        <v>0</v>
      </c>
      <c r="AC244" s="529">
        <v>0</v>
      </c>
      <c r="AD244" s="428">
        <v>19</v>
      </c>
      <c r="AE244" s="532">
        <v>0</v>
      </c>
      <c r="AF244" s="265">
        <f t="shared" si="465"/>
        <v>-100</v>
      </c>
      <c r="AG244" s="428">
        <v>0</v>
      </c>
      <c r="AH244" s="397">
        <v>0</v>
      </c>
      <c r="AI244" s="529">
        <v>0</v>
      </c>
      <c r="AJ244" s="428">
        <v>19</v>
      </c>
      <c r="AK244" s="543">
        <v>0</v>
      </c>
      <c r="AL244" s="265">
        <f t="shared" si="467"/>
        <v>-100</v>
      </c>
      <c r="AM244" s="733">
        <v>0</v>
      </c>
      <c r="AN244" s="716">
        <v>0</v>
      </c>
      <c r="AO244" s="737">
        <v>0</v>
      </c>
      <c r="AP244" s="773">
        <v>19</v>
      </c>
      <c r="AQ244" s="543">
        <v>0</v>
      </c>
      <c r="AR244" s="705">
        <f t="shared" si="468"/>
        <v>-100</v>
      </c>
      <c r="AS244" s="773">
        <v>0</v>
      </c>
      <c r="AT244" s="716">
        <v>0</v>
      </c>
      <c r="AU244" s="737">
        <v>0</v>
      </c>
      <c r="AV244" s="1013">
        <v>39</v>
      </c>
      <c r="AW244" s="1017">
        <v>0</v>
      </c>
      <c r="AX244" s="705">
        <f t="shared" si="469"/>
        <v>-100</v>
      </c>
      <c r="AY244" s="773">
        <v>0</v>
      </c>
      <c r="AZ244" s="716">
        <v>0</v>
      </c>
      <c r="BA244" s="737">
        <v>0</v>
      </c>
      <c r="BB244" s="773">
        <v>39</v>
      </c>
      <c r="BC244" s="543">
        <v>0</v>
      </c>
      <c r="BD244" s="705">
        <f t="shared" si="470"/>
        <v>-100</v>
      </c>
      <c r="BE244" s="773">
        <v>0</v>
      </c>
      <c r="BF244" s="716">
        <v>0</v>
      </c>
      <c r="BG244" s="737">
        <v>0</v>
      </c>
      <c r="BH244" s="773">
        <v>39</v>
      </c>
      <c r="BI244" s="543">
        <v>5</v>
      </c>
      <c r="BJ244" s="705">
        <f t="shared" si="471"/>
        <v>-87.2</v>
      </c>
      <c r="BK244" s="773">
        <v>0</v>
      </c>
      <c r="BL244" s="716">
        <v>0</v>
      </c>
      <c r="BM244" s="737">
        <v>0</v>
      </c>
      <c r="BN244" s="773">
        <v>59</v>
      </c>
      <c r="BO244" s="543">
        <v>11</v>
      </c>
      <c r="BP244" s="705">
        <f t="shared" si="472"/>
        <v>-81.400000000000006</v>
      </c>
      <c r="BQ244" s="773">
        <v>0</v>
      </c>
      <c r="BR244" s="716">
        <v>0</v>
      </c>
      <c r="BS244" s="737">
        <v>0</v>
      </c>
      <c r="BT244" s="773">
        <v>59</v>
      </c>
      <c r="BU244" s="532">
        <v>18</v>
      </c>
      <c r="BV244" s="705">
        <f t="shared" si="474"/>
        <v>-69.5</v>
      </c>
    </row>
    <row r="245" spans="1:74">
      <c r="A245" s="96"/>
      <c r="B245" s="1164"/>
      <c r="C245" s="105" t="s">
        <v>82</v>
      </c>
      <c r="D245" s="98">
        <f t="shared" ref="D245:M245" si="496">D246-SUM(D226:D244)</f>
        <v>1593</v>
      </c>
      <c r="E245" s="98">
        <f t="shared" si="496"/>
        <v>1021</v>
      </c>
      <c r="F245" s="98">
        <f t="shared" si="496"/>
        <v>856</v>
      </c>
      <c r="G245" s="98">
        <f t="shared" si="496"/>
        <v>1058</v>
      </c>
      <c r="H245" s="98">
        <f t="shared" si="496"/>
        <v>1403</v>
      </c>
      <c r="I245" s="98">
        <f t="shared" si="496"/>
        <v>681</v>
      </c>
      <c r="J245" s="98">
        <f t="shared" si="496"/>
        <v>941</v>
      </c>
      <c r="K245" s="98">
        <f t="shared" si="496"/>
        <v>723</v>
      </c>
      <c r="L245" s="417">
        <f t="shared" si="496"/>
        <v>27</v>
      </c>
      <c r="M245" s="386">
        <f t="shared" si="496"/>
        <v>73</v>
      </c>
      <c r="N245" s="265">
        <f>ROUND(((M245/L245-1)*100), 1)</f>
        <v>170.4</v>
      </c>
      <c r="O245" s="417">
        <f>O246-SUM(O226:O244)</f>
        <v>19</v>
      </c>
      <c r="P245" s="386">
        <f>P246-SUM(P226:P244)</f>
        <v>177</v>
      </c>
      <c r="Q245" s="265">
        <f>ROUND(((P245/O245-1)*100), 1)</f>
        <v>831.6</v>
      </c>
      <c r="R245" s="417">
        <f>R246-SUM(R226:R244)</f>
        <v>46</v>
      </c>
      <c r="S245" s="386">
        <f>S246-SUM(S226:S244)</f>
        <v>250</v>
      </c>
      <c r="T245" s="265">
        <f>ROUND(((S245/R245-1)*100), 1)</f>
        <v>443.5</v>
      </c>
      <c r="U245" s="417">
        <f>U246-SUM(U226:U244)</f>
        <v>214</v>
      </c>
      <c r="V245" s="386">
        <f>V246-SUM(V226:V244)</f>
        <v>63</v>
      </c>
      <c r="W245" s="265">
        <f>ROUND(((V245/U245-1)*100), 1)</f>
        <v>-70.599999999999994</v>
      </c>
      <c r="X245" s="417">
        <f>X246-SUM(X226:X244)</f>
        <v>241</v>
      </c>
      <c r="Y245" s="386">
        <f>Y246-SUM(Y226:Y244)</f>
        <v>313</v>
      </c>
      <c r="Z245" s="265">
        <f>ROUND(((Y245/X245-1)*100), 1)</f>
        <v>29.9</v>
      </c>
      <c r="AA245" s="417">
        <f>AA246-SUM(AA226:AA244)</f>
        <v>28</v>
      </c>
      <c r="AB245" s="386">
        <f>AB246-SUM(AB226:AB244)</f>
        <v>81</v>
      </c>
      <c r="AC245" s="265">
        <f>ROUND(((AB245/AA245-1)*100), 1)</f>
        <v>189.3</v>
      </c>
      <c r="AD245" s="417">
        <f>AD246-SUM(AD226:AD244)</f>
        <v>269</v>
      </c>
      <c r="AE245" s="386">
        <f>AE246-SUM(AE226:AE244)</f>
        <v>394</v>
      </c>
      <c r="AF245" s="265">
        <f>ROUND(((AE245/AD245-1)*100), 1)</f>
        <v>46.5</v>
      </c>
      <c r="AG245" s="417">
        <f>AG246-SUM(AG226:AG244)</f>
        <v>53</v>
      </c>
      <c r="AH245" s="386">
        <f>AH246-SUM(AH226:AH244)</f>
        <v>45</v>
      </c>
      <c r="AI245" s="265">
        <f>ROUND(((AH245/AG245-1)*100), 1)</f>
        <v>-15.1</v>
      </c>
      <c r="AJ245" s="417">
        <f>AJ246-SUM(AJ226:AJ244)</f>
        <v>322</v>
      </c>
      <c r="AK245" s="544">
        <f>AK246-SUM(AK226:AK244)</f>
        <v>439</v>
      </c>
      <c r="AL245" s="265">
        <f>ROUND(((AK245/AJ245-1)*100), 1)</f>
        <v>36.299999999999997</v>
      </c>
      <c r="AM245" s="722">
        <f>AM246-SUM(AM226:AM244)</f>
        <v>49</v>
      </c>
      <c r="AN245" s="714">
        <f>AN246-SUM(AN226:AN244)</f>
        <v>1</v>
      </c>
      <c r="AO245" s="705">
        <f>ROUND(((AN245/AM245-1)*100), 1)</f>
        <v>-98</v>
      </c>
      <c r="AP245" s="770">
        <f>AP246-SUM(AP226:AP244)</f>
        <v>371</v>
      </c>
      <c r="AQ245" s="544">
        <f>AQ246-SUM(AQ226:AQ244)</f>
        <v>440</v>
      </c>
      <c r="AR245" s="705">
        <f>ROUND(((AQ245/AP245-1)*100), 1)</f>
        <v>18.600000000000001</v>
      </c>
      <c r="AS245" s="770">
        <f>AS246-SUM(AS226:AS244)</f>
        <v>101</v>
      </c>
      <c r="AT245" s="714">
        <f>AT246-SUM(AT226:AT244)</f>
        <v>66</v>
      </c>
      <c r="AU245" s="705">
        <f>ROUND(((AT245/AS245-1)*100), 1)</f>
        <v>-34.700000000000003</v>
      </c>
      <c r="AV245" s="992">
        <f>AV246-SUM(AV226:AV244)</f>
        <v>452</v>
      </c>
      <c r="AW245" s="1018">
        <f>AW246-SUM(AW226:AW244)</f>
        <v>506</v>
      </c>
      <c r="AX245" s="705">
        <f>ROUND(((AW245/AV245-1)*100), 1)</f>
        <v>11.9</v>
      </c>
      <c r="AY245" s="770">
        <f>AY246-SUM(AY226:AY244)</f>
        <v>56</v>
      </c>
      <c r="AZ245" s="714">
        <f>AZ246-SUM(AZ226:AZ244)</f>
        <v>22</v>
      </c>
      <c r="BA245" s="705">
        <f>ROUND(((AZ245/AY245-1)*100), 1)</f>
        <v>-60.7</v>
      </c>
      <c r="BB245" s="770">
        <f>BB246-SUM(BB226:BB244)</f>
        <v>508</v>
      </c>
      <c r="BC245" s="544">
        <f>BC246-SUM(BC226:BC244)</f>
        <v>528</v>
      </c>
      <c r="BD245" s="705">
        <f>ROUND(((BC245/BB245-1)*100), 1)</f>
        <v>3.9</v>
      </c>
      <c r="BE245" s="770">
        <f>BE246-SUM(BE226:BE244)</f>
        <v>51</v>
      </c>
      <c r="BF245" s="714">
        <f>BF246-SUM(BF226:BF244)</f>
        <v>92</v>
      </c>
      <c r="BG245" s="705">
        <f>ROUND(((BF245/BE245-1)*100), 1)</f>
        <v>80.400000000000006</v>
      </c>
      <c r="BH245" s="770">
        <f>BH246-SUM(BH226:BH244)</f>
        <v>559</v>
      </c>
      <c r="BI245" s="544">
        <f>BI246-SUM(BI226:BI244)</f>
        <v>615</v>
      </c>
      <c r="BJ245" s="705">
        <f>ROUND(((BI245/BH245-1)*100), 1)</f>
        <v>10</v>
      </c>
      <c r="BK245" s="770">
        <f>BK246-SUM(BK226:BK244)</f>
        <v>74</v>
      </c>
      <c r="BL245" s="714">
        <f>BL246-SUM(BL226:BL244)</f>
        <v>118</v>
      </c>
      <c r="BM245" s="705">
        <f>ROUND(((BL245/BK245-1)*100), 1)</f>
        <v>59.5</v>
      </c>
      <c r="BN245" s="770">
        <f>BN246-SUM(BN226:BN244)</f>
        <v>613</v>
      </c>
      <c r="BO245" s="544">
        <f>BO246-SUM(BO226:BO244)</f>
        <v>727</v>
      </c>
      <c r="BP245" s="705">
        <f>ROUND(((BO245/BN245-1)*100), 1)</f>
        <v>18.600000000000001</v>
      </c>
      <c r="BQ245" s="770">
        <f>BQ246-SUM(BQ226:BQ244)</f>
        <v>29</v>
      </c>
      <c r="BR245" s="714">
        <f>BR246-SUM(BR226:BR244)</f>
        <v>370</v>
      </c>
      <c r="BS245" s="705">
        <f>ROUND(((BR245/BQ245-1)*100), 1)</f>
        <v>1175.9000000000001</v>
      </c>
      <c r="BT245" s="770">
        <f>BT246-SUM(BT226:BT244)</f>
        <v>642</v>
      </c>
      <c r="BU245" s="544">
        <f>BU246-SUM(BU226:BU244)</f>
        <v>1090</v>
      </c>
      <c r="BV245" s="705">
        <f>ROUND(((BU245/BT245-1)*100), 1)</f>
        <v>69.8</v>
      </c>
    </row>
    <row r="246" spans="1:74">
      <c r="A246" s="96"/>
      <c r="B246" s="1098"/>
      <c r="C246" s="45" t="s">
        <v>230</v>
      </c>
      <c r="D246" s="99">
        <v>108031</v>
      </c>
      <c r="E246" s="99">
        <v>123095</v>
      </c>
      <c r="F246" s="99">
        <v>156231</v>
      </c>
      <c r="G246" s="99">
        <v>195663</v>
      </c>
      <c r="H246" s="99">
        <v>176253</v>
      </c>
      <c r="I246" s="99">
        <v>201495</v>
      </c>
      <c r="J246" s="99">
        <v>236054</v>
      </c>
      <c r="K246" s="99">
        <v>250684</v>
      </c>
      <c r="L246" s="409">
        <v>23190</v>
      </c>
      <c r="M246" s="387">
        <v>22683</v>
      </c>
      <c r="N246" s="266">
        <f>ROUND(((M246/L246-1)*100), 1)</f>
        <v>-2.2000000000000002</v>
      </c>
      <c r="O246" s="409">
        <f>R246-L246</f>
        <v>16299</v>
      </c>
      <c r="P246" s="387">
        <f>S246-M246</f>
        <v>15154</v>
      </c>
      <c r="Q246" s="266">
        <f>ROUND(((P246/O246-1)*100), 1)</f>
        <v>-7</v>
      </c>
      <c r="R246" s="409">
        <v>39489</v>
      </c>
      <c r="S246" s="387">
        <v>37837</v>
      </c>
      <c r="T246" s="266">
        <f>ROUND(((S246/R246-1)*100), 1)</f>
        <v>-4.2</v>
      </c>
      <c r="U246" s="409">
        <f>X246-R246</f>
        <v>21015</v>
      </c>
      <c r="V246" s="387">
        <f>Y246-S246</f>
        <v>24556</v>
      </c>
      <c r="W246" s="266">
        <f>ROUND(((V246/U246-1)*100), 1)</f>
        <v>16.8</v>
      </c>
      <c r="X246" s="409">
        <v>60504</v>
      </c>
      <c r="Y246" s="387">
        <v>62393</v>
      </c>
      <c r="Z246" s="266">
        <f>ROUND(((Y246/X246-1)*100), 1)</f>
        <v>3.1</v>
      </c>
      <c r="AA246" s="409">
        <f>AD246-X246</f>
        <v>22809</v>
      </c>
      <c r="AB246" s="387">
        <f>AE246-Y246</f>
        <v>24218</v>
      </c>
      <c r="AC246" s="266">
        <f>ROUND(((AB246/AA246-1)*100), 1)</f>
        <v>6.2</v>
      </c>
      <c r="AD246" s="409">
        <v>83313</v>
      </c>
      <c r="AE246" s="387">
        <v>86611</v>
      </c>
      <c r="AF246" s="266">
        <f>ROUND(((AE246/AD246-1)*100), 1)</f>
        <v>4</v>
      </c>
      <c r="AG246" s="409">
        <f>AJ246-AD246</f>
        <v>21093</v>
      </c>
      <c r="AH246" s="387">
        <f>AK246-AE246</f>
        <v>23067</v>
      </c>
      <c r="AI246" s="266">
        <f>ROUND(((AH246/AG246-1)*100), 1)</f>
        <v>9.4</v>
      </c>
      <c r="AJ246" s="409">
        <v>104406</v>
      </c>
      <c r="AK246" s="545">
        <v>109678</v>
      </c>
      <c r="AL246" s="266">
        <f>ROUND(((AK246/AJ246-1)*100), 1)</f>
        <v>5</v>
      </c>
      <c r="AM246" s="721">
        <f>AP246-AJ246</f>
        <v>20005</v>
      </c>
      <c r="AN246" s="715">
        <f>AQ246-AK246</f>
        <v>20141</v>
      </c>
      <c r="AO246" s="706">
        <f>ROUND(((AN246/AM246-1)*100), 1)</f>
        <v>0.7</v>
      </c>
      <c r="AP246" s="721">
        <v>124411</v>
      </c>
      <c r="AQ246" s="545">
        <v>129819</v>
      </c>
      <c r="AR246" s="706">
        <f>ROUND(((AQ246/AP246-1)*100), 1)</f>
        <v>4.3</v>
      </c>
      <c r="AS246" s="721">
        <f>AV246-AP246</f>
        <v>22633</v>
      </c>
      <c r="AT246" s="715">
        <f>AW246-AQ246</f>
        <v>24231</v>
      </c>
      <c r="AU246" s="706">
        <f>ROUND(((AT246/AS246-1)*100), 1)</f>
        <v>7.1</v>
      </c>
      <c r="AV246" s="1010">
        <v>147044</v>
      </c>
      <c r="AW246" s="1019">
        <v>154050</v>
      </c>
      <c r="AX246" s="706">
        <f>ROUND(((AW246/AV246-1)*100), 1)</f>
        <v>4.8</v>
      </c>
      <c r="AY246" s="721">
        <f>BB246-AV246</f>
        <v>21681</v>
      </c>
      <c r="AZ246" s="715">
        <f>BC246-AW246</f>
        <v>18500</v>
      </c>
      <c r="BA246" s="706">
        <f>ROUND(((AZ246/AY246-1)*100), 1)</f>
        <v>-14.7</v>
      </c>
      <c r="BB246" s="721">
        <v>168725</v>
      </c>
      <c r="BC246" s="545">
        <v>172550</v>
      </c>
      <c r="BD246" s="706">
        <f>ROUND(((BC246/BB246-1)*100), 1)</f>
        <v>2.2999999999999998</v>
      </c>
      <c r="BE246" s="721">
        <f>BH246-BB246</f>
        <v>19197</v>
      </c>
      <c r="BF246" s="715">
        <f>BI246-BC246</f>
        <v>20365</v>
      </c>
      <c r="BG246" s="706">
        <f>ROUND(((BF246/BE246-1)*100), 1)</f>
        <v>6.1</v>
      </c>
      <c r="BH246" s="721">
        <v>187922</v>
      </c>
      <c r="BI246" s="545">
        <v>192915</v>
      </c>
      <c r="BJ246" s="706">
        <f>ROUND(((BI246/BH246-1)*100), 1)</f>
        <v>2.7</v>
      </c>
      <c r="BK246" s="721">
        <f>BN246-BH246</f>
        <v>20542</v>
      </c>
      <c r="BL246" s="715">
        <f>BO246-BI246</f>
        <v>21092</v>
      </c>
      <c r="BM246" s="706">
        <f>ROUND(((BL246/BK246-1)*100), 1)</f>
        <v>2.7</v>
      </c>
      <c r="BN246" s="721">
        <v>208464</v>
      </c>
      <c r="BO246" s="545">
        <v>214007</v>
      </c>
      <c r="BP246" s="706">
        <f>ROUND(((BO246/BN246-1)*100), 1)</f>
        <v>2.7</v>
      </c>
      <c r="BQ246" s="721">
        <f>BT246-BN246</f>
        <v>20962</v>
      </c>
      <c r="BR246" s="715">
        <f>BU246-BO246</f>
        <v>21158</v>
      </c>
      <c r="BS246" s="706">
        <f>ROUND(((BR246/BQ246-1)*100), 1)</f>
        <v>0.9</v>
      </c>
      <c r="BT246" s="721">
        <v>229426</v>
      </c>
      <c r="BU246" s="545">
        <v>235165</v>
      </c>
      <c r="BV246" s="706">
        <f>ROUND(((BU246/BT246-1)*100), 1)</f>
        <v>2.5</v>
      </c>
    </row>
    <row r="247" spans="1:74">
      <c r="A247" s="97"/>
      <c r="B247" s="1162" t="s">
        <v>181</v>
      </c>
      <c r="C247" s="1121"/>
      <c r="D247" s="99">
        <f t="shared" ref="D247:M247" si="497">SUM(D225+D246)</f>
        <v>148755</v>
      </c>
      <c r="E247" s="99">
        <f t="shared" si="497"/>
        <v>237566</v>
      </c>
      <c r="F247" s="99">
        <f t="shared" si="497"/>
        <v>230952</v>
      </c>
      <c r="G247" s="99">
        <f t="shared" si="497"/>
        <v>309593</v>
      </c>
      <c r="H247" s="99">
        <f t="shared" si="497"/>
        <v>211496</v>
      </c>
      <c r="I247" s="99">
        <f t="shared" si="497"/>
        <v>274711</v>
      </c>
      <c r="J247" s="107">
        <f t="shared" si="497"/>
        <v>407148</v>
      </c>
      <c r="K247" s="107">
        <f t="shared" si="497"/>
        <v>346574</v>
      </c>
      <c r="L247" s="408">
        <f t="shared" si="497"/>
        <v>40461</v>
      </c>
      <c r="M247" s="406">
        <f t="shared" si="497"/>
        <v>25138</v>
      </c>
      <c r="N247" s="266">
        <f>ROUND(((M247/L247-1)*100), 1)</f>
        <v>-37.9</v>
      </c>
      <c r="O247" s="408">
        <f>SUM(O225+O246)</f>
        <v>27422</v>
      </c>
      <c r="P247" s="406">
        <f>SUM(P225+P246)</f>
        <v>16959</v>
      </c>
      <c r="Q247" s="266">
        <f>ROUND(((P247/O247-1)*100), 1)</f>
        <v>-38.200000000000003</v>
      </c>
      <c r="R247" s="408">
        <f>SUM(R225+R246)</f>
        <v>67883</v>
      </c>
      <c r="S247" s="406">
        <f>SUM(S225+S246)</f>
        <v>42097</v>
      </c>
      <c r="T247" s="266">
        <f>ROUND(((S247/R247-1)*100), 1)</f>
        <v>-38</v>
      </c>
      <c r="U247" s="408">
        <f>SUM(U225+U246)</f>
        <v>36696</v>
      </c>
      <c r="V247" s="406">
        <f>SUM(V225+V246)</f>
        <v>27496</v>
      </c>
      <c r="W247" s="266">
        <f>ROUND(((V247/U247-1)*100), 1)</f>
        <v>-25.1</v>
      </c>
      <c r="X247" s="408">
        <f>SUM(X225+X246)</f>
        <v>104579</v>
      </c>
      <c r="Y247" s="406">
        <f>SUM(Y225+Y246)</f>
        <v>69593</v>
      </c>
      <c r="Z247" s="266">
        <f>ROUND(((Y247/X247-1)*100), 1)</f>
        <v>-33.5</v>
      </c>
      <c r="AA247" s="408">
        <f>SUM(AA225+AA246)</f>
        <v>38464</v>
      </c>
      <c r="AB247" s="406">
        <f>SUM(AB225+AB246)</f>
        <v>32272</v>
      </c>
      <c r="AC247" s="266">
        <f>ROUND(((AB247/AA247-1)*100), 1)</f>
        <v>-16.100000000000001</v>
      </c>
      <c r="AD247" s="408">
        <f>SUM(AD225+AD246)</f>
        <v>143043</v>
      </c>
      <c r="AE247" s="406">
        <f>SUM(AE225+AE246)</f>
        <v>101865</v>
      </c>
      <c r="AF247" s="266">
        <f>ROUND(((AE247/AD247-1)*100), 1)</f>
        <v>-28.8</v>
      </c>
      <c r="AG247" s="408">
        <f>SUM(AG225+AG246)</f>
        <v>30647</v>
      </c>
      <c r="AH247" s="406">
        <f>SUM(AH225+AH246)</f>
        <v>29693</v>
      </c>
      <c r="AI247" s="266">
        <f>ROUND(((AH247/AG247-1)*100), 1)</f>
        <v>-3.1</v>
      </c>
      <c r="AJ247" s="408">
        <f>SUM(AJ225+AJ246)</f>
        <v>173690</v>
      </c>
      <c r="AK247" s="546">
        <f>SUM(AK225+AK246)</f>
        <v>131558</v>
      </c>
      <c r="AL247" s="266">
        <f>ROUND(((AK247/AJ247-1)*100), 1)</f>
        <v>-24.3</v>
      </c>
      <c r="AM247" s="720">
        <f>SUM(AM225+AM246)</f>
        <v>27298</v>
      </c>
      <c r="AN247" s="718">
        <f>SUM(AN225+AN246)</f>
        <v>25962</v>
      </c>
      <c r="AO247" s="706">
        <f>ROUND(((AN247/AM247-1)*100), 1)</f>
        <v>-4.9000000000000004</v>
      </c>
      <c r="AP247" s="720">
        <f>SUM(AP225+AP246)</f>
        <v>200988</v>
      </c>
      <c r="AQ247" s="546">
        <f>SUM(AQ225+AQ246)</f>
        <v>157520</v>
      </c>
      <c r="AR247" s="706">
        <f>ROUND(((AQ247/AP247-1)*100), 1)</f>
        <v>-21.6</v>
      </c>
      <c r="AS247" s="720">
        <f>SUM(AS225+AS246)</f>
        <v>27130</v>
      </c>
      <c r="AT247" s="718">
        <f>SUM(AT225+AT246)</f>
        <v>26595</v>
      </c>
      <c r="AU247" s="706">
        <f>ROUND(((AT247/AS247-1)*100), 1)</f>
        <v>-2</v>
      </c>
      <c r="AV247" s="1016">
        <f>SUM(AV225+AV246)</f>
        <v>228118</v>
      </c>
      <c r="AW247" s="1020">
        <f>SUM(AW225+AW246)</f>
        <v>184115</v>
      </c>
      <c r="AX247" s="706">
        <f>ROUND(((AW247/AV247-1)*100), 1)</f>
        <v>-19.3</v>
      </c>
      <c r="AY247" s="720">
        <f>SUM(AY225+AY246)</f>
        <v>26732</v>
      </c>
      <c r="AZ247" s="718">
        <f>SUM(AZ225+AZ246)</f>
        <v>20477</v>
      </c>
      <c r="BA247" s="706">
        <f>ROUND(((AZ247/AY247-1)*100), 1)</f>
        <v>-23.4</v>
      </c>
      <c r="BB247" s="720">
        <f>SUM(BB225+BB246)</f>
        <v>254850</v>
      </c>
      <c r="BC247" s="546">
        <f>SUM(BC225+BC246)</f>
        <v>204592</v>
      </c>
      <c r="BD247" s="706">
        <f>ROUND(((BC247/BB247-1)*100), 1)</f>
        <v>-19.7</v>
      </c>
      <c r="BE247" s="720">
        <f>SUM(BE225+BE246)</f>
        <v>21123</v>
      </c>
      <c r="BF247" s="718">
        <f>SUM(BF225+BF246)</f>
        <v>22719</v>
      </c>
      <c r="BG247" s="706">
        <f>ROUND(((BF247/BE247-1)*100), 1)</f>
        <v>7.6</v>
      </c>
      <c r="BH247" s="720">
        <f>SUM(BH225+BH246)</f>
        <v>275973</v>
      </c>
      <c r="BI247" s="546">
        <f>SUM(BI225+BI246)</f>
        <v>227311</v>
      </c>
      <c r="BJ247" s="706">
        <f>ROUND(((BI247/BH247-1)*100), 1)</f>
        <v>-17.600000000000001</v>
      </c>
      <c r="BK247" s="720">
        <f>SUM(BK225+BK246)</f>
        <v>23392</v>
      </c>
      <c r="BL247" s="718">
        <f>SUM(BL225+BL246)</f>
        <v>23904</v>
      </c>
      <c r="BM247" s="706">
        <f>ROUND(((BL247/BK247-1)*100), 1)</f>
        <v>2.2000000000000002</v>
      </c>
      <c r="BN247" s="720">
        <f>SUM(BN225+BN246)</f>
        <v>299365</v>
      </c>
      <c r="BO247" s="546">
        <f>SUM(BO225+BO246)</f>
        <v>251215</v>
      </c>
      <c r="BP247" s="706">
        <f>ROUND(((BO247/BN247-1)*100), 1)</f>
        <v>-16.100000000000001</v>
      </c>
      <c r="BQ247" s="720">
        <f>SUM(BQ225+BQ246)</f>
        <v>23048</v>
      </c>
      <c r="BR247" s="718">
        <f>SUM(BR225+BR246)</f>
        <v>23525</v>
      </c>
      <c r="BS247" s="706">
        <f>ROUND(((BR247/BQ247-1)*100), 1)</f>
        <v>2.1</v>
      </c>
      <c r="BT247" s="720">
        <f>SUM(BT225+BT246)</f>
        <v>322413</v>
      </c>
      <c r="BU247" s="546">
        <f>SUM(BU225+BU246)</f>
        <v>274740</v>
      </c>
      <c r="BV247" s="706">
        <f>ROUND(((BU247/BT247-1)*100), 1)</f>
        <v>-14.8</v>
      </c>
    </row>
    <row r="248" spans="1:74">
      <c r="A248" s="55" t="s">
        <v>118</v>
      </c>
      <c r="N248" s="256"/>
    </row>
    <row r="249" spans="1:74">
      <c r="J249" s="63"/>
      <c r="N249" s="256"/>
    </row>
    <row r="250" spans="1:74">
      <c r="A250" s="168" t="s">
        <v>232</v>
      </c>
      <c r="B250" s="101"/>
      <c r="C250" s="101"/>
      <c r="D250" s="102"/>
      <c r="E250" s="102"/>
      <c r="F250" s="102"/>
      <c r="G250" s="102"/>
      <c r="H250" s="102"/>
      <c r="J250" s="280"/>
      <c r="K250" s="280" t="s">
        <v>338</v>
      </c>
      <c r="L250" s="102"/>
      <c r="M250" s="102"/>
      <c r="N250" s="260"/>
      <c r="O250" s="102"/>
      <c r="P250" s="102"/>
      <c r="Q250" s="276"/>
      <c r="R250" s="102"/>
      <c r="S250" s="102"/>
      <c r="T250" s="276"/>
      <c r="U250" s="102"/>
      <c r="V250" s="102"/>
      <c r="W250" s="276"/>
      <c r="X250" s="102"/>
      <c r="Y250" s="102"/>
      <c r="Z250" s="276"/>
      <c r="AA250" s="102"/>
      <c r="AB250" s="102"/>
      <c r="AC250" s="276"/>
      <c r="AD250" s="102"/>
      <c r="AE250" s="102"/>
      <c r="AF250" s="276"/>
      <c r="AG250" s="102"/>
      <c r="AH250" s="102"/>
      <c r="AI250" s="276"/>
      <c r="AJ250" s="102"/>
      <c r="AK250" s="102"/>
      <c r="AL250" s="276"/>
      <c r="AM250" s="692"/>
      <c r="AN250" s="692"/>
      <c r="AO250" s="700"/>
      <c r="AP250" s="748"/>
      <c r="AQ250" s="748"/>
      <c r="AR250" s="700"/>
      <c r="AS250" s="748"/>
      <c r="AT250" s="748"/>
      <c r="AU250" s="756"/>
      <c r="AV250" s="995"/>
      <c r="AW250" s="995"/>
      <c r="AX250" s="756"/>
      <c r="AY250" s="748"/>
      <c r="AZ250" s="748"/>
      <c r="BA250" s="756"/>
      <c r="BB250" s="748"/>
      <c r="BC250" s="748"/>
      <c r="BD250" s="756"/>
      <c r="BE250" s="748"/>
      <c r="BF250" s="748"/>
      <c r="BG250" s="756"/>
      <c r="BH250" s="748"/>
      <c r="BI250" s="748"/>
      <c r="BJ250" s="756"/>
      <c r="BK250" s="748"/>
      <c r="BL250" s="748"/>
      <c r="BM250" s="756"/>
      <c r="BN250" s="748"/>
      <c r="BO250" s="748"/>
      <c r="BP250" s="756"/>
      <c r="BQ250" s="748"/>
      <c r="BR250" s="748"/>
      <c r="BS250" s="756"/>
      <c r="BT250" s="748"/>
      <c r="BU250" s="748"/>
      <c r="BV250" s="756"/>
    </row>
    <row r="251" spans="1:74">
      <c r="A251" s="101"/>
      <c r="B251" s="101"/>
      <c r="C251" s="101"/>
      <c r="D251" s="102"/>
      <c r="E251" s="102"/>
      <c r="F251" s="102"/>
      <c r="G251" s="102"/>
      <c r="H251" s="102"/>
      <c r="J251" s="83"/>
      <c r="K251" s="280" t="s">
        <v>233</v>
      </c>
      <c r="L251" s="102"/>
      <c r="M251" s="102"/>
      <c r="N251" s="260"/>
      <c r="O251" s="102"/>
      <c r="P251" s="102"/>
      <c r="Q251" s="276"/>
      <c r="R251" s="102"/>
      <c r="S251" s="102"/>
      <c r="T251" s="276"/>
      <c r="U251" s="102"/>
      <c r="V251" s="102"/>
      <c r="W251" s="276"/>
      <c r="X251" s="102"/>
      <c r="Y251" s="102"/>
      <c r="Z251" s="276"/>
      <c r="AA251" s="102"/>
      <c r="AB251" s="102"/>
      <c r="AC251" s="276"/>
      <c r="AD251" s="102"/>
      <c r="AE251" s="102"/>
      <c r="AF251" s="276"/>
      <c r="AG251" s="102"/>
      <c r="AH251" s="102"/>
      <c r="AI251" s="276"/>
      <c r="AJ251" s="102"/>
      <c r="AK251" s="102"/>
      <c r="AL251" s="276"/>
      <c r="AM251" s="692"/>
      <c r="AN251" s="692"/>
      <c r="AO251" s="700"/>
      <c r="AP251" s="748"/>
      <c r="AQ251" s="748"/>
      <c r="AR251" s="700"/>
      <c r="AS251" s="748"/>
      <c r="AT251" s="748"/>
      <c r="AU251" s="756"/>
      <c r="AV251" s="995"/>
      <c r="AW251" s="995"/>
      <c r="AX251" s="756"/>
      <c r="AY251" s="748"/>
      <c r="AZ251" s="748"/>
      <c r="BA251" s="756"/>
      <c r="BB251" s="748"/>
      <c r="BC251" s="748"/>
      <c r="BD251" s="756"/>
      <c r="BE251" s="748"/>
      <c r="BF251" s="748"/>
      <c r="BG251" s="756"/>
      <c r="BH251" s="748"/>
      <c r="BI251" s="748"/>
      <c r="BJ251" s="756"/>
      <c r="BK251" s="748"/>
      <c r="BL251" s="748"/>
      <c r="BM251" s="756"/>
      <c r="BN251" s="748"/>
      <c r="BO251" s="748"/>
      <c r="BP251" s="756"/>
      <c r="BQ251" s="748"/>
      <c r="BR251" s="748"/>
      <c r="BS251" s="756"/>
      <c r="BT251" s="748"/>
      <c r="BU251" s="748"/>
      <c r="BV251" s="756"/>
    </row>
    <row r="252" spans="1:74">
      <c r="A252" s="30"/>
      <c r="B252" s="30"/>
      <c r="D252" s="75"/>
      <c r="E252" s="75"/>
      <c r="F252" s="75"/>
      <c r="G252" s="75"/>
      <c r="H252" s="75"/>
      <c r="I252" s="75"/>
      <c r="J252" s="279"/>
      <c r="K252" s="279"/>
      <c r="L252" s="279"/>
      <c r="M252" s="279"/>
      <c r="N252" s="269" t="s">
        <v>94</v>
      </c>
      <c r="O252" s="279"/>
      <c r="P252" s="279"/>
      <c r="Q252" s="274"/>
      <c r="R252" s="279"/>
      <c r="S252" s="279"/>
      <c r="T252" s="274" t="s">
        <v>94</v>
      </c>
      <c r="U252" s="279"/>
      <c r="V252" s="279"/>
      <c r="W252" s="274"/>
      <c r="X252" s="279"/>
      <c r="Y252" s="279"/>
      <c r="Z252" s="274" t="s">
        <v>94</v>
      </c>
      <c r="AA252" s="279"/>
      <c r="AB252" s="279"/>
      <c r="AC252" s="274"/>
      <c r="AD252" s="279"/>
      <c r="AE252" s="279"/>
      <c r="AF252" s="274" t="s">
        <v>94</v>
      </c>
      <c r="AG252" s="279"/>
      <c r="AH252" s="279"/>
      <c r="AI252" s="274"/>
      <c r="AJ252" s="279"/>
      <c r="AK252" s="279"/>
      <c r="AL252" s="274" t="s">
        <v>94</v>
      </c>
      <c r="AM252" s="691"/>
      <c r="AN252" s="691"/>
      <c r="AO252" s="697"/>
      <c r="AP252" s="746"/>
      <c r="AQ252" s="746"/>
      <c r="AR252" s="697" t="s">
        <v>94</v>
      </c>
      <c r="AS252" s="746"/>
      <c r="AT252" s="746"/>
      <c r="AU252" s="755"/>
      <c r="AV252" s="961"/>
      <c r="AW252" s="961"/>
      <c r="AX252" s="755" t="s">
        <v>94</v>
      </c>
      <c r="AY252" s="746"/>
      <c r="AZ252" s="746"/>
      <c r="BA252" s="755"/>
      <c r="BB252" s="746"/>
      <c r="BC252" s="746"/>
      <c r="BD252" s="755" t="s">
        <v>94</v>
      </c>
      <c r="BE252" s="746"/>
      <c r="BF252" s="746"/>
      <c r="BG252" s="755"/>
      <c r="BH252" s="746"/>
      <c r="BI252" s="746"/>
      <c r="BJ252" s="755" t="s">
        <v>94</v>
      </c>
      <c r="BK252" s="746"/>
      <c r="BL252" s="746"/>
      <c r="BM252" s="755"/>
      <c r="BN252" s="746"/>
      <c r="BO252" s="746"/>
      <c r="BP252" s="755" t="s">
        <v>94</v>
      </c>
      <c r="BQ252" s="746"/>
      <c r="BR252" s="746"/>
      <c r="BS252" s="755"/>
      <c r="BT252" s="746"/>
      <c r="BU252" s="746"/>
      <c r="BV252" s="755" t="s">
        <v>94</v>
      </c>
    </row>
    <row r="253" spans="1:74">
      <c r="A253" s="1082" t="s">
        <v>95</v>
      </c>
      <c r="B253" s="1082"/>
      <c r="C253" s="1082"/>
      <c r="D253" s="1170" t="s">
        <v>3</v>
      </c>
      <c r="E253" s="1170" t="s">
        <v>4</v>
      </c>
      <c r="F253" s="1170" t="s">
        <v>5</v>
      </c>
      <c r="G253" s="1170" t="s">
        <v>6</v>
      </c>
      <c r="H253" s="1170" t="s">
        <v>7</v>
      </c>
      <c r="I253" s="1170" t="s">
        <v>81</v>
      </c>
      <c r="J253" s="1170" t="s">
        <v>83</v>
      </c>
      <c r="K253" s="1172" t="s">
        <v>315</v>
      </c>
      <c r="L253" s="1171" t="s">
        <v>40</v>
      </c>
      <c r="M253" s="1170"/>
      <c r="N253" s="1082"/>
      <c r="O253" s="1155" t="s">
        <v>505</v>
      </c>
      <c r="P253" s="1156"/>
      <c r="Q253" s="1157"/>
      <c r="R253" s="1155" t="s">
        <v>506</v>
      </c>
      <c r="S253" s="1156"/>
      <c r="T253" s="1157"/>
      <c r="U253" s="1155" t="s">
        <v>513</v>
      </c>
      <c r="V253" s="1156"/>
      <c r="W253" s="1157"/>
      <c r="X253" s="1155" t="s">
        <v>514</v>
      </c>
      <c r="Y253" s="1156"/>
      <c r="Z253" s="1157"/>
      <c r="AA253" s="1155" t="s">
        <v>531</v>
      </c>
      <c r="AB253" s="1156"/>
      <c r="AC253" s="1157"/>
      <c r="AD253" s="1155" t="s">
        <v>533</v>
      </c>
      <c r="AE253" s="1156"/>
      <c r="AF253" s="1157"/>
      <c r="AG253" s="1155" t="s">
        <v>555</v>
      </c>
      <c r="AH253" s="1156"/>
      <c r="AI253" s="1157"/>
      <c r="AJ253" s="1155" t="s">
        <v>556</v>
      </c>
      <c r="AK253" s="1156"/>
      <c r="AL253" s="1157"/>
      <c r="AM253" s="1155" t="s">
        <v>583</v>
      </c>
      <c r="AN253" s="1156"/>
      <c r="AO253" s="1157"/>
      <c r="AP253" s="1155" t="s">
        <v>584</v>
      </c>
      <c r="AQ253" s="1156"/>
      <c r="AR253" s="1157"/>
      <c r="AS253" s="1155" t="s">
        <v>621</v>
      </c>
      <c r="AT253" s="1156"/>
      <c r="AU253" s="1157"/>
      <c r="AV253" s="1155" t="s">
        <v>622</v>
      </c>
      <c r="AW253" s="1156"/>
      <c r="AX253" s="1157"/>
      <c r="AY253" s="1155" t="s">
        <v>626</v>
      </c>
      <c r="AZ253" s="1156"/>
      <c r="BA253" s="1157"/>
      <c r="BB253" s="1155" t="s">
        <v>628</v>
      </c>
      <c r="BC253" s="1156"/>
      <c r="BD253" s="1157"/>
      <c r="BE253" s="1155" t="s">
        <v>650</v>
      </c>
      <c r="BF253" s="1156"/>
      <c r="BG253" s="1157"/>
      <c r="BH253" s="1155" t="s">
        <v>651</v>
      </c>
      <c r="BI253" s="1156"/>
      <c r="BJ253" s="1157"/>
      <c r="BK253" s="1155" t="s">
        <v>674</v>
      </c>
      <c r="BL253" s="1156"/>
      <c r="BM253" s="1157"/>
      <c r="BN253" s="1155" t="s">
        <v>675</v>
      </c>
      <c r="BO253" s="1156"/>
      <c r="BP253" s="1157"/>
      <c r="BQ253" s="1155" t="s">
        <v>712</v>
      </c>
      <c r="BR253" s="1156"/>
      <c r="BS253" s="1157"/>
      <c r="BT253" s="1155" t="s">
        <v>711</v>
      </c>
      <c r="BU253" s="1156"/>
      <c r="BV253" s="1157"/>
    </row>
    <row r="254" spans="1:74">
      <c r="A254" s="1082"/>
      <c r="B254" s="1082"/>
      <c r="C254" s="1082"/>
      <c r="D254" s="1170"/>
      <c r="E254" s="1170"/>
      <c r="F254" s="1170"/>
      <c r="G254" s="1170"/>
      <c r="H254" s="1170"/>
      <c r="I254" s="1170"/>
      <c r="J254" s="1170"/>
      <c r="K254" s="1173"/>
      <c r="L254" s="418" t="s">
        <v>445</v>
      </c>
      <c r="M254" s="427" t="s">
        <v>446</v>
      </c>
      <c r="N254" s="271" t="s">
        <v>10</v>
      </c>
      <c r="O254" s="418" t="s">
        <v>445</v>
      </c>
      <c r="P254" s="427" t="s">
        <v>446</v>
      </c>
      <c r="Q254" s="277" t="s">
        <v>10</v>
      </c>
      <c r="R254" s="418" t="s">
        <v>445</v>
      </c>
      <c r="S254" s="427" t="s">
        <v>446</v>
      </c>
      <c r="T254" s="277" t="s">
        <v>10</v>
      </c>
      <c r="U254" s="418" t="s">
        <v>445</v>
      </c>
      <c r="V254" s="427" t="s">
        <v>446</v>
      </c>
      <c r="W254" s="277" t="s">
        <v>10</v>
      </c>
      <c r="X254" s="418" t="s">
        <v>445</v>
      </c>
      <c r="Y254" s="427" t="s">
        <v>446</v>
      </c>
      <c r="Z254" s="277" t="s">
        <v>10</v>
      </c>
      <c r="AA254" s="418" t="s">
        <v>445</v>
      </c>
      <c r="AB254" s="427" t="s">
        <v>446</v>
      </c>
      <c r="AC254" s="277" t="s">
        <v>10</v>
      </c>
      <c r="AD254" s="418" t="s">
        <v>445</v>
      </c>
      <c r="AE254" s="427" t="s">
        <v>446</v>
      </c>
      <c r="AF254" s="277" t="s">
        <v>10</v>
      </c>
      <c r="AG254" s="418" t="s">
        <v>445</v>
      </c>
      <c r="AH254" s="427" t="s">
        <v>446</v>
      </c>
      <c r="AI254" s="277" t="s">
        <v>10</v>
      </c>
      <c r="AJ254" s="418" t="s">
        <v>445</v>
      </c>
      <c r="AK254" s="427" t="s">
        <v>446</v>
      </c>
      <c r="AL254" s="277" t="s">
        <v>10</v>
      </c>
      <c r="AM254" s="723" t="s">
        <v>445</v>
      </c>
      <c r="AN254" s="732" t="s">
        <v>446</v>
      </c>
      <c r="AO254" s="702" t="s">
        <v>10</v>
      </c>
      <c r="AP254" s="815" t="s">
        <v>445</v>
      </c>
      <c r="AQ254" s="816" t="s">
        <v>446</v>
      </c>
      <c r="AR254" s="702" t="s">
        <v>10</v>
      </c>
      <c r="AS254" s="815" t="s">
        <v>445</v>
      </c>
      <c r="AT254" s="816" t="s">
        <v>446</v>
      </c>
      <c r="AU254" s="757" t="s">
        <v>10</v>
      </c>
      <c r="AV254" s="996" t="s">
        <v>445</v>
      </c>
      <c r="AW254" s="1009" t="s">
        <v>446</v>
      </c>
      <c r="AX254" s="757" t="s">
        <v>10</v>
      </c>
      <c r="AY254" s="815" t="s">
        <v>445</v>
      </c>
      <c r="AZ254" s="816" t="s">
        <v>446</v>
      </c>
      <c r="BA254" s="757" t="s">
        <v>10</v>
      </c>
      <c r="BB254" s="815" t="s">
        <v>445</v>
      </c>
      <c r="BC254" s="816" t="s">
        <v>446</v>
      </c>
      <c r="BD254" s="757" t="s">
        <v>10</v>
      </c>
      <c r="BE254" s="815" t="s">
        <v>669</v>
      </c>
      <c r="BF254" s="816" t="s">
        <v>671</v>
      </c>
      <c r="BG254" s="757" t="s">
        <v>10</v>
      </c>
      <c r="BH254" s="815" t="s">
        <v>669</v>
      </c>
      <c r="BI254" s="816" t="s">
        <v>671</v>
      </c>
      <c r="BJ254" s="757" t="s">
        <v>10</v>
      </c>
      <c r="BK254" s="815" t="s">
        <v>698</v>
      </c>
      <c r="BL254" s="816" t="s">
        <v>699</v>
      </c>
      <c r="BM254" s="757" t="s">
        <v>10</v>
      </c>
      <c r="BN254" s="815" t="s">
        <v>698</v>
      </c>
      <c r="BO254" s="816" t="s">
        <v>699</v>
      </c>
      <c r="BP254" s="757" t="s">
        <v>10</v>
      </c>
      <c r="BQ254" s="815" t="s">
        <v>752</v>
      </c>
      <c r="BR254" s="816" t="s">
        <v>446</v>
      </c>
      <c r="BS254" s="757" t="s">
        <v>10</v>
      </c>
      <c r="BT254" s="815" t="s">
        <v>445</v>
      </c>
      <c r="BU254" s="816" t="s">
        <v>446</v>
      </c>
      <c r="BV254" s="757" t="s">
        <v>10</v>
      </c>
    </row>
    <row r="255" spans="1:74">
      <c r="A255" s="96"/>
      <c r="B255" s="8" t="s">
        <v>234</v>
      </c>
      <c r="C255" s="103" t="s">
        <v>113</v>
      </c>
      <c r="D255" s="98">
        <v>2057</v>
      </c>
      <c r="E255" s="98">
        <v>1643</v>
      </c>
      <c r="F255" s="98">
        <v>1272</v>
      </c>
      <c r="G255" s="98">
        <v>2028</v>
      </c>
      <c r="H255" s="98">
        <v>2513</v>
      </c>
      <c r="I255" s="98">
        <v>7147</v>
      </c>
      <c r="J255" s="106">
        <v>25555</v>
      </c>
      <c r="K255" s="98">
        <v>23844</v>
      </c>
      <c r="L255" s="417">
        <v>2478</v>
      </c>
      <c r="M255" s="386">
        <v>2231</v>
      </c>
      <c r="N255" s="265">
        <f t="shared" ref="N255:N292" si="498">ROUND(((M255/L255-1)*100), 1)</f>
        <v>-10</v>
      </c>
      <c r="O255" s="417">
        <f t="shared" ref="O255:P275" si="499">R255-L255</f>
        <v>2088</v>
      </c>
      <c r="P255" s="386">
        <f t="shared" si="499"/>
        <v>2290</v>
      </c>
      <c r="Q255" s="265">
        <f t="shared" ref="Q255:Q266" si="500">ROUND(((P255/O255-1)*100), 1)</f>
        <v>9.6999999999999993</v>
      </c>
      <c r="R255" s="417">
        <v>4566</v>
      </c>
      <c r="S255" s="386">
        <v>4521</v>
      </c>
      <c r="T255" s="265">
        <f t="shared" ref="T255:T266" si="501">ROUND(((S255/R255-1)*100), 1)</f>
        <v>-1</v>
      </c>
      <c r="U255" s="417">
        <f t="shared" ref="U255:U275" si="502">X255-R255</f>
        <v>2313</v>
      </c>
      <c r="V255" s="386">
        <f t="shared" ref="V255:V275" si="503">Y255-S255</f>
        <v>2274</v>
      </c>
      <c r="W255" s="265">
        <f t="shared" ref="W255:W266" si="504">ROUND(((V255/U255-1)*100), 1)</f>
        <v>-1.7</v>
      </c>
      <c r="X255" s="417">
        <v>6879</v>
      </c>
      <c r="Y255" s="386">
        <v>6795</v>
      </c>
      <c r="Z255" s="265">
        <f t="shared" ref="Z255:Z266" si="505">ROUND(((Y255/X255-1)*100), 1)</f>
        <v>-1.2</v>
      </c>
      <c r="AA255" s="417">
        <f t="shared" ref="AA255:AA275" si="506">AD255-X255</f>
        <v>2208</v>
      </c>
      <c r="AB255" s="386">
        <f t="shared" ref="AB255:AB275" si="507">AE255-Y255</f>
        <v>2732</v>
      </c>
      <c r="AC255" s="265">
        <f t="shared" ref="AC255:AC266" si="508">ROUND(((AB255/AA255-1)*100), 1)</f>
        <v>23.7</v>
      </c>
      <c r="AD255" s="417">
        <v>9087</v>
      </c>
      <c r="AE255" s="386">
        <v>9527</v>
      </c>
      <c r="AF255" s="265">
        <f t="shared" ref="AF255:AF266" si="509">ROUND(((AE255/AD255-1)*100), 1)</f>
        <v>4.8</v>
      </c>
      <c r="AG255" s="417">
        <f t="shared" ref="AG255:AH275" si="510">AJ255-AD255</f>
        <v>2082</v>
      </c>
      <c r="AH255" s="386">
        <f t="shared" si="510"/>
        <v>2904</v>
      </c>
      <c r="AI255" s="265">
        <f t="shared" ref="AI255:AI290" si="511">ROUND(((AH255/AG255-1)*100), 1)</f>
        <v>39.5</v>
      </c>
      <c r="AJ255" s="417">
        <v>11169</v>
      </c>
      <c r="AK255" s="386">
        <v>12431</v>
      </c>
      <c r="AL255" s="265">
        <f t="shared" ref="AL255:AL290" si="512">ROUND(((AK255/AJ255-1)*100), 1)</f>
        <v>11.3</v>
      </c>
      <c r="AM255" s="722">
        <f t="shared" ref="AM255:AM275" si="513">AP255-AJ255</f>
        <v>1840</v>
      </c>
      <c r="AN255" s="714">
        <f t="shared" ref="AN255:AN275" si="514">AQ255-AK255</f>
        <v>2995</v>
      </c>
      <c r="AO255" s="705">
        <f t="shared" ref="AO255:AO267" si="515">ROUND(((AN255/AM255-1)*100), 1)</f>
        <v>62.8</v>
      </c>
      <c r="AP255" s="770">
        <v>13009</v>
      </c>
      <c r="AQ255" s="714">
        <v>15426</v>
      </c>
      <c r="AR255" s="705">
        <f t="shared" ref="AR255:AR290" si="516">ROUND(((AQ255/AP255-1)*100), 1)</f>
        <v>18.600000000000001</v>
      </c>
      <c r="AS255" s="770">
        <f t="shared" ref="AS255:AT275" si="517">AV255-AP255</f>
        <v>1642</v>
      </c>
      <c r="AT255" s="714">
        <f t="shared" si="517"/>
        <v>2688</v>
      </c>
      <c r="AU255" s="705">
        <f t="shared" ref="AU255:AU273" si="518">ROUND(((AT255/AS255-1)*100), 1)</f>
        <v>63.7</v>
      </c>
      <c r="AV255" s="992">
        <v>14651</v>
      </c>
      <c r="AW255" s="990">
        <v>18114</v>
      </c>
      <c r="AX255" s="705">
        <f t="shared" ref="AX255:AX290" si="519">ROUND(((AW255/AV255-1)*100), 1)</f>
        <v>23.6</v>
      </c>
      <c r="AY255" s="770">
        <f t="shared" ref="AY255:AY275" si="520">BB255-AV255</f>
        <v>1682</v>
      </c>
      <c r="AZ255" s="714">
        <f t="shared" ref="AZ255:AZ275" si="521">BC255-AW255</f>
        <v>2609</v>
      </c>
      <c r="BA255" s="705">
        <f t="shared" ref="BA255:BA267" si="522">ROUND(((AZ255/AY255-1)*100), 1)</f>
        <v>55.1</v>
      </c>
      <c r="BB255" s="770">
        <v>16333</v>
      </c>
      <c r="BC255" s="714">
        <v>20723</v>
      </c>
      <c r="BD255" s="705">
        <f t="shared" ref="BD255:BD290" si="523">ROUND(((BC255/BB255-1)*100), 1)</f>
        <v>26.9</v>
      </c>
      <c r="BE255" s="770">
        <f t="shared" ref="BE255:BF275" si="524">BH255-BB255</f>
        <v>1689</v>
      </c>
      <c r="BF255" s="714">
        <f t="shared" si="524"/>
        <v>2616</v>
      </c>
      <c r="BG255" s="705">
        <f t="shared" ref="BG255:BG291" si="525">ROUND(((BF255/BE255-1)*100), 1)</f>
        <v>54.9</v>
      </c>
      <c r="BH255" s="770">
        <v>18022</v>
      </c>
      <c r="BI255" s="714">
        <v>23339</v>
      </c>
      <c r="BJ255" s="705">
        <f t="shared" ref="BJ255:BJ290" si="526">ROUND(((BI255/BH255-1)*100), 1)</f>
        <v>29.5</v>
      </c>
      <c r="BK255" s="770">
        <f t="shared" ref="BK255:BL275" si="527">BN255-BH255</f>
        <v>1930</v>
      </c>
      <c r="BL255" s="714">
        <f t="shared" si="527"/>
        <v>2443</v>
      </c>
      <c r="BM255" s="705">
        <f t="shared" ref="BM255:BM270" si="528">ROUND(((BL255/BK255-1)*100), 1)</f>
        <v>26.6</v>
      </c>
      <c r="BN255" s="770">
        <v>19952</v>
      </c>
      <c r="BO255" s="714">
        <v>25782</v>
      </c>
      <c r="BP255" s="705">
        <f t="shared" ref="BP255:BP290" si="529">ROUND(((BO255/BN255-1)*100), 1)</f>
        <v>29.2</v>
      </c>
      <c r="BQ255" s="770">
        <f t="shared" ref="BQ255:BR275" si="530">BT255-BN255</f>
        <v>1940</v>
      </c>
      <c r="BR255" s="714">
        <f t="shared" si="530"/>
        <v>3042</v>
      </c>
      <c r="BS255" s="705">
        <f t="shared" ref="BS255:BS270" si="531">ROUND(((BR255/BQ255-1)*100), 1)</f>
        <v>56.8</v>
      </c>
      <c r="BT255" s="770">
        <v>21892</v>
      </c>
      <c r="BU255" s="714">
        <v>28824</v>
      </c>
      <c r="BV255" s="705">
        <f t="shared" ref="BV255:BV290" si="532">ROUND(((BU255/BT255-1)*100), 1)</f>
        <v>31.7</v>
      </c>
    </row>
    <row r="256" spans="1:74">
      <c r="A256" s="96" t="s">
        <v>97</v>
      </c>
      <c r="B256" s="4" t="s">
        <v>235</v>
      </c>
      <c r="C256" s="105" t="s">
        <v>96</v>
      </c>
      <c r="D256" s="98">
        <v>5967</v>
      </c>
      <c r="E256" s="98">
        <v>5208</v>
      </c>
      <c r="F256" s="98">
        <v>4614</v>
      </c>
      <c r="G256" s="98">
        <v>4205</v>
      </c>
      <c r="H256" s="98">
        <v>3591</v>
      </c>
      <c r="I256" s="98">
        <v>3746</v>
      </c>
      <c r="J256" s="106">
        <v>5895</v>
      </c>
      <c r="K256" s="98">
        <v>7114</v>
      </c>
      <c r="L256" s="417">
        <v>570</v>
      </c>
      <c r="M256" s="386">
        <v>623</v>
      </c>
      <c r="N256" s="265">
        <f t="shared" si="498"/>
        <v>9.3000000000000007</v>
      </c>
      <c r="O256" s="417">
        <f t="shared" si="499"/>
        <v>455</v>
      </c>
      <c r="P256" s="386">
        <f t="shared" si="499"/>
        <v>366</v>
      </c>
      <c r="Q256" s="265">
        <f t="shared" si="500"/>
        <v>-19.600000000000001</v>
      </c>
      <c r="R256" s="417">
        <v>1025</v>
      </c>
      <c r="S256" s="386">
        <v>989</v>
      </c>
      <c r="T256" s="265">
        <f t="shared" si="501"/>
        <v>-3.5</v>
      </c>
      <c r="U256" s="417">
        <f t="shared" si="502"/>
        <v>492</v>
      </c>
      <c r="V256" s="386">
        <f t="shared" si="503"/>
        <v>651</v>
      </c>
      <c r="W256" s="265">
        <f t="shared" si="504"/>
        <v>32.299999999999997</v>
      </c>
      <c r="X256" s="417">
        <v>1517</v>
      </c>
      <c r="Y256" s="386">
        <v>1640</v>
      </c>
      <c r="Z256" s="265">
        <f t="shared" si="505"/>
        <v>8.1</v>
      </c>
      <c r="AA256" s="417">
        <f t="shared" si="506"/>
        <v>526</v>
      </c>
      <c r="AB256" s="386">
        <f t="shared" si="507"/>
        <v>715</v>
      </c>
      <c r="AC256" s="265">
        <f t="shared" si="508"/>
        <v>35.9</v>
      </c>
      <c r="AD256" s="417">
        <v>2043</v>
      </c>
      <c r="AE256" s="386">
        <v>2355</v>
      </c>
      <c r="AF256" s="265">
        <f t="shared" si="509"/>
        <v>15.3</v>
      </c>
      <c r="AG256" s="417">
        <f t="shared" si="510"/>
        <v>622</v>
      </c>
      <c r="AH256" s="386">
        <f t="shared" si="510"/>
        <v>554</v>
      </c>
      <c r="AI256" s="265">
        <f t="shared" si="511"/>
        <v>-10.9</v>
      </c>
      <c r="AJ256" s="417">
        <v>2665</v>
      </c>
      <c r="AK256" s="386">
        <v>2909</v>
      </c>
      <c r="AL256" s="265">
        <f t="shared" si="512"/>
        <v>9.1999999999999993</v>
      </c>
      <c r="AM256" s="722">
        <f t="shared" si="513"/>
        <v>590</v>
      </c>
      <c r="AN256" s="714">
        <f t="shared" si="514"/>
        <v>656</v>
      </c>
      <c r="AO256" s="705">
        <f t="shared" si="515"/>
        <v>11.2</v>
      </c>
      <c r="AP256" s="770">
        <v>3255</v>
      </c>
      <c r="AQ256" s="714">
        <v>3565</v>
      </c>
      <c r="AR256" s="705">
        <f t="shared" si="516"/>
        <v>9.5</v>
      </c>
      <c r="AS256" s="770">
        <f t="shared" si="517"/>
        <v>709</v>
      </c>
      <c r="AT256" s="714">
        <f t="shared" si="517"/>
        <v>782</v>
      </c>
      <c r="AU256" s="705">
        <f t="shared" si="518"/>
        <v>10.3</v>
      </c>
      <c r="AV256" s="992">
        <v>3964</v>
      </c>
      <c r="AW256" s="990">
        <v>4347</v>
      </c>
      <c r="AX256" s="705">
        <f t="shared" si="519"/>
        <v>9.6999999999999993</v>
      </c>
      <c r="AY256" s="770">
        <f t="shared" si="520"/>
        <v>679</v>
      </c>
      <c r="AZ256" s="714">
        <f t="shared" si="521"/>
        <v>686</v>
      </c>
      <c r="BA256" s="705">
        <f t="shared" si="522"/>
        <v>1</v>
      </c>
      <c r="BB256" s="770">
        <v>4643</v>
      </c>
      <c r="BC256" s="714">
        <v>5033</v>
      </c>
      <c r="BD256" s="705">
        <f t="shared" si="523"/>
        <v>8.4</v>
      </c>
      <c r="BE256" s="770">
        <f t="shared" si="524"/>
        <v>582</v>
      </c>
      <c r="BF256" s="714">
        <f t="shared" si="524"/>
        <v>871</v>
      </c>
      <c r="BG256" s="705">
        <f t="shared" si="525"/>
        <v>49.7</v>
      </c>
      <c r="BH256" s="770">
        <v>5225</v>
      </c>
      <c r="BI256" s="714">
        <v>5904</v>
      </c>
      <c r="BJ256" s="705">
        <f t="shared" si="526"/>
        <v>13</v>
      </c>
      <c r="BK256" s="770">
        <f t="shared" si="527"/>
        <v>549</v>
      </c>
      <c r="BL256" s="714">
        <f t="shared" si="527"/>
        <v>867</v>
      </c>
      <c r="BM256" s="705">
        <f t="shared" si="528"/>
        <v>57.9</v>
      </c>
      <c r="BN256" s="770">
        <v>5774</v>
      </c>
      <c r="BO256" s="714">
        <v>6771</v>
      </c>
      <c r="BP256" s="705">
        <f t="shared" si="529"/>
        <v>17.3</v>
      </c>
      <c r="BQ256" s="770">
        <f t="shared" si="530"/>
        <v>705</v>
      </c>
      <c r="BR256" s="714">
        <f t="shared" si="530"/>
        <v>910</v>
      </c>
      <c r="BS256" s="705">
        <f t="shared" si="531"/>
        <v>29.1</v>
      </c>
      <c r="BT256" s="770">
        <v>6479</v>
      </c>
      <c r="BU256" s="714">
        <v>7681</v>
      </c>
      <c r="BV256" s="705">
        <f t="shared" si="532"/>
        <v>18.600000000000001</v>
      </c>
    </row>
    <row r="257" spans="1:74">
      <c r="A257" s="96"/>
      <c r="B257" s="4" t="s">
        <v>236</v>
      </c>
      <c r="C257" s="105" t="s">
        <v>52</v>
      </c>
      <c r="D257" s="98">
        <v>3027</v>
      </c>
      <c r="E257" s="98">
        <v>1807</v>
      </c>
      <c r="F257" s="98">
        <v>2002</v>
      </c>
      <c r="G257" s="98">
        <v>2126</v>
      </c>
      <c r="H257" s="98">
        <v>2612</v>
      </c>
      <c r="I257" s="98">
        <v>9846</v>
      </c>
      <c r="J257" s="106">
        <v>7429</v>
      </c>
      <c r="K257" s="98">
        <v>7089</v>
      </c>
      <c r="L257" s="417">
        <v>519</v>
      </c>
      <c r="M257" s="386">
        <v>423</v>
      </c>
      <c r="N257" s="265">
        <f t="shared" si="498"/>
        <v>-18.5</v>
      </c>
      <c r="O257" s="417">
        <f t="shared" si="499"/>
        <v>381</v>
      </c>
      <c r="P257" s="386">
        <f t="shared" si="499"/>
        <v>648</v>
      </c>
      <c r="Q257" s="265">
        <f t="shared" si="500"/>
        <v>70.099999999999994</v>
      </c>
      <c r="R257" s="417">
        <v>900</v>
      </c>
      <c r="S257" s="386">
        <v>1071</v>
      </c>
      <c r="T257" s="265">
        <f t="shared" si="501"/>
        <v>19</v>
      </c>
      <c r="U257" s="417">
        <f t="shared" si="502"/>
        <v>586</v>
      </c>
      <c r="V257" s="386">
        <f t="shared" si="503"/>
        <v>742</v>
      </c>
      <c r="W257" s="265">
        <f t="shared" si="504"/>
        <v>26.6</v>
      </c>
      <c r="X257" s="417">
        <v>1486</v>
      </c>
      <c r="Y257" s="386">
        <v>1813</v>
      </c>
      <c r="Z257" s="265">
        <f t="shared" si="505"/>
        <v>22</v>
      </c>
      <c r="AA257" s="417">
        <f t="shared" si="506"/>
        <v>577</v>
      </c>
      <c r="AB257" s="386">
        <f t="shared" si="507"/>
        <v>232</v>
      </c>
      <c r="AC257" s="265">
        <f t="shared" si="508"/>
        <v>-59.8</v>
      </c>
      <c r="AD257" s="417">
        <v>2063</v>
      </c>
      <c r="AE257" s="386">
        <v>2045</v>
      </c>
      <c r="AF257" s="265">
        <f t="shared" si="509"/>
        <v>-0.9</v>
      </c>
      <c r="AG257" s="417">
        <f t="shared" si="510"/>
        <v>400</v>
      </c>
      <c r="AH257" s="386">
        <f t="shared" si="510"/>
        <v>272</v>
      </c>
      <c r="AI257" s="265">
        <f t="shared" si="511"/>
        <v>-32</v>
      </c>
      <c r="AJ257" s="417">
        <v>2463</v>
      </c>
      <c r="AK257" s="386">
        <v>2317</v>
      </c>
      <c r="AL257" s="265">
        <f t="shared" si="512"/>
        <v>-5.9</v>
      </c>
      <c r="AM257" s="722">
        <f t="shared" si="513"/>
        <v>716</v>
      </c>
      <c r="AN257" s="714">
        <f t="shared" si="514"/>
        <v>360</v>
      </c>
      <c r="AO257" s="705">
        <f t="shared" si="515"/>
        <v>-49.7</v>
      </c>
      <c r="AP257" s="770">
        <v>3179</v>
      </c>
      <c r="AQ257" s="714">
        <v>2677</v>
      </c>
      <c r="AR257" s="705">
        <f t="shared" si="516"/>
        <v>-15.8</v>
      </c>
      <c r="AS257" s="770">
        <f t="shared" si="517"/>
        <v>906</v>
      </c>
      <c r="AT257" s="714">
        <f t="shared" si="517"/>
        <v>668</v>
      </c>
      <c r="AU257" s="705">
        <f t="shared" si="518"/>
        <v>-26.3</v>
      </c>
      <c r="AV257" s="992">
        <v>4085</v>
      </c>
      <c r="AW257" s="990">
        <v>3345</v>
      </c>
      <c r="AX257" s="705">
        <f t="shared" si="519"/>
        <v>-18.100000000000001</v>
      </c>
      <c r="AY257" s="770">
        <f t="shared" si="520"/>
        <v>764</v>
      </c>
      <c r="AZ257" s="714">
        <f t="shared" si="521"/>
        <v>447</v>
      </c>
      <c r="BA257" s="705">
        <f t="shared" si="522"/>
        <v>-41.5</v>
      </c>
      <c r="BB257" s="770">
        <v>4849</v>
      </c>
      <c r="BC257" s="714">
        <v>3792</v>
      </c>
      <c r="BD257" s="705">
        <f t="shared" si="523"/>
        <v>-21.8</v>
      </c>
      <c r="BE257" s="770">
        <f t="shared" si="524"/>
        <v>674</v>
      </c>
      <c r="BF257" s="714">
        <f t="shared" si="524"/>
        <v>1040</v>
      </c>
      <c r="BG257" s="705">
        <f t="shared" si="525"/>
        <v>54.3</v>
      </c>
      <c r="BH257" s="770">
        <v>5523</v>
      </c>
      <c r="BI257" s="714">
        <v>4832</v>
      </c>
      <c r="BJ257" s="705">
        <f t="shared" si="526"/>
        <v>-12.5</v>
      </c>
      <c r="BK257" s="770">
        <f t="shared" si="527"/>
        <v>663</v>
      </c>
      <c r="BL257" s="714">
        <f t="shared" si="527"/>
        <v>919</v>
      </c>
      <c r="BM257" s="705">
        <f t="shared" si="528"/>
        <v>38.6</v>
      </c>
      <c r="BN257" s="770">
        <v>6186</v>
      </c>
      <c r="BO257" s="714">
        <v>5751</v>
      </c>
      <c r="BP257" s="705">
        <f t="shared" si="529"/>
        <v>-7</v>
      </c>
      <c r="BQ257" s="770">
        <f t="shared" si="530"/>
        <v>446</v>
      </c>
      <c r="BR257" s="714">
        <f t="shared" si="530"/>
        <v>763</v>
      </c>
      <c r="BS257" s="705">
        <f t="shared" si="531"/>
        <v>71.099999999999994</v>
      </c>
      <c r="BT257" s="770">
        <v>6632</v>
      </c>
      <c r="BU257" s="714">
        <v>6514</v>
      </c>
      <c r="BV257" s="705">
        <f t="shared" si="532"/>
        <v>-1.8</v>
      </c>
    </row>
    <row r="258" spans="1:74">
      <c r="A258" s="96"/>
      <c r="B258" s="4"/>
      <c r="C258" s="105" t="s">
        <v>116</v>
      </c>
      <c r="D258" s="98">
        <v>3228</v>
      </c>
      <c r="E258" s="98">
        <v>3294</v>
      </c>
      <c r="F258" s="98">
        <v>2809</v>
      </c>
      <c r="G258" s="98">
        <v>3428</v>
      </c>
      <c r="H258" s="98">
        <v>4859</v>
      </c>
      <c r="I258" s="98">
        <v>3502</v>
      </c>
      <c r="J258" s="106">
        <v>4367</v>
      </c>
      <c r="K258" s="98">
        <v>3076</v>
      </c>
      <c r="L258" s="417">
        <v>363</v>
      </c>
      <c r="M258" s="386">
        <v>119</v>
      </c>
      <c r="N258" s="265">
        <f t="shared" si="498"/>
        <v>-67.2</v>
      </c>
      <c r="O258" s="417">
        <f t="shared" si="499"/>
        <v>244</v>
      </c>
      <c r="P258" s="386">
        <f t="shared" si="499"/>
        <v>96</v>
      </c>
      <c r="Q258" s="265">
        <f t="shared" si="500"/>
        <v>-60.7</v>
      </c>
      <c r="R258" s="417">
        <v>607</v>
      </c>
      <c r="S258" s="386">
        <v>215</v>
      </c>
      <c r="T258" s="265">
        <f t="shared" si="501"/>
        <v>-64.599999999999994</v>
      </c>
      <c r="U258" s="417">
        <f t="shared" si="502"/>
        <v>368</v>
      </c>
      <c r="V258" s="386">
        <f t="shared" si="503"/>
        <v>94</v>
      </c>
      <c r="W258" s="265">
        <f t="shared" si="504"/>
        <v>-74.5</v>
      </c>
      <c r="X258" s="417">
        <v>975</v>
      </c>
      <c r="Y258" s="386">
        <v>309</v>
      </c>
      <c r="Z258" s="265">
        <f t="shared" si="505"/>
        <v>-68.3</v>
      </c>
      <c r="AA258" s="417">
        <f t="shared" si="506"/>
        <v>342</v>
      </c>
      <c r="AB258" s="386">
        <f t="shared" si="507"/>
        <v>94</v>
      </c>
      <c r="AC258" s="265">
        <f t="shared" si="508"/>
        <v>-72.5</v>
      </c>
      <c r="AD258" s="417">
        <v>1317</v>
      </c>
      <c r="AE258" s="386">
        <v>403</v>
      </c>
      <c r="AF258" s="265">
        <f t="shared" si="509"/>
        <v>-69.400000000000006</v>
      </c>
      <c r="AG258" s="417">
        <f t="shared" si="510"/>
        <v>352</v>
      </c>
      <c r="AH258" s="386">
        <f t="shared" si="510"/>
        <v>58</v>
      </c>
      <c r="AI258" s="265">
        <f t="shared" si="511"/>
        <v>-83.5</v>
      </c>
      <c r="AJ258" s="417">
        <v>1669</v>
      </c>
      <c r="AK258" s="386">
        <v>461</v>
      </c>
      <c r="AL258" s="265">
        <f t="shared" si="512"/>
        <v>-72.400000000000006</v>
      </c>
      <c r="AM258" s="722">
        <f t="shared" si="513"/>
        <v>277</v>
      </c>
      <c r="AN258" s="714">
        <f t="shared" si="514"/>
        <v>107</v>
      </c>
      <c r="AO258" s="705">
        <f t="shared" si="515"/>
        <v>-61.4</v>
      </c>
      <c r="AP258" s="770">
        <v>1946</v>
      </c>
      <c r="AQ258" s="714">
        <v>568</v>
      </c>
      <c r="AR258" s="705">
        <f t="shared" si="516"/>
        <v>-70.8</v>
      </c>
      <c r="AS258" s="770">
        <f t="shared" si="517"/>
        <v>261</v>
      </c>
      <c r="AT258" s="714">
        <f t="shared" si="517"/>
        <v>135</v>
      </c>
      <c r="AU258" s="705">
        <f t="shared" si="518"/>
        <v>-48.3</v>
      </c>
      <c r="AV258" s="992">
        <v>2207</v>
      </c>
      <c r="AW258" s="990">
        <v>703</v>
      </c>
      <c r="AX258" s="705">
        <f t="shared" si="519"/>
        <v>-68.099999999999994</v>
      </c>
      <c r="AY258" s="770">
        <f t="shared" si="520"/>
        <v>216</v>
      </c>
      <c r="AZ258" s="714">
        <f t="shared" si="521"/>
        <v>58</v>
      </c>
      <c r="BA258" s="705">
        <f t="shared" si="522"/>
        <v>-73.099999999999994</v>
      </c>
      <c r="BB258" s="770">
        <v>2423</v>
      </c>
      <c r="BC258" s="714">
        <v>761</v>
      </c>
      <c r="BD258" s="705">
        <f t="shared" si="523"/>
        <v>-68.599999999999994</v>
      </c>
      <c r="BE258" s="770">
        <f t="shared" si="524"/>
        <v>236</v>
      </c>
      <c r="BF258" s="714">
        <f t="shared" si="524"/>
        <v>122</v>
      </c>
      <c r="BG258" s="705">
        <f t="shared" si="525"/>
        <v>-48.3</v>
      </c>
      <c r="BH258" s="770">
        <v>2659</v>
      </c>
      <c r="BI258" s="714">
        <v>883</v>
      </c>
      <c r="BJ258" s="705">
        <f t="shared" si="526"/>
        <v>-66.8</v>
      </c>
      <c r="BK258" s="770">
        <f t="shared" si="527"/>
        <v>261</v>
      </c>
      <c r="BL258" s="714">
        <f t="shared" si="527"/>
        <v>199</v>
      </c>
      <c r="BM258" s="705">
        <f t="shared" si="528"/>
        <v>-23.8</v>
      </c>
      <c r="BN258" s="770">
        <v>2920</v>
      </c>
      <c r="BO258" s="714">
        <v>1082</v>
      </c>
      <c r="BP258" s="705">
        <f t="shared" si="529"/>
        <v>-62.9</v>
      </c>
      <c r="BQ258" s="770">
        <f t="shared" si="530"/>
        <v>51</v>
      </c>
      <c r="BR258" s="714">
        <f t="shared" si="530"/>
        <v>0</v>
      </c>
      <c r="BS258" s="705">
        <f t="shared" si="531"/>
        <v>-100</v>
      </c>
      <c r="BT258" s="770">
        <v>2971</v>
      </c>
      <c r="BU258" s="714">
        <v>1082</v>
      </c>
      <c r="BV258" s="705">
        <f t="shared" si="532"/>
        <v>-63.6</v>
      </c>
    </row>
    <row r="259" spans="1:74">
      <c r="A259" s="96"/>
      <c r="B259" s="4"/>
      <c r="C259" s="105" t="s">
        <v>211</v>
      </c>
      <c r="D259" s="98">
        <v>314</v>
      </c>
      <c r="E259" s="98">
        <v>481</v>
      </c>
      <c r="F259" s="98">
        <v>1453</v>
      </c>
      <c r="G259" s="98">
        <v>2339</v>
      </c>
      <c r="H259" s="98">
        <v>2957</v>
      </c>
      <c r="I259" s="98">
        <v>1823</v>
      </c>
      <c r="J259" s="106">
        <v>56</v>
      </c>
      <c r="K259" s="98">
        <v>2547</v>
      </c>
      <c r="L259" s="417">
        <v>124</v>
      </c>
      <c r="M259" s="386">
        <v>299</v>
      </c>
      <c r="N259" s="265">
        <f t="shared" si="498"/>
        <v>141.1</v>
      </c>
      <c r="O259" s="417">
        <f t="shared" si="499"/>
        <v>85</v>
      </c>
      <c r="P259" s="386">
        <f t="shared" si="499"/>
        <v>314</v>
      </c>
      <c r="Q259" s="265">
        <f t="shared" si="500"/>
        <v>269.39999999999998</v>
      </c>
      <c r="R259" s="417">
        <v>209</v>
      </c>
      <c r="S259" s="386">
        <v>613</v>
      </c>
      <c r="T259" s="265">
        <f t="shared" si="501"/>
        <v>193.3</v>
      </c>
      <c r="U259" s="417">
        <f t="shared" si="502"/>
        <v>199</v>
      </c>
      <c r="V259" s="386">
        <f t="shared" si="503"/>
        <v>401</v>
      </c>
      <c r="W259" s="265">
        <f t="shared" si="504"/>
        <v>101.5</v>
      </c>
      <c r="X259" s="417">
        <v>408</v>
      </c>
      <c r="Y259" s="386">
        <v>1014</v>
      </c>
      <c r="Z259" s="265">
        <f t="shared" si="505"/>
        <v>148.5</v>
      </c>
      <c r="AA259" s="417">
        <f t="shared" si="506"/>
        <v>361</v>
      </c>
      <c r="AB259" s="386">
        <f t="shared" si="507"/>
        <v>406</v>
      </c>
      <c r="AC259" s="265">
        <f t="shared" si="508"/>
        <v>12.5</v>
      </c>
      <c r="AD259" s="417">
        <v>769</v>
      </c>
      <c r="AE259" s="386">
        <v>1420</v>
      </c>
      <c r="AF259" s="265">
        <f t="shared" si="509"/>
        <v>84.7</v>
      </c>
      <c r="AG259" s="417">
        <f t="shared" si="510"/>
        <v>586</v>
      </c>
      <c r="AH259" s="386">
        <f t="shared" si="510"/>
        <v>353</v>
      </c>
      <c r="AI259" s="265">
        <f t="shared" si="511"/>
        <v>-39.799999999999997</v>
      </c>
      <c r="AJ259" s="417">
        <v>1355</v>
      </c>
      <c r="AK259" s="386">
        <v>1773</v>
      </c>
      <c r="AL259" s="265">
        <f t="shared" si="512"/>
        <v>30.8</v>
      </c>
      <c r="AM259" s="722">
        <f t="shared" si="513"/>
        <v>256</v>
      </c>
      <c r="AN259" s="714">
        <f t="shared" si="514"/>
        <v>340</v>
      </c>
      <c r="AO259" s="705">
        <f t="shared" si="515"/>
        <v>32.799999999999997</v>
      </c>
      <c r="AP259" s="770">
        <v>1611</v>
      </c>
      <c r="AQ259" s="714">
        <v>2113</v>
      </c>
      <c r="AR259" s="705">
        <f t="shared" si="516"/>
        <v>31.2</v>
      </c>
      <c r="AS259" s="770">
        <f t="shared" si="517"/>
        <v>124</v>
      </c>
      <c r="AT259" s="714">
        <f t="shared" si="517"/>
        <v>275</v>
      </c>
      <c r="AU259" s="705">
        <f t="shared" si="518"/>
        <v>121.8</v>
      </c>
      <c r="AV259" s="992">
        <v>1735</v>
      </c>
      <c r="AW259" s="990">
        <v>2388</v>
      </c>
      <c r="AX259" s="705">
        <f t="shared" si="519"/>
        <v>37.6</v>
      </c>
      <c r="AY259" s="770">
        <f t="shared" si="520"/>
        <v>99</v>
      </c>
      <c r="AZ259" s="714">
        <f t="shared" si="521"/>
        <v>152</v>
      </c>
      <c r="BA259" s="705">
        <f t="shared" si="522"/>
        <v>53.5</v>
      </c>
      <c r="BB259" s="770">
        <v>1834</v>
      </c>
      <c r="BC259" s="714">
        <v>2540</v>
      </c>
      <c r="BD259" s="705">
        <f t="shared" si="523"/>
        <v>38.5</v>
      </c>
      <c r="BE259" s="770">
        <f t="shared" si="524"/>
        <v>124</v>
      </c>
      <c r="BF259" s="714">
        <f t="shared" si="524"/>
        <v>35</v>
      </c>
      <c r="BG259" s="705">
        <f t="shared" si="525"/>
        <v>-71.8</v>
      </c>
      <c r="BH259" s="770">
        <v>1958</v>
      </c>
      <c r="BI259" s="714">
        <v>2575</v>
      </c>
      <c r="BJ259" s="705">
        <f t="shared" si="526"/>
        <v>31.5</v>
      </c>
      <c r="BK259" s="770">
        <f t="shared" si="527"/>
        <v>107</v>
      </c>
      <c r="BL259" s="714">
        <f t="shared" si="527"/>
        <v>164</v>
      </c>
      <c r="BM259" s="705">
        <f t="shared" si="528"/>
        <v>53.3</v>
      </c>
      <c r="BN259" s="770">
        <v>2065</v>
      </c>
      <c r="BO259" s="714">
        <v>2739</v>
      </c>
      <c r="BP259" s="705">
        <f t="shared" si="529"/>
        <v>32.6</v>
      </c>
      <c r="BQ259" s="770">
        <f t="shared" si="530"/>
        <v>113</v>
      </c>
      <c r="BR259" s="714">
        <f t="shared" si="530"/>
        <v>243</v>
      </c>
      <c r="BS259" s="705">
        <f t="shared" si="531"/>
        <v>115</v>
      </c>
      <c r="BT259" s="770">
        <v>2178</v>
      </c>
      <c r="BU259" s="714">
        <v>2982</v>
      </c>
      <c r="BV259" s="705">
        <f t="shared" si="532"/>
        <v>36.9</v>
      </c>
    </row>
    <row r="260" spans="1:74">
      <c r="A260" s="96"/>
      <c r="B260" s="4"/>
      <c r="C260" s="105" t="s">
        <v>103</v>
      </c>
      <c r="D260" s="98">
        <v>2576</v>
      </c>
      <c r="E260" s="98">
        <v>2749</v>
      </c>
      <c r="F260" s="98">
        <v>2882</v>
      </c>
      <c r="G260" s="98">
        <v>2485</v>
      </c>
      <c r="H260" s="98">
        <v>2560</v>
      </c>
      <c r="I260" s="98">
        <v>2426</v>
      </c>
      <c r="J260" s="106">
        <v>2316</v>
      </c>
      <c r="K260" s="98">
        <v>2114</v>
      </c>
      <c r="L260" s="417">
        <v>173</v>
      </c>
      <c r="M260" s="386">
        <v>167</v>
      </c>
      <c r="N260" s="265">
        <f t="shared" si="498"/>
        <v>-3.5</v>
      </c>
      <c r="O260" s="417">
        <f t="shared" si="499"/>
        <v>207</v>
      </c>
      <c r="P260" s="386">
        <f t="shared" si="499"/>
        <v>113</v>
      </c>
      <c r="Q260" s="265">
        <f t="shared" si="500"/>
        <v>-45.4</v>
      </c>
      <c r="R260" s="417">
        <v>380</v>
      </c>
      <c r="S260" s="386">
        <v>280</v>
      </c>
      <c r="T260" s="265">
        <f t="shared" si="501"/>
        <v>-26.3</v>
      </c>
      <c r="U260" s="417">
        <f t="shared" si="502"/>
        <v>200</v>
      </c>
      <c r="V260" s="386">
        <f t="shared" si="503"/>
        <v>177</v>
      </c>
      <c r="W260" s="265">
        <f t="shared" si="504"/>
        <v>-11.5</v>
      </c>
      <c r="X260" s="417">
        <v>580</v>
      </c>
      <c r="Y260" s="386">
        <v>457</v>
      </c>
      <c r="Z260" s="265">
        <f t="shared" si="505"/>
        <v>-21.2</v>
      </c>
      <c r="AA260" s="417">
        <f t="shared" si="506"/>
        <v>270</v>
      </c>
      <c r="AB260" s="386">
        <f t="shared" si="507"/>
        <v>72</v>
      </c>
      <c r="AC260" s="265">
        <f t="shared" si="508"/>
        <v>-73.3</v>
      </c>
      <c r="AD260" s="417">
        <v>850</v>
      </c>
      <c r="AE260" s="386">
        <v>529</v>
      </c>
      <c r="AF260" s="265">
        <f t="shared" si="509"/>
        <v>-37.799999999999997</v>
      </c>
      <c r="AG260" s="417">
        <f t="shared" si="510"/>
        <v>144</v>
      </c>
      <c r="AH260" s="386">
        <f t="shared" si="510"/>
        <v>231</v>
      </c>
      <c r="AI260" s="265">
        <f t="shared" si="511"/>
        <v>60.4</v>
      </c>
      <c r="AJ260" s="417">
        <v>994</v>
      </c>
      <c r="AK260" s="386">
        <v>760</v>
      </c>
      <c r="AL260" s="265">
        <f t="shared" si="512"/>
        <v>-23.5</v>
      </c>
      <c r="AM260" s="722">
        <f t="shared" si="513"/>
        <v>263</v>
      </c>
      <c r="AN260" s="714">
        <f t="shared" si="514"/>
        <v>83</v>
      </c>
      <c r="AO260" s="705">
        <f t="shared" si="515"/>
        <v>-68.400000000000006</v>
      </c>
      <c r="AP260" s="770">
        <v>1257</v>
      </c>
      <c r="AQ260" s="714">
        <v>843</v>
      </c>
      <c r="AR260" s="705">
        <f t="shared" si="516"/>
        <v>-32.9</v>
      </c>
      <c r="AS260" s="770">
        <f t="shared" si="517"/>
        <v>127</v>
      </c>
      <c r="AT260" s="714">
        <f t="shared" si="517"/>
        <v>105</v>
      </c>
      <c r="AU260" s="705">
        <f t="shared" si="518"/>
        <v>-17.3</v>
      </c>
      <c r="AV260" s="992">
        <v>1384</v>
      </c>
      <c r="AW260" s="990">
        <v>948</v>
      </c>
      <c r="AX260" s="705">
        <f t="shared" si="519"/>
        <v>-31.5</v>
      </c>
      <c r="AY260" s="770">
        <f t="shared" si="520"/>
        <v>170</v>
      </c>
      <c r="AZ260" s="714">
        <f t="shared" si="521"/>
        <v>109</v>
      </c>
      <c r="BA260" s="705">
        <f t="shared" si="522"/>
        <v>-35.9</v>
      </c>
      <c r="BB260" s="770">
        <v>1554</v>
      </c>
      <c r="BC260" s="714">
        <v>1057</v>
      </c>
      <c r="BD260" s="705">
        <f t="shared" si="523"/>
        <v>-32</v>
      </c>
      <c r="BE260" s="770">
        <f t="shared" si="524"/>
        <v>202</v>
      </c>
      <c r="BF260" s="714">
        <f t="shared" si="524"/>
        <v>96</v>
      </c>
      <c r="BG260" s="705">
        <f t="shared" si="525"/>
        <v>-52.5</v>
      </c>
      <c r="BH260" s="770">
        <v>1756</v>
      </c>
      <c r="BI260" s="714">
        <v>1153</v>
      </c>
      <c r="BJ260" s="705">
        <f t="shared" si="526"/>
        <v>-34.299999999999997</v>
      </c>
      <c r="BK260" s="770">
        <f t="shared" si="527"/>
        <v>143</v>
      </c>
      <c r="BL260" s="714">
        <f t="shared" si="527"/>
        <v>143</v>
      </c>
      <c r="BM260" s="705">
        <f t="shared" si="528"/>
        <v>0</v>
      </c>
      <c r="BN260" s="770">
        <v>1899</v>
      </c>
      <c r="BO260" s="714">
        <v>1296</v>
      </c>
      <c r="BP260" s="705">
        <f t="shared" si="529"/>
        <v>-31.8</v>
      </c>
      <c r="BQ260" s="770">
        <f t="shared" si="530"/>
        <v>99</v>
      </c>
      <c r="BR260" s="714">
        <f t="shared" si="530"/>
        <v>87</v>
      </c>
      <c r="BS260" s="705">
        <f t="shared" si="531"/>
        <v>-12.1</v>
      </c>
      <c r="BT260" s="770">
        <v>1998</v>
      </c>
      <c r="BU260" s="714">
        <v>1383</v>
      </c>
      <c r="BV260" s="705">
        <f t="shared" si="532"/>
        <v>-30.8</v>
      </c>
    </row>
    <row r="261" spans="1:74">
      <c r="A261" s="96"/>
      <c r="B261" s="4"/>
      <c r="C261" s="105" t="s">
        <v>56</v>
      </c>
      <c r="D261" s="98">
        <v>2979</v>
      </c>
      <c r="E261" s="98">
        <v>3374</v>
      </c>
      <c r="F261" s="98">
        <v>3076</v>
      </c>
      <c r="G261" s="98">
        <v>3559</v>
      </c>
      <c r="H261" s="98">
        <v>2921</v>
      </c>
      <c r="I261" s="98">
        <v>3007</v>
      </c>
      <c r="J261" s="106">
        <v>3122</v>
      </c>
      <c r="K261" s="98">
        <v>2057</v>
      </c>
      <c r="L261" s="417">
        <v>262</v>
      </c>
      <c r="M261" s="386">
        <v>132</v>
      </c>
      <c r="N261" s="265">
        <f t="shared" si="498"/>
        <v>-49.6</v>
      </c>
      <c r="O261" s="417">
        <f t="shared" si="499"/>
        <v>180</v>
      </c>
      <c r="P261" s="386">
        <f t="shared" si="499"/>
        <v>140</v>
      </c>
      <c r="Q261" s="265">
        <f t="shared" si="500"/>
        <v>-22.2</v>
      </c>
      <c r="R261" s="417">
        <v>442</v>
      </c>
      <c r="S261" s="386">
        <v>272</v>
      </c>
      <c r="T261" s="265">
        <f t="shared" si="501"/>
        <v>-38.5</v>
      </c>
      <c r="U261" s="417">
        <f t="shared" si="502"/>
        <v>248</v>
      </c>
      <c r="V261" s="386">
        <f t="shared" si="503"/>
        <v>161</v>
      </c>
      <c r="W261" s="265">
        <f t="shared" si="504"/>
        <v>-35.1</v>
      </c>
      <c r="X261" s="417">
        <v>690</v>
      </c>
      <c r="Y261" s="386">
        <v>433</v>
      </c>
      <c r="Z261" s="265">
        <f t="shared" si="505"/>
        <v>-37.200000000000003</v>
      </c>
      <c r="AA261" s="417">
        <f t="shared" si="506"/>
        <v>181</v>
      </c>
      <c r="AB261" s="386">
        <f t="shared" si="507"/>
        <v>104</v>
      </c>
      <c r="AC261" s="265">
        <f t="shared" si="508"/>
        <v>-42.5</v>
      </c>
      <c r="AD261" s="417">
        <v>871</v>
      </c>
      <c r="AE261" s="386">
        <v>537</v>
      </c>
      <c r="AF261" s="265">
        <f t="shared" si="509"/>
        <v>-38.299999999999997</v>
      </c>
      <c r="AG261" s="417">
        <f t="shared" si="510"/>
        <v>205</v>
      </c>
      <c r="AH261" s="386">
        <f t="shared" si="510"/>
        <v>107</v>
      </c>
      <c r="AI261" s="265">
        <f t="shared" si="511"/>
        <v>-47.8</v>
      </c>
      <c r="AJ261" s="417">
        <v>1076</v>
      </c>
      <c r="AK261" s="386">
        <v>644</v>
      </c>
      <c r="AL261" s="265">
        <f t="shared" si="512"/>
        <v>-40.1</v>
      </c>
      <c r="AM261" s="722">
        <f t="shared" si="513"/>
        <v>139</v>
      </c>
      <c r="AN261" s="714">
        <f t="shared" si="514"/>
        <v>150</v>
      </c>
      <c r="AO261" s="705">
        <f t="shared" si="515"/>
        <v>7.9</v>
      </c>
      <c r="AP261" s="770">
        <v>1215</v>
      </c>
      <c r="AQ261" s="714">
        <v>794</v>
      </c>
      <c r="AR261" s="705">
        <f t="shared" si="516"/>
        <v>-34.700000000000003</v>
      </c>
      <c r="AS261" s="770">
        <f t="shared" si="517"/>
        <v>176</v>
      </c>
      <c r="AT261" s="714">
        <f t="shared" si="517"/>
        <v>127</v>
      </c>
      <c r="AU261" s="705">
        <f t="shared" si="518"/>
        <v>-27.8</v>
      </c>
      <c r="AV261" s="992">
        <v>1391</v>
      </c>
      <c r="AW261" s="990">
        <v>921</v>
      </c>
      <c r="AX261" s="705">
        <f t="shared" si="519"/>
        <v>-33.799999999999997</v>
      </c>
      <c r="AY261" s="770">
        <f t="shared" si="520"/>
        <v>151</v>
      </c>
      <c r="AZ261" s="714">
        <f t="shared" si="521"/>
        <v>134</v>
      </c>
      <c r="BA261" s="705">
        <f t="shared" si="522"/>
        <v>-11.3</v>
      </c>
      <c r="BB261" s="770">
        <v>1542</v>
      </c>
      <c r="BC261" s="714">
        <v>1055</v>
      </c>
      <c r="BD261" s="705">
        <f t="shared" si="523"/>
        <v>-31.6</v>
      </c>
      <c r="BE261" s="770">
        <f t="shared" si="524"/>
        <v>141</v>
      </c>
      <c r="BF261" s="714">
        <f t="shared" si="524"/>
        <v>127</v>
      </c>
      <c r="BG261" s="705">
        <f t="shared" si="525"/>
        <v>-9.9</v>
      </c>
      <c r="BH261" s="770">
        <v>1683</v>
      </c>
      <c r="BI261" s="714">
        <v>1182</v>
      </c>
      <c r="BJ261" s="705">
        <f t="shared" si="526"/>
        <v>-29.8</v>
      </c>
      <c r="BK261" s="770">
        <f t="shared" si="527"/>
        <v>159</v>
      </c>
      <c r="BL261" s="714">
        <f t="shared" si="527"/>
        <v>131</v>
      </c>
      <c r="BM261" s="705">
        <f t="shared" si="528"/>
        <v>-17.600000000000001</v>
      </c>
      <c r="BN261" s="770">
        <v>1842</v>
      </c>
      <c r="BO261" s="714">
        <v>1313</v>
      </c>
      <c r="BP261" s="705">
        <f t="shared" si="529"/>
        <v>-28.7</v>
      </c>
      <c r="BQ261" s="770">
        <f t="shared" si="530"/>
        <v>143</v>
      </c>
      <c r="BR261" s="714">
        <f t="shared" si="530"/>
        <v>146</v>
      </c>
      <c r="BS261" s="705">
        <f t="shared" si="531"/>
        <v>2.1</v>
      </c>
      <c r="BT261" s="770">
        <v>1985</v>
      </c>
      <c r="BU261" s="714">
        <v>1459</v>
      </c>
      <c r="BV261" s="705">
        <f t="shared" si="532"/>
        <v>-26.5</v>
      </c>
    </row>
    <row r="262" spans="1:74">
      <c r="A262" s="96"/>
      <c r="B262" s="4"/>
      <c r="C262" s="105" t="s">
        <v>101</v>
      </c>
      <c r="D262" s="98">
        <v>10127</v>
      </c>
      <c r="E262" s="98">
        <v>8104</v>
      </c>
      <c r="F262" s="98">
        <v>6746</v>
      </c>
      <c r="G262" s="98">
        <v>6250</v>
      </c>
      <c r="H262" s="98">
        <v>5834</v>
      </c>
      <c r="I262" s="98">
        <v>5370</v>
      </c>
      <c r="J262" s="106">
        <v>3002</v>
      </c>
      <c r="K262" s="98">
        <v>1963</v>
      </c>
      <c r="L262" s="417">
        <v>220</v>
      </c>
      <c r="M262" s="386">
        <v>54</v>
      </c>
      <c r="N262" s="265">
        <f t="shared" si="498"/>
        <v>-75.5</v>
      </c>
      <c r="O262" s="417">
        <f t="shared" si="499"/>
        <v>253</v>
      </c>
      <c r="P262" s="386">
        <f t="shared" si="499"/>
        <v>89</v>
      </c>
      <c r="Q262" s="265">
        <f t="shared" si="500"/>
        <v>-64.8</v>
      </c>
      <c r="R262" s="417">
        <v>473</v>
      </c>
      <c r="S262" s="386">
        <v>143</v>
      </c>
      <c r="T262" s="265">
        <f t="shared" si="501"/>
        <v>-69.8</v>
      </c>
      <c r="U262" s="417">
        <f t="shared" si="502"/>
        <v>212</v>
      </c>
      <c r="V262" s="386">
        <f t="shared" si="503"/>
        <v>78</v>
      </c>
      <c r="W262" s="265">
        <f t="shared" si="504"/>
        <v>-63.2</v>
      </c>
      <c r="X262" s="417">
        <v>685</v>
      </c>
      <c r="Y262" s="386">
        <v>221</v>
      </c>
      <c r="Z262" s="265">
        <f t="shared" si="505"/>
        <v>-67.7</v>
      </c>
      <c r="AA262" s="417">
        <f t="shared" si="506"/>
        <v>177</v>
      </c>
      <c r="AB262" s="386">
        <f t="shared" si="507"/>
        <v>86</v>
      </c>
      <c r="AC262" s="265">
        <f t="shared" si="508"/>
        <v>-51.4</v>
      </c>
      <c r="AD262" s="417">
        <v>862</v>
      </c>
      <c r="AE262" s="386">
        <v>307</v>
      </c>
      <c r="AF262" s="265">
        <f t="shared" si="509"/>
        <v>-64.400000000000006</v>
      </c>
      <c r="AG262" s="417">
        <f t="shared" si="510"/>
        <v>66</v>
      </c>
      <c r="AH262" s="386">
        <f t="shared" si="510"/>
        <v>92</v>
      </c>
      <c r="AI262" s="265">
        <f t="shared" si="511"/>
        <v>39.4</v>
      </c>
      <c r="AJ262" s="417">
        <v>928</v>
      </c>
      <c r="AK262" s="386">
        <v>399</v>
      </c>
      <c r="AL262" s="265">
        <f t="shared" si="512"/>
        <v>-57</v>
      </c>
      <c r="AM262" s="722">
        <f t="shared" si="513"/>
        <v>65</v>
      </c>
      <c r="AN262" s="714">
        <f t="shared" si="514"/>
        <v>146</v>
      </c>
      <c r="AO262" s="705">
        <f t="shared" si="515"/>
        <v>124.6</v>
      </c>
      <c r="AP262" s="770">
        <v>993</v>
      </c>
      <c r="AQ262" s="714">
        <v>545</v>
      </c>
      <c r="AR262" s="705">
        <f t="shared" si="516"/>
        <v>-45.1</v>
      </c>
      <c r="AS262" s="770">
        <f t="shared" si="517"/>
        <v>140</v>
      </c>
      <c r="AT262" s="714">
        <f t="shared" si="517"/>
        <v>109</v>
      </c>
      <c r="AU262" s="705">
        <f t="shared" si="518"/>
        <v>-22.1</v>
      </c>
      <c r="AV262" s="992">
        <v>1133</v>
      </c>
      <c r="AW262" s="990">
        <v>654</v>
      </c>
      <c r="AX262" s="705">
        <f t="shared" si="519"/>
        <v>-42.3</v>
      </c>
      <c r="AY262" s="770">
        <f t="shared" si="520"/>
        <v>153</v>
      </c>
      <c r="AZ262" s="714">
        <f t="shared" si="521"/>
        <v>110</v>
      </c>
      <c r="BA262" s="705">
        <f t="shared" si="522"/>
        <v>-28.1</v>
      </c>
      <c r="BB262" s="770">
        <v>1286</v>
      </c>
      <c r="BC262" s="714">
        <v>764</v>
      </c>
      <c r="BD262" s="705">
        <f t="shared" si="523"/>
        <v>-40.6</v>
      </c>
      <c r="BE262" s="770">
        <f t="shared" si="524"/>
        <v>134</v>
      </c>
      <c r="BF262" s="714">
        <f t="shared" si="524"/>
        <v>23</v>
      </c>
      <c r="BG262" s="705">
        <f t="shared" si="525"/>
        <v>-82.8</v>
      </c>
      <c r="BH262" s="770">
        <v>1420</v>
      </c>
      <c r="BI262" s="714">
        <v>787</v>
      </c>
      <c r="BJ262" s="705">
        <f t="shared" si="526"/>
        <v>-44.6</v>
      </c>
      <c r="BK262" s="770">
        <f t="shared" si="527"/>
        <v>251</v>
      </c>
      <c r="BL262" s="714">
        <f t="shared" si="527"/>
        <v>40</v>
      </c>
      <c r="BM262" s="705">
        <f t="shared" si="528"/>
        <v>-84.1</v>
      </c>
      <c r="BN262" s="770">
        <v>1671</v>
      </c>
      <c r="BO262" s="714">
        <v>827</v>
      </c>
      <c r="BP262" s="705">
        <f t="shared" si="529"/>
        <v>-50.5</v>
      </c>
      <c r="BQ262" s="770">
        <f t="shared" si="530"/>
        <v>253</v>
      </c>
      <c r="BR262" s="714">
        <f t="shared" si="530"/>
        <v>75</v>
      </c>
      <c r="BS262" s="705">
        <f t="shared" si="531"/>
        <v>-70.400000000000006</v>
      </c>
      <c r="BT262" s="770">
        <v>1924</v>
      </c>
      <c r="BU262" s="714">
        <v>902</v>
      </c>
      <c r="BV262" s="705">
        <f t="shared" si="532"/>
        <v>-53.1</v>
      </c>
    </row>
    <row r="263" spans="1:74">
      <c r="A263" s="96"/>
      <c r="B263" s="4"/>
      <c r="C263" s="105" t="s">
        <v>346</v>
      </c>
      <c r="D263" s="98">
        <v>3</v>
      </c>
      <c r="E263" s="98">
        <v>2</v>
      </c>
      <c r="F263" s="98">
        <v>2</v>
      </c>
      <c r="G263" s="98">
        <v>14</v>
      </c>
      <c r="H263" s="98">
        <v>0</v>
      </c>
      <c r="I263" s="98">
        <v>0</v>
      </c>
      <c r="J263" s="106">
        <v>128</v>
      </c>
      <c r="K263" s="98">
        <v>1791</v>
      </c>
      <c r="L263" s="417">
        <v>129</v>
      </c>
      <c r="M263" s="386">
        <v>181</v>
      </c>
      <c r="N263" s="265">
        <f t="shared" si="498"/>
        <v>40.299999999999997</v>
      </c>
      <c r="O263" s="417">
        <f t="shared" si="499"/>
        <v>158</v>
      </c>
      <c r="P263" s="386">
        <f t="shared" si="499"/>
        <v>256</v>
      </c>
      <c r="Q263" s="265">
        <f t="shared" si="500"/>
        <v>62</v>
      </c>
      <c r="R263" s="417">
        <v>287</v>
      </c>
      <c r="S263" s="386">
        <v>437</v>
      </c>
      <c r="T263" s="265">
        <f t="shared" si="501"/>
        <v>52.3</v>
      </c>
      <c r="U263" s="417">
        <f t="shared" si="502"/>
        <v>238</v>
      </c>
      <c r="V263" s="386">
        <f t="shared" si="503"/>
        <v>293</v>
      </c>
      <c r="W263" s="265">
        <f t="shared" si="504"/>
        <v>23.1</v>
      </c>
      <c r="X263" s="417">
        <v>525</v>
      </c>
      <c r="Y263" s="386">
        <v>730</v>
      </c>
      <c r="Z263" s="265">
        <f t="shared" si="505"/>
        <v>39</v>
      </c>
      <c r="AA263" s="417">
        <f t="shared" si="506"/>
        <v>307</v>
      </c>
      <c r="AB263" s="386">
        <f t="shared" si="507"/>
        <v>311</v>
      </c>
      <c r="AC263" s="265">
        <f t="shared" si="508"/>
        <v>1.3</v>
      </c>
      <c r="AD263" s="417">
        <v>832</v>
      </c>
      <c r="AE263" s="386">
        <v>1041</v>
      </c>
      <c r="AF263" s="265">
        <f t="shared" si="509"/>
        <v>25.1</v>
      </c>
      <c r="AG263" s="417">
        <f t="shared" si="510"/>
        <v>169</v>
      </c>
      <c r="AH263" s="386">
        <f t="shared" si="510"/>
        <v>283</v>
      </c>
      <c r="AI263" s="265">
        <f t="shared" si="511"/>
        <v>67.5</v>
      </c>
      <c r="AJ263" s="417">
        <v>1001</v>
      </c>
      <c r="AK263" s="386">
        <v>1324</v>
      </c>
      <c r="AL263" s="265">
        <f t="shared" si="512"/>
        <v>32.299999999999997</v>
      </c>
      <c r="AM263" s="722">
        <f t="shared" si="513"/>
        <v>91</v>
      </c>
      <c r="AN263" s="714">
        <f t="shared" si="514"/>
        <v>97</v>
      </c>
      <c r="AO263" s="705">
        <f t="shared" si="515"/>
        <v>6.6</v>
      </c>
      <c r="AP263" s="770">
        <v>1092</v>
      </c>
      <c r="AQ263" s="714">
        <v>1421</v>
      </c>
      <c r="AR263" s="705">
        <f t="shared" si="516"/>
        <v>30.1</v>
      </c>
      <c r="AS263" s="770">
        <f t="shared" si="517"/>
        <v>70</v>
      </c>
      <c r="AT263" s="714">
        <f t="shared" si="517"/>
        <v>301</v>
      </c>
      <c r="AU263" s="705">
        <f t="shared" si="518"/>
        <v>330</v>
      </c>
      <c r="AV263" s="992">
        <v>1162</v>
      </c>
      <c r="AW263" s="990">
        <v>1722</v>
      </c>
      <c r="AX263" s="705">
        <f t="shared" si="519"/>
        <v>48.2</v>
      </c>
      <c r="AY263" s="770">
        <f t="shared" si="520"/>
        <v>95</v>
      </c>
      <c r="AZ263" s="714">
        <f t="shared" si="521"/>
        <v>325</v>
      </c>
      <c r="BA263" s="705">
        <f t="shared" si="522"/>
        <v>242.1</v>
      </c>
      <c r="BB263" s="770">
        <v>1257</v>
      </c>
      <c r="BC263" s="714">
        <v>2047</v>
      </c>
      <c r="BD263" s="705">
        <f t="shared" si="523"/>
        <v>62.8</v>
      </c>
      <c r="BE263" s="770">
        <f t="shared" si="524"/>
        <v>181</v>
      </c>
      <c r="BF263" s="714">
        <f t="shared" si="524"/>
        <v>443</v>
      </c>
      <c r="BG263" s="705">
        <f t="shared" si="525"/>
        <v>144.80000000000001</v>
      </c>
      <c r="BH263" s="770">
        <v>1438</v>
      </c>
      <c r="BI263" s="714">
        <v>2490</v>
      </c>
      <c r="BJ263" s="705">
        <f t="shared" si="526"/>
        <v>73.2</v>
      </c>
      <c r="BK263" s="770">
        <f t="shared" si="527"/>
        <v>116</v>
      </c>
      <c r="BL263" s="714">
        <f t="shared" si="527"/>
        <v>504</v>
      </c>
      <c r="BM263" s="705">
        <f t="shared" si="528"/>
        <v>334.5</v>
      </c>
      <c r="BN263" s="770">
        <v>1554</v>
      </c>
      <c r="BO263" s="714">
        <v>2994</v>
      </c>
      <c r="BP263" s="705">
        <f t="shared" si="529"/>
        <v>92.7</v>
      </c>
      <c r="BQ263" s="770">
        <f t="shared" si="530"/>
        <v>80</v>
      </c>
      <c r="BR263" s="714">
        <f t="shared" si="530"/>
        <v>565</v>
      </c>
      <c r="BS263" s="705">
        <f t="shared" si="531"/>
        <v>606.29999999999995</v>
      </c>
      <c r="BT263" s="770">
        <v>1634</v>
      </c>
      <c r="BU263" s="714">
        <v>3559</v>
      </c>
      <c r="BV263" s="705">
        <f t="shared" si="532"/>
        <v>117.8</v>
      </c>
    </row>
    <row r="264" spans="1:74">
      <c r="A264" s="96"/>
      <c r="B264" s="4"/>
      <c r="C264" s="105" t="s">
        <v>107</v>
      </c>
      <c r="D264" s="98">
        <v>1447</v>
      </c>
      <c r="E264" s="98">
        <v>1482</v>
      </c>
      <c r="F264" s="98">
        <v>1658</v>
      </c>
      <c r="G264" s="98">
        <v>1513</v>
      </c>
      <c r="H264" s="98">
        <v>1615</v>
      </c>
      <c r="I264" s="98">
        <v>1627</v>
      </c>
      <c r="J264" s="106">
        <v>1325</v>
      </c>
      <c r="K264" s="98">
        <v>1148</v>
      </c>
      <c r="L264" s="417">
        <v>126</v>
      </c>
      <c r="M264" s="386">
        <v>122</v>
      </c>
      <c r="N264" s="265">
        <f t="shared" si="498"/>
        <v>-3.2</v>
      </c>
      <c r="O264" s="417">
        <f t="shared" si="499"/>
        <v>65</v>
      </c>
      <c r="P264" s="386">
        <f t="shared" si="499"/>
        <v>84</v>
      </c>
      <c r="Q264" s="265">
        <f t="shared" si="500"/>
        <v>29.2</v>
      </c>
      <c r="R264" s="417">
        <v>191</v>
      </c>
      <c r="S264" s="386">
        <v>206</v>
      </c>
      <c r="T264" s="265">
        <f t="shared" si="501"/>
        <v>7.9</v>
      </c>
      <c r="U264" s="417">
        <f t="shared" si="502"/>
        <v>128</v>
      </c>
      <c r="V264" s="386">
        <f t="shared" si="503"/>
        <v>112</v>
      </c>
      <c r="W264" s="265">
        <f t="shared" si="504"/>
        <v>-12.5</v>
      </c>
      <c r="X264" s="417">
        <v>319</v>
      </c>
      <c r="Y264" s="386">
        <v>318</v>
      </c>
      <c r="Z264" s="265">
        <f t="shared" si="505"/>
        <v>-0.3</v>
      </c>
      <c r="AA264" s="417">
        <f t="shared" si="506"/>
        <v>106</v>
      </c>
      <c r="AB264" s="386">
        <f t="shared" si="507"/>
        <v>87</v>
      </c>
      <c r="AC264" s="265">
        <f t="shared" si="508"/>
        <v>-17.899999999999999</v>
      </c>
      <c r="AD264" s="417">
        <v>425</v>
      </c>
      <c r="AE264" s="386">
        <v>405</v>
      </c>
      <c r="AF264" s="265">
        <f t="shared" si="509"/>
        <v>-4.7</v>
      </c>
      <c r="AG264" s="417">
        <f t="shared" si="510"/>
        <v>92</v>
      </c>
      <c r="AH264" s="386">
        <f t="shared" si="510"/>
        <v>62</v>
      </c>
      <c r="AI264" s="265">
        <f t="shared" si="511"/>
        <v>-32.6</v>
      </c>
      <c r="AJ264" s="417">
        <v>517</v>
      </c>
      <c r="AK264" s="386">
        <v>467</v>
      </c>
      <c r="AL264" s="265">
        <f t="shared" si="512"/>
        <v>-9.6999999999999993</v>
      </c>
      <c r="AM264" s="722">
        <f t="shared" si="513"/>
        <v>105</v>
      </c>
      <c r="AN264" s="714">
        <f t="shared" si="514"/>
        <v>88</v>
      </c>
      <c r="AO264" s="705">
        <f t="shared" si="515"/>
        <v>-16.2</v>
      </c>
      <c r="AP264" s="770">
        <v>622</v>
      </c>
      <c r="AQ264" s="714">
        <v>555</v>
      </c>
      <c r="AR264" s="705">
        <f t="shared" si="516"/>
        <v>-10.8</v>
      </c>
      <c r="AS264" s="770">
        <f t="shared" si="517"/>
        <v>105</v>
      </c>
      <c r="AT264" s="714">
        <f t="shared" si="517"/>
        <v>90</v>
      </c>
      <c r="AU264" s="705">
        <f t="shared" si="518"/>
        <v>-14.3</v>
      </c>
      <c r="AV264" s="992">
        <v>727</v>
      </c>
      <c r="AW264" s="990">
        <v>645</v>
      </c>
      <c r="AX264" s="705">
        <f t="shared" si="519"/>
        <v>-11.3</v>
      </c>
      <c r="AY264" s="770">
        <f t="shared" si="520"/>
        <v>80</v>
      </c>
      <c r="AZ264" s="714">
        <f t="shared" si="521"/>
        <v>80</v>
      </c>
      <c r="BA264" s="705">
        <f t="shared" si="522"/>
        <v>0</v>
      </c>
      <c r="BB264" s="770">
        <v>807</v>
      </c>
      <c r="BC264" s="714">
        <v>725</v>
      </c>
      <c r="BD264" s="705">
        <f t="shared" si="523"/>
        <v>-10.199999999999999</v>
      </c>
      <c r="BE264" s="770">
        <f t="shared" si="524"/>
        <v>63</v>
      </c>
      <c r="BF264" s="714">
        <f t="shared" si="524"/>
        <v>61</v>
      </c>
      <c r="BG264" s="705">
        <f t="shared" si="525"/>
        <v>-3.2</v>
      </c>
      <c r="BH264" s="770">
        <v>870</v>
      </c>
      <c r="BI264" s="714">
        <v>786</v>
      </c>
      <c r="BJ264" s="705">
        <f t="shared" si="526"/>
        <v>-9.6999999999999993</v>
      </c>
      <c r="BK264" s="770">
        <f t="shared" si="527"/>
        <v>108</v>
      </c>
      <c r="BL264" s="714">
        <f t="shared" si="527"/>
        <v>96</v>
      </c>
      <c r="BM264" s="705">
        <f t="shared" si="528"/>
        <v>-11.1</v>
      </c>
      <c r="BN264" s="770">
        <v>978</v>
      </c>
      <c r="BO264" s="714">
        <v>882</v>
      </c>
      <c r="BP264" s="705">
        <f t="shared" si="529"/>
        <v>-9.8000000000000007</v>
      </c>
      <c r="BQ264" s="770">
        <f t="shared" si="530"/>
        <v>95</v>
      </c>
      <c r="BR264" s="714">
        <f t="shared" si="530"/>
        <v>86</v>
      </c>
      <c r="BS264" s="705">
        <f t="shared" si="531"/>
        <v>-9.5</v>
      </c>
      <c r="BT264" s="770">
        <v>1073</v>
      </c>
      <c r="BU264" s="714">
        <v>968</v>
      </c>
      <c r="BV264" s="705">
        <f t="shared" si="532"/>
        <v>-9.8000000000000007</v>
      </c>
    </row>
    <row r="265" spans="1:74">
      <c r="A265" s="96"/>
      <c r="B265" s="4"/>
      <c r="C265" s="105" t="s">
        <v>100</v>
      </c>
      <c r="D265" s="98">
        <v>2594</v>
      </c>
      <c r="E265" s="98">
        <v>2528</v>
      </c>
      <c r="F265" s="98">
        <v>2327</v>
      </c>
      <c r="G265" s="98">
        <v>1854</v>
      </c>
      <c r="H265" s="98">
        <v>1959</v>
      </c>
      <c r="I265" s="98">
        <v>1605</v>
      </c>
      <c r="J265" s="106">
        <v>1318</v>
      </c>
      <c r="K265" s="98">
        <v>1062</v>
      </c>
      <c r="L265" s="417">
        <v>69</v>
      </c>
      <c r="M265" s="386">
        <v>27</v>
      </c>
      <c r="N265" s="265">
        <f t="shared" si="498"/>
        <v>-60.9</v>
      </c>
      <c r="O265" s="417">
        <f t="shared" si="499"/>
        <v>84</v>
      </c>
      <c r="P265" s="386">
        <f t="shared" si="499"/>
        <v>58</v>
      </c>
      <c r="Q265" s="265">
        <f t="shared" si="500"/>
        <v>-31</v>
      </c>
      <c r="R265" s="417">
        <v>153</v>
      </c>
      <c r="S265" s="386">
        <v>85</v>
      </c>
      <c r="T265" s="265">
        <f t="shared" si="501"/>
        <v>-44.4</v>
      </c>
      <c r="U265" s="417">
        <f t="shared" si="502"/>
        <v>83</v>
      </c>
      <c r="V265" s="386">
        <f t="shared" si="503"/>
        <v>103</v>
      </c>
      <c r="W265" s="265">
        <f t="shared" si="504"/>
        <v>24.1</v>
      </c>
      <c r="X265" s="417">
        <v>236</v>
      </c>
      <c r="Y265" s="386">
        <v>188</v>
      </c>
      <c r="Z265" s="265">
        <f t="shared" si="505"/>
        <v>-20.3</v>
      </c>
      <c r="AA265" s="417">
        <f t="shared" si="506"/>
        <v>85</v>
      </c>
      <c r="AB265" s="386">
        <f t="shared" si="507"/>
        <v>139</v>
      </c>
      <c r="AC265" s="265">
        <f t="shared" si="508"/>
        <v>63.5</v>
      </c>
      <c r="AD265" s="417">
        <v>321</v>
      </c>
      <c r="AE265" s="386">
        <v>327</v>
      </c>
      <c r="AF265" s="265">
        <f t="shared" si="509"/>
        <v>1.9</v>
      </c>
      <c r="AG265" s="417">
        <f t="shared" si="510"/>
        <v>92</v>
      </c>
      <c r="AH265" s="386">
        <f t="shared" si="510"/>
        <v>102</v>
      </c>
      <c r="AI265" s="265">
        <f t="shared" si="511"/>
        <v>10.9</v>
      </c>
      <c r="AJ265" s="417">
        <v>413</v>
      </c>
      <c r="AK265" s="386">
        <v>429</v>
      </c>
      <c r="AL265" s="265">
        <f t="shared" si="512"/>
        <v>3.9</v>
      </c>
      <c r="AM265" s="722">
        <f t="shared" si="513"/>
        <v>164</v>
      </c>
      <c r="AN265" s="714">
        <f t="shared" si="514"/>
        <v>47</v>
      </c>
      <c r="AO265" s="705">
        <f t="shared" si="515"/>
        <v>-71.3</v>
      </c>
      <c r="AP265" s="770">
        <v>577</v>
      </c>
      <c r="AQ265" s="714">
        <v>476</v>
      </c>
      <c r="AR265" s="705">
        <f t="shared" si="516"/>
        <v>-17.5</v>
      </c>
      <c r="AS265" s="770">
        <f t="shared" si="517"/>
        <v>94</v>
      </c>
      <c r="AT265" s="714">
        <f t="shared" si="517"/>
        <v>83</v>
      </c>
      <c r="AU265" s="705">
        <f t="shared" si="518"/>
        <v>-11.7</v>
      </c>
      <c r="AV265" s="992">
        <v>671</v>
      </c>
      <c r="AW265" s="990">
        <v>559</v>
      </c>
      <c r="AX265" s="705">
        <f t="shared" si="519"/>
        <v>-16.7</v>
      </c>
      <c r="AY265" s="770">
        <f t="shared" si="520"/>
        <v>83</v>
      </c>
      <c r="AZ265" s="714">
        <f t="shared" si="521"/>
        <v>62</v>
      </c>
      <c r="BA265" s="705">
        <f t="shared" si="522"/>
        <v>-25.3</v>
      </c>
      <c r="BB265" s="770">
        <v>754</v>
      </c>
      <c r="BC265" s="714">
        <v>621</v>
      </c>
      <c r="BD265" s="705">
        <f t="shared" si="523"/>
        <v>-17.600000000000001</v>
      </c>
      <c r="BE265" s="770">
        <f t="shared" si="524"/>
        <v>97</v>
      </c>
      <c r="BF265" s="714">
        <f t="shared" si="524"/>
        <v>130</v>
      </c>
      <c r="BG265" s="705">
        <f t="shared" si="525"/>
        <v>34</v>
      </c>
      <c r="BH265" s="770">
        <v>851</v>
      </c>
      <c r="BI265" s="714">
        <v>751</v>
      </c>
      <c r="BJ265" s="705">
        <f t="shared" si="526"/>
        <v>-11.8</v>
      </c>
      <c r="BK265" s="770">
        <f t="shared" si="527"/>
        <v>49</v>
      </c>
      <c r="BL265" s="714">
        <f t="shared" si="527"/>
        <v>69</v>
      </c>
      <c r="BM265" s="705">
        <f t="shared" si="528"/>
        <v>40.799999999999997</v>
      </c>
      <c r="BN265" s="770">
        <v>900</v>
      </c>
      <c r="BO265" s="714">
        <v>820</v>
      </c>
      <c r="BP265" s="705">
        <f t="shared" si="529"/>
        <v>-8.9</v>
      </c>
      <c r="BQ265" s="770">
        <f t="shared" si="530"/>
        <v>88</v>
      </c>
      <c r="BR265" s="714">
        <f t="shared" si="530"/>
        <v>134</v>
      </c>
      <c r="BS265" s="705">
        <f t="shared" si="531"/>
        <v>52.3</v>
      </c>
      <c r="BT265" s="770">
        <v>988</v>
      </c>
      <c r="BU265" s="714">
        <v>954</v>
      </c>
      <c r="BV265" s="705">
        <f t="shared" si="532"/>
        <v>-3.4</v>
      </c>
    </row>
    <row r="266" spans="1:74">
      <c r="A266" s="96"/>
      <c r="B266" s="4"/>
      <c r="C266" s="105" t="s">
        <v>117</v>
      </c>
      <c r="D266" s="98">
        <v>102</v>
      </c>
      <c r="E266" s="98">
        <v>422</v>
      </c>
      <c r="F266" s="98">
        <v>1856</v>
      </c>
      <c r="G266" s="98">
        <v>1998</v>
      </c>
      <c r="H266" s="98">
        <v>1136</v>
      </c>
      <c r="I266" s="98">
        <v>1213</v>
      </c>
      <c r="J266" s="106">
        <v>190</v>
      </c>
      <c r="K266" s="98">
        <v>778</v>
      </c>
      <c r="L266" s="417">
        <v>3</v>
      </c>
      <c r="M266" s="386">
        <v>116</v>
      </c>
      <c r="N266" s="179">
        <v>0</v>
      </c>
      <c r="O266" s="417">
        <f t="shared" si="499"/>
        <v>17</v>
      </c>
      <c r="P266" s="386">
        <f t="shared" si="499"/>
        <v>17</v>
      </c>
      <c r="Q266" s="265">
        <f t="shared" si="500"/>
        <v>0</v>
      </c>
      <c r="R266" s="417">
        <v>20</v>
      </c>
      <c r="S266" s="386">
        <v>133</v>
      </c>
      <c r="T266" s="265">
        <f t="shared" si="501"/>
        <v>565</v>
      </c>
      <c r="U266" s="417">
        <f t="shared" si="502"/>
        <v>13</v>
      </c>
      <c r="V266" s="386">
        <f t="shared" si="503"/>
        <v>143</v>
      </c>
      <c r="W266" s="265">
        <f t="shared" si="504"/>
        <v>1000</v>
      </c>
      <c r="X266" s="417">
        <v>33</v>
      </c>
      <c r="Y266" s="386">
        <v>276</v>
      </c>
      <c r="Z266" s="265">
        <f t="shared" si="505"/>
        <v>736.4</v>
      </c>
      <c r="AA266" s="417">
        <f t="shared" si="506"/>
        <v>32</v>
      </c>
      <c r="AB266" s="386">
        <f t="shared" si="507"/>
        <v>78</v>
      </c>
      <c r="AC266" s="265">
        <f t="shared" si="508"/>
        <v>143.80000000000001</v>
      </c>
      <c r="AD266" s="417">
        <v>65</v>
      </c>
      <c r="AE266" s="386">
        <v>354</v>
      </c>
      <c r="AF266" s="265">
        <f t="shared" si="509"/>
        <v>444.6</v>
      </c>
      <c r="AG266" s="417">
        <f t="shared" si="510"/>
        <v>87</v>
      </c>
      <c r="AH266" s="386">
        <f t="shared" si="510"/>
        <v>61</v>
      </c>
      <c r="AI266" s="265">
        <f t="shared" si="511"/>
        <v>-29.9</v>
      </c>
      <c r="AJ266" s="417">
        <v>152</v>
      </c>
      <c r="AK266" s="386">
        <v>415</v>
      </c>
      <c r="AL266" s="265">
        <f t="shared" si="512"/>
        <v>173</v>
      </c>
      <c r="AM266" s="722">
        <f t="shared" si="513"/>
        <v>90</v>
      </c>
      <c r="AN266" s="714">
        <f t="shared" si="514"/>
        <v>128</v>
      </c>
      <c r="AO266" s="705">
        <f t="shared" si="515"/>
        <v>42.2</v>
      </c>
      <c r="AP266" s="770">
        <v>242</v>
      </c>
      <c r="AQ266" s="714">
        <v>543</v>
      </c>
      <c r="AR266" s="705">
        <f t="shared" si="516"/>
        <v>124.4</v>
      </c>
      <c r="AS266" s="770">
        <f t="shared" si="517"/>
        <v>90</v>
      </c>
      <c r="AT266" s="714">
        <f t="shared" si="517"/>
        <v>170</v>
      </c>
      <c r="AU266" s="705">
        <f t="shared" si="518"/>
        <v>88.9</v>
      </c>
      <c r="AV266" s="992">
        <v>332</v>
      </c>
      <c r="AW266" s="990">
        <v>713</v>
      </c>
      <c r="AX266" s="705">
        <f t="shared" si="519"/>
        <v>114.8</v>
      </c>
      <c r="AY266" s="770">
        <f t="shared" si="520"/>
        <v>49</v>
      </c>
      <c r="AZ266" s="714">
        <f t="shared" si="521"/>
        <v>95</v>
      </c>
      <c r="BA266" s="705">
        <f t="shared" si="522"/>
        <v>93.9</v>
      </c>
      <c r="BB266" s="770">
        <v>381</v>
      </c>
      <c r="BC266" s="714">
        <v>808</v>
      </c>
      <c r="BD266" s="705">
        <f t="shared" si="523"/>
        <v>112.1</v>
      </c>
      <c r="BE266" s="770">
        <f t="shared" si="524"/>
        <v>91</v>
      </c>
      <c r="BF266" s="714">
        <f t="shared" si="524"/>
        <v>151</v>
      </c>
      <c r="BG266" s="705">
        <f t="shared" si="525"/>
        <v>65.900000000000006</v>
      </c>
      <c r="BH266" s="770">
        <v>472</v>
      </c>
      <c r="BI266" s="714">
        <v>959</v>
      </c>
      <c r="BJ266" s="705">
        <f t="shared" si="526"/>
        <v>103.2</v>
      </c>
      <c r="BK266" s="770">
        <f t="shared" si="527"/>
        <v>94</v>
      </c>
      <c r="BL266" s="714">
        <f t="shared" si="527"/>
        <v>75</v>
      </c>
      <c r="BM266" s="705">
        <f t="shared" si="528"/>
        <v>-20.2</v>
      </c>
      <c r="BN266" s="770">
        <v>566</v>
      </c>
      <c r="BO266" s="714">
        <v>1034</v>
      </c>
      <c r="BP266" s="705">
        <f t="shared" si="529"/>
        <v>82.7</v>
      </c>
      <c r="BQ266" s="770">
        <f t="shared" si="530"/>
        <v>77</v>
      </c>
      <c r="BR266" s="714">
        <f t="shared" si="530"/>
        <v>114</v>
      </c>
      <c r="BS266" s="705">
        <f t="shared" si="531"/>
        <v>48.1</v>
      </c>
      <c r="BT266" s="770">
        <v>643</v>
      </c>
      <c r="BU266" s="714">
        <v>1148</v>
      </c>
      <c r="BV266" s="705">
        <f t="shared" si="532"/>
        <v>78.5</v>
      </c>
    </row>
    <row r="267" spans="1:74">
      <c r="A267" s="96"/>
      <c r="B267" s="4"/>
      <c r="C267" s="105" t="s">
        <v>98</v>
      </c>
      <c r="D267" s="98">
        <v>3244</v>
      </c>
      <c r="E267" s="98">
        <v>2777</v>
      </c>
      <c r="F267" s="98">
        <v>2017</v>
      </c>
      <c r="G267" s="98">
        <v>1132</v>
      </c>
      <c r="H267" s="98">
        <v>1362</v>
      </c>
      <c r="I267" s="98">
        <v>969</v>
      </c>
      <c r="J267" s="106">
        <v>582</v>
      </c>
      <c r="K267" s="98">
        <v>642</v>
      </c>
      <c r="L267" s="417">
        <v>65</v>
      </c>
      <c r="M267" s="386">
        <v>81</v>
      </c>
      <c r="N267" s="265">
        <f t="shared" si="498"/>
        <v>24.6</v>
      </c>
      <c r="O267" s="417">
        <f t="shared" si="499"/>
        <v>55</v>
      </c>
      <c r="P267" s="386">
        <f t="shared" si="499"/>
        <v>47</v>
      </c>
      <c r="Q267" s="265">
        <f>ROUND(((P267/O267-1)*100), 1)</f>
        <v>-14.5</v>
      </c>
      <c r="R267" s="417">
        <v>120</v>
      </c>
      <c r="S267" s="386">
        <v>128</v>
      </c>
      <c r="T267" s="265">
        <f>ROUND(((S267/R267-1)*100), 1)</f>
        <v>6.7</v>
      </c>
      <c r="U267" s="417">
        <f t="shared" si="502"/>
        <v>48</v>
      </c>
      <c r="V267" s="386">
        <f t="shared" si="503"/>
        <v>110</v>
      </c>
      <c r="W267" s="265">
        <f>ROUND(((V267/U267-1)*100), 1)</f>
        <v>129.19999999999999</v>
      </c>
      <c r="X267" s="417">
        <v>168</v>
      </c>
      <c r="Y267" s="386">
        <v>238</v>
      </c>
      <c r="Z267" s="265">
        <f>ROUND(((Y267/X267-1)*100), 1)</f>
        <v>41.7</v>
      </c>
      <c r="AA267" s="417">
        <f t="shared" si="506"/>
        <v>35</v>
      </c>
      <c r="AB267" s="386">
        <f t="shared" si="507"/>
        <v>69</v>
      </c>
      <c r="AC267" s="265">
        <f>ROUND(((AB267/AA267-1)*100), 1)</f>
        <v>97.1</v>
      </c>
      <c r="AD267" s="417">
        <v>203</v>
      </c>
      <c r="AE267" s="386">
        <v>307</v>
      </c>
      <c r="AF267" s="265">
        <f>ROUND(((AE267/AD267-1)*100), 1)</f>
        <v>51.2</v>
      </c>
      <c r="AG267" s="417">
        <f t="shared" si="510"/>
        <v>39</v>
      </c>
      <c r="AH267" s="386">
        <f t="shared" si="510"/>
        <v>89</v>
      </c>
      <c r="AI267" s="265">
        <f t="shared" si="511"/>
        <v>128.19999999999999</v>
      </c>
      <c r="AJ267" s="417">
        <v>242</v>
      </c>
      <c r="AK267" s="386">
        <v>396</v>
      </c>
      <c r="AL267" s="265">
        <f t="shared" si="512"/>
        <v>63.6</v>
      </c>
      <c r="AM267" s="722">
        <f t="shared" si="513"/>
        <v>70</v>
      </c>
      <c r="AN267" s="714">
        <f t="shared" si="514"/>
        <v>54</v>
      </c>
      <c r="AO267" s="705">
        <f t="shared" si="515"/>
        <v>-22.9</v>
      </c>
      <c r="AP267" s="770">
        <v>312</v>
      </c>
      <c r="AQ267" s="714">
        <v>450</v>
      </c>
      <c r="AR267" s="705">
        <f t="shared" si="516"/>
        <v>44.2</v>
      </c>
      <c r="AS267" s="770">
        <f t="shared" si="517"/>
        <v>61</v>
      </c>
      <c r="AT267" s="714">
        <f t="shared" si="517"/>
        <v>61</v>
      </c>
      <c r="AU267" s="705">
        <f t="shared" si="518"/>
        <v>0</v>
      </c>
      <c r="AV267" s="992">
        <v>373</v>
      </c>
      <c r="AW267" s="990">
        <v>511</v>
      </c>
      <c r="AX267" s="705">
        <f t="shared" si="519"/>
        <v>37</v>
      </c>
      <c r="AY267" s="770">
        <f t="shared" si="520"/>
        <v>54</v>
      </c>
      <c r="AZ267" s="714">
        <f t="shared" si="521"/>
        <v>51</v>
      </c>
      <c r="BA267" s="705">
        <f t="shared" si="522"/>
        <v>-5.6</v>
      </c>
      <c r="BB267" s="770">
        <v>427</v>
      </c>
      <c r="BC267" s="714">
        <v>562</v>
      </c>
      <c r="BD267" s="705">
        <f t="shared" si="523"/>
        <v>31.6</v>
      </c>
      <c r="BE267" s="770">
        <f t="shared" si="524"/>
        <v>72</v>
      </c>
      <c r="BF267" s="714">
        <f t="shared" si="524"/>
        <v>63</v>
      </c>
      <c r="BG267" s="705">
        <f t="shared" si="525"/>
        <v>-12.5</v>
      </c>
      <c r="BH267" s="770">
        <v>499</v>
      </c>
      <c r="BI267" s="714">
        <v>625</v>
      </c>
      <c r="BJ267" s="705">
        <f t="shared" si="526"/>
        <v>25.3</v>
      </c>
      <c r="BK267" s="770">
        <f t="shared" si="527"/>
        <v>67</v>
      </c>
      <c r="BL267" s="714">
        <f t="shared" si="527"/>
        <v>39</v>
      </c>
      <c r="BM267" s="705">
        <f t="shared" si="528"/>
        <v>-41.8</v>
      </c>
      <c r="BN267" s="770">
        <v>566</v>
      </c>
      <c r="BO267" s="714">
        <v>664</v>
      </c>
      <c r="BP267" s="705">
        <f t="shared" si="529"/>
        <v>17.3</v>
      </c>
      <c r="BQ267" s="770">
        <f t="shared" si="530"/>
        <v>41</v>
      </c>
      <c r="BR267" s="714">
        <f t="shared" si="530"/>
        <v>54</v>
      </c>
      <c r="BS267" s="705">
        <f t="shared" si="531"/>
        <v>31.7</v>
      </c>
      <c r="BT267" s="770">
        <v>607</v>
      </c>
      <c r="BU267" s="714">
        <v>718</v>
      </c>
      <c r="BV267" s="705">
        <f t="shared" si="532"/>
        <v>18.3</v>
      </c>
    </row>
    <row r="268" spans="1:74" s="173" customFormat="1">
      <c r="A268" s="338"/>
      <c r="B268" s="325"/>
      <c r="C268" s="345" t="s">
        <v>476</v>
      </c>
      <c r="D268" s="341">
        <v>25</v>
      </c>
      <c r="E268" s="341">
        <v>26</v>
      </c>
      <c r="F268" s="341">
        <v>19</v>
      </c>
      <c r="G268" s="341">
        <v>18</v>
      </c>
      <c r="H268" s="341">
        <v>2</v>
      </c>
      <c r="I268" s="341">
        <v>23</v>
      </c>
      <c r="J268" s="464">
        <v>263</v>
      </c>
      <c r="K268" s="341">
        <v>552</v>
      </c>
      <c r="L268" s="428">
        <v>56</v>
      </c>
      <c r="M268" s="397">
        <v>148</v>
      </c>
      <c r="N268" s="346">
        <f t="shared" si="498"/>
        <v>164.3</v>
      </c>
      <c r="O268" s="428">
        <f t="shared" si="499"/>
        <v>44</v>
      </c>
      <c r="P268" s="397">
        <f t="shared" si="499"/>
        <v>131</v>
      </c>
      <c r="Q268" s="346">
        <f>ROUND(((P268/O268-1)*100), 1)</f>
        <v>197.7</v>
      </c>
      <c r="R268" s="428">
        <v>100</v>
      </c>
      <c r="S268" s="397">
        <v>279</v>
      </c>
      <c r="T268" s="346">
        <f>ROUND(((S268/R268-1)*100), 1)</f>
        <v>179</v>
      </c>
      <c r="U268" s="428">
        <f t="shared" si="502"/>
        <v>63</v>
      </c>
      <c r="V268" s="397">
        <f t="shared" si="503"/>
        <v>201</v>
      </c>
      <c r="W268" s="346">
        <f>ROUND(((V268/U268-1)*100), 1)</f>
        <v>219</v>
      </c>
      <c r="X268" s="428">
        <v>163</v>
      </c>
      <c r="Y268" s="397">
        <v>480</v>
      </c>
      <c r="Z268" s="346">
        <f>ROUND(((Y268/X268-1)*100), 1)</f>
        <v>194.5</v>
      </c>
      <c r="AA268" s="428">
        <f t="shared" si="506"/>
        <v>45</v>
      </c>
      <c r="AB268" s="397">
        <f t="shared" si="507"/>
        <v>149</v>
      </c>
      <c r="AC268" s="346">
        <f>ROUND(((AB268/AA268-1)*100), 1)</f>
        <v>231.1</v>
      </c>
      <c r="AD268" s="428">
        <v>208</v>
      </c>
      <c r="AE268" s="397">
        <v>629</v>
      </c>
      <c r="AF268" s="346">
        <f>ROUND(((AE268/AD268-1)*100), 1)</f>
        <v>202.4</v>
      </c>
      <c r="AG268" s="428">
        <f t="shared" si="510"/>
        <v>0</v>
      </c>
      <c r="AH268" s="397">
        <f t="shared" si="510"/>
        <v>208</v>
      </c>
      <c r="AI268" s="529">
        <v>0</v>
      </c>
      <c r="AJ268" s="428">
        <v>208</v>
      </c>
      <c r="AK268" s="397">
        <v>837</v>
      </c>
      <c r="AL268" s="346">
        <f t="shared" si="512"/>
        <v>302.39999999999998</v>
      </c>
      <c r="AM268" s="733">
        <f t="shared" si="513"/>
        <v>5</v>
      </c>
      <c r="AN268" s="716">
        <f t="shared" si="514"/>
        <v>94</v>
      </c>
      <c r="AO268" s="705">
        <f>ROUND(((AN268/AM268-1)*100), 1)</f>
        <v>1780</v>
      </c>
      <c r="AP268" s="773">
        <v>213</v>
      </c>
      <c r="AQ268" s="716">
        <v>931</v>
      </c>
      <c r="AR268" s="709">
        <f t="shared" si="516"/>
        <v>337.1</v>
      </c>
      <c r="AS268" s="773">
        <f t="shared" si="517"/>
        <v>0</v>
      </c>
      <c r="AT268" s="716">
        <f t="shared" si="517"/>
        <v>77</v>
      </c>
      <c r="AU268" s="751">
        <v>0</v>
      </c>
      <c r="AV268" s="1013">
        <v>213</v>
      </c>
      <c r="AW268" s="1002">
        <v>1008</v>
      </c>
      <c r="AX268" s="709">
        <f t="shared" si="519"/>
        <v>373.2</v>
      </c>
      <c r="AY268" s="773">
        <f t="shared" si="520"/>
        <v>0</v>
      </c>
      <c r="AZ268" s="716">
        <f t="shared" si="521"/>
        <v>116</v>
      </c>
      <c r="BA268" s="751">
        <v>0</v>
      </c>
      <c r="BB268" s="773">
        <v>213</v>
      </c>
      <c r="BC268" s="716">
        <v>1124</v>
      </c>
      <c r="BD268" s="709">
        <f t="shared" si="523"/>
        <v>427.7</v>
      </c>
      <c r="BE268" s="773">
        <f t="shared" si="524"/>
        <v>49</v>
      </c>
      <c r="BF268" s="716">
        <f t="shared" si="524"/>
        <v>106</v>
      </c>
      <c r="BG268" s="705">
        <f t="shared" si="525"/>
        <v>116.3</v>
      </c>
      <c r="BH268" s="773">
        <v>262</v>
      </c>
      <c r="BI268" s="716">
        <v>1230</v>
      </c>
      <c r="BJ268" s="709">
        <f t="shared" si="526"/>
        <v>369.5</v>
      </c>
      <c r="BK268" s="773">
        <f t="shared" si="527"/>
        <v>81</v>
      </c>
      <c r="BL268" s="716">
        <f t="shared" si="527"/>
        <v>125</v>
      </c>
      <c r="BM268" s="705">
        <f t="shared" si="528"/>
        <v>54.3</v>
      </c>
      <c r="BN268" s="773">
        <v>343</v>
      </c>
      <c r="BO268" s="716">
        <v>1355</v>
      </c>
      <c r="BP268" s="709">
        <f t="shared" si="529"/>
        <v>295</v>
      </c>
      <c r="BQ268" s="773">
        <f t="shared" si="530"/>
        <v>83</v>
      </c>
      <c r="BR268" s="716">
        <f t="shared" si="530"/>
        <v>151</v>
      </c>
      <c r="BS268" s="705">
        <f t="shared" si="531"/>
        <v>81.900000000000006</v>
      </c>
      <c r="BT268" s="773">
        <v>426</v>
      </c>
      <c r="BU268" s="716">
        <v>1506</v>
      </c>
      <c r="BV268" s="709">
        <f t="shared" si="532"/>
        <v>253.5</v>
      </c>
    </row>
    <row r="269" spans="1:74">
      <c r="A269" s="96"/>
      <c r="B269" s="4"/>
      <c r="C269" s="105" t="s">
        <v>106</v>
      </c>
      <c r="D269" s="98">
        <v>925</v>
      </c>
      <c r="E269" s="98">
        <v>837</v>
      </c>
      <c r="F269" s="98">
        <v>1070</v>
      </c>
      <c r="G269" s="98">
        <v>781</v>
      </c>
      <c r="H269" s="98">
        <v>1028</v>
      </c>
      <c r="I269" s="98">
        <v>855</v>
      </c>
      <c r="J269" s="106">
        <v>586</v>
      </c>
      <c r="K269" s="98">
        <v>490</v>
      </c>
      <c r="L269" s="417">
        <v>43</v>
      </c>
      <c r="M269" s="386">
        <v>15</v>
      </c>
      <c r="N269" s="265">
        <f t="shared" si="498"/>
        <v>-65.099999999999994</v>
      </c>
      <c r="O269" s="417">
        <f t="shared" si="499"/>
        <v>42</v>
      </c>
      <c r="P269" s="386">
        <f t="shared" si="499"/>
        <v>0</v>
      </c>
      <c r="Q269" s="265">
        <f>ROUND(((P269/O269-1)*100), 1)</f>
        <v>-100</v>
      </c>
      <c r="R269" s="417">
        <v>85</v>
      </c>
      <c r="S269" s="386">
        <v>15</v>
      </c>
      <c r="T269" s="265">
        <f>ROUND(((S269/R269-1)*100), 1)</f>
        <v>-82.4</v>
      </c>
      <c r="U269" s="417">
        <f t="shared" si="502"/>
        <v>30</v>
      </c>
      <c r="V269" s="386">
        <f t="shared" si="503"/>
        <v>29</v>
      </c>
      <c r="W269" s="265">
        <f>ROUND(((V269/U269-1)*100), 1)</f>
        <v>-3.3</v>
      </c>
      <c r="X269" s="417">
        <v>115</v>
      </c>
      <c r="Y269" s="386">
        <v>44</v>
      </c>
      <c r="Z269" s="265">
        <f>ROUND(((Y269/X269-1)*100), 1)</f>
        <v>-61.7</v>
      </c>
      <c r="AA269" s="417">
        <f t="shared" si="506"/>
        <v>42</v>
      </c>
      <c r="AB269" s="386">
        <f t="shared" si="507"/>
        <v>27</v>
      </c>
      <c r="AC269" s="265">
        <f>ROUND(((AB269/AA269-1)*100), 1)</f>
        <v>-35.700000000000003</v>
      </c>
      <c r="AD269" s="417">
        <v>157</v>
      </c>
      <c r="AE269" s="386">
        <v>71</v>
      </c>
      <c r="AF269" s="265">
        <f>ROUND(((AE269/AD269-1)*100), 1)</f>
        <v>-54.8</v>
      </c>
      <c r="AG269" s="417">
        <f t="shared" si="510"/>
        <v>71</v>
      </c>
      <c r="AH269" s="386">
        <f t="shared" si="510"/>
        <v>0</v>
      </c>
      <c r="AI269" s="265">
        <f t="shared" si="511"/>
        <v>-100</v>
      </c>
      <c r="AJ269" s="417">
        <v>228</v>
      </c>
      <c r="AK269" s="386">
        <v>71</v>
      </c>
      <c r="AL269" s="265">
        <f t="shared" si="512"/>
        <v>-68.900000000000006</v>
      </c>
      <c r="AM269" s="722">
        <f t="shared" si="513"/>
        <v>28</v>
      </c>
      <c r="AN269" s="714">
        <f t="shared" si="514"/>
        <v>0</v>
      </c>
      <c r="AO269" s="705">
        <f t="shared" ref="AO269:AO273" si="533">ROUND(((AN269/AM269-1)*100), 1)</f>
        <v>-100</v>
      </c>
      <c r="AP269" s="770">
        <v>256</v>
      </c>
      <c r="AQ269" s="714">
        <v>71</v>
      </c>
      <c r="AR269" s="705">
        <f t="shared" si="516"/>
        <v>-72.3</v>
      </c>
      <c r="AS269" s="770">
        <f t="shared" si="517"/>
        <v>31</v>
      </c>
      <c r="AT269" s="714">
        <f t="shared" si="517"/>
        <v>1</v>
      </c>
      <c r="AU269" s="705">
        <f t="shared" si="518"/>
        <v>-96.8</v>
      </c>
      <c r="AV269" s="992">
        <v>287</v>
      </c>
      <c r="AW269" s="990">
        <v>72</v>
      </c>
      <c r="AX269" s="705">
        <f t="shared" si="519"/>
        <v>-74.900000000000006</v>
      </c>
      <c r="AY269" s="770">
        <f t="shared" si="520"/>
        <v>29</v>
      </c>
      <c r="AZ269" s="714">
        <f t="shared" si="521"/>
        <v>0</v>
      </c>
      <c r="BA269" s="705">
        <f t="shared" ref="BA269:BA273" si="534">ROUND(((AZ269/AY269-1)*100), 1)</f>
        <v>-100</v>
      </c>
      <c r="BB269" s="770">
        <v>316</v>
      </c>
      <c r="BC269" s="714">
        <v>72</v>
      </c>
      <c r="BD269" s="705">
        <f t="shared" si="523"/>
        <v>-77.2</v>
      </c>
      <c r="BE269" s="770">
        <f t="shared" si="524"/>
        <v>44</v>
      </c>
      <c r="BF269" s="714">
        <f t="shared" si="524"/>
        <v>1</v>
      </c>
      <c r="BG269" s="705">
        <f t="shared" si="525"/>
        <v>-97.7</v>
      </c>
      <c r="BH269" s="770">
        <v>360</v>
      </c>
      <c r="BI269" s="714">
        <v>73</v>
      </c>
      <c r="BJ269" s="705">
        <f t="shared" si="526"/>
        <v>-79.7</v>
      </c>
      <c r="BK269" s="770">
        <f t="shared" si="527"/>
        <v>43</v>
      </c>
      <c r="BL269" s="714">
        <f t="shared" si="527"/>
        <v>0</v>
      </c>
      <c r="BM269" s="705">
        <f t="shared" si="528"/>
        <v>-100</v>
      </c>
      <c r="BN269" s="770">
        <v>403</v>
      </c>
      <c r="BO269" s="714">
        <v>73</v>
      </c>
      <c r="BP269" s="705">
        <f t="shared" si="529"/>
        <v>-81.900000000000006</v>
      </c>
      <c r="BQ269" s="770">
        <f t="shared" si="530"/>
        <v>42</v>
      </c>
      <c r="BR269" s="714">
        <f t="shared" si="530"/>
        <v>0</v>
      </c>
      <c r="BS269" s="705">
        <f t="shared" si="531"/>
        <v>-100</v>
      </c>
      <c r="BT269" s="770">
        <v>445</v>
      </c>
      <c r="BU269" s="714">
        <v>73</v>
      </c>
      <c r="BV269" s="705">
        <f t="shared" si="532"/>
        <v>-83.6</v>
      </c>
    </row>
    <row r="270" spans="1:74">
      <c r="A270" s="96"/>
      <c r="B270" s="4"/>
      <c r="C270" s="105" t="s">
        <v>111</v>
      </c>
      <c r="D270" s="98">
        <v>1945</v>
      </c>
      <c r="E270" s="98">
        <v>1952</v>
      </c>
      <c r="F270" s="98">
        <v>1799</v>
      </c>
      <c r="G270" s="98">
        <v>1135</v>
      </c>
      <c r="H270" s="98">
        <v>686</v>
      </c>
      <c r="I270" s="98">
        <v>336</v>
      </c>
      <c r="J270" s="106">
        <v>617</v>
      </c>
      <c r="K270" s="98">
        <v>487</v>
      </c>
      <c r="L270" s="417">
        <v>57</v>
      </c>
      <c r="M270" s="386">
        <v>27</v>
      </c>
      <c r="N270" s="265">
        <f t="shared" si="498"/>
        <v>-52.6</v>
      </c>
      <c r="O270" s="417">
        <f t="shared" si="499"/>
        <v>34</v>
      </c>
      <c r="P270" s="386">
        <f t="shared" si="499"/>
        <v>40</v>
      </c>
      <c r="Q270" s="265">
        <f>ROUND(((P270/O270-1)*100), 1)</f>
        <v>17.600000000000001</v>
      </c>
      <c r="R270" s="417">
        <v>91</v>
      </c>
      <c r="S270" s="386">
        <v>67</v>
      </c>
      <c r="T270" s="265">
        <f>ROUND(((S270/R270-1)*100), 1)</f>
        <v>-26.4</v>
      </c>
      <c r="U270" s="417">
        <f t="shared" si="502"/>
        <v>9</v>
      </c>
      <c r="V270" s="386">
        <f t="shared" si="503"/>
        <v>50</v>
      </c>
      <c r="W270" s="265">
        <f>ROUND(((V270/U270-1)*100), 1)</f>
        <v>455.6</v>
      </c>
      <c r="X270" s="417">
        <v>100</v>
      </c>
      <c r="Y270" s="386">
        <v>117</v>
      </c>
      <c r="Z270" s="265">
        <f>ROUND(((Y270/X270-1)*100), 1)</f>
        <v>17</v>
      </c>
      <c r="AA270" s="417">
        <f t="shared" si="506"/>
        <v>35</v>
      </c>
      <c r="AB270" s="386">
        <f t="shared" si="507"/>
        <v>62</v>
      </c>
      <c r="AC270" s="265">
        <f>ROUND(((AB270/AA270-1)*100), 1)</f>
        <v>77.099999999999994</v>
      </c>
      <c r="AD270" s="417">
        <v>135</v>
      </c>
      <c r="AE270" s="386">
        <v>179</v>
      </c>
      <c r="AF270" s="265">
        <f>ROUND(((AE270/AD270-1)*100), 1)</f>
        <v>32.6</v>
      </c>
      <c r="AG270" s="417">
        <f t="shared" si="510"/>
        <v>44</v>
      </c>
      <c r="AH270" s="386">
        <f t="shared" si="510"/>
        <v>34</v>
      </c>
      <c r="AI270" s="265">
        <f t="shared" si="511"/>
        <v>-22.7</v>
      </c>
      <c r="AJ270" s="417">
        <v>179</v>
      </c>
      <c r="AK270" s="386">
        <v>213</v>
      </c>
      <c r="AL270" s="265">
        <f t="shared" si="512"/>
        <v>19</v>
      </c>
      <c r="AM270" s="722">
        <f t="shared" si="513"/>
        <v>28</v>
      </c>
      <c r="AN270" s="714">
        <f t="shared" si="514"/>
        <v>24</v>
      </c>
      <c r="AO270" s="705">
        <f t="shared" si="533"/>
        <v>-14.3</v>
      </c>
      <c r="AP270" s="770">
        <v>207</v>
      </c>
      <c r="AQ270" s="714">
        <v>237</v>
      </c>
      <c r="AR270" s="705">
        <f t="shared" si="516"/>
        <v>14.5</v>
      </c>
      <c r="AS270" s="770">
        <f t="shared" si="517"/>
        <v>45</v>
      </c>
      <c r="AT270" s="714">
        <f t="shared" si="517"/>
        <v>50</v>
      </c>
      <c r="AU270" s="705">
        <f t="shared" si="518"/>
        <v>11.1</v>
      </c>
      <c r="AV270" s="992">
        <v>252</v>
      </c>
      <c r="AW270" s="990">
        <v>287</v>
      </c>
      <c r="AX270" s="705">
        <f t="shared" si="519"/>
        <v>13.9</v>
      </c>
      <c r="AY270" s="770">
        <f t="shared" si="520"/>
        <v>49</v>
      </c>
      <c r="AZ270" s="714">
        <f t="shared" si="521"/>
        <v>16</v>
      </c>
      <c r="BA270" s="705">
        <f t="shared" si="534"/>
        <v>-67.3</v>
      </c>
      <c r="BB270" s="770">
        <v>301</v>
      </c>
      <c r="BC270" s="714">
        <v>303</v>
      </c>
      <c r="BD270" s="705">
        <f t="shared" si="523"/>
        <v>0.7</v>
      </c>
      <c r="BE270" s="770">
        <f t="shared" si="524"/>
        <v>41</v>
      </c>
      <c r="BF270" s="714">
        <f t="shared" si="524"/>
        <v>51</v>
      </c>
      <c r="BG270" s="705">
        <f t="shared" si="525"/>
        <v>24.4</v>
      </c>
      <c r="BH270" s="770">
        <v>342</v>
      </c>
      <c r="BI270" s="714">
        <v>354</v>
      </c>
      <c r="BJ270" s="705">
        <f t="shared" si="526"/>
        <v>3.5</v>
      </c>
      <c r="BK270" s="770">
        <f t="shared" si="527"/>
        <v>41</v>
      </c>
      <c r="BL270" s="714">
        <f t="shared" si="527"/>
        <v>66</v>
      </c>
      <c r="BM270" s="705">
        <f t="shared" si="528"/>
        <v>61</v>
      </c>
      <c r="BN270" s="770">
        <v>383</v>
      </c>
      <c r="BO270" s="714">
        <v>420</v>
      </c>
      <c r="BP270" s="705">
        <f t="shared" si="529"/>
        <v>9.6999999999999993</v>
      </c>
      <c r="BQ270" s="770">
        <f t="shared" si="530"/>
        <v>58</v>
      </c>
      <c r="BR270" s="714">
        <f t="shared" si="530"/>
        <v>38</v>
      </c>
      <c r="BS270" s="705">
        <f t="shared" si="531"/>
        <v>-34.5</v>
      </c>
      <c r="BT270" s="770">
        <v>441</v>
      </c>
      <c r="BU270" s="714">
        <v>458</v>
      </c>
      <c r="BV270" s="705">
        <f t="shared" si="532"/>
        <v>3.9</v>
      </c>
    </row>
    <row r="271" spans="1:74" s="291" customFormat="1">
      <c r="A271" s="434"/>
      <c r="B271" s="433"/>
      <c r="C271" s="105" t="s">
        <v>466</v>
      </c>
      <c r="D271" s="98">
        <v>0</v>
      </c>
      <c r="E271" s="98">
        <v>0</v>
      </c>
      <c r="F271" s="98">
        <v>0</v>
      </c>
      <c r="G271" s="98">
        <v>14</v>
      </c>
      <c r="H271" s="98">
        <v>0</v>
      </c>
      <c r="I271" s="98">
        <v>0</v>
      </c>
      <c r="J271" s="106">
        <v>0</v>
      </c>
      <c r="K271" s="98">
        <v>464</v>
      </c>
      <c r="L271" s="417">
        <v>0</v>
      </c>
      <c r="M271" s="386">
        <v>0</v>
      </c>
      <c r="N271" s="179">
        <v>0</v>
      </c>
      <c r="O271" s="417">
        <f t="shared" si="499"/>
        <v>0</v>
      </c>
      <c r="P271" s="386">
        <f t="shared" si="499"/>
        <v>0</v>
      </c>
      <c r="Q271" s="179">
        <v>0</v>
      </c>
      <c r="R271" s="417">
        <v>0</v>
      </c>
      <c r="S271" s="386">
        <v>0</v>
      </c>
      <c r="T271" s="179">
        <v>0</v>
      </c>
      <c r="U271" s="417">
        <f t="shared" si="502"/>
        <v>0</v>
      </c>
      <c r="V271" s="386">
        <f t="shared" si="503"/>
        <v>4</v>
      </c>
      <c r="W271" s="179">
        <v>0</v>
      </c>
      <c r="X271" s="417">
        <v>0</v>
      </c>
      <c r="Y271" s="386">
        <v>4</v>
      </c>
      <c r="Z271" s="179">
        <v>0</v>
      </c>
      <c r="AA271" s="417">
        <f t="shared" si="506"/>
        <v>0</v>
      </c>
      <c r="AB271" s="386">
        <f t="shared" si="507"/>
        <v>5</v>
      </c>
      <c r="AC271" s="523">
        <v>0</v>
      </c>
      <c r="AD271" s="417">
        <v>0</v>
      </c>
      <c r="AE271" s="386">
        <v>9</v>
      </c>
      <c r="AF271" s="523">
        <v>0</v>
      </c>
      <c r="AG271" s="417">
        <f t="shared" si="510"/>
        <v>88</v>
      </c>
      <c r="AH271" s="386">
        <f t="shared" si="510"/>
        <v>0</v>
      </c>
      <c r="AI271" s="265">
        <f t="shared" si="511"/>
        <v>-100</v>
      </c>
      <c r="AJ271" s="417">
        <v>88</v>
      </c>
      <c r="AK271" s="386">
        <v>9</v>
      </c>
      <c r="AL271" s="265">
        <f t="shared" si="512"/>
        <v>-89.8</v>
      </c>
      <c r="AM271" s="722">
        <f t="shared" si="513"/>
        <v>95</v>
      </c>
      <c r="AN271" s="714">
        <f t="shared" si="514"/>
        <v>0</v>
      </c>
      <c r="AO271" s="705">
        <f t="shared" si="533"/>
        <v>-100</v>
      </c>
      <c r="AP271" s="770">
        <v>183</v>
      </c>
      <c r="AQ271" s="714">
        <v>9</v>
      </c>
      <c r="AR271" s="705">
        <f t="shared" si="516"/>
        <v>-95.1</v>
      </c>
      <c r="AS271" s="770">
        <f t="shared" si="517"/>
        <v>155</v>
      </c>
      <c r="AT271" s="714">
        <f t="shared" si="517"/>
        <v>0</v>
      </c>
      <c r="AU271" s="705">
        <f t="shared" si="518"/>
        <v>-100</v>
      </c>
      <c r="AV271" s="992">
        <v>338</v>
      </c>
      <c r="AW271" s="990">
        <v>9</v>
      </c>
      <c r="AX271" s="705">
        <f t="shared" si="519"/>
        <v>-97.3</v>
      </c>
      <c r="AY271" s="770">
        <f t="shared" si="520"/>
        <v>106</v>
      </c>
      <c r="AZ271" s="714">
        <f t="shared" si="521"/>
        <v>0</v>
      </c>
      <c r="BA271" s="705">
        <f t="shared" si="534"/>
        <v>-100</v>
      </c>
      <c r="BB271" s="770">
        <v>444</v>
      </c>
      <c r="BC271" s="714">
        <v>9</v>
      </c>
      <c r="BD271" s="705">
        <f t="shared" si="523"/>
        <v>-98</v>
      </c>
      <c r="BE271" s="770">
        <f t="shared" si="524"/>
        <v>0</v>
      </c>
      <c r="BF271" s="714">
        <f t="shared" si="524"/>
        <v>0</v>
      </c>
      <c r="BG271" s="737">
        <v>0</v>
      </c>
      <c r="BH271" s="770">
        <v>444</v>
      </c>
      <c r="BI271" s="714">
        <v>9</v>
      </c>
      <c r="BJ271" s="705">
        <f t="shared" si="526"/>
        <v>-98</v>
      </c>
      <c r="BK271" s="770">
        <f t="shared" si="527"/>
        <v>20</v>
      </c>
      <c r="BL271" s="714">
        <f t="shared" si="527"/>
        <v>0</v>
      </c>
      <c r="BM271" s="753">
        <f>ROUND(((BL271/BK271-1)*100), 1)</f>
        <v>-100</v>
      </c>
      <c r="BN271" s="770">
        <v>464</v>
      </c>
      <c r="BO271" s="714">
        <v>9</v>
      </c>
      <c r="BP271" s="705">
        <f t="shared" si="529"/>
        <v>-98.1</v>
      </c>
      <c r="BQ271" s="770">
        <f t="shared" si="530"/>
        <v>0</v>
      </c>
      <c r="BR271" s="714">
        <f t="shared" si="530"/>
        <v>0</v>
      </c>
      <c r="BS271" s="751">
        <v>0</v>
      </c>
      <c r="BT271" s="770">
        <v>464</v>
      </c>
      <c r="BU271" s="714">
        <v>9</v>
      </c>
      <c r="BV271" s="705">
        <f t="shared" si="532"/>
        <v>-98.1</v>
      </c>
    </row>
    <row r="272" spans="1:74">
      <c r="A272" s="96"/>
      <c r="B272" s="4"/>
      <c r="C272" s="105" t="s">
        <v>125</v>
      </c>
      <c r="D272" s="98">
        <v>22</v>
      </c>
      <c r="E272" s="98">
        <v>474</v>
      </c>
      <c r="F272" s="98">
        <v>1010</v>
      </c>
      <c r="G272" s="98">
        <v>1375</v>
      </c>
      <c r="H272" s="98">
        <v>1242</v>
      </c>
      <c r="I272" s="98">
        <v>1246</v>
      </c>
      <c r="J272" s="106">
        <v>588</v>
      </c>
      <c r="K272" s="98">
        <v>443</v>
      </c>
      <c r="L272" s="417">
        <v>32</v>
      </c>
      <c r="M272" s="386">
        <v>0</v>
      </c>
      <c r="N272" s="265">
        <f t="shared" si="498"/>
        <v>-100</v>
      </c>
      <c r="O272" s="417">
        <f t="shared" si="499"/>
        <v>33</v>
      </c>
      <c r="P272" s="386">
        <f t="shared" si="499"/>
        <v>0</v>
      </c>
      <c r="Q272" s="265">
        <f>ROUND(((P272/O272-1)*100), 1)</f>
        <v>-100</v>
      </c>
      <c r="R272" s="417">
        <v>65</v>
      </c>
      <c r="S272" s="386">
        <v>0</v>
      </c>
      <c r="T272" s="265">
        <f>ROUND(((S272/R272-1)*100), 1)</f>
        <v>-100</v>
      </c>
      <c r="U272" s="417">
        <f t="shared" si="502"/>
        <v>73</v>
      </c>
      <c r="V272" s="386">
        <f t="shared" si="503"/>
        <v>32</v>
      </c>
      <c r="W272" s="265">
        <f>ROUND(((V272/U272-1)*100), 1)</f>
        <v>-56.2</v>
      </c>
      <c r="X272" s="417">
        <v>138</v>
      </c>
      <c r="Y272" s="386">
        <v>32</v>
      </c>
      <c r="Z272" s="265">
        <f>ROUND(((Y272/X272-1)*100), 1)</f>
        <v>-76.8</v>
      </c>
      <c r="AA272" s="417">
        <f t="shared" si="506"/>
        <v>31</v>
      </c>
      <c r="AB272" s="386">
        <f t="shared" si="507"/>
        <v>53</v>
      </c>
      <c r="AC272" s="265">
        <f>ROUND(((AB272/AA272-1)*100), 1)</f>
        <v>71</v>
      </c>
      <c r="AD272" s="417">
        <v>169</v>
      </c>
      <c r="AE272" s="386">
        <v>85</v>
      </c>
      <c r="AF272" s="265">
        <f>ROUND(((AE272/AD272-1)*100), 1)</f>
        <v>-49.7</v>
      </c>
      <c r="AG272" s="417">
        <f t="shared" si="510"/>
        <v>88</v>
      </c>
      <c r="AH272" s="386">
        <f t="shared" si="510"/>
        <v>0</v>
      </c>
      <c r="AI272" s="265">
        <f t="shared" si="511"/>
        <v>-100</v>
      </c>
      <c r="AJ272" s="417">
        <v>257</v>
      </c>
      <c r="AK272" s="386">
        <v>85</v>
      </c>
      <c r="AL272" s="265">
        <f t="shared" si="512"/>
        <v>-66.900000000000006</v>
      </c>
      <c r="AM272" s="722">
        <f t="shared" si="513"/>
        <v>2</v>
      </c>
      <c r="AN272" s="714">
        <f t="shared" si="514"/>
        <v>102</v>
      </c>
      <c r="AO272" s="705">
        <f t="shared" si="533"/>
        <v>5000</v>
      </c>
      <c r="AP272" s="770">
        <v>259</v>
      </c>
      <c r="AQ272" s="714">
        <v>187</v>
      </c>
      <c r="AR272" s="705">
        <f t="shared" si="516"/>
        <v>-27.8</v>
      </c>
      <c r="AS272" s="770">
        <f t="shared" si="517"/>
        <v>45</v>
      </c>
      <c r="AT272" s="714">
        <f t="shared" si="517"/>
        <v>33</v>
      </c>
      <c r="AU272" s="705">
        <f t="shared" si="518"/>
        <v>-26.7</v>
      </c>
      <c r="AV272" s="992">
        <v>304</v>
      </c>
      <c r="AW272" s="990">
        <v>220</v>
      </c>
      <c r="AX272" s="705">
        <f t="shared" si="519"/>
        <v>-27.6</v>
      </c>
      <c r="AY272" s="770">
        <f t="shared" si="520"/>
        <v>37</v>
      </c>
      <c r="AZ272" s="714">
        <f t="shared" si="521"/>
        <v>114</v>
      </c>
      <c r="BA272" s="705">
        <f t="shared" si="534"/>
        <v>208.1</v>
      </c>
      <c r="BB272" s="770">
        <v>341</v>
      </c>
      <c r="BC272" s="714">
        <v>334</v>
      </c>
      <c r="BD272" s="705">
        <f t="shared" si="523"/>
        <v>-2.1</v>
      </c>
      <c r="BE272" s="770">
        <f t="shared" si="524"/>
        <v>0</v>
      </c>
      <c r="BF272" s="714">
        <f t="shared" si="524"/>
        <v>60</v>
      </c>
      <c r="BG272" s="737">
        <v>0</v>
      </c>
      <c r="BH272" s="689">
        <v>341</v>
      </c>
      <c r="BI272" s="770">
        <v>394</v>
      </c>
      <c r="BJ272" s="705">
        <f t="shared" si="526"/>
        <v>15.5</v>
      </c>
      <c r="BK272" s="770">
        <f t="shared" si="527"/>
        <v>63</v>
      </c>
      <c r="BL272" s="714">
        <f t="shared" si="527"/>
        <v>1</v>
      </c>
      <c r="BM272" s="753">
        <f>ROUND(((BL272/BK272-1)*100), 1)</f>
        <v>-98.4</v>
      </c>
      <c r="BN272" s="689">
        <v>404</v>
      </c>
      <c r="BO272" s="770">
        <v>395</v>
      </c>
      <c r="BP272" s="705">
        <f t="shared" si="529"/>
        <v>-2.2000000000000002</v>
      </c>
      <c r="BQ272" s="770">
        <f t="shared" si="530"/>
        <v>34</v>
      </c>
      <c r="BR272" s="714">
        <f t="shared" si="530"/>
        <v>0</v>
      </c>
      <c r="BS272" s="753">
        <f>ROUND(((BR272/BQ272-1)*100), 1)</f>
        <v>-100</v>
      </c>
      <c r="BT272" s="689">
        <v>438</v>
      </c>
      <c r="BU272" s="770">
        <v>395</v>
      </c>
      <c r="BV272" s="705">
        <f t="shared" si="532"/>
        <v>-9.8000000000000007</v>
      </c>
    </row>
    <row r="273" spans="1:74">
      <c r="A273" s="96"/>
      <c r="B273" s="4"/>
      <c r="C273" s="105" t="s">
        <v>133</v>
      </c>
      <c r="D273" s="98">
        <v>759</v>
      </c>
      <c r="E273" s="98">
        <v>607</v>
      </c>
      <c r="F273" s="98">
        <v>719</v>
      </c>
      <c r="G273" s="98">
        <v>1120</v>
      </c>
      <c r="H273" s="98">
        <v>725</v>
      </c>
      <c r="I273" s="98">
        <v>394</v>
      </c>
      <c r="J273" s="106">
        <v>330</v>
      </c>
      <c r="K273" s="98">
        <v>260</v>
      </c>
      <c r="L273" s="417">
        <v>20</v>
      </c>
      <c r="M273" s="386">
        <v>19</v>
      </c>
      <c r="N273" s="265">
        <f t="shared" si="498"/>
        <v>-5</v>
      </c>
      <c r="O273" s="417">
        <f t="shared" si="499"/>
        <v>1</v>
      </c>
      <c r="P273" s="386">
        <f t="shared" si="499"/>
        <v>10</v>
      </c>
      <c r="Q273" s="265">
        <f>ROUND(((P273/O273-1)*100), 1)</f>
        <v>900</v>
      </c>
      <c r="R273" s="417">
        <v>21</v>
      </c>
      <c r="S273" s="386">
        <v>29</v>
      </c>
      <c r="T273" s="265">
        <f>ROUND(((S273/R273-1)*100), 1)</f>
        <v>38.1</v>
      </c>
      <c r="U273" s="417">
        <f t="shared" si="502"/>
        <v>6</v>
      </c>
      <c r="V273" s="386">
        <f t="shared" si="503"/>
        <v>7</v>
      </c>
      <c r="W273" s="265">
        <f>ROUND(((V273/U273-1)*100), 1)</f>
        <v>16.7</v>
      </c>
      <c r="X273" s="417">
        <v>27</v>
      </c>
      <c r="Y273" s="386">
        <v>36</v>
      </c>
      <c r="Z273" s="265">
        <f>ROUND(((Y273/X273-1)*100), 1)</f>
        <v>33.299999999999997</v>
      </c>
      <c r="AA273" s="417">
        <f t="shared" si="506"/>
        <v>2</v>
      </c>
      <c r="AB273" s="386">
        <f t="shared" si="507"/>
        <v>28</v>
      </c>
      <c r="AC273" s="265">
        <f>ROUND(((AB273/AA273-1)*100), 1)</f>
        <v>1300</v>
      </c>
      <c r="AD273" s="417">
        <v>29</v>
      </c>
      <c r="AE273" s="386">
        <v>64</v>
      </c>
      <c r="AF273" s="265">
        <f>ROUND(((AE273/AD273-1)*100), 1)</f>
        <v>120.7</v>
      </c>
      <c r="AG273" s="417">
        <f t="shared" si="510"/>
        <v>9</v>
      </c>
      <c r="AH273" s="386">
        <f t="shared" si="510"/>
        <v>16</v>
      </c>
      <c r="AI273" s="265">
        <f t="shared" si="511"/>
        <v>77.8</v>
      </c>
      <c r="AJ273" s="417">
        <v>38</v>
      </c>
      <c r="AK273" s="386">
        <v>80</v>
      </c>
      <c r="AL273" s="265">
        <f t="shared" si="512"/>
        <v>110.5</v>
      </c>
      <c r="AM273" s="722">
        <f t="shared" si="513"/>
        <v>1</v>
      </c>
      <c r="AN273" s="714">
        <f t="shared" si="514"/>
        <v>38</v>
      </c>
      <c r="AO273" s="705">
        <f t="shared" si="533"/>
        <v>3700</v>
      </c>
      <c r="AP273" s="770">
        <v>39</v>
      </c>
      <c r="AQ273" s="714">
        <v>118</v>
      </c>
      <c r="AR273" s="705">
        <f t="shared" si="516"/>
        <v>202.6</v>
      </c>
      <c r="AS273" s="770">
        <f t="shared" si="517"/>
        <v>20</v>
      </c>
      <c r="AT273" s="714">
        <f t="shared" si="517"/>
        <v>8</v>
      </c>
      <c r="AU273" s="705">
        <f t="shared" si="518"/>
        <v>-60</v>
      </c>
      <c r="AV273" s="992">
        <v>59</v>
      </c>
      <c r="AW273" s="990">
        <v>126</v>
      </c>
      <c r="AX273" s="705">
        <f t="shared" si="519"/>
        <v>113.6</v>
      </c>
      <c r="AY273" s="770">
        <f t="shared" si="520"/>
        <v>21</v>
      </c>
      <c r="AZ273" s="714">
        <f t="shared" si="521"/>
        <v>24</v>
      </c>
      <c r="BA273" s="705">
        <f t="shared" si="534"/>
        <v>14.3</v>
      </c>
      <c r="BB273" s="770">
        <v>80</v>
      </c>
      <c r="BC273" s="714">
        <v>150</v>
      </c>
      <c r="BD273" s="705">
        <f t="shared" si="523"/>
        <v>87.5</v>
      </c>
      <c r="BE273" s="770">
        <f t="shared" si="524"/>
        <v>79</v>
      </c>
      <c r="BF273" s="714">
        <f t="shared" si="524"/>
        <v>19</v>
      </c>
      <c r="BG273" s="705">
        <f t="shared" si="525"/>
        <v>-75.900000000000006</v>
      </c>
      <c r="BH273" s="689">
        <v>159</v>
      </c>
      <c r="BI273" s="770">
        <v>169</v>
      </c>
      <c r="BJ273" s="705">
        <f t="shared" si="526"/>
        <v>6.3</v>
      </c>
      <c r="BK273" s="770">
        <f t="shared" si="527"/>
        <v>37</v>
      </c>
      <c r="BL273" s="714">
        <f t="shared" si="527"/>
        <v>29</v>
      </c>
      <c r="BM273" s="705">
        <f t="shared" ref="BM273:BM282" si="535">ROUND(((BL273/BK273-1)*100), 1)</f>
        <v>-21.6</v>
      </c>
      <c r="BN273" s="689">
        <v>196</v>
      </c>
      <c r="BO273" s="770">
        <v>198</v>
      </c>
      <c r="BP273" s="705">
        <f t="shared" si="529"/>
        <v>1</v>
      </c>
      <c r="BQ273" s="770">
        <f t="shared" si="530"/>
        <v>26</v>
      </c>
      <c r="BR273" s="714">
        <f t="shared" si="530"/>
        <v>8</v>
      </c>
      <c r="BS273" s="705">
        <f t="shared" ref="BS273:BS290" si="536">ROUND(((BR273/BQ273-1)*100), 1)</f>
        <v>-69.2</v>
      </c>
      <c r="BT273" s="689">
        <v>222</v>
      </c>
      <c r="BU273" s="770">
        <v>206</v>
      </c>
      <c r="BV273" s="705">
        <f t="shared" si="532"/>
        <v>-7.2</v>
      </c>
    </row>
    <row r="274" spans="1:74" s="291" customFormat="1">
      <c r="A274" s="382"/>
      <c r="B274" s="381"/>
      <c r="C274" s="105" t="s">
        <v>102</v>
      </c>
      <c r="D274" s="98">
        <v>57</v>
      </c>
      <c r="E274" s="98">
        <v>94</v>
      </c>
      <c r="F274" s="98">
        <v>457</v>
      </c>
      <c r="G274" s="98">
        <v>553</v>
      </c>
      <c r="H274" s="98">
        <v>782</v>
      </c>
      <c r="I274" s="98">
        <v>803</v>
      </c>
      <c r="J274" s="106">
        <v>403</v>
      </c>
      <c r="K274" s="98">
        <v>72</v>
      </c>
      <c r="L274" s="417">
        <v>0</v>
      </c>
      <c r="M274" s="386">
        <v>0</v>
      </c>
      <c r="N274" s="179">
        <v>0</v>
      </c>
      <c r="O274" s="417">
        <f t="shared" si="499"/>
        <v>2</v>
      </c>
      <c r="P274" s="386">
        <f t="shared" si="499"/>
        <v>11</v>
      </c>
      <c r="Q274" s="265">
        <f>ROUND(((P274/O274-1)*100), 1)</f>
        <v>450</v>
      </c>
      <c r="R274" s="417">
        <v>2</v>
      </c>
      <c r="S274" s="386">
        <v>11</v>
      </c>
      <c r="T274" s="265">
        <f>ROUND(((S274/R274-1)*100), 1)</f>
        <v>450</v>
      </c>
      <c r="U274" s="417">
        <f t="shared" si="502"/>
        <v>15</v>
      </c>
      <c r="V274" s="386">
        <f t="shared" si="503"/>
        <v>0</v>
      </c>
      <c r="W274" s="265">
        <f>ROUND(((V274/U274-1)*100), 1)</f>
        <v>-100</v>
      </c>
      <c r="X274" s="417">
        <v>17</v>
      </c>
      <c r="Y274" s="386">
        <v>11</v>
      </c>
      <c r="Z274" s="265">
        <f>ROUND(((Y274/X274-1)*100), 1)</f>
        <v>-35.299999999999997</v>
      </c>
      <c r="AA274" s="417">
        <f t="shared" si="506"/>
        <v>25</v>
      </c>
      <c r="AB274" s="386">
        <f t="shared" si="507"/>
        <v>15</v>
      </c>
      <c r="AC274" s="265">
        <f>ROUND(((AB274/AA274-1)*100), 1)</f>
        <v>-40</v>
      </c>
      <c r="AD274" s="417">
        <v>42</v>
      </c>
      <c r="AE274" s="386">
        <v>26</v>
      </c>
      <c r="AF274" s="265">
        <f>ROUND(((AE274/AD274-1)*100), 1)</f>
        <v>-38.1</v>
      </c>
      <c r="AG274" s="417">
        <f t="shared" si="510"/>
        <v>0</v>
      </c>
      <c r="AH274" s="386">
        <f t="shared" si="510"/>
        <v>0</v>
      </c>
      <c r="AI274" s="529">
        <v>0</v>
      </c>
      <c r="AJ274" s="417">
        <v>42</v>
      </c>
      <c r="AK274" s="386">
        <v>26</v>
      </c>
      <c r="AL274" s="265">
        <f t="shared" si="512"/>
        <v>-38.1</v>
      </c>
      <c r="AM274" s="722">
        <f t="shared" si="513"/>
        <v>0</v>
      </c>
      <c r="AN274" s="714">
        <f t="shared" si="514"/>
        <v>0</v>
      </c>
      <c r="AO274" s="737">
        <v>0</v>
      </c>
      <c r="AP274" s="770">
        <v>42</v>
      </c>
      <c r="AQ274" s="714">
        <v>26</v>
      </c>
      <c r="AR274" s="705">
        <f t="shared" si="516"/>
        <v>-38.1</v>
      </c>
      <c r="AS274" s="770">
        <f t="shared" si="517"/>
        <v>0</v>
      </c>
      <c r="AT274" s="714">
        <f t="shared" si="517"/>
        <v>8</v>
      </c>
      <c r="AU274" s="737">
        <v>0</v>
      </c>
      <c r="AV274" s="992">
        <v>42</v>
      </c>
      <c r="AW274" s="990">
        <v>34</v>
      </c>
      <c r="AX274" s="705">
        <f t="shared" si="519"/>
        <v>-19</v>
      </c>
      <c r="AY274" s="770">
        <f t="shared" si="520"/>
        <v>0</v>
      </c>
      <c r="AZ274" s="714">
        <f t="shared" si="521"/>
        <v>30</v>
      </c>
      <c r="BA274" s="737">
        <v>0</v>
      </c>
      <c r="BB274" s="770">
        <v>42</v>
      </c>
      <c r="BC274" s="714">
        <v>64</v>
      </c>
      <c r="BD274" s="705">
        <f t="shared" si="523"/>
        <v>52.4</v>
      </c>
      <c r="BE274" s="770">
        <f t="shared" si="524"/>
        <v>15</v>
      </c>
      <c r="BF274" s="714">
        <f t="shared" si="524"/>
        <v>0</v>
      </c>
      <c r="BG274" s="705">
        <f t="shared" si="525"/>
        <v>-100</v>
      </c>
      <c r="BH274" s="689">
        <v>57</v>
      </c>
      <c r="BI274" s="770">
        <v>64</v>
      </c>
      <c r="BJ274" s="705">
        <f t="shared" si="526"/>
        <v>12.3</v>
      </c>
      <c r="BK274" s="770">
        <f t="shared" si="527"/>
        <v>15</v>
      </c>
      <c r="BL274" s="714">
        <f t="shared" si="527"/>
        <v>0</v>
      </c>
      <c r="BM274" s="705">
        <f t="shared" si="535"/>
        <v>-100</v>
      </c>
      <c r="BN274" s="689">
        <v>72</v>
      </c>
      <c r="BO274" s="770">
        <v>64</v>
      </c>
      <c r="BP274" s="705">
        <f t="shared" si="529"/>
        <v>-11.1</v>
      </c>
      <c r="BQ274" s="770">
        <f t="shared" si="530"/>
        <v>0</v>
      </c>
      <c r="BR274" s="714">
        <f t="shared" si="530"/>
        <v>0</v>
      </c>
      <c r="BS274" s="751">
        <v>0</v>
      </c>
      <c r="BT274" s="689">
        <v>72</v>
      </c>
      <c r="BU274" s="770">
        <v>64</v>
      </c>
      <c r="BV274" s="705">
        <f t="shared" si="532"/>
        <v>-11.1</v>
      </c>
    </row>
    <row r="275" spans="1:74">
      <c r="A275" s="96"/>
      <c r="B275" s="4"/>
      <c r="C275" s="105" t="s">
        <v>237</v>
      </c>
      <c r="D275" s="98">
        <v>854</v>
      </c>
      <c r="E275" s="98">
        <v>1210</v>
      </c>
      <c r="F275" s="98">
        <v>870</v>
      </c>
      <c r="G275" s="98">
        <v>652</v>
      </c>
      <c r="H275" s="98">
        <v>656</v>
      </c>
      <c r="I275" s="98">
        <v>224</v>
      </c>
      <c r="J275" s="106">
        <v>30</v>
      </c>
      <c r="K275" s="98">
        <v>52</v>
      </c>
      <c r="L275" s="417">
        <v>12</v>
      </c>
      <c r="M275" s="386">
        <v>3</v>
      </c>
      <c r="N275" s="179">
        <v>0</v>
      </c>
      <c r="O275" s="417">
        <f t="shared" si="499"/>
        <v>0</v>
      </c>
      <c r="P275" s="386">
        <f t="shared" si="499"/>
        <v>1</v>
      </c>
      <c r="Q275" s="179">
        <v>0</v>
      </c>
      <c r="R275" s="417">
        <v>12</v>
      </c>
      <c r="S275" s="386">
        <v>4</v>
      </c>
      <c r="T275" s="265">
        <f>ROUND(((S275/R275-1)*100), 1)</f>
        <v>-66.7</v>
      </c>
      <c r="U275" s="417">
        <f t="shared" si="502"/>
        <v>6</v>
      </c>
      <c r="V275" s="386">
        <f t="shared" si="503"/>
        <v>0</v>
      </c>
      <c r="W275" s="265">
        <f t="shared" ref="W275" si="537">ROUND(((V275/U275-1)*100), 1)</f>
        <v>-100</v>
      </c>
      <c r="X275" s="417">
        <v>18</v>
      </c>
      <c r="Y275" s="386">
        <v>4</v>
      </c>
      <c r="Z275" s="265">
        <f>ROUND(((Y275/X275-1)*100), 1)</f>
        <v>-77.8</v>
      </c>
      <c r="AA275" s="417">
        <f t="shared" si="506"/>
        <v>17</v>
      </c>
      <c r="AB275" s="386">
        <f t="shared" si="507"/>
        <v>0</v>
      </c>
      <c r="AC275" s="265">
        <f t="shared" ref="AC275:AC285" si="538">ROUND(((AB275/AA275-1)*100), 1)</f>
        <v>-100</v>
      </c>
      <c r="AD275" s="417">
        <v>35</v>
      </c>
      <c r="AE275" s="386">
        <v>4</v>
      </c>
      <c r="AF275" s="265">
        <f>ROUND(((AE275/AD275-1)*100), 1)</f>
        <v>-88.6</v>
      </c>
      <c r="AG275" s="417">
        <f t="shared" si="510"/>
        <v>5</v>
      </c>
      <c r="AH275" s="386">
        <f t="shared" si="510"/>
        <v>0</v>
      </c>
      <c r="AI275" s="265">
        <f t="shared" si="511"/>
        <v>-100</v>
      </c>
      <c r="AJ275" s="417">
        <v>40</v>
      </c>
      <c r="AK275" s="386">
        <v>4</v>
      </c>
      <c r="AL275" s="265">
        <f t="shared" si="512"/>
        <v>-90</v>
      </c>
      <c r="AM275" s="722">
        <f t="shared" si="513"/>
        <v>0</v>
      </c>
      <c r="AN275" s="714">
        <f t="shared" si="514"/>
        <v>3</v>
      </c>
      <c r="AO275" s="737">
        <v>0</v>
      </c>
      <c r="AP275" s="770">
        <v>40</v>
      </c>
      <c r="AQ275" s="714">
        <v>7</v>
      </c>
      <c r="AR275" s="705">
        <f t="shared" si="516"/>
        <v>-82.5</v>
      </c>
      <c r="AS275" s="770">
        <f t="shared" si="517"/>
        <v>0</v>
      </c>
      <c r="AT275" s="714">
        <f t="shared" si="517"/>
        <v>2</v>
      </c>
      <c r="AU275" s="737">
        <v>0</v>
      </c>
      <c r="AV275" s="992">
        <v>40</v>
      </c>
      <c r="AW275" s="990">
        <v>9</v>
      </c>
      <c r="AX275" s="705">
        <f t="shared" si="519"/>
        <v>-77.5</v>
      </c>
      <c r="AY275" s="770">
        <f t="shared" si="520"/>
        <v>0</v>
      </c>
      <c r="AZ275" s="714">
        <f t="shared" si="521"/>
        <v>7</v>
      </c>
      <c r="BA275" s="737">
        <v>0</v>
      </c>
      <c r="BB275" s="770">
        <v>40</v>
      </c>
      <c r="BC275" s="714">
        <v>16</v>
      </c>
      <c r="BD275" s="705">
        <f t="shared" si="523"/>
        <v>-60</v>
      </c>
      <c r="BE275" s="770">
        <f t="shared" si="524"/>
        <v>6</v>
      </c>
      <c r="BF275" s="714">
        <f t="shared" si="524"/>
        <v>0</v>
      </c>
      <c r="BG275" s="705">
        <f t="shared" si="525"/>
        <v>-100</v>
      </c>
      <c r="BH275" s="689">
        <v>46</v>
      </c>
      <c r="BI275" s="770">
        <v>16</v>
      </c>
      <c r="BJ275" s="705">
        <f t="shared" si="526"/>
        <v>-65.2</v>
      </c>
      <c r="BK275" s="770">
        <f t="shared" si="527"/>
        <v>3</v>
      </c>
      <c r="BL275" s="714">
        <f t="shared" si="527"/>
        <v>1</v>
      </c>
      <c r="BM275" s="705">
        <f t="shared" si="535"/>
        <v>-66.7</v>
      </c>
      <c r="BN275" s="689">
        <v>49</v>
      </c>
      <c r="BO275" s="770">
        <v>17</v>
      </c>
      <c r="BP275" s="705">
        <f t="shared" si="529"/>
        <v>-65.3</v>
      </c>
      <c r="BQ275" s="770">
        <f t="shared" si="530"/>
        <v>0</v>
      </c>
      <c r="BR275" s="714">
        <f t="shared" si="530"/>
        <v>5</v>
      </c>
      <c r="BS275" s="751">
        <v>0</v>
      </c>
      <c r="BT275" s="689">
        <v>49</v>
      </c>
      <c r="BU275" s="770">
        <v>22</v>
      </c>
      <c r="BV275" s="705">
        <f t="shared" si="532"/>
        <v>-55.1</v>
      </c>
    </row>
    <row r="276" spans="1:74">
      <c r="A276" s="96"/>
      <c r="B276" s="4"/>
      <c r="C276" s="105" t="s">
        <v>82</v>
      </c>
      <c r="D276" s="98">
        <f t="shared" ref="D276:M276" si="539">D277-SUM(D255:D275)</f>
        <v>9784</v>
      </c>
      <c r="E276" s="98">
        <f t="shared" si="539"/>
        <v>8710</v>
      </c>
      <c r="F276" s="98">
        <f t="shared" si="539"/>
        <v>5793</v>
      </c>
      <c r="G276" s="98">
        <f t="shared" si="539"/>
        <v>5264</v>
      </c>
      <c r="H276" s="98">
        <f t="shared" si="539"/>
        <v>5787</v>
      </c>
      <c r="I276" s="98">
        <f t="shared" si="539"/>
        <v>4273</v>
      </c>
      <c r="J276" s="106">
        <f t="shared" si="539"/>
        <v>1149</v>
      </c>
      <c r="K276" s="98">
        <f t="shared" si="539"/>
        <v>705</v>
      </c>
      <c r="L276" s="417">
        <f t="shared" si="539"/>
        <v>84</v>
      </c>
      <c r="M276" s="386">
        <f t="shared" si="539"/>
        <v>73</v>
      </c>
      <c r="N276" s="265">
        <f t="shared" si="498"/>
        <v>-13.1</v>
      </c>
      <c r="O276" s="417">
        <f>O277-SUM(O255:O275)</f>
        <v>57</v>
      </c>
      <c r="P276" s="386">
        <f>P277-SUM(P255:P275)</f>
        <v>64</v>
      </c>
      <c r="Q276" s="265">
        <f t="shared" ref="Q276:Q289" si="540">ROUND(((P276/O276-1)*100), 1)</f>
        <v>12.3</v>
      </c>
      <c r="R276" s="417">
        <f>R277-SUM(R255:R275)</f>
        <v>141</v>
      </c>
      <c r="S276" s="386">
        <f>S277-SUM(S255:S275)</f>
        <v>137</v>
      </c>
      <c r="T276" s="265">
        <f t="shared" ref="T276:T289" si="541">ROUND(((S276/R276-1)*100), 1)</f>
        <v>-2.8</v>
      </c>
      <c r="U276" s="417">
        <f>U277-SUM(U255:U275)</f>
        <v>42</v>
      </c>
      <c r="V276" s="386">
        <f>V277-SUM(V255:V275)</f>
        <v>146</v>
      </c>
      <c r="W276" s="265">
        <f t="shared" ref="W276:W289" si="542">ROUND(((V276/U276-1)*100), 1)</f>
        <v>247.6</v>
      </c>
      <c r="X276" s="417">
        <f>X277-SUM(X255:X275)</f>
        <v>183</v>
      </c>
      <c r="Y276" s="386">
        <f>Y277-SUM(Y255:Y275)</f>
        <v>283</v>
      </c>
      <c r="Z276" s="265">
        <f t="shared" ref="Z276:Z289" si="543">ROUND(((Y276/X276-1)*100), 1)</f>
        <v>54.6</v>
      </c>
      <c r="AA276" s="417">
        <f>AA277-SUM(AA255:AA275)</f>
        <v>64</v>
      </c>
      <c r="AB276" s="386">
        <f>AB277-SUM(AB255:AB275)</f>
        <v>142</v>
      </c>
      <c r="AC276" s="265">
        <f t="shared" si="538"/>
        <v>121.9</v>
      </c>
      <c r="AD276" s="417">
        <f>AD277-SUM(AD255:AD275)</f>
        <v>247</v>
      </c>
      <c r="AE276" s="386">
        <f>AE277-SUM(AE255:AE275)</f>
        <v>425</v>
      </c>
      <c r="AF276" s="265">
        <f t="shared" ref="AF276:AF290" si="544">ROUND(((AE276/AD276-1)*100), 1)</f>
        <v>72.099999999999994</v>
      </c>
      <c r="AG276" s="417">
        <f>AG277-SUM(AG255:AG275)</f>
        <v>54</v>
      </c>
      <c r="AH276" s="386">
        <f>AH277-SUM(AH255:AH275)</f>
        <v>154</v>
      </c>
      <c r="AI276" s="265">
        <f t="shared" si="511"/>
        <v>185.2</v>
      </c>
      <c r="AJ276" s="417">
        <f>AJ277-SUM(AJ255:AJ275)</f>
        <v>301</v>
      </c>
      <c r="AK276" s="386">
        <f>AK277-SUM(AK255:AK275)</f>
        <v>579</v>
      </c>
      <c r="AL276" s="265">
        <f t="shared" si="512"/>
        <v>92.4</v>
      </c>
      <c r="AM276" s="722">
        <f>AM277-SUM(AM255:AM275)</f>
        <v>32</v>
      </c>
      <c r="AN276" s="714">
        <f>AN277-SUM(AN255:AN275)</f>
        <v>138</v>
      </c>
      <c r="AO276" s="705">
        <f t="shared" ref="AO276:AO284" si="545">ROUND(((AN276/AM276-1)*100), 1)</f>
        <v>331.3</v>
      </c>
      <c r="AP276" s="770">
        <f>AP277-SUM(AP255:AP275)</f>
        <v>333</v>
      </c>
      <c r="AQ276" s="714">
        <f>AQ277-SUM(AQ255:AQ275)</f>
        <v>717</v>
      </c>
      <c r="AR276" s="705">
        <f t="shared" si="516"/>
        <v>115.3</v>
      </c>
      <c r="AS276" s="770">
        <f>AS277-SUM(AS255:AS275)</f>
        <v>62</v>
      </c>
      <c r="AT276" s="714">
        <f>AT277-SUM(AT255:AT275)</f>
        <v>133</v>
      </c>
      <c r="AU276" s="705">
        <f t="shared" ref="AU276:AU291" si="546">ROUND(((AT276/AS276-1)*100), 1)</f>
        <v>114.5</v>
      </c>
      <c r="AV276" s="992">
        <f>AV277-SUM(AV255:AV275)</f>
        <v>395</v>
      </c>
      <c r="AW276" s="990">
        <f>AW277-SUM(AW255:AW275)</f>
        <v>850</v>
      </c>
      <c r="AX276" s="705">
        <f t="shared" si="519"/>
        <v>115.2</v>
      </c>
      <c r="AY276" s="770">
        <f>AY277-SUM(AY255:AY275)</f>
        <v>34</v>
      </c>
      <c r="AZ276" s="714">
        <f>AZ277-SUM(AZ255:AZ275)</f>
        <v>193</v>
      </c>
      <c r="BA276" s="705">
        <f t="shared" ref="BA276:BA289" si="547">ROUND(((AZ276/AY276-1)*100), 1)</f>
        <v>467.6</v>
      </c>
      <c r="BB276" s="770">
        <f>BB277-SUM(BB255:BB275)</f>
        <v>429</v>
      </c>
      <c r="BC276" s="714">
        <f>BC277-SUM(BC255:BC275)</f>
        <v>1043</v>
      </c>
      <c r="BD276" s="705">
        <f t="shared" si="523"/>
        <v>143.1</v>
      </c>
      <c r="BE276" s="770">
        <f>BE277-SUM(BE255:BE275)</f>
        <v>68</v>
      </c>
      <c r="BF276" s="714">
        <f>BF277-SUM(BF255:BF275)</f>
        <v>259</v>
      </c>
      <c r="BG276" s="705">
        <f t="shared" si="525"/>
        <v>280.89999999999998</v>
      </c>
      <c r="BH276" s="689">
        <f>BH277-SUM(BH255:BH275)</f>
        <v>497</v>
      </c>
      <c r="BI276" s="770">
        <f>BI277-SUM(BI255:BI275)</f>
        <v>1302</v>
      </c>
      <c r="BJ276" s="705">
        <f t="shared" si="526"/>
        <v>162</v>
      </c>
      <c r="BK276" s="770">
        <f>BK277-SUM(BK255:BK275)</f>
        <v>97</v>
      </c>
      <c r="BL276" s="714">
        <f>BL277-SUM(BL255:BL275)</f>
        <v>196</v>
      </c>
      <c r="BM276" s="705">
        <f t="shared" si="535"/>
        <v>102.1</v>
      </c>
      <c r="BN276" s="689">
        <f>BN277-SUM(BN255:BN275)</f>
        <v>594</v>
      </c>
      <c r="BO276" s="770">
        <f>BO277-SUM(BO255:BO275)</f>
        <v>1498</v>
      </c>
      <c r="BP276" s="705">
        <f t="shared" si="529"/>
        <v>152.19999999999999</v>
      </c>
      <c r="BQ276" s="770">
        <f>BQ277-SUM(BQ255:BQ275)</f>
        <v>71</v>
      </c>
      <c r="BR276" s="714">
        <f>BR277-SUM(BR255:BR275)</f>
        <v>175</v>
      </c>
      <c r="BS276" s="705">
        <f t="shared" si="536"/>
        <v>146.5</v>
      </c>
      <c r="BT276" s="689">
        <f>BT277-SUM(BT255:BT275)</f>
        <v>665</v>
      </c>
      <c r="BU276" s="770">
        <f>BU277-SUM(BU255:BU275)</f>
        <v>1673</v>
      </c>
      <c r="BV276" s="705">
        <f t="shared" si="532"/>
        <v>151.6</v>
      </c>
    </row>
    <row r="277" spans="1:74">
      <c r="A277" s="96"/>
      <c r="B277" s="9"/>
      <c r="C277" s="45" t="s">
        <v>226</v>
      </c>
      <c r="D277" s="111">
        <v>52036</v>
      </c>
      <c r="E277" s="111">
        <v>47781</v>
      </c>
      <c r="F277" s="111">
        <v>44451</v>
      </c>
      <c r="G277" s="111">
        <v>43843</v>
      </c>
      <c r="H277" s="111">
        <v>44827</v>
      </c>
      <c r="I277" s="111">
        <v>50435</v>
      </c>
      <c r="J277" s="344">
        <v>59251</v>
      </c>
      <c r="K277" s="111">
        <v>58750</v>
      </c>
      <c r="L277" s="429">
        <v>5405</v>
      </c>
      <c r="M277" s="430">
        <v>4860</v>
      </c>
      <c r="N277" s="266">
        <f t="shared" si="498"/>
        <v>-10.1</v>
      </c>
      <c r="O277" s="429">
        <f t="shared" ref="O277:P295" si="548">R277-L277</f>
        <v>4485</v>
      </c>
      <c r="P277" s="430">
        <f t="shared" si="548"/>
        <v>4775</v>
      </c>
      <c r="Q277" s="266">
        <f t="shared" si="540"/>
        <v>6.5</v>
      </c>
      <c r="R277" s="429">
        <v>9890</v>
      </c>
      <c r="S277" s="430">
        <v>9635</v>
      </c>
      <c r="T277" s="266">
        <f t="shared" si="541"/>
        <v>-2.6</v>
      </c>
      <c r="U277" s="429">
        <f t="shared" ref="U277:U295" si="549">X277-R277</f>
        <v>5372</v>
      </c>
      <c r="V277" s="430">
        <f t="shared" ref="V277:V295" si="550">Y277-S277</f>
        <v>5808</v>
      </c>
      <c r="W277" s="266">
        <f t="shared" si="542"/>
        <v>8.1</v>
      </c>
      <c r="X277" s="429">
        <v>15262</v>
      </c>
      <c r="Y277" s="430">
        <v>15443</v>
      </c>
      <c r="Z277" s="266">
        <f t="shared" si="543"/>
        <v>1.2</v>
      </c>
      <c r="AA277" s="429">
        <f t="shared" ref="AA277:AA295" si="551">AD277-X277</f>
        <v>5468</v>
      </c>
      <c r="AB277" s="430">
        <f t="shared" ref="AB277:AB295" si="552">AE277-Y277</f>
        <v>5606</v>
      </c>
      <c r="AC277" s="266">
        <f t="shared" si="538"/>
        <v>2.5</v>
      </c>
      <c r="AD277" s="429">
        <v>20730</v>
      </c>
      <c r="AE277" s="430">
        <v>21049</v>
      </c>
      <c r="AF277" s="266">
        <f t="shared" si="544"/>
        <v>1.5</v>
      </c>
      <c r="AG277" s="429">
        <f t="shared" ref="AG277:AH295" si="553">AJ277-AD277</f>
        <v>5295</v>
      </c>
      <c r="AH277" s="430">
        <f t="shared" si="553"/>
        <v>5580</v>
      </c>
      <c r="AI277" s="266">
        <f t="shared" si="511"/>
        <v>5.4</v>
      </c>
      <c r="AJ277" s="429">
        <v>26025</v>
      </c>
      <c r="AK277" s="430">
        <v>26629</v>
      </c>
      <c r="AL277" s="266">
        <f t="shared" si="512"/>
        <v>2.2999999999999998</v>
      </c>
      <c r="AM277" s="734">
        <f t="shared" ref="AM277:AM295" si="554">AP277-AJ277</f>
        <v>4857</v>
      </c>
      <c r="AN277" s="735">
        <f t="shared" ref="AN277:AN295" si="555">AQ277-AK277</f>
        <v>5650</v>
      </c>
      <c r="AO277" s="706">
        <f t="shared" si="545"/>
        <v>16.3</v>
      </c>
      <c r="AP277" s="734">
        <v>30882</v>
      </c>
      <c r="AQ277" s="735">
        <v>32279</v>
      </c>
      <c r="AR277" s="706">
        <f t="shared" si="516"/>
        <v>4.5</v>
      </c>
      <c r="AS277" s="734">
        <f t="shared" ref="AS277:AT295" si="556">AV277-AP277</f>
        <v>4863</v>
      </c>
      <c r="AT277" s="735">
        <f t="shared" si="556"/>
        <v>5906</v>
      </c>
      <c r="AU277" s="706">
        <f t="shared" si="546"/>
        <v>21.4</v>
      </c>
      <c r="AV277" s="1021">
        <v>35745</v>
      </c>
      <c r="AW277" s="1022">
        <v>38185</v>
      </c>
      <c r="AX277" s="706">
        <f t="shared" si="519"/>
        <v>6.8</v>
      </c>
      <c r="AY277" s="734">
        <f t="shared" ref="AY277:AY295" si="557">BB277-AV277</f>
        <v>4551</v>
      </c>
      <c r="AZ277" s="735">
        <f t="shared" ref="AZ277:AZ295" si="558">BC277-AW277</f>
        <v>5418</v>
      </c>
      <c r="BA277" s="706">
        <f t="shared" si="547"/>
        <v>19.100000000000001</v>
      </c>
      <c r="BB277" s="100">
        <v>40296</v>
      </c>
      <c r="BC277" s="734">
        <v>43603</v>
      </c>
      <c r="BD277" s="706">
        <f t="shared" si="523"/>
        <v>8.1999999999999993</v>
      </c>
      <c r="BE277" s="734">
        <f t="shared" ref="BE277:BF295" si="559">BH277-BB277</f>
        <v>4588</v>
      </c>
      <c r="BF277" s="735">
        <f t="shared" si="559"/>
        <v>6274</v>
      </c>
      <c r="BG277" s="706">
        <f t="shared" si="525"/>
        <v>36.700000000000003</v>
      </c>
      <c r="BH277" s="1051">
        <v>44884</v>
      </c>
      <c r="BI277" s="734">
        <v>49877</v>
      </c>
      <c r="BJ277" s="706">
        <f t="shared" si="526"/>
        <v>11.1</v>
      </c>
      <c r="BK277" s="734">
        <f t="shared" ref="BK277:BL295" si="560">BN277-BH277</f>
        <v>4897</v>
      </c>
      <c r="BL277" s="735">
        <f t="shared" si="560"/>
        <v>6107</v>
      </c>
      <c r="BM277" s="706">
        <f t="shared" si="535"/>
        <v>24.7</v>
      </c>
      <c r="BN277" s="1051">
        <v>49781</v>
      </c>
      <c r="BO277" s="734">
        <v>55984</v>
      </c>
      <c r="BP277" s="706">
        <f t="shared" si="529"/>
        <v>12.5</v>
      </c>
      <c r="BQ277" s="734">
        <f t="shared" ref="BQ277:BR295" si="561">BT277-BN277</f>
        <v>4445</v>
      </c>
      <c r="BR277" s="735">
        <f t="shared" si="561"/>
        <v>6596</v>
      </c>
      <c r="BS277" s="706">
        <f t="shared" si="536"/>
        <v>48.4</v>
      </c>
      <c r="BT277" s="100">
        <v>54226</v>
      </c>
      <c r="BU277" s="734">
        <v>62580</v>
      </c>
      <c r="BV277" s="706">
        <f t="shared" si="532"/>
        <v>15.4</v>
      </c>
    </row>
    <row r="278" spans="1:74">
      <c r="A278" s="96"/>
      <c r="B278" s="4" t="s">
        <v>234</v>
      </c>
      <c r="C278" s="103" t="s">
        <v>102</v>
      </c>
      <c r="D278" s="98">
        <v>2617</v>
      </c>
      <c r="E278" s="98">
        <v>2996</v>
      </c>
      <c r="F278" s="98">
        <v>3444</v>
      </c>
      <c r="G278" s="98">
        <v>3755</v>
      </c>
      <c r="H278" s="98">
        <v>3909</v>
      </c>
      <c r="I278" s="98">
        <v>3941</v>
      </c>
      <c r="J278" s="106">
        <v>3700</v>
      </c>
      <c r="K278" s="98">
        <v>3637</v>
      </c>
      <c r="L278" s="417">
        <v>402</v>
      </c>
      <c r="M278" s="386">
        <v>175</v>
      </c>
      <c r="N278" s="265">
        <f t="shared" si="498"/>
        <v>-56.5</v>
      </c>
      <c r="O278" s="417">
        <f t="shared" si="548"/>
        <v>281</v>
      </c>
      <c r="P278" s="386">
        <f t="shared" si="548"/>
        <v>271</v>
      </c>
      <c r="Q278" s="265">
        <f t="shared" si="540"/>
        <v>-3.6</v>
      </c>
      <c r="R278" s="417">
        <v>683</v>
      </c>
      <c r="S278" s="386">
        <v>446</v>
      </c>
      <c r="T278" s="265">
        <f t="shared" si="541"/>
        <v>-34.700000000000003</v>
      </c>
      <c r="U278" s="417">
        <f t="shared" si="549"/>
        <v>368</v>
      </c>
      <c r="V278" s="386">
        <f t="shared" si="550"/>
        <v>259</v>
      </c>
      <c r="W278" s="265">
        <f t="shared" si="542"/>
        <v>-29.6</v>
      </c>
      <c r="X278" s="417">
        <v>1051</v>
      </c>
      <c r="Y278" s="386">
        <v>705</v>
      </c>
      <c r="Z278" s="265">
        <f t="shared" si="543"/>
        <v>-32.9</v>
      </c>
      <c r="AA278" s="417">
        <f t="shared" si="551"/>
        <v>236</v>
      </c>
      <c r="AB278" s="386">
        <f t="shared" si="552"/>
        <v>296</v>
      </c>
      <c r="AC278" s="265">
        <f t="shared" si="538"/>
        <v>25.4</v>
      </c>
      <c r="AD278" s="417">
        <v>1287</v>
      </c>
      <c r="AE278" s="386">
        <v>1001</v>
      </c>
      <c r="AF278" s="265">
        <f t="shared" si="544"/>
        <v>-22.2</v>
      </c>
      <c r="AG278" s="417">
        <f t="shared" si="553"/>
        <v>295</v>
      </c>
      <c r="AH278" s="386">
        <f t="shared" si="553"/>
        <v>247</v>
      </c>
      <c r="AI278" s="265">
        <f t="shared" si="511"/>
        <v>-16.3</v>
      </c>
      <c r="AJ278" s="417">
        <v>1582</v>
      </c>
      <c r="AK278" s="386">
        <v>1248</v>
      </c>
      <c r="AL278" s="265">
        <f t="shared" si="512"/>
        <v>-21.1</v>
      </c>
      <c r="AM278" s="722">
        <f t="shared" si="554"/>
        <v>229</v>
      </c>
      <c r="AN278" s="714">
        <f t="shared" si="555"/>
        <v>297</v>
      </c>
      <c r="AO278" s="705">
        <f t="shared" si="545"/>
        <v>29.7</v>
      </c>
      <c r="AP278" s="770">
        <v>1811</v>
      </c>
      <c r="AQ278" s="714">
        <v>1545</v>
      </c>
      <c r="AR278" s="705">
        <f t="shared" si="516"/>
        <v>-14.7</v>
      </c>
      <c r="AS278" s="770">
        <f t="shared" si="556"/>
        <v>212</v>
      </c>
      <c r="AT278" s="714">
        <f t="shared" si="556"/>
        <v>284</v>
      </c>
      <c r="AU278" s="705">
        <f t="shared" si="546"/>
        <v>34</v>
      </c>
      <c r="AV278" s="992">
        <v>2023</v>
      </c>
      <c r="AW278" s="990">
        <v>1829</v>
      </c>
      <c r="AX278" s="705">
        <f t="shared" si="519"/>
        <v>-9.6</v>
      </c>
      <c r="AY278" s="770">
        <f t="shared" si="557"/>
        <v>302</v>
      </c>
      <c r="AZ278" s="714">
        <f t="shared" si="558"/>
        <v>184</v>
      </c>
      <c r="BA278" s="705">
        <f t="shared" si="547"/>
        <v>-39.1</v>
      </c>
      <c r="BB278" s="770">
        <v>2325</v>
      </c>
      <c r="BC278" s="714">
        <v>2013</v>
      </c>
      <c r="BD278" s="705">
        <f t="shared" si="523"/>
        <v>-13.4</v>
      </c>
      <c r="BE278" s="770">
        <f t="shared" si="559"/>
        <v>338</v>
      </c>
      <c r="BF278" s="714">
        <f t="shared" si="559"/>
        <v>215</v>
      </c>
      <c r="BG278" s="705">
        <f t="shared" si="525"/>
        <v>-36.4</v>
      </c>
      <c r="BH278" s="689">
        <v>2663</v>
      </c>
      <c r="BI278" s="770">
        <v>2228</v>
      </c>
      <c r="BJ278" s="705">
        <f t="shared" si="526"/>
        <v>-16.3</v>
      </c>
      <c r="BK278" s="770">
        <f t="shared" si="560"/>
        <v>348</v>
      </c>
      <c r="BL278" s="714">
        <f t="shared" si="560"/>
        <v>194</v>
      </c>
      <c r="BM278" s="705">
        <f t="shared" si="535"/>
        <v>-44.3</v>
      </c>
      <c r="BN278" s="689">
        <v>3011</v>
      </c>
      <c r="BO278" s="770">
        <v>2422</v>
      </c>
      <c r="BP278" s="705">
        <f t="shared" si="529"/>
        <v>-19.600000000000001</v>
      </c>
      <c r="BQ278" s="770">
        <f t="shared" si="561"/>
        <v>319</v>
      </c>
      <c r="BR278" s="714">
        <f t="shared" si="561"/>
        <v>193</v>
      </c>
      <c r="BS278" s="705">
        <f t="shared" si="536"/>
        <v>-39.5</v>
      </c>
      <c r="BT278" s="689">
        <v>3330</v>
      </c>
      <c r="BU278" s="770">
        <v>2615</v>
      </c>
      <c r="BV278" s="705">
        <f t="shared" si="532"/>
        <v>-21.5</v>
      </c>
    </row>
    <row r="279" spans="1:74">
      <c r="A279" s="96"/>
      <c r="B279" s="4" t="s">
        <v>238</v>
      </c>
      <c r="C279" s="105" t="s">
        <v>52</v>
      </c>
      <c r="D279" s="98">
        <v>5515</v>
      </c>
      <c r="E279" s="98">
        <v>3473</v>
      </c>
      <c r="F279" s="98">
        <v>5024</v>
      </c>
      <c r="G279" s="98">
        <v>4459</v>
      </c>
      <c r="H279" s="98">
        <v>5044</v>
      </c>
      <c r="I279" s="98">
        <v>4673</v>
      </c>
      <c r="J279" s="106">
        <v>2547</v>
      </c>
      <c r="K279" s="98">
        <v>2407</v>
      </c>
      <c r="L279" s="417">
        <v>249</v>
      </c>
      <c r="M279" s="386">
        <v>145</v>
      </c>
      <c r="N279" s="265">
        <f t="shared" si="498"/>
        <v>-41.8</v>
      </c>
      <c r="O279" s="417">
        <f t="shared" si="548"/>
        <v>140</v>
      </c>
      <c r="P279" s="386">
        <f t="shared" si="548"/>
        <v>201</v>
      </c>
      <c r="Q279" s="265">
        <f t="shared" si="540"/>
        <v>43.6</v>
      </c>
      <c r="R279" s="417">
        <v>389</v>
      </c>
      <c r="S279" s="386">
        <v>346</v>
      </c>
      <c r="T279" s="265">
        <f t="shared" si="541"/>
        <v>-11.1</v>
      </c>
      <c r="U279" s="417">
        <f t="shared" si="549"/>
        <v>234</v>
      </c>
      <c r="V279" s="386">
        <f t="shared" si="550"/>
        <v>162</v>
      </c>
      <c r="W279" s="265">
        <f t="shared" si="542"/>
        <v>-30.8</v>
      </c>
      <c r="X279" s="417">
        <v>623</v>
      </c>
      <c r="Y279" s="386">
        <v>508</v>
      </c>
      <c r="Z279" s="265">
        <f t="shared" si="543"/>
        <v>-18.5</v>
      </c>
      <c r="AA279" s="417">
        <f t="shared" si="551"/>
        <v>284</v>
      </c>
      <c r="AB279" s="386">
        <f t="shared" si="552"/>
        <v>204</v>
      </c>
      <c r="AC279" s="265">
        <f t="shared" si="538"/>
        <v>-28.2</v>
      </c>
      <c r="AD279" s="417">
        <v>907</v>
      </c>
      <c r="AE279" s="386">
        <v>712</v>
      </c>
      <c r="AF279" s="265">
        <f t="shared" si="544"/>
        <v>-21.5</v>
      </c>
      <c r="AG279" s="417">
        <f t="shared" si="553"/>
        <v>199</v>
      </c>
      <c r="AH279" s="386">
        <f t="shared" si="553"/>
        <v>146</v>
      </c>
      <c r="AI279" s="265">
        <f t="shared" si="511"/>
        <v>-26.6</v>
      </c>
      <c r="AJ279" s="417">
        <v>1106</v>
      </c>
      <c r="AK279" s="386">
        <v>858</v>
      </c>
      <c r="AL279" s="265">
        <f t="shared" si="512"/>
        <v>-22.4</v>
      </c>
      <c r="AM279" s="722">
        <f t="shared" si="554"/>
        <v>283</v>
      </c>
      <c r="AN279" s="714">
        <f t="shared" si="555"/>
        <v>65</v>
      </c>
      <c r="AO279" s="705">
        <f t="shared" si="545"/>
        <v>-77</v>
      </c>
      <c r="AP279" s="770">
        <v>1389</v>
      </c>
      <c r="AQ279" s="714">
        <v>923</v>
      </c>
      <c r="AR279" s="705">
        <f t="shared" si="516"/>
        <v>-33.5</v>
      </c>
      <c r="AS279" s="770">
        <f t="shared" si="556"/>
        <v>153</v>
      </c>
      <c r="AT279" s="714">
        <f t="shared" si="556"/>
        <v>52</v>
      </c>
      <c r="AU279" s="705">
        <f t="shared" si="546"/>
        <v>-66</v>
      </c>
      <c r="AV279" s="992">
        <v>1542</v>
      </c>
      <c r="AW279" s="990">
        <v>975</v>
      </c>
      <c r="AX279" s="705">
        <f t="shared" si="519"/>
        <v>-36.799999999999997</v>
      </c>
      <c r="AY279" s="770">
        <f t="shared" si="557"/>
        <v>121</v>
      </c>
      <c r="AZ279" s="714">
        <f t="shared" si="558"/>
        <v>131</v>
      </c>
      <c r="BA279" s="705">
        <f t="shared" si="547"/>
        <v>8.3000000000000007</v>
      </c>
      <c r="BB279" s="770">
        <v>1663</v>
      </c>
      <c r="BC279" s="714">
        <v>1106</v>
      </c>
      <c r="BD279" s="705">
        <f t="shared" si="523"/>
        <v>-33.5</v>
      </c>
      <c r="BE279" s="770">
        <f t="shared" si="559"/>
        <v>136</v>
      </c>
      <c r="BF279" s="714">
        <f t="shared" si="559"/>
        <v>130</v>
      </c>
      <c r="BG279" s="705">
        <f t="shared" si="525"/>
        <v>-4.4000000000000004</v>
      </c>
      <c r="BH279" s="689">
        <v>1799</v>
      </c>
      <c r="BI279" s="770">
        <v>1236</v>
      </c>
      <c r="BJ279" s="705">
        <f t="shared" si="526"/>
        <v>-31.3</v>
      </c>
      <c r="BK279" s="770">
        <f t="shared" si="560"/>
        <v>203</v>
      </c>
      <c r="BL279" s="714">
        <f t="shared" si="560"/>
        <v>69</v>
      </c>
      <c r="BM279" s="705">
        <f t="shared" si="535"/>
        <v>-66</v>
      </c>
      <c r="BN279" s="689">
        <v>2002</v>
      </c>
      <c r="BO279" s="770">
        <v>1305</v>
      </c>
      <c r="BP279" s="705">
        <f t="shared" si="529"/>
        <v>-34.799999999999997</v>
      </c>
      <c r="BQ279" s="770">
        <f t="shared" si="561"/>
        <v>175</v>
      </c>
      <c r="BR279" s="714">
        <f t="shared" si="561"/>
        <v>142</v>
      </c>
      <c r="BS279" s="705">
        <f t="shared" si="536"/>
        <v>-18.899999999999999</v>
      </c>
      <c r="BT279" s="689">
        <v>2177</v>
      </c>
      <c r="BU279" s="770">
        <v>1447</v>
      </c>
      <c r="BV279" s="705">
        <f t="shared" si="532"/>
        <v>-33.5</v>
      </c>
    </row>
    <row r="280" spans="1:74">
      <c r="A280" s="96"/>
      <c r="B280" s="4"/>
      <c r="C280" s="105" t="s">
        <v>112</v>
      </c>
      <c r="D280" s="98">
        <v>17</v>
      </c>
      <c r="E280" s="98">
        <v>0</v>
      </c>
      <c r="F280" s="98">
        <v>9</v>
      </c>
      <c r="G280" s="98">
        <v>881</v>
      </c>
      <c r="H280" s="98">
        <v>1058</v>
      </c>
      <c r="I280" s="98">
        <v>1419</v>
      </c>
      <c r="J280" s="106">
        <v>1837</v>
      </c>
      <c r="K280" s="98">
        <v>1157</v>
      </c>
      <c r="L280" s="417">
        <v>169</v>
      </c>
      <c r="M280" s="386">
        <v>102</v>
      </c>
      <c r="N280" s="265">
        <f t="shared" si="498"/>
        <v>-39.6</v>
      </c>
      <c r="O280" s="417">
        <f t="shared" si="548"/>
        <v>106</v>
      </c>
      <c r="P280" s="386">
        <f t="shared" si="548"/>
        <v>91</v>
      </c>
      <c r="Q280" s="265">
        <f t="shared" si="540"/>
        <v>-14.2</v>
      </c>
      <c r="R280" s="417">
        <v>275</v>
      </c>
      <c r="S280" s="386">
        <v>193</v>
      </c>
      <c r="T280" s="265">
        <f t="shared" si="541"/>
        <v>-29.8</v>
      </c>
      <c r="U280" s="417">
        <f t="shared" si="549"/>
        <v>86</v>
      </c>
      <c r="V280" s="386">
        <f t="shared" si="550"/>
        <v>95</v>
      </c>
      <c r="W280" s="265">
        <f t="shared" si="542"/>
        <v>10.5</v>
      </c>
      <c r="X280" s="417">
        <v>361</v>
      </c>
      <c r="Y280" s="386">
        <v>288</v>
      </c>
      <c r="Z280" s="265">
        <f t="shared" si="543"/>
        <v>-20.2</v>
      </c>
      <c r="AA280" s="417">
        <f t="shared" si="551"/>
        <v>93</v>
      </c>
      <c r="AB280" s="386">
        <f t="shared" si="552"/>
        <v>75</v>
      </c>
      <c r="AC280" s="265">
        <f t="shared" si="538"/>
        <v>-19.399999999999999</v>
      </c>
      <c r="AD280" s="417">
        <v>454</v>
      </c>
      <c r="AE280" s="386">
        <v>363</v>
      </c>
      <c r="AF280" s="265">
        <f t="shared" si="544"/>
        <v>-20</v>
      </c>
      <c r="AG280" s="417">
        <f t="shared" si="553"/>
        <v>67</v>
      </c>
      <c r="AH280" s="386">
        <f t="shared" si="553"/>
        <v>74</v>
      </c>
      <c r="AI280" s="265">
        <f t="shared" si="511"/>
        <v>10.4</v>
      </c>
      <c r="AJ280" s="417">
        <v>521</v>
      </c>
      <c r="AK280" s="386">
        <v>437</v>
      </c>
      <c r="AL280" s="265">
        <f t="shared" si="512"/>
        <v>-16.100000000000001</v>
      </c>
      <c r="AM280" s="722">
        <f t="shared" si="554"/>
        <v>77</v>
      </c>
      <c r="AN280" s="714">
        <f t="shared" si="555"/>
        <v>110</v>
      </c>
      <c r="AO280" s="705">
        <f t="shared" si="545"/>
        <v>42.9</v>
      </c>
      <c r="AP280" s="770">
        <v>598</v>
      </c>
      <c r="AQ280" s="714">
        <v>547</v>
      </c>
      <c r="AR280" s="705">
        <f t="shared" si="516"/>
        <v>-8.5</v>
      </c>
      <c r="AS280" s="770">
        <f t="shared" si="556"/>
        <v>84</v>
      </c>
      <c r="AT280" s="714">
        <f t="shared" si="556"/>
        <v>78</v>
      </c>
      <c r="AU280" s="705">
        <f t="shared" si="546"/>
        <v>-7.1</v>
      </c>
      <c r="AV280" s="992">
        <v>682</v>
      </c>
      <c r="AW280" s="990">
        <v>625</v>
      </c>
      <c r="AX280" s="705">
        <f t="shared" si="519"/>
        <v>-8.4</v>
      </c>
      <c r="AY280" s="770">
        <f t="shared" si="557"/>
        <v>124</v>
      </c>
      <c r="AZ280" s="714">
        <f t="shared" si="558"/>
        <v>110</v>
      </c>
      <c r="BA280" s="705">
        <f t="shared" si="547"/>
        <v>-11.3</v>
      </c>
      <c r="BB280" s="770">
        <v>806</v>
      </c>
      <c r="BC280" s="714">
        <v>735</v>
      </c>
      <c r="BD280" s="705">
        <f t="shared" si="523"/>
        <v>-8.8000000000000007</v>
      </c>
      <c r="BE280" s="770">
        <f t="shared" si="559"/>
        <v>116</v>
      </c>
      <c r="BF280" s="714">
        <f t="shared" si="559"/>
        <v>171</v>
      </c>
      <c r="BG280" s="705">
        <f t="shared" si="525"/>
        <v>47.4</v>
      </c>
      <c r="BH280" s="689">
        <v>922</v>
      </c>
      <c r="BI280" s="770">
        <v>906</v>
      </c>
      <c r="BJ280" s="705">
        <f t="shared" si="526"/>
        <v>-1.7</v>
      </c>
      <c r="BK280" s="770">
        <f t="shared" si="560"/>
        <v>89</v>
      </c>
      <c r="BL280" s="714">
        <f t="shared" si="560"/>
        <v>169</v>
      </c>
      <c r="BM280" s="705">
        <f t="shared" si="535"/>
        <v>89.9</v>
      </c>
      <c r="BN280" s="689">
        <v>1011</v>
      </c>
      <c r="BO280" s="770">
        <v>1075</v>
      </c>
      <c r="BP280" s="705">
        <f t="shared" si="529"/>
        <v>6.3</v>
      </c>
      <c r="BQ280" s="770">
        <f t="shared" si="561"/>
        <v>73</v>
      </c>
      <c r="BR280" s="714">
        <f t="shared" si="561"/>
        <v>94</v>
      </c>
      <c r="BS280" s="705">
        <f t="shared" si="536"/>
        <v>28.8</v>
      </c>
      <c r="BT280" s="689">
        <v>1084</v>
      </c>
      <c r="BU280" s="770">
        <v>1169</v>
      </c>
      <c r="BV280" s="705">
        <f t="shared" si="532"/>
        <v>7.8</v>
      </c>
    </row>
    <row r="281" spans="1:74">
      <c r="A281" s="96"/>
      <c r="B281" s="4"/>
      <c r="C281" s="105" t="s">
        <v>98</v>
      </c>
      <c r="D281" s="98">
        <v>493</v>
      </c>
      <c r="E281" s="98">
        <v>639</v>
      </c>
      <c r="F281" s="98">
        <v>300</v>
      </c>
      <c r="G281" s="98">
        <v>469</v>
      </c>
      <c r="H281" s="98">
        <v>668</v>
      </c>
      <c r="I281" s="98">
        <v>1152</v>
      </c>
      <c r="J281" s="106">
        <v>1003</v>
      </c>
      <c r="K281" s="98">
        <v>818</v>
      </c>
      <c r="L281" s="417">
        <v>77</v>
      </c>
      <c r="M281" s="386">
        <v>45</v>
      </c>
      <c r="N281" s="265">
        <f t="shared" si="498"/>
        <v>-41.6</v>
      </c>
      <c r="O281" s="417">
        <f t="shared" si="548"/>
        <v>53</v>
      </c>
      <c r="P281" s="386">
        <f t="shared" si="548"/>
        <v>85</v>
      </c>
      <c r="Q281" s="265">
        <f t="shared" si="540"/>
        <v>60.4</v>
      </c>
      <c r="R281" s="417">
        <v>130</v>
      </c>
      <c r="S281" s="386">
        <v>130</v>
      </c>
      <c r="T281" s="265">
        <f t="shared" si="541"/>
        <v>0</v>
      </c>
      <c r="U281" s="417">
        <f t="shared" si="549"/>
        <v>67</v>
      </c>
      <c r="V281" s="386">
        <f t="shared" si="550"/>
        <v>101</v>
      </c>
      <c r="W281" s="265">
        <f t="shared" si="542"/>
        <v>50.7</v>
      </c>
      <c r="X281" s="417">
        <v>197</v>
      </c>
      <c r="Y281" s="386">
        <v>231</v>
      </c>
      <c r="Z281" s="265">
        <f t="shared" si="543"/>
        <v>17.3</v>
      </c>
      <c r="AA281" s="417">
        <f t="shared" si="551"/>
        <v>106</v>
      </c>
      <c r="AB281" s="386">
        <f t="shared" si="552"/>
        <v>111</v>
      </c>
      <c r="AC281" s="265">
        <f t="shared" si="538"/>
        <v>4.7</v>
      </c>
      <c r="AD281" s="417">
        <v>303</v>
      </c>
      <c r="AE281" s="386">
        <v>342</v>
      </c>
      <c r="AF281" s="265">
        <f t="shared" si="544"/>
        <v>12.9</v>
      </c>
      <c r="AG281" s="417">
        <f t="shared" si="553"/>
        <v>54</v>
      </c>
      <c r="AH281" s="386">
        <f t="shared" si="553"/>
        <v>48</v>
      </c>
      <c r="AI281" s="265">
        <f t="shared" si="511"/>
        <v>-11.1</v>
      </c>
      <c r="AJ281" s="417">
        <v>357</v>
      </c>
      <c r="AK281" s="386">
        <v>390</v>
      </c>
      <c r="AL281" s="265">
        <f t="shared" si="512"/>
        <v>9.1999999999999993</v>
      </c>
      <c r="AM281" s="722">
        <f t="shared" si="554"/>
        <v>80</v>
      </c>
      <c r="AN281" s="714">
        <f t="shared" si="555"/>
        <v>51</v>
      </c>
      <c r="AO281" s="705">
        <f t="shared" si="545"/>
        <v>-36.299999999999997</v>
      </c>
      <c r="AP281" s="770">
        <v>437</v>
      </c>
      <c r="AQ281" s="714">
        <v>441</v>
      </c>
      <c r="AR281" s="705">
        <f t="shared" si="516"/>
        <v>0.9</v>
      </c>
      <c r="AS281" s="770">
        <f t="shared" si="556"/>
        <v>49</v>
      </c>
      <c r="AT281" s="714">
        <f t="shared" si="556"/>
        <v>89</v>
      </c>
      <c r="AU281" s="705">
        <f t="shared" si="546"/>
        <v>81.599999999999994</v>
      </c>
      <c r="AV281" s="992">
        <v>486</v>
      </c>
      <c r="AW281" s="990">
        <v>530</v>
      </c>
      <c r="AX281" s="705">
        <f t="shared" si="519"/>
        <v>9.1</v>
      </c>
      <c r="AY281" s="770">
        <f t="shared" si="557"/>
        <v>85</v>
      </c>
      <c r="AZ281" s="714">
        <f t="shared" si="558"/>
        <v>91</v>
      </c>
      <c r="BA281" s="705">
        <f t="shared" si="547"/>
        <v>7.1</v>
      </c>
      <c r="BB281" s="770">
        <v>571</v>
      </c>
      <c r="BC281" s="714">
        <v>621</v>
      </c>
      <c r="BD281" s="705">
        <f t="shared" si="523"/>
        <v>8.8000000000000007</v>
      </c>
      <c r="BE281" s="770">
        <f t="shared" si="559"/>
        <v>50</v>
      </c>
      <c r="BF281" s="714">
        <f t="shared" si="559"/>
        <v>89</v>
      </c>
      <c r="BG281" s="705">
        <f t="shared" si="525"/>
        <v>78</v>
      </c>
      <c r="BH281" s="689">
        <v>621</v>
      </c>
      <c r="BI281" s="770">
        <v>710</v>
      </c>
      <c r="BJ281" s="705">
        <f t="shared" si="526"/>
        <v>14.3</v>
      </c>
      <c r="BK281" s="770">
        <f t="shared" si="560"/>
        <v>71</v>
      </c>
      <c r="BL281" s="714">
        <f t="shared" si="560"/>
        <v>76</v>
      </c>
      <c r="BM281" s="705">
        <f t="shared" si="535"/>
        <v>7</v>
      </c>
      <c r="BN281" s="689">
        <v>692</v>
      </c>
      <c r="BO281" s="770">
        <v>786</v>
      </c>
      <c r="BP281" s="705">
        <f t="shared" si="529"/>
        <v>13.6</v>
      </c>
      <c r="BQ281" s="770">
        <f t="shared" si="561"/>
        <v>82</v>
      </c>
      <c r="BR281" s="714">
        <f t="shared" si="561"/>
        <v>40</v>
      </c>
      <c r="BS281" s="705">
        <f t="shared" si="536"/>
        <v>-51.2</v>
      </c>
      <c r="BT281" s="689">
        <v>774</v>
      </c>
      <c r="BU281" s="770">
        <v>826</v>
      </c>
      <c r="BV281" s="705">
        <f t="shared" si="532"/>
        <v>6.7</v>
      </c>
    </row>
    <row r="282" spans="1:74">
      <c r="A282" s="96"/>
      <c r="B282" s="4"/>
      <c r="C282" s="105" t="s">
        <v>101</v>
      </c>
      <c r="D282" s="98">
        <v>249</v>
      </c>
      <c r="E282" s="98">
        <v>1204</v>
      </c>
      <c r="F282" s="98">
        <v>2284</v>
      </c>
      <c r="G282" s="98">
        <v>2023</v>
      </c>
      <c r="H282" s="98">
        <v>1221</v>
      </c>
      <c r="I282" s="98">
        <v>603</v>
      </c>
      <c r="J282" s="106">
        <v>599</v>
      </c>
      <c r="K282" s="98">
        <v>561</v>
      </c>
      <c r="L282" s="417">
        <v>52</v>
      </c>
      <c r="M282" s="386">
        <v>39</v>
      </c>
      <c r="N282" s="265">
        <f t="shared" si="498"/>
        <v>-25</v>
      </c>
      <c r="O282" s="417">
        <f t="shared" si="548"/>
        <v>44</v>
      </c>
      <c r="P282" s="386">
        <f t="shared" si="548"/>
        <v>62</v>
      </c>
      <c r="Q282" s="265">
        <f t="shared" si="540"/>
        <v>40.9</v>
      </c>
      <c r="R282" s="417">
        <v>96</v>
      </c>
      <c r="S282" s="386">
        <v>101</v>
      </c>
      <c r="T282" s="265">
        <f t="shared" si="541"/>
        <v>5.2</v>
      </c>
      <c r="U282" s="417">
        <f t="shared" si="549"/>
        <v>44</v>
      </c>
      <c r="V282" s="386">
        <f t="shared" si="550"/>
        <v>49</v>
      </c>
      <c r="W282" s="265">
        <f t="shared" si="542"/>
        <v>11.4</v>
      </c>
      <c r="X282" s="417">
        <v>140</v>
      </c>
      <c r="Y282" s="386">
        <v>150</v>
      </c>
      <c r="Z282" s="265">
        <f t="shared" si="543"/>
        <v>7.1</v>
      </c>
      <c r="AA282" s="417">
        <f t="shared" si="551"/>
        <v>54</v>
      </c>
      <c r="AB282" s="386">
        <f t="shared" si="552"/>
        <v>37</v>
      </c>
      <c r="AC282" s="265">
        <f t="shared" si="538"/>
        <v>-31.5</v>
      </c>
      <c r="AD282" s="417">
        <v>194</v>
      </c>
      <c r="AE282" s="386">
        <v>187</v>
      </c>
      <c r="AF282" s="265">
        <f t="shared" si="544"/>
        <v>-3.6</v>
      </c>
      <c r="AG282" s="417">
        <f t="shared" si="553"/>
        <v>57</v>
      </c>
      <c r="AH282" s="386">
        <f t="shared" si="553"/>
        <v>17</v>
      </c>
      <c r="AI282" s="265">
        <f t="shared" si="511"/>
        <v>-70.2</v>
      </c>
      <c r="AJ282" s="417">
        <v>251</v>
      </c>
      <c r="AK282" s="386">
        <v>204</v>
      </c>
      <c r="AL282" s="265">
        <f t="shared" si="512"/>
        <v>-18.7</v>
      </c>
      <c r="AM282" s="722">
        <f t="shared" si="554"/>
        <v>32</v>
      </c>
      <c r="AN282" s="714">
        <f t="shared" si="555"/>
        <v>57</v>
      </c>
      <c r="AO282" s="705">
        <f t="shared" si="545"/>
        <v>78.099999999999994</v>
      </c>
      <c r="AP282" s="770">
        <v>283</v>
      </c>
      <c r="AQ282" s="714">
        <v>261</v>
      </c>
      <c r="AR282" s="705">
        <f t="shared" si="516"/>
        <v>-7.8</v>
      </c>
      <c r="AS282" s="770">
        <f t="shared" si="556"/>
        <v>55</v>
      </c>
      <c r="AT282" s="714">
        <f t="shared" si="556"/>
        <v>16</v>
      </c>
      <c r="AU282" s="705">
        <f t="shared" si="546"/>
        <v>-70.900000000000006</v>
      </c>
      <c r="AV282" s="992">
        <v>338</v>
      </c>
      <c r="AW282" s="990">
        <v>277</v>
      </c>
      <c r="AX282" s="705">
        <f t="shared" si="519"/>
        <v>-18</v>
      </c>
      <c r="AY282" s="770">
        <f t="shared" si="557"/>
        <v>48</v>
      </c>
      <c r="AZ282" s="714">
        <f t="shared" si="558"/>
        <v>37</v>
      </c>
      <c r="BA282" s="705">
        <f t="shared" si="547"/>
        <v>-22.9</v>
      </c>
      <c r="BB282" s="770">
        <v>386</v>
      </c>
      <c r="BC282" s="714">
        <v>314</v>
      </c>
      <c r="BD282" s="705">
        <f t="shared" si="523"/>
        <v>-18.7</v>
      </c>
      <c r="BE282" s="770">
        <f t="shared" si="559"/>
        <v>46</v>
      </c>
      <c r="BF282" s="714">
        <f t="shared" si="559"/>
        <v>35</v>
      </c>
      <c r="BG282" s="705">
        <f t="shared" si="525"/>
        <v>-23.9</v>
      </c>
      <c r="BH282" s="689">
        <v>432</v>
      </c>
      <c r="BI282" s="770">
        <v>349</v>
      </c>
      <c r="BJ282" s="705">
        <f t="shared" si="526"/>
        <v>-19.2</v>
      </c>
      <c r="BK282" s="770">
        <f t="shared" si="560"/>
        <v>68</v>
      </c>
      <c r="BL282" s="714">
        <f t="shared" si="560"/>
        <v>38</v>
      </c>
      <c r="BM282" s="705">
        <f t="shared" si="535"/>
        <v>-44.1</v>
      </c>
      <c r="BN282" s="689">
        <v>500</v>
      </c>
      <c r="BO282" s="770">
        <v>387</v>
      </c>
      <c r="BP282" s="705">
        <f t="shared" si="529"/>
        <v>-22.6</v>
      </c>
      <c r="BQ282" s="770">
        <f t="shared" si="561"/>
        <v>30</v>
      </c>
      <c r="BR282" s="714">
        <f t="shared" si="561"/>
        <v>39</v>
      </c>
      <c r="BS282" s="705">
        <f t="shared" si="536"/>
        <v>30</v>
      </c>
      <c r="BT282" s="689">
        <v>530</v>
      </c>
      <c r="BU282" s="770">
        <v>426</v>
      </c>
      <c r="BV282" s="705">
        <f t="shared" si="532"/>
        <v>-19.600000000000001</v>
      </c>
    </row>
    <row r="283" spans="1:74">
      <c r="A283" s="96"/>
      <c r="B283" s="4"/>
      <c r="C283" s="105" t="s">
        <v>117</v>
      </c>
      <c r="D283" s="98">
        <v>650</v>
      </c>
      <c r="E283" s="98">
        <v>810</v>
      </c>
      <c r="F283" s="98">
        <v>914</v>
      </c>
      <c r="G283" s="98">
        <v>987</v>
      </c>
      <c r="H283" s="98">
        <v>511</v>
      </c>
      <c r="I283" s="98">
        <v>350</v>
      </c>
      <c r="J283" s="106">
        <v>395</v>
      </c>
      <c r="K283" s="98">
        <v>498</v>
      </c>
      <c r="L283" s="417">
        <v>32</v>
      </c>
      <c r="M283" s="386">
        <v>48</v>
      </c>
      <c r="N283" s="265">
        <f t="shared" si="498"/>
        <v>50</v>
      </c>
      <c r="O283" s="417">
        <f t="shared" si="548"/>
        <v>35</v>
      </c>
      <c r="P283" s="386">
        <f t="shared" si="548"/>
        <v>31</v>
      </c>
      <c r="Q283" s="265">
        <f t="shared" si="540"/>
        <v>-11.4</v>
      </c>
      <c r="R283" s="417">
        <v>67</v>
      </c>
      <c r="S283" s="386">
        <v>79</v>
      </c>
      <c r="T283" s="265">
        <f t="shared" si="541"/>
        <v>17.899999999999999</v>
      </c>
      <c r="U283" s="417">
        <f t="shared" si="549"/>
        <v>34</v>
      </c>
      <c r="V283" s="386">
        <f t="shared" si="550"/>
        <v>68</v>
      </c>
      <c r="W283" s="265">
        <f t="shared" si="542"/>
        <v>100</v>
      </c>
      <c r="X283" s="417">
        <v>101</v>
      </c>
      <c r="Y283" s="386">
        <v>147</v>
      </c>
      <c r="Z283" s="265">
        <f t="shared" si="543"/>
        <v>45.5</v>
      </c>
      <c r="AA283" s="417">
        <f t="shared" si="551"/>
        <v>76</v>
      </c>
      <c r="AB283" s="386">
        <f t="shared" si="552"/>
        <v>14</v>
      </c>
      <c r="AC283" s="265">
        <f t="shared" si="538"/>
        <v>-81.599999999999994</v>
      </c>
      <c r="AD283" s="417">
        <v>177</v>
      </c>
      <c r="AE283" s="386">
        <v>161</v>
      </c>
      <c r="AF283" s="265">
        <f t="shared" si="544"/>
        <v>-9</v>
      </c>
      <c r="AG283" s="417">
        <f t="shared" si="553"/>
        <v>99</v>
      </c>
      <c r="AH283" s="386">
        <f t="shared" si="553"/>
        <v>0</v>
      </c>
      <c r="AI283" s="265">
        <f t="shared" si="511"/>
        <v>-100</v>
      </c>
      <c r="AJ283" s="417">
        <v>276</v>
      </c>
      <c r="AK283" s="386">
        <v>161</v>
      </c>
      <c r="AL283" s="265">
        <f t="shared" si="512"/>
        <v>-41.7</v>
      </c>
      <c r="AM283" s="722">
        <f t="shared" si="554"/>
        <v>33</v>
      </c>
      <c r="AN283" s="714">
        <f t="shared" si="555"/>
        <v>2</v>
      </c>
      <c r="AO283" s="705">
        <f t="shared" si="545"/>
        <v>-93.9</v>
      </c>
      <c r="AP283" s="770">
        <v>309</v>
      </c>
      <c r="AQ283" s="714">
        <v>163</v>
      </c>
      <c r="AR283" s="705">
        <f t="shared" si="516"/>
        <v>-47.2</v>
      </c>
      <c r="AS283" s="770">
        <f t="shared" si="556"/>
        <v>66</v>
      </c>
      <c r="AT283" s="714">
        <f t="shared" si="556"/>
        <v>82</v>
      </c>
      <c r="AU283" s="705">
        <f t="shared" si="546"/>
        <v>24.2</v>
      </c>
      <c r="AV283" s="992">
        <v>375</v>
      </c>
      <c r="AW283" s="990">
        <v>245</v>
      </c>
      <c r="AX283" s="705">
        <f t="shared" si="519"/>
        <v>-34.700000000000003</v>
      </c>
      <c r="AY283" s="770">
        <f t="shared" si="557"/>
        <v>15</v>
      </c>
      <c r="AZ283" s="714">
        <f t="shared" si="558"/>
        <v>63</v>
      </c>
      <c r="BA283" s="705">
        <f t="shared" si="547"/>
        <v>320</v>
      </c>
      <c r="BB283" s="770">
        <v>390</v>
      </c>
      <c r="BC283" s="714">
        <v>308</v>
      </c>
      <c r="BD283" s="705">
        <f t="shared" si="523"/>
        <v>-21</v>
      </c>
      <c r="BE283" s="770">
        <f t="shared" si="559"/>
        <v>0</v>
      </c>
      <c r="BF283" s="714">
        <f t="shared" si="559"/>
        <v>82</v>
      </c>
      <c r="BG283" s="737">
        <v>0</v>
      </c>
      <c r="BH283" s="689">
        <v>390</v>
      </c>
      <c r="BI283" s="770">
        <v>390</v>
      </c>
      <c r="BJ283" s="705">
        <f t="shared" si="526"/>
        <v>0</v>
      </c>
      <c r="BK283" s="770">
        <f t="shared" si="560"/>
        <v>33</v>
      </c>
      <c r="BL283" s="714">
        <f t="shared" si="560"/>
        <v>66</v>
      </c>
      <c r="BM283" s="737">
        <v>0</v>
      </c>
      <c r="BN283" s="689">
        <v>423</v>
      </c>
      <c r="BO283" s="770">
        <v>456</v>
      </c>
      <c r="BP283" s="705">
        <f t="shared" si="529"/>
        <v>7.8</v>
      </c>
      <c r="BQ283" s="770">
        <f t="shared" si="561"/>
        <v>29</v>
      </c>
      <c r="BR283" s="714">
        <f t="shared" si="561"/>
        <v>0</v>
      </c>
      <c r="BS283" s="705">
        <f t="shared" si="536"/>
        <v>-100</v>
      </c>
      <c r="BT283" s="689">
        <v>452</v>
      </c>
      <c r="BU283" s="770">
        <v>456</v>
      </c>
      <c r="BV283" s="705">
        <f t="shared" si="532"/>
        <v>0.9</v>
      </c>
    </row>
    <row r="284" spans="1:74">
      <c r="A284" s="96"/>
      <c r="B284" s="4"/>
      <c r="C284" s="105" t="s">
        <v>96</v>
      </c>
      <c r="D284" s="98">
        <v>638</v>
      </c>
      <c r="E284" s="98">
        <v>635</v>
      </c>
      <c r="F284" s="98">
        <v>743</v>
      </c>
      <c r="G284" s="98">
        <v>713</v>
      </c>
      <c r="H284" s="98">
        <v>673</v>
      </c>
      <c r="I284" s="98">
        <v>555</v>
      </c>
      <c r="J284" s="106">
        <v>415</v>
      </c>
      <c r="K284" s="98">
        <v>328</v>
      </c>
      <c r="L284" s="417">
        <v>28</v>
      </c>
      <c r="M284" s="386">
        <v>29</v>
      </c>
      <c r="N284" s="265">
        <f t="shared" si="498"/>
        <v>3.6</v>
      </c>
      <c r="O284" s="417">
        <f t="shared" si="548"/>
        <v>30</v>
      </c>
      <c r="P284" s="386">
        <f t="shared" si="548"/>
        <v>10</v>
      </c>
      <c r="Q284" s="265">
        <f t="shared" si="540"/>
        <v>-66.7</v>
      </c>
      <c r="R284" s="417">
        <v>58</v>
      </c>
      <c r="S284" s="386">
        <v>39</v>
      </c>
      <c r="T284" s="265">
        <f t="shared" si="541"/>
        <v>-32.799999999999997</v>
      </c>
      <c r="U284" s="417">
        <f t="shared" si="549"/>
        <v>21</v>
      </c>
      <c r="V284" s="386">
        <f t="shared" si="550"/>
        <v>20</v>
      </c>
      <c r="W284" s="265">
        <f t="shared" si="542"/>
        <v>-4.8</v>
      </c>
      <c r="X284" s="417">
        <v>79</v>
      </c>
      <c r="Y284" s="386">
        <v>59</v>
      </c>
      <c r="Z284" s="265">
        <f t="shared" si="543"/>
        <v>-25.3</v>
      </c>
      <c r="AA284" s="417">
        <f t="shared" si="551"/>
        <v>13</v>
      </c>
      <c r="AB284" s="386">
        <f t="shared" si="552"/>
        <v>11</v>
      </c>
      <c r="AC284" s="265">
        <f t="shared" si="538"/>
        <v>-15.4</v>
      </c>
      <c r="AD284" s="417">
        <v>92</v>
      </c>
      <c r="AE284" s="386">
        <v>70</v>
      </c>
      <c r="AF284" s="265">
        <f t="shared" si="544"/>
        <v>-23.9</v>
      </c>
      <c r="AG284" s="417">
        <f t="shared" si="553"/>
        <v>17</v>
      </c>
      <c r="AH284" s="386">
        <f t="shared" si="553"/>
        <v>21</v>
      </c>
      <c r="AI284" s="265">
        <f t="shared" si="511"/>
        <v>23.5</v>
      </c>
      <c r="AJ284" s="417">
        <v>109</v>
      </c>
      <c r="AK284" s="386">
        <v>91</v>
      </c>
      <c r="AL284" s="265">
        <f t="shared" si="512"/>
        <v>-16.5</v>
      </c>
      <c r="AM284" s="722">
        <f t="shared" si="554"/>
        <v>30</v>
      </c>
      <c r="AN284" s="714">
        <f t="shared" si="555"/>
        <v>19</v>
      </c>
      <c r="AO284" s="705">
        <f t="shared" si="545"/>
        <v>-36.700000000000003</v>
      </c>
      <c r="AP284" s="770">
        <v>139</v>
      </c>
      <c r="AQ284" s="714">
        <v>110</v>
      </c>
      <c r="AR284" s="705">
        <f t="shared" si="516"/>
        <v>-20.9</v>
      </c>
      <c r="AS284" s="770">
        <f t="shared" si="556"/>
        <v>41</v>
      </c>
      <c r="AT284" s="714">
        <f t="shared" si="556"/>
        <v>24</v>
      </c>
      <c r="AU284" s="705">
        <f t="shared" si="546"/>
        <v>-41.5</v>
      </c>
      <c r="AV284" s="992">
        <v>180</v>
      </c>
      <c r="AW284" s="990">
        <v>134</v>
      </c>
      <c r="AX284" s="705">
        <f t="shared" si="519"/>
        <v>-25.6</v>
      </c>
      <c r="AY284" s="770">
        <f t="shared" si="557"/>
        <v>33</v>
      </c>
      <c r="AZ284" s="714">
        <f t="shared" si="558"/>
        <v>28</v>
      </c>
      <c r="BA284" s="705">
        <f t="shared" si="547"/>
        <v>-15.2</v>
      </c>
      <c r="BB284" s="770">
        <v>213</v>
      </c>
      <c r="BC284" s="714">
        <v>162</v>
      </c>
      <c r="BD284" s="705">
        <f t="shared" si="523"/>
        <v>-23.9</v>
      </c>
      <c r="BE284" s="770">
        <f t="shared" si="559"/>
        <v>31</v>
      </c>
      <c r="BF284" s="714">
        <f t="shared" si="559"/>
        <v>29</v>
      </c>
      <c r="BG284" s="705">
        <f t="shared" si="525"/>
        <v>-6.5</v>
      </c>
      <c r="BH284" s="689">
        <v>244</v>
      </c>
      <c r="BI284" s="770">
        <v>191</v>
      </c>
      <c r="BJ284" s="705">
        <f t="shared" si="526"/>
        <v>-21.7</v>
      </c>
      <c r="BK284" s="770">
        <f t="shared" si="560"/>
        <v>33</v>
      </c>
      <c r="BL284" s="714">
        <f t="shared" si="560"/>
        <v>31</v>
      </c>
      <c r="BM284" s="705">
        <f t="shared" ref="BM284:BM290" si="562">ROUND(((BL284/BK284-1)*100), 1)</f>
        <v>-6.1</v>
      </c>
      <c r="BN284" s="689">
        <v>277</v>
      </c>
      <c r="BO284" s="770">
        <v>222</v>
      </c>
      <c r="BP284" s="705">
        <f t="shared" si="529"/>
        <v>-19.899999999999999</v>
      </c>
      <c r="BQ284" s="770">
        <f t="shared" si="561"/>
        <v>23</v>
      </c>
      <c r="BR284" s="714">
        <f t="shared" si="561"/>
        <v>20</v>
      </c>
      <c r="BS284" s="705">
        <f t="shared" si="536"/>
        <v>-13</v>
      </c>
      <c r="BT284" s="689">
        <v>300</v>
      </c>
      <c r="BU284" s="770">
        <v>242</v>
      </c>
      <c r="BV284" s="705">
        <f t="shared" si="532"/>
        <v>-19.3</v>
      </c>
    </row>
    <row r="285" spans="1:74">
      <c r="A285" s="96"/>
      <c r="B285" s="4"/>
      <c r="C285" s="105" t="s">
        <v>113</v>
      </c>
      <c r="D285" s="98">
        <v>176</v>
      </c>
      <c r="E285" s="98">
        <v>164</v>
      </c>
      <c r="F285" s="98">
        <v>170</v>
      </c>
      <c r="G285" s="98">
        <v>160</v>
      </c>
      <c r="H285" s="98">
        <v>132</v>
      </c>
      <c r="I285" s="98">
        <v>141</v>
      </c>
      <c r="J285" s="106">
        <v>148</v>
      </c>
      <c r="K285" s="98">
        <v>224</v>
      </c>
      <c r="L285" s="417">
        <v>22</v>
      </c>
      <c r="M285" s="386">
        <v>53</v>
      </c>
      <c r="N285" s="265">
        <f t="shared" si="498"/>
        <v>140.9</v>
      </c>
      <c r="O285" s="417">
        <f t="shared" si="548"/>
        <v>10</v>
      </c>
      <c r="P285" s="386">
        <f t="shared" si="548"/>
        <v>36</v>
      </c>
      <c r="Q285" s="265">
        <f t="shared" si="540"/>
        <v>260</v>
      </c>
      <c r="R285" s="417">
        <v>32</v>
      </c>
      <c r="S285" s="386">
        <v>89</v>
      </c>
      <c r="T285" s="265">
        <f t="shared" si="541"/>
        <v>178.1</v>
      </c>
      <c r="U285" s="417">
        <f t="shared" si="549"/>
        <v>0</v>
      </c>
      <c r="V285" s="386">
        <f t="shared" si="550"/>
        <v>25</v>
      </c>
      <c r="W285" s="523">
        <v>0</v>
      </c>
      <c r="X285" s="417">
        <v>32</v>
      </c>
      <c r="Y285" s="386">
        <v>114</v>
      </c>
      <c r="Z285" s="265">
        <f t="shared" si="543"/>
        <v>256.3</v>
      </c>
      <c r="AA285" s="417">
        <f t="shared" si="551"/>
        <v>25</v>
      </c>
      <c r="AB285" s="386">
        <f t="shared" si="552"/>
        <v>34</v>
      </c>
      <c r="AC285" s="265">
        <f t="shared" si="538"/>
        <v>36</v>
      </c>
      <c r="AD285" s="417">
        <v>57</v>
      </c>
      <c r="AE285" s="386">
        <v>148</v>
      </c>
      <c r="AF285" s="265">
        <f t="shared" si="544"/>
        <v>159.6</v>
      </c>
      <c r="AG285" s="417">
        <f t="shared" si="553"/>
        <v>0</v>
      </c>
      <c r="AH285" s="386">
        <f t="shared" si="553"/>
        <v>10</v>
      </c>
      <c r="AI285" s="529">
        <v>0</v>
      </c>
      <c r="AJ285" s="417">
        <v>57</v>
      </c>
      <c r="AK285" s="386">
        <v>158</v>
      </c>
      <c r="AL285" s="265">
        <f t="shared" si="512"/>
        <v>177.2</v>
      </c>
      <c r="AM285" s="722">
        <f t="shared" si="554"/>
        <v>17</v>
      </c>
      <c r="AN285" s="714">
        <f t="shared" si="555"/>
        <v>0</v>
      </c>
      <c r="AO285" s="705">
        <f>ROUND(((AN285/AM285-1)*100), 1)</f>
        <v>-100</v>
      </c>
      <c r="AP285" s="770">
        <v>74</v>
      </c>
      <c r="AQ285" s="714">
        <v>158</v>
      </c>
      <c r="AR285" s="705">
        <f t="shared" si="516"/>
        <v>113.5</v>
      </c>
      <c r="AS285" s="770">
        <f t="shared" si="556"/>
        <v>20</v>
      </c>
      <c r="AT285" s="714">
        <f t="shared" si="556"/>
        <v>35</v>
      </c>
      <c r="AU285" s="705">
        <f t="shared" si="546"/>
        <v>75</v>
      </c>
      <c r="AV285" s="992">
        <v>94</v>
      </c>
      <c r="AW285" s="990">
        <v>193</v>
      </c>
      <c r="AX285" s="705">
        <f t="shared" si="519"/>
        <v>105.3</v>
      </c>
      <c r="AY285" s="770">
        <f t="shared" si="557"/>
        <v>10</v>
      </c>
      <c r="AZ285" s="714">
        <f t="shared" si="558"/>
        <v>22</v>
      </c>
      <c r="BA285" s="705">
        <f t="shared" si="547"/>
        <v>120</v>
      </c>
      <c r="BB285" s="770">
        <v>104</v>
      </c>
      <c r="BC285" s="714">
        <v>215</v>
      </c>
      <c r="BD285" s="705">
        <f t="shared" si="523"/>
        <v>106.7</v>
      </c>
      <c r="BE285" s="770">
        <f t="shared" si="559"/>
        <v>42</v>
      </c>
      <c r="BF285" s="714">
        <f t="shared" si="559"/>
        <v>1</v>
      </c>
      <c r="BG285" s="705">
        <f t="shared" si="525"/>
        <v>-97.6</v>
      </c>
      <c r="BH285" s="689">
        <v>146</v>
      </c>
      <c r="BI285" s="770">
        <v>216</v>
      </c>
      <c r="BJ285" s="705">
        <f t="shared" si="526"/>
        <v>47.9</v>
      </c>
      <c r="BK285" s="770">
        <f t="shared" si="560"/>
        <v>63</v>
      </c>
      <c r="BL285" s="714">
        <f t="shared" si="560"/>
        <v>1</v>
      </c>
      <c r="BM285" s="705">
        <f t="shared" si="562"/>
        <v>-98.4</v>
      </c>
      <c r="BN285" s="689">
        <v>209</v>
      </c>
      <c r="BO285" s="770">
        <v>217</v>
      </c>
      <c r="BP285" s="705">
        <f t="shared" si="529"/>
        <v>3.8</v>
      </c>
      <c r="BQ285" s="770">
        <f t="shared" si="561"/>
        <v>15</v>
      </c>
      <c r="BR285" s="714">
        <f t="shared" si="561"/>
        <v>35</v>
      </c>
      <c r="BS285" s="705">
        <f t="shared" si="536"/>
        <v>133.30000000000001</v>
      </c>
      <c r="BT285" s="689">
        <v>224</v>
      </c>
      <c r="BU285" s="770">
        <v>252</v>
      </c>
      <c r="BV285" s="705">
        <f t="shared" si="532"/>
        <v>12.5</v>
      </c>
    </row>
    <row r="286" spans="1:74">
      <c r="A286" s="96"/>
      <c r="B286" s="4"/>
      <c r="C286" s="105" t="s">
        <v>111</v>
      </c>
      <c r="D286" s="98">
        <v>434</v>
      </c>
      <c r="E286" s="98">
        <v>489</v>
      </c>
      <c r="F286" s="98">
        <v>664</v>
      </c>
      <c r="G286" s="98">
        <v>535</v>
      </c>
      <c r="H286" s="98">
        <v>620</v>
      </c>
      <c r="I286" s="98">
        <v>525</v>
      </c>
      <c r="J286" s="106">
        <v>180</v>
      </c>
      <c r="K286" s="98">
        <v>220</v>
      </c>
      <c r="L286" s="417">
        <v>8</v>
      </c>
      <c r="M286" s="386">
        <v>0</v>
      </c>
      <c r="N286" s="265">
        <f t="shared" si="498"/>
        <v>-100</v>
      </c>
      <c r="O286" s="417">
        <f t="shared" si="548"/>
        <v>17</v>
      </c>
      <c r="P286" s="386">
        <f t="shared" si="548"/>
        <v>0</v>
      </c>
      <c r="Q286" s="265">
        <f t="shared" si="540"/>
        <v>-100</v>
      </c>
      <c r="R286" s="417">
        <v>25</v>
      </c>
      <c r="S286" s="386">
        <v>0</v>
      </c>
      <c r="T286" s="265">
        <f t="shared" si="541"/>
        <v>-100</v>
      </c>
      <c r="U286" s="417">
        <f t="shared" si="549"/>
        <v>17</v>
      </c>
      <c r="V286" s="386">
        <f t="shared" si="550"/>
        <v>54</v>
      </c>
      <c r="W286" s="265">
        <f t="shared" si="542"/>
        <v>217.6</v>
      </c>
      <c r="X286" s="417">
        <v>42</v>
      </c>
      <c r="Y286" s="386">
        <v>54</v>
      </c>
      <c r="Z286" s="265">
        <f t="shared" si="543"/>
        <v>28.6</v>
      </c>
      <c r="AA286" s="417">
        <f t="shared" si="551"/>
        <v>28</v>
      </c>
      <c r="AB286" s="386">
        <f t="shared" si="552"/>
        <v>52</v>
      </c>
      <c r="AC286" s="265">
        <f t="shared" ref="AC286:AC291" si="563">ROUND(((AB286/AA286-1)*100), 1)</f>
        <v>85.7</v>
      </c>
      <c r="AD286" s="417">
        <v>70</v>
      </c>
      <c r="AE286" s="386">
        <v>106</v>
      </c>
      <c r="AF286" s="265">
        <f t="shared" si="544"/>
        <v>51.4</v>
      </c>
      <c r="AG286" s="417">
        <f t="shared" si="553"/>
        <v>34</v>
      </c>
      <c r="AH286" s="386">
        <f t="shared" si="553"/>
        <v>23</v>
      </c>
      <c r="AI286" s="265">
        <f t="shared" si="511"/>
        <v>-32.4</v>
      </c>
      <c r="AJ286" s="417">
        <v>104</v>
      </c>
      <c r="AK286" s="386">
        <v>129</v>
      </c>
      <c r="AL286" s="265">
        <f t="shared" si="512"/>
        <v>24</v>
      </c>
      <c r="AM286" s="722">
        <f t="shared" si="554"/>
        <v>34</v>
      </c>
      <c r="AN286" s="714">
        <f t="shared" si="555"/>
        <v>28</v>
      </c>
      <c r="AO286" s="705">
        <f t="shared" ref="AO286:AO290" si="564">ROUND(((AN286/AM286-1)*100), 1)</f>
        <v>-17.600000000000001</v>
      </c>
      <c r="AP286" s="770">
        <v>138</v>
      </c>
      <c r="AQ286" s="714">
        <v>157</v>
      </c>
      <c r="AR286" s="705">
        <f t="shared" si="516"/>
        <v>13.8</v>
      </c>
      <c r="AS286" s="770">
        <f t="shared" si="556"/>
        <v>9</v>
      </c>
      <c r="AT286" s="714">
        <f t="shared" si="556"/>
        <v>39</v>
      </c>
      <c r="AU286" s="705">
        <f t="shared" si="546"/>
        <v>333.3</v>
      </c>
      <c r="AV286" s="992">
        <v>147</v>
      </c>
      <c r="AW286" s="990">
        <v>196</v>
      </c>
      <c r="AX286" s="705">
        <f t="shared" si="519"/>
        <v>33.299999999999997</v>
      </c>
      <c r="AY286" s="770">
        <f t="shared" si="557"/>
        <v>17</v>
      </c>
      <c r="AZ286" s="714">
        <f t="shared" si="558"/>
        <v>0</v>
      </c>
      <c r="BA286" s="705">
        <f t="shared" si="547"/>
        <v>-100</v>
      </c>
      <c r="BB286" s="770">
        <v>164</v>
      </c>
      <c r="BC286" s="714">
        <v>196</v>
      </c>
      <c r="BD286" s="705">
        <f t="shared" si="523"/>
        <v>19.5</v>
      </c>
      <c r="BE286" s="770">
        <f t="shared" si="559"/>
        <v>9</v>
      </c>
      <c r="BF286" s="714">
        <f t="shared" si="559"/>
        <v>20</v>
      </c>
      <c r="BG286" s="705">
        <f t="shared" si="525"/>
        <v>122.2</v>
      </c>
      <c r="BH286" s="689">
        <v>173</v>
      </c>
      <c r="BI286" s="770">
        <v>216</v>
      </c>
      <c r="BJ286" s="705">
        <f t="shared" si="526"/>
        <v>24.9</v>
      </c>
      <c r="BK286" s="770">
        <f t="shared" si="560"/>
        <v>25</v>
      </c>
      <c r="BL286" s="714">
        <f t="shared" si="560"/>
        <v>0</v>
      </c>
      <c r="BM286" s="705">
        <f t="shared" si="562"/>
        <v>-100</v>
      </c>
      <c r="BN286" s="689">
        <v>198</v>
      </c>
      <c r="BO286" s="770">
        <v>216</v>
      </c>
      <c r="BP286" s="705">
        <f t="shared" si="529"/>
        <v>9.1</v>
      </c>
      <c r="BQ286" s="770">
        <f t="shared" si="561"/>
        <v>3</v>
      </c>
      <c r="BR286" s="714">
        <f t="shared" si="561"/>
        <v>0</v>
      </c>
      <c r="BS286" s="705">
        <f t="shared" si="536"/>
        <v>-100</v>
      </c>
      <c r="BT286" s="689">
        <v>201</v>
      </c>
      <c r="BU286" s="770">
        <v>216</v>
      </c>
      <c r="BV286" s="705">
        <f t="shared" si="532"/>
        <v>7.5</v>
      </c>
    </row>
    <row r="287" spans="1:74">
      <c r="A287" s="96"/>
      <c r="B287" s="4"/>
      <c r="C287" s="105" t="s">
        <v>133</v>
      </c>
      <c r="D287" s="98">
        <v>227</v>
      </c>
      <c r="E287" s="98">
        <v>332</v>
      </c>
      <c r="F287" s="98">
        <v>169</v>
      </c>
      <c r="G287" s="98">
        <v>186</v>
      </c>
      <c r="H287" s="98">
        <v>131</v>
      </c>
      <c r="I287" s="98">
        <v>124</v>
      </c>
      <c r="J287" s="106">
        <v>176</v>
      </c>
      <c r="K287" s="98">
        <v>202</v>
      </c>
      <c r="L287" s="417">
        <v>25</v>
      </c>
      <c r="M287" s="386">
        <v>0</v>
      </c>
      <c r="N287" s="265">
        <f t="shared" si="498"/>
        <v>-100</v>
      </c>
      <c r="O287" s="417">
        <f t="shared" si="548"/>
        <v>2</v>
      </c>
      <c r="P287" s="386">
        <f t="shared" si="548"/>
        <v>4</v>
      </c>
      <c r="Q287" s="265">
        <f t="shared" si="540"/>
        <v>100</v>
      </c>
      <c r="R287" s="417">
        <v>27</v>
      </c>
      <c r="S287" s="386">
        <v>4</v>
      </c>
      <c r="T287" s="265">
        <f t="shared" si="541"/>
        <v>-85.2</v>
      </c>
      <c r="U287" s="417">
        <f t="shared" si="549"/>
        <v>10</v>
      </c>
      <c r="V287" s="386">
        <f t="shared" si="550"/>
        <v>21</v>
      </c>
      <c r="W287" s="265">
        <f t="shared" si="542"/>
        <v>110</v>
      </c>
      <c r="X287" s="417">
        <v>37</v>
      </c>
      <c r="Y287" s="386">
        <v>25</v>
      </c>
      <c r="Z287" s="265">
        <f t="shared" si="543"/>
        <v>-32.4</v>
      </c>
      <c r="AA287" s="417">
        <f t="shared" si="551"/>
        <v>18</v>
      </c>
      <c r="AB287" s="386">
        <f t="shared" si="552"/>
        <v>3</v>
      </c>
      <c r="AC287" s="265">
        <f t="shared" si="563"/>
        <v>-83.3</v>
      </c>
      <c r="AD287" s="417">
        <v>55</v>
      </c>
      <c r="AE287" s="386">
        <v>28</v>
      </c>
      <c r="AF287" s="265">
        <f t="shared" si="544"/>
        <v>-49.1</v>
      </c>
      <c r="AG287" s="417">
        <f t="shared" si="553"/>
        <v>13</v>
      </c>
      <c r="AH287" s="386">
        <f t="shared" si="553"/>
        <v>2</v>
      </c>
      <c r="AI287" s="265">
        <f t="shared" si="511"/>
        <v>-84.6</v>
      </c>
      <c r="AJ287" s="417">
        <v>68</v>
      </c>
      <c r="AK287" s="386">
        <v>30</v>
      </c>
      <c r="AL287" s="265">
        <f t="shared" si="512"/>
        <v>-55.9</v>
      </c>
      <c r="AM287" s="722">
        <f t="shared" si="554"/>
        <v>20</v>
      </c>
      <c r="AN287" s="714">
        <f t="shared" si="555"/>
        <v>66</v>
      </c>
      <c r="AO287" s="705">
        <f t="shared" si="564"/>
        <v>230</v>
      </c>
      <c r="AP287" s="770">
        <v>88</v>
      </c>
      <c r="AQ287" s="714">
        <v>96</v>
      </c>
      <c r="AR287" s="705">
        <f t="shared" si="516"/>
        <v>9.1</v>
      </c>
      <c r="AS287" s="770">
        <f t="shared" si="556"/>
        <v>3</v>
      </c>
      <c r="AT287" s="714">
        <f t="shared" si="556"/>
        <v>12</v>
      </c>
      <c r="AU287" s="705">
        <f t="shared" si="546"/>
        <v>300</v>
      </c>
      <c r="AV287" s="992">
        <v>91</v>
      </c>
      <c r="AW287" s="990">
        <v>108</v>
      </c>
      <c r="AX287" s="705">
        <f t="shared" si="519"/>
        <v>18.7</v>
      </c>
      <c r="AY287" s="770">
        <f t="shared" si="557"/>
        <v>32</v>
      </c>
      <c r="AZ287" s="714">
        <f t="shared" si="558"/>
        <v>25</v>
      </c>
      <c r="BA287" s="705">
        <f t="shared" si="547"/>
        <v>-21.9</v>
      </c>
      <c r="BB287" s="770">
        <v>123</v>
      </c>
      <c r="BC287" s="714">
        <v>133</v>
      </c>
      <c r="BD287" s="705">
        <f t="shared" si="523"/>
        <v>8.1</v>
      </c>
      <c r="BE287" s="770">
        <f t="shared" si="559"/>
        <v>1</v>
      </c>
      <c r="BF287" s="714">
        <f t="shared" si="559"/>
        <v>4</v>
      </c>
      <c r="BG287" s="705">
        <f t="shared" si="525"/>
        <v>300</v>
      </c>
      <c r="BH287" s="689">
        <v>124</v>
      </c>
      <c r="BI287" s="770">
        <v>137</v>
      </c>
      <c r="BJ287" s="705">
        <f t="shared" si="526"/>
        <v>10.5</v>
      </c>
      <c r="BK287" s="770">
        <f t="shared" si="560"/>
        <v>29</v>
      </c>
      <c r="BL287" s="714">
        <f t="shared" si="560"/>
        <v>3</v>
      </c>
      <c r="BM287" s="705">
        <f t="shared" si="562"/>
        <v>-89.7</v>
      </c>
      <c r="BN287" s="689">
        <v>153</v>
      </c>
      <c r="BO287" s="770">
        <v>140</v>
      </c>
      <c r="BP287" s="705">
        <f t="shared" si="529"/>
        <v>-8.5</v>
      </c>
      <c r="BQ287" s="770">
        <f t="shared" si="561"/>
        <v>18</v>
      </c>
      <c r="BR287" s="714">
        <f t="shared" si="561"/>
        <v>8</v>
      </c>
      <c r="BS287" s="705">
        <f t="shared" si="536"/>
        <v>-55.6</v>
      </c>
      <c r="BT287" s="689">
        <v>171</v>
      </c>
      <c r="BU287" s="770">
        <v>148</v>
      </c>
      <c r="BV287" s="705">
        <f t="shared" si="532"/>
        <v>-13.5</v>
      </c>
    </row>
    <row r="288" spans="1:74">
      <c r="A288" s="96"/>
      <c r="B288" s="4"/>
      <c r="C288" s="105" t="s">
        <v>107</v>
      </c>
      <c r="D288" s="98">
        <v>322</v>
      </c>
      <c r="E288" s="98">
        <v>214</v>
      </c>
      <c r="F288" s="98">
        <v>140</v>
      </c>
      <c r="G288" s="98">
        <v>117</v>
      </c>
      <c r="H288" s="98">
        <v>107</v>
      </c>
      <c r="I288" s="98">
        <v>128</v>
      </c>
      <c r="J288" s="106">
        <v>158</v>
      </c>
      <c r="K288" s="98">
        <v>181</v>
      </c>
      <c r="L288" s="417">
        <v>2</v>
      </c>
      <c r="M288" s="386">
        <v>5</v>
      </c>
      <c r="N288" s="265">
        <f t="shared" si="498"/>
        <v>150</v>
      </c>
      <c r="O288" s="417">
        <f t="shared" si="548"/>
        <v>16</v>
      </c>
      <c r="P288" s="386">
        <f t="shared" si="548"/>
        <v>5</v>
      </c>
      <c r="Q288" s="265">
        <f t="shared" si="540"/>
        <v>-68.8</v>
      </c>
      <c r="R288" s="417">
        <v>18</v>
      </c>
      <c r="S288" s="386">
        <v>10</v>
      </c>
      <c r="T288" s="265">
        <f t="shared" si="541"/>
        <v>-44.4</v>
      </c>
      <c r="U288" s="417">
        <f t="shared" si="549"/>
        <v>10</v>
      </c>
      <c r="V288" s="386">
        <f t="shared" si="550"/>
        <v>6</v>
      </c>
      <c r="W288" s="265">
        <f t="shared" si="542"/>
        <v>-40</v>
      </c>
      <c r="X288" s="417">
        <v>28</v>
      </c>
      <c r="Y288" s="386">
        <v>16</v>
      </c>
      <c r="Z288" s="265">
        <f t="shared" si="543"/>
        <v>-42.9</v>
      </c>
      <c r="AA288" s="417">
        <f t="shared" si="551"/>
        <v>12</v>
      </c>
      <c r="AB288" s="386">
        <f t="shared" si="552"/>
        <v>5</v>
      </c>
      <c r="AC288" s="265">
        <f t="shared" si="563"/>
        <v>-58.3</v>
      </c>
      <c r="AD288" s="417">
        <v>40</v>
      </c>
      <c r="AE288" s="386">
        <v>21</v>
      </c>
      <c r="AF288" s="265">
        <f t="shared" si="544"/>
        <v>-47.5</v>
      </c>
      <c r="AG288" s="417">
        <f t="shared" si="553"/>
        <v>6</v>
      </c>
      <c r="AH288" s="386">
        <f t="shared" si="553"/>
        <v>30</v>
      </c>
      <c r="AI288" s="265">
        <f t="shared" si="511"/>
        <v>400</v>
      </c>
      <c r="AJ288" s="417">
        <v>46</v>
      </c>
      <c r="AK288" s="386">
        <v>51</v>
      </c>
      <c r="AL288" s="265">
        <f t="shared" si="512"/>
        <v>10.9</v>
      </c>
      <c r="AM288" s="722">
        <f t="shared" si="554"/>
        <v>20</v>
      </c>
      <c r="AN288" s="714">
        <f t="shared" si="555"/>
        <v>3</v>
      </c>
      <c r="AO288" s="705">
        <f t="shared" si="564"/>
        <v>-85</v>
      </c>
      <c r="AP288" s="770">
        <v>66</v>
      </c>
      <c r="AQ288" s="714">
        <v>54</v>
      </c>
      <c r="AR288" s="705">
        <f t="shared" si="516"/>
        <v>-18.2</v>
      </c>
      <c r="AS288" s="770">
        <f t="shared" si="556"/>
        <v>15</v>
      </c>
      <c r="AT288" s="714">
        <f t="shared" si="556"/>
        <v>15</v>
      </c>
      <c r="AU288" s="705">
        <f t="shared" si="546"/>
        <v>0</v>
      </c>
      <c r="AV288" s="992">
        <v>81</v>
      </c>
      <c r="AW288" s="990">
        <v>69</v>
      </c>
      <c r="AX288" s="705">
        <f t="shared" si="519"/>
        <v>-14.8</v>
      </c>
      <c r="AY288" s="770">
        <f t="shared" si="557"/>
        <v>22</v>
      </c>
      <c r="AZ288" s="714">
        <f t="shared" si="558"/>
        <v>1</v>
      </c>
      <c r="BA288" s="705">
        <f t="shared" si="547"/>
        <v>-95.5</v>
      </c>
      <c r="BB288" s="770">
        <v>103</v>
      </c>
      <c r="BC288" s="714">
        <v>70</v>
      </c>
      <c r="BD288" s="705">
        <f t="shared" si="523"/>
        <v>-32</v>
      </c>
      <c r="BE288" s="770">
        <f t="shared" si="559"/>
        <v>15</v>
      </c>
      <c r="BF288" s="714">
        <f t="shared" si="559"/>
        <v>10</v>
      </c>
      <c r="BG288" s="705">
        <f t="shared" si="525"/>
        <v>-33.299999999999997</v>
      </c>
      <c r="BH288" s="689">
        <v>118</v>
      </c>
      <c r="BI288" s="770">
        <v>80</v>
      </c>
      <c r="BJ288" s="705">
        <f t="shared" si="526"/>
        <v>-32.200000000000003</v>
      </c>
      <c r="BK288" s="770">
        <f t="shared" si="560"/>
        <v>23</v>
      </c>
      <c r="BL288" s="714">
        <f t="shared" si="560"/>
        <v>11</v>
      </c>
      <c r="BM288" s="705">
        <f t="shared" si="562"/>
        <v>-52.2</v>
      </c>
      <c r="BN288" s="689">
        <v>141</v>
      </c>
      <c r="BO288" s="770">
        <v>91</v>
      </c>
      <c r="BP288" s="705">
        <f t="shared" si="529"/>
        <v>-35.5</v>
      </c>
      <c r="BQ288" s="770">
        <f t="shared" si="561"/>
        <v>22</v>
      </c>
      <c r="BR288" s="714">
        <f t="shared" si="561"/>
        <v>14</v>
      </c>
      <c r="BS288" s="705">
        <f t="shared" si="536"/>
        <v>-36.4</v>
      </c>
      <c r="BT288" s="689">
        <v>163</v>
      </c>
      <c r="BU288" s="770">
        <v>105</v>
      </c>
      <c r="BV288" s="705">
        <f t="shared" si="532"/>
        <v>-35.6</v>
      </c>
    </row>
    <row r="289" spans="1:74">
      <c r="A289" s="96"/>
      <c r="B289" s="4"/>
      <c r="C289" s="105" t="s">
        <v>239</v>
      </c>
      <c r="D289" s="98">
        <v>162</v>
      </c>
      <c r="E289" s="98">
        <v>249</v>
      </c>
      <c r="F289" s="98">
        <v>285</v>
      </c>
      <c r="G289" s="98">
        <v>189</v>
      </c>
      <c r="H289" s="98">
        <v>237</v>
      </c>
      <c r="I289" s="98">
        <v>137</v>
      </c>
      <c r="J289" s="106">
        <v>135</v>
      </c>
      <c r="K289" s="98">
        <v>111</v>
      </c>
      <c r="L289" s="417">
        <v>22</v>
      </c>
      <c r="M289" s="386">
        <v>6</v>
      </c>
      <c r="N289" s="265">
        <f t="shared" si="498"/>
        <v>-72.7</v>
      </c>
      <c r="O289" s="417">
        <f t="shared" si="548"/>
        <v>15</v>
      </c>
      <c r="P289" s="386">
        <f t="shared" si="548"/>
        <v>13</v>
      </c>
      <c r="Q289" s="265">
        <f t="shared" si="540"/>
        <v>-13.3</v>
      </c>
      <c r="R289" s="417">
        <v>37</v>
      </c>
      <c r="S289" s="386">
        <v>19</v>
      </c>
      <c r="T289" s="265">
        <f t="shared" si="541"/>
        <v>-48.6</v>
      </c>
      <c r="U289" s="417">
        <f t="shared" si="549"/>
        <v>24</v>
      </c>
      <c r="V289" s="386">
        <f t="shared" si="550"/>
        <v>10</v>
      </c>
      <c r="W289" s="265">
        <f t="shared" si="542"/>
        <v>-58.3</v>
      </c>
      <c r="X289" s="417">
        <v>61</v>
      </c>
      <c r="Y289" s="386">
        <v>29</v>
      </c>
      <c r="Z289" s="265">
        <f t="shared" si="543"/>
        <v>-52.5</v>
      </c>
      <c r="AA289" s="417">
        <f t="shared" si="551"/>
        <v>11</v>
      </c>
      <c r="AB289" s="386">
        <f t="shared" si="552"/>
        <v>21</v>
      </c>
      <c r="AC289" s="265">
        <f t="shared" si="563"/>
        <v>90.9</v>
      </c>
      <c r="AD289" s="417">
        <v>72</v>
      </c>
      <c r="AE289" s="386">
        <v>50</v>
      </c>
      <c r="AF289" s="265">
        <f t="shared" si="544"/>
        <v>-30.6</v>
      </c>
      <c r="AG289" s="417">
        <f t="shared" si="553"/>
        <v>3</v>
      </c>
      <c r="AH289" s="386">
        <f t="shared" si="553"/>
        <v>20</v>
      </c>
      <c r="AI289" s="265">
        <f t="shared" si="511"/>
        <v>566.70000000000005</v>
      </c>
      <c r="AJ289" s="417">
        <v>75</v>
      </c>
      <c r="AK289" s="386">
        <v>70</v>
      </c>
      <c r="AL289" s="265">
        <f t="shared" si="512"/>
        <v>-6.7</v>
      </c>
      <c r="AM289" s="722">
        <f t="shared" si="554"/>
        <v>5</v>
      </c>
      <c r="AN289" s="714">
        <f t="shared" si="555"/>
        <v>5</v>
      </c>
      <c r="AO289" s="705">
        <f t="shared" si="564"/>
        <v>0</v>
      </c>
      <c r="AP289" s="770">
        <v>80</v>
      </c>
      <c r="AQ289" s="714">
        <v>75</v>
      </c>
      <c r="AR289" s="705">
        <f t="shared" si="516"/>
        <v>-6.3</v>
      </c>
      <c r="AS289" s="770">
        <f t="shared" si="556"/>
        <v>15</v>
      </c>
      <c r="AT289" s="714">
        <f t="shared" si="556"/>
        <v>11</v>
      </c>
      <c r="AU289" s="705">
        <f t="shared" si="546"/>
        <v>-26.7</v>
      </c>
      <c r="AV289" s="992">
        <v>95</v>
      </c>
      <c r="AW289" s="990">
        <v>86</v>
      </c>
      <c r="AX289" s="705">
        <f t="shared" si="519"/>
        <v>-9.5</v>
      </c>
      <c r="AY289" s="770">
        <f t="shared" si="557"/>
        <v>3</v>
      </c>
      <c r="AZ289" s="714">
        <f t="shared" si="558"/>
        <v>4</v>
      </c>
      <c r="BA289" s="705">
        <f t="shared" si="547"/>
        <v>33.299999999999997</v>
      </c>
      <c r="BB289" s="770">
        <v>98</v>
      </c>
      <c r="BC289" s="714">
        <v>90</v>
      </c>
      <c r="BD289" s="705">
        <f t="shared" si="523"/>
        <v>-8.1999999999999993</v>
      </c>
      <c r="BE289" s="770">
        <f t="shared" si="559"/>
        <v>3</v>
      </c>
      <c r="BF289" s="714">
        <f t="shared" si="559"/>
        <v>4</v>
      </c>
      <c r="BG289" s="705">
        <f t="shared" si="525"/>
        <v>33.299999999999997</v>
      </c>
      <c r="BH289" s="689">
        <v>101</v>
      </c>
      <c r="BI289" s="770">
        <v>94</v>
      </c>
      <c r="BJ289" s="705">
        <f t="shared" si="526"/>
        <v>-6.9</v>
      </c>
      <c r="BK289" s="770">
        <f t="shared" si="560"/>
        <v>1</v>
      </c>
      <c r="BL289" s="714">
        <f t="shared" si="560"/>
        <v>0</v>
      </c>
      <c r="BM289" s="705">
        <f t="shared" si="562"/>
        <v>-100</v>
      </c>
      <c r="BN289" s="689">
        <v>102</v>
      </c>
      <c r="BO289" s="770">
        <v>94</v>
      </c>
      <c r="BP289" s="705">
        <f t="shared" si="529"/>
        <v>-7.8</v>
      </c>
      <c r="BQ289" s="770">
        <f t="shared" si="561"/>
        <v>9</v>
      </c>
      <c r="BR289" s="714">
        <f t="shared" si="561"/>
        <v>12</v>
      </c>
      <c r="BS289" s="705">
        <f t="shared" si="536"/>
        <v>33.299999999999997</v>
      </c>
      <c r="BT289" s="689">
        <v>111</v>
      </c>
      <c r="BU289" s="770">
        <v>106</v>
      </c>
      <c r="BV289" s="705">
        <f t="shared" si="532"/>
        <v>-4.5</v>
      </c>
    </row>
    <row r="290" spans="1:74">
      <c r="A290" s="96"/>
      <c r="B290" s="4"/>
      <c r="C290" s="105" t="s">
        <v>138</v>
      </c>
      <c r="D290" s="98">
        <v>33</v>
      </c>
      <c r="E290" s="98">
        <v>68</v>
      </c>
      <c r="F290" s="98">
        <v>98</v>
      </c>
      <c r="G290" s="98">
        <v>195</v>
      </c>
      <c r="H290" s="98">
        <v>166</v>
      </c>
      <c r="I290" s="98">
        <v>324</v>
      </c>
      <c r="J290" s="106">
        <v>255</v>
      </c>
      <c r="K290" s="98">
        <v>104</v>
      </c>
      <c r="L290" s="417">
        <v>0</v>
      </c>
      <c r="M290" s="386">
        <v>24</v>
      </c>
      <c r="N290" s="179">
        <v>0</v>
      </c>
      <c r="O290" s="417">
        <f t="shared" si="548"/>
        <v>0</v>
      </c>
      <c r="P290" s="386">
        <f t="shared" si="548"/>
        <v>10</v>
      </c>
      <c r="Q290" s="179">
        <v>0</v>
      </c>
      <c r="R290" s="417">
        <v>0</v>
      </c>
      <c r="S290" s="386">
        <v>34</v>
      </c>
      <c r="T290" s="179">
        <v>0</v>
      </c>
      <c r="U290" s="417">
        <f t="shared" si="549"/>
        <v>0</v>
      </c>
      <c r="V290" s="386">
        <f t="shared" si="550"/>
        <v>15</v>
      </c>
      <c r="W290" s="179">
        <v>0</v>
      </c>
      <c r="X290" s="417">
        <v>0</v>
      </c>
      <c r="Y290" s="386">
        <v>49</v>
      </c>
      <c r="Z290" s="179">
        <v>0</v>
      </c>
      <c r="AA290" s="417">
        <f t="shared" si="551"/>
        <v>32</v>
      </c>
      <c r="AB290" s="386">
        <f t="shared" si="552"/>
        <v>15</v>
      </c>
      <c r="AC290" s="265">
        <f t="shared" si="563"/>
        <v>-53.1</v>
      </c>
      <c r="AD290" s="417">
        <v>32</v>
      </c>
      <c r="AE290" s="386">
        <v>64</v>
      </c>
      <c r="AF290" s="265">
        <f t="shared" si="544"/>
        <v>100</v>
      </c>
      <c r="AG290" s="417">
        <f t="shared" si="553"/>
        <v>1</v>
      </c>
      <c r="AH290" s="386">
        <f t="shared" si="553"/>
        <v>40</v>
      </c>
      <c r="AI290" s="265">
        <f t="shared" si="511"/>
        <v>3900</v>
      </c>
      <c r="AJ290" s="417">
        <v>33</v>
      </c>
      <c r="AK290" s="386">
        <v>104</v>
      </c>
      <c r="AL290" s="265">
        <f t="shared" si="512"/>
        <v>215.2</v>
      </c>
      <c r="AM290" s="722">
        <f t="shared" si="554"/>
        <v>15</v>
      </c>
      <c r="AN290" s="714">
        <f t="shared" si="555"/>
        <v>14</v>
      </c>
      <c r="AO290" s="705">
        <f t="shared" si="564"/>
        <v>-6.7</v>
      </c>
      <c r="AP290" s="770">
        <v>48</v>
      </c>
      <c r="AQ290" s="714">
        <v>118</v>
      </c>
      <c r="AR290" s="705">
        <f t="shared" si="516"/>
        <v>145.80000000000001</v>
      </c>
      <c r="AS290" s="770">
        <f t="shared" si="556"/>
        <v>0</v>
      </c>
      <c r="AT290" s="714">
        <f t="shared" si="556"/>
        <v>0</v>
      </c>
      <c r="AU290" s="751">
        <v>0</v>
      </c>
      <c r="AV290" s="992">
        <v>48</v>
      </c>
      <c r="AW290" s="990">
        <v>118</v>
      </c>
      <c r="AX290" s="705">
        <f t="shared" si="519"/>
        <v>145.80000000000001</v>
      </c>
      <c r="AY290" s="770">
        <f t="shared" si="557"/>
        <v>10</v>
      </c>
      <c r="AZ290" s="714">
        <f t="shared" si="558"/>
        <v>16</v>
      </c>
      <c r="BA290" s="709">
        <f t="shared" ref="BA290:BA291" si="565">ROUND(((AZ290/AY290-1)*100), 1)</f>
        <v>60</v>
      </c>
      <c r="BB290" s="770">
        <v>58</v>
      </c>
      <c r="BC290" s="714">
        <v>134</v>
      </c>
      <c r="BD290" s="705">
        <f t="shared" si="523"/>
        <v>131</v>
      </c>
      <c r="BE290" s="770">
        <f t="shared" si="559"/>
        <v>23</v>
      </c>
      <c r="BF290" s="714">
        <f t="shared" si="559"/>
        <v>16</v>
      </c>
      <c r="BG290" s="709">
        <f t="shared" si="525"/>
        <v>-30.4</v>
      </c>
      <c r="BH290" s="689">
        <v>81</v>
      </c>
      <c r="BI290" s="770">
        <v>150</v>
      </c>
      <c r="BJ290" s="705">
        <f t="shared" si="526"/>
        <v>85.2</v>
      </c>
      <c r="BK290" s="770">
        <f t="shared" si="560"/>
        <v>13</v>
      </c>
      <c r="BL290" s="714">
        <f t="shared" si="560"/>
        <v>16</v>
      </c>
      <c r="BM290" s="709">
        <f t="shared" si="562"/>
        <v>23.1</v>
      </c>
      <c r="BN290" s="689">
        <v>94</v>
      </c>
      <c r="BO290" s="770">
        <v>166</v>
      </c>
      <c r="BP290" s="705">
        <f t="shared" si="529"/>
        <v>76.599999999999994</v>
      </c>
      <c r="BQ290" s="770">
        <f t="shared" si="561"/>
        <v>0</v>
      </c>
      <c r="BR290" s="714">
        <f t="shared" si="561"/>
        <v>4</v>
      </c>
      <c r="BS290" s="751">
        <v>0</v>
      </c>
      <c r="BT290" s="689">
        <v>94</v>
      </c>
      <c r="BU290" s="770">
        <v>170</v>
      </c>
      <c r="BV290" s="705">
        <f t="shared" si="532"/>
        <v>80.900000000000006</v>
      </c>
    </row>
    <row r="291" spans="1:74">
      <c r="A291" s="96"/>
      <c r="B291" s="4"/>
      <c r="C291" s="105" t="s">
        <v>211</v>
      </c>
      <c r="D291" s="98">
        <v>68</v>
      </c>
      <c r="E291" s="98">
        <v>51</v>
      </c>
      <c r="F291" s="98">
        <v>61</v>
      </c>
      <c r="G291" s="98">
        <v>1064</v>
      </c>
      <c r="H291" s="98">
        <v>1132</v>
      </c>
      <c r="I291" s="98">
        <v>2038</v>
      </c>
      <c r="J291" s="106">
        <v>1607</v>
      </c>
      <c r="K291" s="98">
        <v>101</v>
      </c>
      <c r="L291" s="417">
        <v>40</v>
      </c>
      <c r="M291" s="386">
        <v>0</v>
      </c>
      <c r="N291" s="265">
        <f t="shared" si="498"/>
        <v>-100</v>
      </c>
      <c r="O291" s="417">
        <f t="shared" si="548"/>
        <v>5</v>
      </c>
      <c r="P291" s="386">
        <f t="shared" si="548"/>
        <v>0</v>
      </c>
      <c r="Q291" s="265">
        <f>ROUND(((P291/O291-1)*100), 1)</f>
        <v>-100</v>
      </c>
      <c r="R291" s="417">
        <v>45</v>
      </c>
      <c r="S291" s="386">
        <v>0</v>
      </c>
      <c r="T291" s="265">
        <f>ROUND(((S291/R291-1)*100), 1)</f>
        <v>-100</v>
      </c>
      <c r="U291" s="417">
        <f t="shared" si="549"/>
        <v>0</v>
      </c>
      <c r="V291" s="386">
        <f t="shared" si="550"/>
        <v>32</v>
      </c>
      <c r="W291" s="523">
        <v>0</v>
      </c>
      <c r="X291" s="417">
        <v>45</v>
      </c>
      <c r="Y291" s="386">
        <v>32</v>
      </c>
      <c r="Z291" s="265">
        <f>ROUND(((Y291/X291-1)*100), 1)</f>
        <v>-28.9</v>
      </c>
      <c r="AA291" s="417">
        <f t="shared" si="551"/>
        <v>20</v>
      </c>
      <c r="AB291" s="386">
        <f t="shared" si="552"/>
        <v>18</v>
      </c>
      <c r="AC291" s="265">
        <f t="shared" si="563"/>
        <v>-10</v>
      </c>
      <c r="AD291" s="417">
        <v>65</v>
      </c>
      <c r="AE291" s="386">
        <v>50</v>
      </c>
      <c r="AF291" s="265">
        <f>ROUND(((AE291/AD291-1)*100), 1)</f>
        <v>-23.1</v>
      </c>
      <c r="AG291" s="417">
        <f t="shared" si="553"/>
        <v>0</v>
      </c>
      <c r="AH291" s="386">
        <f t="shared" si="553"/>
        <v>0</v>
      </c>
      <c r="AI291" s="529">
        <v>0</v>
      </c>
      <c r="AJ291" s="417">
        <v>65</v>
      </c>
      <c r="AK291" s="386">
        <v>50</v>
      </c>
      <c r="AL291" s="265">
        <f>ROUND(((AK291/AJ291-1)*100), 1)</f>
        <v>-23.1</v>
      </c>
      <c r="AM291" s="722">
        <f t="shared" si="554"/>
        <v>0</v>
      </c>
      <c r="AN291" s="714">
        <f t="shared" si="555"/>
        <v>0</v>
      </c>
      <c r="AO291" s="737">
        <v>0</v>
      </c>
      <c r="AP291" s="770">
        <v>65</v>
      </c>
      <c r="AQ291" s="714">
        <v>50</v>
      </c>
      <c r="AR291" s="705">
        <f>ROUND(((AQ291/AP291-1)*100), 1)</f>
        <v>-23.1</v>
      </c>
      <c r="AS291" s="770">
        <f t="shared" si="556"/>
        <v>14</v>
      </c>
      <c r="AT291" s="714">
        <f t="shared" si="556"/>
        <v>0</v>
      </c>
      <c r="AU291" s="709">
        <f t="shared" si="546"/>
        <v>-100</v>
      </c>
      <c r="AV291" s="992">
        <v>79</v>
      </c>
      <c r="AW291" s="990">
        <v>50</v>
      </c>
      <c r="AX291" s="705">
        <f>ROUND(((AW291/AV291-1)*100), 1)</f>
        <v>-36.700000000000003</v>
      </c>
      <c r="AY291" s="770">
        <f t="shared" si="557"/>
        <v>1</v>
      </c>
      <c r="AZ291" s="714">
        <f t="shared" si="558"/>
        <v>8</v>
      </c>
      <c r="BA291" s="709">
        <f t="shared" si="565"/>
        <v>700</v>
      </c>
      <c r="BB291" s="770">
        <v>80</v>
      </c>
      <c r="BC291" s="714">
        <v>58</v>
      </c>
      <c r="BD291" s="705">
        <f>ROUND(((BC291/BB291-1)*100), 1)</f>
        <v>-27.5</v>
      </c>
      <c r="BE291" s="770">
        <f t="shared" si="559"/>
        <v>8</v>
      </c>
      <c r="BF291" s="714">
        <f t="shared" si="559"/>
        <v>18</v>
      </c>
      <c r="BG291" s="709">
        <f t="shared" si="525"/>
        <v>125</v>
      </c>
      <c r="BH291" s="689">
        <v>88</v>
      </c>
      <c r="BI291" s="770">
        <v>76</v>
      </c>
      <c r="BJ291" s="705">
        <f>ROUND(((BI291/BH291-1)*100), 1)</f>
        <v>-13.6</v>
      </c>
      <c r="BK291" s="770">
        <f t="shared" si="560"/>
        <v>0</v>
      </c>
      <c r="BL291" s="714">
        <f t="shared" si="560"/>
        <v>0</v>
      </c>
      <c r="BM291" s="751">
        <v>0</v>
      </c>
      <c r="BN291" s="689">
        <v>88</v>
      </c>
      <c r="BO291" s="770">
        <v>76</v>
      </c>
      <c r="BP291" s="705">
        <f>ROUND(((BO291/BN291-1)*100), 1)</f>
        <v>-13.6</v>
      </c>
      <c r="BQ291" s="770">
        <f t="shared" si="561"/>
        <v>0</v>
      </c>
      <c r="BR291" s="714">
        <f t="shared" si="561"/>
        <v>6</v>
      </c>
      <c r="BS291" s="751">
        <v>0</v>
      </c>
      <c r="BT291" s="689">
        <v>88</v>
      </c>
      <c r="BU291" s="770">
        <v>82</v>
      </c>
      <c r="BV291" s="705">
        <f>ROUND(((BU291/BT291-1)*100), 1)</f>
        <v>-6.8</v>
      </c>
    </row>
    <row r="292" spans="1:74">
      <c r="A292" s="96"/>
      <c r="B292" s="4"/>
      <c r="C292" s="105" t="s">
        <v>105</v>
      </c>
      <c r="D292" s="98">
        <v>191</v>
      </c>
      <c r="E292" s="98">
        <v>228</v>
      </c>
      <c r="F292" s="98">
        <v>191</v>
      </c>
      <c r="G292" s="98">
        <v>115</v>
      </c>
      <c r="H292" s="98">
        <v>89</v>
      </c>
      <c r="I292" s="98">
        <v>50</v>
      </c>
      <c r="J292" s="106">
        <v>59</v>
      </c>
      <c r="K292" s="98">
        <v>46</v>
      </c>
      <c r="L292" s="417">
        <v>1</v>
      </c>
      <c r="M292" s="386">
        <v>3</v>
      </c>
      <c r="N292" s="265">
        <f t="shared" si="498"/>
        <v>200</v>
      </c>
      <c r="O292" s="417">
        <f t="shared" si="548"/>
        <v>3</v>
      </c>
      <c r="P292" s="386">
        <f t="shared" si="548"/>
        <v>3</v>
      </c>
      <c r="Q292" s="265">
        <f>ROUND(((P292/O292-1)*100), 1)</f>
        <v>0</v>
      </c>
      <c r="R292" s="417">
        <v>4</v>
      </c>
      <c r="S292" s="386">
        <v>6</v>
      </c>
      <c r="T292" s="265">
        <f>ROUND(((S292/R292-1)*100), 1)</f>
        <v>50</v>
      </c>
      <c r="U292" s="417">
        <f t="shared" si="549"/>
        <v>5</v>
      </c>
      <c r="V292" s="386">
        <f t="shared" si="550"/>
        <v>9</v>
      </c>
      <c r="W292" s="265">
        <f>ROUND(((V292/U292-1)*100), 1)</f>
        <v>80</v>
      </c>
      <c r="X292" s="417">
        <v>9</v>
      </c>
      <c r="Y292" s="386">
        <v>15</v>
      </c>
      <c r="Z292" s="265">
        <f>ROUND(((Y292/X292-1)*100), 1)</f>
        <v>66.7</v>
      </c>
      <c r="AA292" s="417">
        <f t="shared" si="551"/>
        <v>4</v>
      </c>
      <c r="AB292" s="386">
        <f t="shared" si="552"/>
        <v>3</v>
      </c>
      <c r="AC292" s="265">
        <f>ROUND(((AB292/AA292-1)*100), 1)</f>
        <v>-25</v>
      </c>
      <c r="AD292" s="417">
        <v>13</v>
      </c>
      <c r="AE292" s="386">
        <v>18</v>
      </c>
      <c r="AF292" s="265">
        <f>ROUND(((AE292/AD292-1)*100), 1)</f>
        <v>38.5</v>
      </c>
      <c r="AG292" s="417">
        <f t="shared" si="553"/>
        <v>5</v>
      </c>
      <c r="AH292" s="386">
        <f t="shared" si="553"/>
        <v>8</v>
      </c>
      <c r="AI292" s="265">
        <f>ROUND(((AH292/AG292-1)*100), 1)</f>
        <v>60</v>
      </c>
      <c r="AJ292" s="417">
        <v>18</v>
      </c>
      <c r="AK292" s="386">
        <v>26</v>
      </c>
      <c r="AL292" s="265">
        <f>ROUND(((AK292/AJ292-1)*100), 1)</f>
        <v>44.4</v>
      </c>
      <c r="AM292" s="722">
        <f t="shared" si="554"/>
        <v>2</v>
      </c>
      <c r="AN292" s="714">
        <f t="shared" si="555"/>
        <v>0</v>
      </c>
      <c r="AO292" s="705">
        <f>ROUND(((AN292/AM292-1)*100), 1)</f>
        <v>-100</v>
      </c>
      <c r="AP292" s="770">
        <v>20</v>
      </c>
      <c r="AQ292" s="714">
        <v>26</v>
      </c>
      <c r="AR292" s="705">
        <f>ROUND(((AQ292/AP292-1)*100), 1)</f>
        <v>30</v>
      </c>
      <c r="AS292" s="770">
        <f t="shared" si="556"/>
        <v>1</v>
      </c>
      <c r="AT292" s="714">
        <f t="shared" si="556"/>
        <v>3</v>
      </c>
      <c r="AU292" s="705">
        <f>ROUND(((AT292/AS292-1)*100), 1)</f>
        <v>200</v>
      </c>
      <c r="AV292" s="992">
        <v>21</v>
      </c>
      <c r="AW292" s="990">
        <v>29</v>
      </c>
      <c r="AX292" s="705">
        <f>ROUND(((AW292/AV292-1)*100), 1)</f>
        <v>38.1</v>
      </c>
      <c r="AY292" s="770">
        <f t="shared" si="557"/>
        <v>2</v>
      </c>
      <c r="AZ292" s="714">
        <f t="shared" si="558"/>
        <v>0</v>
      </c>
      <c r="BA292" s="705">
        <f>ROUND(((AZ292/AY292-1)*100), 1)</f>
        <v>-100</v>
      </c>
      <c r="BB292" s="770">
        <v>23</v>
      </c>
      <c r="BC292" s="714">
        <v>29</v>
      </c>
      <c r="BD292" s="705">
        <f>ROUND(((BC292/BB292-1)*100), 1)</f>
        <v>26.1</v>
      </c>
      <c r="BE292" s="770">
        <f t="shared" si="559"/>
        <v>11</v>
      </c>
      <c r="BF292" s="714">
        <f t="shared" si="559"/>
        <v>3</v>
      </c>
      <c r="BG292" s="705">
        <f>ROUND(((BF292/BE292-1)*100), 1)</f>
        <v>-72.7</v>
      </c>
      <c r="BH292" s="689">
        <v>34</v>
      </c>
      <c r="BI292" s="770">
        <v>32</v>
      </c>
      <c r="BJ292" s="705">
        <f>ROUND(((BI292/BH292-1)*100), 1)</f>
        <v>-5.9</v>
      </c>
      <c r="BK292" s="770">
        <f t="shared" si="560"/>
        <v>0</v>
      </c>
      <c r="BL292" s="714">
        <f t="shared" si="560"/>
        <v>4</v>
      </c>
      <c r="BM292" s="751">
        <v>0</v>
      </c>
      <c r="BN292" s="689">
        <v>34</v>
      </c>
      <c r="BO292" s="770">
        <v>36</v>
      </c>
      <c r="BP292" s="705">
        <f>ROUND(((BO292/BN292-1)*100), 1)</f>
        <v>5.9</v>
      </c>
      <c r="BQ292" s="770">
        <f t="shared" si="561"/>
        <v>4</v>
      </c>
      <c r="BR292" s="714">
        <f t="shared" si="561"/>
        <v>6</v>
      </c>
      <c r="BS292" s="705">
        <f t="shared" ref="BS292" si="566">ROUND(((BR292/BQ292-1)*100), 1)</f>
        <v>50</v>
      </c>
      <c r="BT292" s="689">
        <v>38</v>
      </c>
      <c r="BU292" s="770">
        <v>42</v>
      </c>
      <c r="BV292" s="705">
        <f>ROUND(((BU292/BT292-1)*100), 1)</f>
        <v>10.5</v>
      </c>
    </row>
    <row r="293" spans="1:74">
      <c r="A293" s="96"/>
      <c r="B293" s="4"/>
      <c r="C293" s="105" t="s">
        <v>128</v>
      </c>
      <c r="D293" s="98">
        <v>198</v>
      </c>
      <c r="E293" s="98">
        <v>196</v>
      </c>
      <c r="F293" s="98">
        <v>194</v>
      </c>
      <c r="G293" s="98">
        <v>165</v>
      </c>
      <c r="H293" s="98">
        <v>132</v>
      </c>
      <c r="I293" s="98">
        <v>103</v>
      </c>
      <c r="J293" s="106">
        <v>55</v>
      </c>
      <c r="K293" s="98">
        <v>26</v>
      </c>
      <c r="L293" s="417">
        <v>0</v>
      </c>
      <c r="M293" s="386">
        <v>0</v>
      </c>
      <c r="N293" s="179">
        <v>0</v>
      </c>
      <c r="O293" s="417">
        <f t="shared" si="548"/>
        <v>0</v>
      </c>
      <c r="P293" s="386">
        <f t="shared" si="548"/>
        <v>11</v>
      </c>
      <c r="Q293" s="179">
        <v>0</v>
      </c>
      <c r="R293" s="417">
        <v>0</v>
      </c>
      <c r="S293" s="386">
        <v>11</v>
      </c>
      <c r="T293" s="179">
        <v>0</v>
      </c>
      <c r="U293" s="417">
        <f t="shared" si="549"/>
        <v>0</v>
      </c>
      <c r="V293" s="386">
        <f t="shared" si="550"/>
        <v>0</v>
      </c>
      <c r="W293" s="179">
        <v>0</v>
      </c>
      <c r="X293" s="417">
        <v>0</v>
      </c>
      <c r="Y293" s="386">
        <v>11</v>
      </c>
      <c r="Z293" s="179">
        <v>0</v>
      </c>
      <c r="AA293" s="417">
        <f t="shared" si="551"/>
        <v>0</v>
      </c>
      <c r="AB293" s="386">
        <f t="shared" si="552"/>
        <v>15</v>
      </c>
      <c r="AC293" s="523">
        <v>0</v>
      </c>
      <c r="AD293" s="417">
        <v>0</v>
      </c>
      <c r="AE293" s="386">
        <v>26</v>
      </c>
      <c r="AF293" s="523">
        <v>0</v>
      </c>
      <c r="AG293" s="417">
        <f t="shared" si="553"/>
        <v>0</v>
      </c>
      <c r="AH293" s="386">
        <f t="shared" si="553"/>
        <v>11</v>
      </c>
      <c r="AI293" s="523">
        <v>0</v>
      </c>
      <c r="AJ293" s="417">
        <v>0</v>
      </c>
      <c r="AK293" s="386">
        <v>37</v>
      </c>
      <c r="AL293" s="523">
        <v>0</v>
      </c>
      <c r="AM293" s="722">
        <f t="shared" si="554"/>
        <v>0</v>
      </c>
      <c r="AN293" s="714">
        <f t="shared" si="555"/>
        <v>0</v>
      </c>
      <c r="AO293" s="695">
        <v>0</v>
      </c>
      <c r="AP293" s="770">
        <v>0</v>
      </c>
      <c r="AQ293" s="714">
        <v>37</v>
      </c>
      <c r="AR293" s="695">
        <v>0</v>
      </c>
      <c r="AS293" s="770">
        <f t="shared" si="556"/>
        <v>0</v>
      </c>
      <c r="AT293" s="714">
        <f t="shared" si="556"/>
        <v>0</v>
      </c>
      <c r="AU293" s="751">
        <v>0</v>
      </c>
      <c r="AV293" s="992">
        <v>0</v>
      </c>
      <c r="AW293" s="990">
        <v>37</v>
      </c>
      <c r="AX293" s="751">
        <v>0</v>
      </c>
      <c r="AY293" s="770">
        <f t="shared" si="557"/>
        <v>0</v>
      </c>
      <c r="AZ293" s="714">
        <f t="shared" si="558"/>
        <v>0</v>
      </c>
      <c r="BA293" s="751">
        <v>0</v>
      </c>
      <c r="BB293" s="770">
        <v>0</v>
      </c>
      <c r="BC293" s="714">
        <v>37</v>
      </c>
      <c r="BD293" s="751">
        <v>0</v>
      </c>
      <c r="BE293" s="770">
        <f t="shared" si="559"/>
        <v>4</v>
      </c>
      <c r="BF293" s="714">
        <f t="shared" si="559"/>
        <v>0</v>
      </c>
      <c r="BG293" s="705">
        <f t="shared" ref="BG293" si="567">ROUND(((BF293/BE293-1)*100), 1)</f>
        <v>-100</v>
      </c>
      <c r="BH293" s="689">
        <v>4</v>
      </c>
      <c r="BI293" s="770">
        <v>37</v>
      </c>
      <c r="BJ293" s="705">
        <f t="shared" ref="BJ293:BJ294" si="568">ROUND(((BI293/BH293-1)*100), 1)</f>
        <v>825</v>
      </c>
      <c r="BK293" s="770">
        <f t="shared" si="560"/>
        <v>11</v>
      </c>
      <c r="BL293" s="714">
        <f t="shared" si="560"/>
        <v>0</v>
      </c>
      <c r="BM293" s="705">
        <f t="shared" ref="BM293" si="569">ROUND(((BL293/BK293-1)*100), 1)</f>
        <v>-100</v>
      </c>
      <c r="BN293" s="689">
        <v>15</v>
      </c>
      <c r="BO293" s="770">
        <v>37</v>
      </c>
      <c r="BP293" s="705">
        <f t="shared" ref="BP293:BP294" si="570">ROUND(((BO293/BN293-1)*100), 1)</f>
        <v>146.69999999999999</v>
      </c>
      <c r="BQ293" s="770">
        <f t="shared" si="561"/>
        <v>0</v>
      </c>
      <c r="BR293" s="714">
        <f t="shared" si="561"/>
        <v>0</v>
      </c>
      <c r="BS293" s="751">
        <v>0</v>
      </c>
      <c r="BT293" s="689">
        <v>15</v>
      </c>
      <c r="BU293" s="770">
        <v>37</v>
      </c>
      <c r="BV293" s="705">
        <f>ROUND(((BU293/BT293-1)*100), 1)</f>
        <v>146.69999999999999</v>
      </c>
    </row>
    <row r="294" spans="1:74">
      <c r="A294" s="96"/>
      <c r="B294" s="4"/>
      <c r="C294" s="105" t="s">
        <v>228</v>
      </c>
      <c r="D294" s="98">
        <v>15</v>
      </c>
      <c r="E294" s="98">
        <v>62</v>
      </c>
      <c r="F294" s="98">
        <v>45</v>
      </c>
      <c r="G294" s="98">
        <v>61</v>
      </c>
      <c r="H294" s="98">
        <v>85</v>
      </c>
      <c r="I294" s="98">
        <v>95</v>
      </c>
      <c r="J294" s="106">
        <v>136</v>
      </c>
      <c r="K294" s="98">
        <v>8</v>
      </c>
      <c r="L294" s="417">
        <v>0</v>
      </c>
      <c r="M294" s="386">
        <v>0</v>
      </c>
      <c r="N294" s="179">
        <v>0</v>
      </c>
      <c r="O294" s="417">
        <f t="shared" si="548"/>
        <v>0</v>
      </c>
      <c r="P294" s="386">
        <f t="shared" si="548"/>
        <v>0</v>
      </c>
      <c r="Q294" s="179">
        <v>0</v>
      </c>
      <c r="R294" s="417">
        <v>0</v>
      </c>
      <c r="S294" s="386">
        <v>0</v>
      </c>
      <c r="T294" s="179">
        <v>0</v>
      </c>
      <c r="U294" s="417">
        <f t="shared" si="549"/>
        <v>0</v>
      </c>
      <c r="V294" s="386">
        <f t="shared" si="550"/>
        <v>0</v>
      </c>
      <c r="W294" s="179">
        <v>0</v>
      </c>
      <c r="X294" s="417">
        <v>0</v>
      </c>
      <c r="Y294" s="386">
        <v>0</v>
      </c>
      <c r="Z294" s="179">
        <v>0</v>
      </c>
      <c r="AA294" s="417">
        <f t="shared" si="551"/>
        <v>0</v>
      </c>
      <c r="AB294" s="386">
        <f t="shared" si="552"/>
        <v>0</v>
      </c>
      <c r="AC294" s="523">
        <v>0</v>
      </c>
      <c r="AD294" s="417">
        <v>0</v>
      </c>
      <c r="AE294" s="386">
        <v>0</v>
      </c>
      <c r="AF294" s="523">
        <v>0</v>
      </c>
      <c r="AG294" s="417">
        <f t="shared" si="553"/>
        <v>0</v>
      </c>
      <c r="AH294" s="386">
        <f t="shared" si="553"/>
        <v>0</v>
      </c>
      <c r="AI294" s="523">
        <v>0</v>
      </c>
      <c r="AJ294" s="417">
        <v>0</v>
      </c>
      <c r="AK294" s="386">
        <v>0</v>
      </c>
      <c r="AL294" s="523">
        <v>0</v>
      </c>
      <c r="AM294" s="722">
        <f t="shared" si="554"/>
        <v>0</v>
      </c>
      <c r="AN294" s="714">
        <f t="shared" si="555"/>
        <v>0</v>
      </c>
      <c r="AO294" s="695">
        <v>0</v>
      </c>
      <c r="AP294" s="770">
        <v>0</v>
      </c>
      <c r="AQ294" s="714">
        <v>0</v>
      </c>
      <c r="AR294" s="695">
        <v>0</v>
      </c>
      <c r="AS294" s="770">
        <f t="shared" si="556"/>
        <v>8</v>
      </c>
      <c r="AT294" s="714">
        <f t="shared" si="556"/>
        <v>0</v>
      </c>
      <c r="AU294" s="709">
        <f t="shared" ref="AU294" si="571">ROUND(((AT294/AS294-1)*100), 1)</f>
        <v>-100</v>
      </c>
      <c r="AV294" s="992">
        <v>8</v>
      </c>
      <c r="AW294" s="990">
        <v>0</v>
      </c>
      <c r="AX294" s="709">
        <f t="shared" ref="AX294" si="572">ROUND(((AW294/AV294-1)*100), 1)</f>
        <v>-100</v>
      </c>
      <c r="AY294" s="770">
        <f t="shared" si="557"/>
        <v>0</v>
      </c>
      <c r="AZ294" s="714">
        <f t="shared" si="558"/>
        <v>0</v>
      </c>
      <c r="BA294" s="751">
        <v>0</v>
      </c>
      <c r="BB294" s="770">
        <v>8</v>
      </c>
      <c r="BC294" s="714">
        <v>0</v>
      </c>
      <c r="BD294" s="709">
        <f t="shared" ref="BD294" si="573">ROUND(((BC294/BB294-1)*100), 1)</f>
        <v>-100</v>
      </c>
      <c r="BE294" s="770">
        <f t="shared" si="559"/>
        <v>0</v>
      </c>
      <c r="BF294" s="714">
        <f t="shared" si="559"/>
        <v>12</v>
      </c>
      <c r="BG294" s="751">
        <v>0</v>
      </c>
      <c r="BH294" s="770">
        <v>8</v>
      </c>
      <c r="BI294" s="714">
        <v>12</v>
      </c>
      <c r="BJ294" s="709">
        <f t="shared" si="568"/>
        <v>50</v>
      </c>
      <c r="BK294" s="770">
        <f t="shared" si="560"/>
        <v>0</v>
      </c>
      <c r="BL294" s="714">
        <f t="shared" si="560"/>
        <v>0</v>
      </c>
      <c r="BM294" s="751">
        <v>0</v>
      </c>
      <c r="BN294" s="689">
        <v>8</v>
      </c>
      <c r="BO294" s="770">
        <v>12</v>
      </c>
      <c r="BP294" s="709">
        <f t="shared" si="570"/>
        <v>50</v>
      </c>
      <c r="BQ294" s="770">
        <f t="shared" si="561"/>
        <v>0</v>
      </c>
      <c r="BR294" s="714">
        <f t="shared" si="561"/>
        <v>0</v>
      </c>
      <c r="BS294" s="751">
        <v>0</v>
      </c>
      <c r="BT294" s="689">
        <v>8</v>
      </c>
      <c r="BU294" s="770">
        <v>12</v>
      </c>
      <c r="BV294" s="709">
        <f>ROUND(((BU294/BT294-1)*100), 1)</f>
        <v>50</v>
      </c>
    </row>
    <row r="295" spans="1:74">
      <c r="A295" s="96"/>
      <c r="B295" s="4"/>
      <c r="C295" s="105" t="s">
        <v>219</v>
      </c>
      <c r="D295" s="98">
        <v>85</v>
      </c>
      <c r="E295" s="98">
        <v>87</v>
      </c>
      <c r="F295" s="98">
        <v>129</v>
      </c>
      <c r="G295" s="98">
        <v>272</v>
      </c>
      <c r="H295" s="98">
        <v>125</v>
      </c>
      <c r="I295" s="98">
        <v>55</v>
      </c>
      <c r="J295" s="106">
        <v>62</v>
      </c>
      <c r="K295" s="98">
        <v>0</v>
      </c>
      <c r="L295" s="417">
        <v>0</v>
      </c>
      <c r="M295" s="386">
        <v>0</v>
      </c>
      <c r="N295" s="179">
        <v>0</v>
      </c>
      <c r="O295" s="417">
        <f t="shared" si="548"/>
        <v>0</v>
      </c>
      <c r="P295" s="386">
        <f t="shared" si="548"/>
        <v>0</v>
      </c>
      <c r="Q295" s="179">
        <v>0</v>
      </c>
      <c r="R295" s="417">
        <v>0</v>
      </c>
      <c r="S295" s="386">
        <v>0</v>
      </c>
      <c r="T295" s="179">
        <v>0</v>
      </c>
      <c r="U295" s="417">
        <f t="shared" si="549"/>
        <v>0</v>
      </c>
      <c r="V295" s="386">
        <f t="shared" si="550"/>
        <v>21</v>
      </c>
      <c r="W295" s="179">
        <v>0</v>
      </c>
      <c r="X295" s="417">
        <v>0</v>
      </c>
      <c r="Y295" s="386">
        <v>21</v>
      </c>
      <c r="Z295" s="179">
        <v>0</v>
      </c>
      <c r="AA295" s="417">
        <f t="shared" si="551"/>
        <v>0</v>
      </c>
      <c r="AB295" s="386">
        <f t="shared" si="552"/>
        <v>0</v>
      </c>
      <c r="AC295" s="523">
        <v>0</v>
      </c>
      <c r="AD295" s="417">
        <v>0</v>
      </c>
      <c r="AE295" s="386">
        <v>21</v>
      </c>
      <c r="AF295" s="523">
        <v>0</v>
      </c>
      <c r="AG295" s="417">
        <f t="shared" si="553"/>
        <v>0</v>
      </c>
      <c r="AH295" s="386">
        <f t="shared" si="553"/>
        <v>0</v>
      </c>
      <c r="AI295" s="523">
        <v>0</v>
      </c>
      <c r="AJ295" s="417">
        <v>0</v>
      </c>
      <c r="AK295" s="386">
        <v>21</v>
      </c>
      <c r="AL295" s="523">
        <v>0</v>
      </c>
      <c r="AM295" s="722">
        <f t="shared" si="554"/>
        <v>0</v>
      </c>
      <c r="AN295" s="714">
        <f t="shared" si="555"/>
        <v>0</v>
      </c>
      <c r="AO295" s="695">
        <v>0</v>
      </c>
      <c r="AP295" s="770">
        <v>0</v>
      </c>
      <c r="AQ295" s="714">
        <v>21</v>
      </c>
      <c r="AR295" s="695">
        <v>0</v>
      </c>
      <c r="AS295" s="770">
        <f t="shared" si="556"/>
        <v>0</v>
      </c>
      <c r="AT295" s="714">
        <f t="shared" si="556"/>
        <v>0</v>
      </c>
      <c r="AU295" s="751">
        <v>0</v>
      </c>
      <c r="AV295" s="992">
        <v>0</v>
      </c>
      <c r="AW295" s="990">
        <v>21</v>
      </c>
      <c r="AX295" s="751">
        <v>0</v>
      </c>
      <c r="AY295" s="770">
        <f t="shared" si="557"/>
        <v>0</v>
      </c>
      <c r="AZ295" s="714">
        <f t="shared" si="558"/>
        <v>20</v>
      </c>
      <c r="BA295" s="751">
        <v>0</v>
      </c>
      <c r="BB295" s="770">
        <v>0</v>
      </c>
      <c r="BC295" s="714">
        <v>41</v>
      </c>
      <c r="BD295" s="751">
        <v>0</v>
      </c>
      <c r="BE295" s="770">
        <f t="shared" si="559"/>
        <v>0</v>
      </c>
      <c r="BF295" s="714">
        <f t="shared" si="559"/>
        <v>0</v>
      </c>
      <c r="BG295" s="751">
        <v>0</v>
      </c>
      <c r="BH295" s="770">
        <v>0</v>
      </c>
      <c r="BI295" s="714">
        <v>41</v>
      </c>
      <c r="BJ295" s="751">
        <v>0</v>
      </c>
      <c r="BK295" s="770">
        <f t="shared" si="560"/>
        <v>0</v>
      </c>
      <c r="BL295" s="714">
        <f t="shared" si="560"/>
        <v>0</v>
      </c>
      <c r="BM295" s="751">
        <v>0</v>
      </c>
      <c r="BN295" s="689">
        <v>0</v>
      </c>
      <c r="BO295" s="770">
        <v>41</v>
      </c>
      <c r="BP295" s="751">
        <v>0</v>
      </c>
      <c r="BQ295" s="770">
        <f t="shared" si="561"/>
        <v>0</v>
      </c>
      <c r="BR295" s="714">
        <f t="shared" si="561"/>
        <v>0</v>
      </c>
      <c r="BS295" s="751">
        <v>0</v>
      </c>
      <c r="BT295" s="689">
        <v>0</v>
      </c>
      <c r="BU295" s="770">
        <v>41</v>
      </c>
      <c r="BV295" s="751">
        <v>0</v>
      </c>
    </row>
    <row r="296" spans="1:74">
      <c r="A296" s="96"/>
      <c r="B296" s="4"/>
      <c r="C296" s="105" t="s">
        <v>82</v>
      </c>
      <c r="D296" s="98">
        <f t="shared" ref="D296:M296" si="574">D297-SUM(D278:D295)</f>
        <v>1700</v>
      </c>
      <c r="E296" s="98">
        <f t="shared" si="574"/>
        <v>1147</v>
      </c>
      <c r="F296" s="98">
        <f t="shared" si="574"/>
        <v>883</v>
      </c>
      <c r="G296" s="98">
        <f t="shared" si="574"/>
        <v>748</v>
      </c>
      <c r="H296" s="98">
        <f t="shared" si="574"/>
        <v>621</v>
      </c>
      <c r="I296" s="98">
        <f t="shared" si="574"/>
        <v>783</v>
      </c>
      <c r="J296" s="106">
        <f t="shared" si="574"/>
        <v>845</v>
      </c>
      <c r="K296" s="98">
        <f>K297-SUM(K278:K295)</f>
        <v>564</v>
      </c>
      <c r="L296" s="417">
        <f t="shared" si="574"/>
        <v>90</v>
      </c>
      <c r="M296" s="386">
        <f t="shared" si="574"/>
        <v>74</v>
      </c>
      <c r="N296" s="265">
        <f>ROUND(((M296/L296-1)*100), 1)</f>
        <v>-17.8</v>
      </c>
      <c r="O296" s="417">
        <f>O297-SUM(O278:O295)</f>
        <v>48</v>
      </c>
      <c r="P296" s="386">
        <f>P297-SUM(P278:P295)</f>
        <v>46</v>
      </c>
      <c r="Q296" s="265">
        <f>ROUND(((P296/O296-1)*100), 1)</f>
        <v>-4.2</v>
      </c>
      <c r="R296" s="417">
        <f>R297-SUM(R278:R295)</f>
        <v>138</v>
      </c>
      <c r="S296" s="386">
        <f>S297-SUM(S278:S295)</f>
        <v>120</v>
      </c>
      <c r="T296" s="265">
        <f>ROUND(((S296/R296-1)*100), 1)</f>
        <v>-13</v>
      </c>
      <c r="U296" s="417">
        <f>U297-SUM(U278:U295)</f>
        <v>35</v>
      </c>
      <c r="V296" s="386">
        <f>V297-SUM(V278:V295)</f>
        <v>30</v>
      </c>
      <c r="W296" s="265">
        <f>ROUND(((V296/U296-1)*100), 1)</f>
        <v>-14.3</v>
      </c>
      <c r="X296" s="417">
        <f>X297-SUM(X278:X295)</f>
        <v>173</v>
      </c>
      <c r="Y296" s="386">
        <f>Y297-SUM(Y278:Y295)</f>
        <v>150</v>
      </c>
      <c r="Z296" s="265">
        <f>ROUND(((Y296/X296-1)*100), 1)</f>
        <v>-13.3</v>
      </c>
      <c r="AA296" s="417">
        <f>AA297-SUM(AA278:AA295)</f>
        <v>41</v>
      </c>
      <c r="AB296" s="386">
        <f>AB297-SUM(AB278:AB295)</f>
        <v>68</v>
      </c>
      <c r="AC296" s="265">
        <f>ROUND(((AB296/AA296-1)*100), 1)</f>
        <v>65.900000000000006</v>
      </c>
      <c r="AD296" s="417">
        <f>AD297-SUM(AD278:AD295)</f>
        <v>214</v>
      </c>
      <c r="AE296" s="386">
        <f>AE297-SUM(AE278:AE295)</f>
        <v>218</v>
      </c>
      <c r="AF296" s="265">
        <f>ROUND(((AE296/AD296-1)*100), 1)</f>
        <v>1.9</v>
      </c>
      <c r="AG296" s="417">
        <f>AG297-SUM(AG278:AG295)</f>
        <v>33</v>
      </c>
      <c r="AH296" s="386">
        <f>AH297-SUM(AH278:AH295)</f>
        <v>88</v>
      </c>
      <c r="AI296" s="265">
        <f>ROUND(((AH296/AG296-1)*100), 1)</f>
        <v>166.7</v>
      </c>
      <c r="AJ296" s="417">
        <f>AJ297-SUM(AJ278:AJ295)</f>
        <v>247</v>
      </c>
      <c r="AK296" s="386">
        <f>AK297-SUM(AK278:AK295)</f>
        <v>306</v>
      </c>
      <c r="AL296" s="265">
        <f>ROUND(((AK296/AJ296-1)*100), 1)</f>
        <v>23.9</v>
      </c>
      <c r="AM296" s="722">
        <f>AM297-SUM(AM278:AM295)</f>
        <v>52</v>
      </c>
      <c r="AN296" s="714">
        <f>AN297-SUM(AN278:AN295)</f>
        <v>86</v>
      </c>
      <c r="AO296" s="705">
        <f>ROUND(((AN296/AM296-1)*100), 1)</f>
        <v>65.400000000000006</v>
      </c>
      <c r="AP296" s="770">
        <f>AP297-SUM(AP278:AP295)</f>
        <v>299</v>
      </c>
      <c r="AQ296" s="714">
        <f>AQ297-SUM(AQ278:AQ295)</f>
        <v>392</v>
      </c>
      <c r="AR296" s="705">
        <f>ROUND(((AQ296/AP296-1)*100), 1)</f>
        <v>31.1</v>
      </c>
      <c r="AS296" s="770">
        <f>AS297-SUM(AS278:AS295)</f>
        <v>52</v>
      </c>
      <c r="AT296" s="714">
        <f>AT297-SUM(AT278:AT295)</f>
        <v>81</v>
      </c>
      <c r="AU296" s="705">
        <f>ROUND(((AT296/AS296-1)*100), 1)</f>
        <v>55.8</v>
      </c>
      <c r="AV296" s="992">
        <f>AV297-SUM(AV278:AV295)</f>
        <v>351</v>
      </c>
      <c r="AW296" s="990">
        <f>AW297-SUM(AW278:AW295)</f>
        <v>473</v>
      </c>
      <c r="AX296" s="705">
        <f>ROUND(((AW296/AV296-1)*100), 1)</f>
        <v>34.799999999999997</v>
      </c>
      <c r="AY296" s="770">
        <f>AY297-SUM(AY278:AY295)</f>
        <v>23</v>
      </c>
      <c r="AZ296" s="714">
        <f>AZ297-SUM(AZ278:AZ295)</f>
        <v>108</v>
      </c>
      <c r="BA296" s="705">
        <f>ROUND(((AZ296/AY296-1)*100), 1)</f>
        <v>369.6</v>
      </c>
      <c r="BB296" s="770">
        <f>BB297-SUM(BB278:BB295)</f>
        <v>374</v>
      </c>
      <c r="BC296" s="714">
        <f>BC297-SUM(BC278:BC295)</f>
        <v>581</v>
      </c>
      <c r="BD296" s="705">
        <f>ROUND(((BC296/BB296-1)*100), 1)</f>
        <v>55.3</v>
      </c>
      <c r="BE296" s="770">
        <f>BE297-SUM(BE278:BE295)</f>
        <v>43</v>
      </c>
      <c r="BF296" s="714">
        <f>BF297-SUM(BF278:BF295)</f>
        <v>68</v>
      </c>
      <c r="BG296" s="705">
        <f>ROUND(((BF296/BE296-1)*100), 1)</f>
        <v>58.1</v>
      </c>
      <c r="BH296" s="770">
        <f>BH297-SUM(BH278:BH295)</f>
        <v>417</v>
      </c>
      <c r="BI296" s="714">
        <f>BI297-SUM(BI278:BI295)</f>
        <v>649</v>
      </c>
      <c r="BJ296" s="705">
        <f>ROUND(((BI296/BH296-1)*100), 1)</f>
        <v>55.6</v>
      </c>
      <c r="BK296" s="770">
        <f>BK297-SUM(BK278:BK295)</f>
        <v>74</v>
      </c>
      <c r="BL296" s="714">
        <f>BL297-SUM(BL278:BL295)</f>
        <v>66</v>
      </c>
      <c r="BM296" s="705">
        <f>ROUND(((BL296/BK296-1)*100), 1)</f>
        <v>-10.8</v>
      </c>
      <c r="BN296" s="770">
        <f>BN297-SUM(BN278:BN295)</f>
        <v>491</v>
      </c>
      <c r="BO296" s="714">
        <f>BO297-SUM(BO278:BO295)</f>
        <v>715</v>
      </c>
      <c r="BP296" s="705">
        <f>ROUND(((BO296/BN296-1)*100), 1)</f>
        <v>45.6</v>
      </c>
      <c r="BQ296" s="770">
        <f>BQ297-SUM(BQ278:BQ295)</f>
        <v>34</v>
      </c>
      <c r="BR296" s="714">
        <f>BR297-SUM(BR278:BR295)</f>
        <v>101</v>
      </c>
      <c r="BS296" s="705">
        <f>ROUND(((BR296/BQ296-1)*100), 1)</f>
        <v>197.1</v>
      </c>
      <c r="BT296" s="770">
        <f>BT297-SUM(BT278:BT295)</f>
        <v>525</v>
      </c>
      <c r="BU296" s="714">
        <f>BU297-SUM(BU278:BU295)</f>
        <v>816</v>
      </c>
      <c r="BV296" s="705">
        <f>ROUND(((BU296/BT296-1)*100), 1)</f>
        <v>55.4</v>
      </c>
    </row>
    <row r="297" spans="1:74">
      <c r="A297" s="96"/>
      <c r="B297" s="9"/>
      <c r="C297" s="45" t="s">
        <v>226</v>
      </c>
      <c r="D297" s="99">
        <v>13790</v>
      </c>
      <c r="E297" s="99">
        <v>13044</v>
      </c>
      <c r="F297" s="99">
        <v>15747</v>
      </c>
      <c r="G297" s="99">
        <v>17094</v>
      </c>
      <c r="H297" s="99">
        <v>16661</v>
      </c>
      <c r="I297" s="99">
        <v>17196</v>
      </c>
      <c r="J297" s="342">
        <v>14312</v>
      </c>
      <c r="K297" s="99">
        <v>11193</v>
      </c>
      <c r="L297" s="409">
        <v>1219</v>
      </c>
      <c r="M297" s="387">
        <v>748</v>
      </c>
      <c r="N297" s="266">
        <f>ROUND(((M297/L297-1)*100), 1)</f>
        <v>-38.6</v>
      </c>
      <c r="O297" s="409">
        <f>R297-L297</f>
        <v>805</v>
      </c>
      <c r="P297" s="387">
        <f>S297-M297</f>
        <v>879</v>
      </c>
      <c r="Q297" s="266">
        <f>ROUND(((P297/O297-1)*100), 1)</f>
        <v>9.1999999999999993</v>
      </c>
      <c r="R297" s="409">
        <v>2024</v>
      </c>
      <c r="S297" s="387">
        <v>1627</v>
      </c>
      <c r="T297" s="266">
        <f>ROUND(((S297/R297-1)*100), 1)</f>
        <v>-19.600000000000001</v>
      </c>
      <c r="U297" s="409">
        <f>X297-R297</f>
        <v>955</v>
      </c>
      <c r="V297" s="387">
        <f>Y297-S297</f>
        <v>977</v>
      </c>
      <c r="W297" s="266">
        <f>ROUND(((V297/U297-1)*100), 1)</f>
        <v>2.2999999999999998</v>
      </c>
      <c r="X297" s="409">
        <v>2979</v>
      </c>
      <c r="Y297" s="387">
        <v>2604</v>
      </c>
      <c r="Z297" s="266">
        <f>ROUND(((Y297/X297-1)*100), 1)</f>
        <v>-12.6</v>
      </c>
      <c r="AA297" s="409">
        <f>AD297-X297</f>
        <v>1053</v>
      </c>
      <c r="AB297" s="387">
        <f>AE297-Y297</f>
        <v>982</v>
      </c>
      <c r="AC297" s="266">
        <f>ROUND(((AB297/AA297-1)*100), 1)</f>
        <v>-6.7</v>
      </c>
      <c r="AD297" s="409">
        <v>4032</v>
      </c>
      <c r="AE297" s="387">
        <v>3586</v>
      </c>
      <c r="AF297" s="266">
        <f>ROUND(((AE297/AD297-1)*100), 1)</f>
        <v>-11.1</v>
      </c>
      <c r="AG297" s="409">
        <f>AJ297-AD297</f>
        <v>883</v>
      </c>
      <c r="AH297" s="387">
        <f>AK297-AE297</f>
        <v>785</v>
      </c>
      <c r="AI297" s="266">
        <f>ROUND(((AH297/AG297-1)*100), 1)</f>
        <v>-11.1</v>
      </c>
      <c r="AJ297" s="409">
        <v>4915</v>
      </c>
      <c r="AK297" s="387">
        <v>4371</v>
      </c>
      <c r="AL297" s="266">
        <f>ROUND(((AK297/AJ297-1)*100), 1)</f>
        <v>-11.1</v>
      </c>
      <c r="AM297" s="721">
        <f>AP297-AJ297</f>
        <v>929</v>
      </c>
      <c r="AN297" s="715">
        <f>AQ297-AK297</f>
        <v>803</v>
      </c>
      <c r="AO297" s="706">
        <f>ROUND(((AN297/AM297-1)*100), 1)</f>
        <v>-13.6</v>
      </c>
      <c r="AP297" s="721">
        <v>5844</v>
      </c>
      <c r="AQ297" s="715">
        <v>5174</v>
      </c>
      <c r="AR297" s="706">
        <f>ROUND(((AQ297/AP297-1)*100), 1)</f>
        <v>-11.5</v>
      </c>
      <c r="AS297" s="721">
        <f>AV297-AP297</f>
        <v>797</v>
      </c>
      <c r="AT297" s="715">
        <f>AW297-AQ297</f>
        <v>821</v>
      </c>
      <c r="AU297" s="706">
        <f>ROUND(((AT297/AS297-1)*100), 1)</f>
        <v>3</v>
      </c>
      <c r="AV297" s="1010">
        <v>6641</v>
      </c>
      <c r="AW297" s="994">
        <v>5995</v>
      </c>
      <c r="AX297" s="706">
        <f>ROUND(((AW297/AV297-1)*100), 1)</f>
        <v>-9.6999999999999993</v>
      </c>
      <c r="AY297" s="721">
        <f>BB297-AV297</f>
        <v>848</v>
      </c>
      <c r="AZ297" s="715">
        <f>BC297-AW297</f>
        <v>848</v>
      </c>
      <c r="BA297" s="706">
        <f>ROUND(((AZ297/AY297-1)*100), 1)</f>
        <v>0</v>
      </c>
      <c r="BB297" s="721">
        <v>7489</v>
      </c>
      <c r="BC297" s="715">
        <v>6843</v>
      </c>
      <c r="BD297" s="706">
        <f>ROUND(((BC297/BB297-1)*100), 1)</f>
        <v>-8.6</v>
      </c>
      <c r="BE297" s="721">
        <f>BH297-BB297</f>
        <v>876</v>
      </c>
      <c r="BF297" s="715">
        <f>BI297-BC297</f>
        <v>907</v>
      </c>
      <c r="BG297" s="706">
        <f>ROUND(((BF297/BE297-1)*100), 1)</f>
        <v>3.5</v>
      </c>
      <c r="BH297" s="721">
        <v>8365</v>
      </c>
      <c r="BI297" s="715">
        <v>7750</v>
      </c>
      <c r="BJ297" s="706">
        <f>ROUND(((BI297/BH297-1)*100), 1)</f>
        <v>-7.4</v>
      </c>
      <c r="BK297" s="721">
        <f>BN297-BH297</f>
        <v>1084</v>
      </c>
      <c r="BL297" s="715">
        <f>BO297-BI297</f>
        <v>744</v>
      </c>
      <c r="BM297" s="706">
        <f>ROUND(((BL297/BK297-1)*100), 1)</f>
        <v>-31.4</v>
      </c>
      <c r="BN297" s="721">
        <v>9449</v>
      </c>
      <c r="BO297" s="715">
        <v>8494</v>
      </c>
      <c r="BP297" s="706">
        <f>ROUND(((BO297/BN297-1)*100), 1)</f>
        <v>-10.1</v>
      </c>
      <c r="BQ297" s="721">
        <f>BT297-BN297</f>
        <v>836</v>
      </c>
      <c r="BR297" s="715">
        <f>BU297-BO297</f>
        <v>714</v>
      </c>
      <c r="BS297" s="706">
        <f>ROUND(((BR297/BQ297-1)*100), 1)</f>
        <v>-14.6</v>
      </c>
      <c r="BT297" s="721">
        <v>10285</v>
      </c>
      <c r="BU297" s="715">
        <v>9208</v>
      </c>
      <c r="BV297" s="706">
        <f>ROUND(((BU297/BT297-1)*100), 1)</f>
        <v>-10.5</v>
      </c>
    </row>
    <row r="298" spans="1:74">
      <c r="A298" s="97"/>
      <c r="B298" s="1162" t="s">
        <v>181</v>
      </c>
      <c r="C298" s="1121"/>
      <c r="D298" s="108">
        <f t="shared" ref="D298:M298" si="575">SUM(D277+D297)</f>
        <v>65826</v>
      </c>
      <c r="E298" s="108">
        <f t="shared" si="575"/>
        <v>60825</v>
      </c>
      <c r="F298" s="108">
        <f t="shared" si="575"/>
        <v>60198</v>
      </c>
      <c r="G298" s="108">
        <f t="shared" si="575"/>
        <v>60937</v>
      </c>
      <c r="H298" s="108">
        <f t="shared" si="575"/>
        <v>61488</v>
      </c>
      <c r="I298" s="108">
        <f t="shared" si="575"/>
        <v>67631</v>
      </c>
      <c r="J298" s="343">
        <f t="shared" si="575"/>
        <v>73563</v>
      </c>
      <c r="K298" s="107">
        <f>SUM(K277+K297)</f>
        <v>69943</v>
      </c>
      <c r="L298" s="408">
        <f t="shared" si="575"/>
        <v>6624</v>
      </c>
      <c r="M298" s="406">
        <f t="shared" si="575"/>
        <v>5608</v>
      </c>
      <c r="N298" s="266">
        <f>ROUND(((M298/L298-1)*100), 1)</f>
        <v>-15.3</v>
      </c>
      <c r="O298" s="408">
        <f>SUM(O277+O297)</f>
        <v>5290</v>
      </c>
      <c r="P298" s="406">
        <f>SUM(P277+P297)</f>
        <v>5654</v>
      </c>
      <c r="Q298" s="266">
        <f>ROUND(((P298/O298-1)*100), 1)</f>
        <v>6.9</v>
      </c>
      <c r="R298" s="408">
        <f>SUM(R277+R297)</f>
        <v>11914</v>
      </c>
      <c r="S298" s="406">
        <f>SUM(S277+S297)</f>
        <v>11262</v>
      </c>
      <c r="T298" s="266">
        <f>ROUND(((S298/R298-1)*100), 1)</f>
        <v>-5.5</v>
      </c>
      <c r="U298" s="408">
        <f>SUM(U277+U297)</f>
        <v>6327</v>
      </c>
      <c r="V298" s="406">
        <f>SUM(V277+V297)</f>
        <v>6785</v>
      </c>
      <c r="W298" s="266">
        <f>ROUND(((V298/U298-1)*100), 1)</f>
        <v>7.2</v>
      </c>
      <c r="X298" s="408">
        <f>SUM(X277+X297)</f>
        <v>18241</v>
      </c>
      <c r="Y298" s="406">
        <f>SUM(Y277+Y297)</f>
        <v>18047</v>
      </c>
      <c r="Z298" s="266">
        <f>ROUND(((Y298/X298-1)*100), 1)</f>
        <v>-1.1000000000000001</v>
      </c>
      <c r="AA298" s="408">
        <f>SUM(AA277+AA297)</f>
        <v>6521</v>
      </c>
      <c r="AB298" s="406">
        <f>SUM(AB277+AB297)</f>
        <v>6588</v>
      </c>
      <c r="AC298" s="266">
        <f>ROUND(((AB298/AA298-1)*100), 1)</f>
        <v>1</v>
      </c>
      <c r="AD298" s="408">
        <f>SUM(AD277+AD297)</f>
        <v>24762</v>
      </c>
      <c r="AE298" s="406">
        <f>SUM(AE277+AE297)</f>
        <v>24635</v>
      </c>
      <c r="AF298" s="266">
        <f>ROUND(((AE298/AD298-1)*100), 1)</f>
        <v>-0.5</v>
      </c>
      <c r="AG298" s="408">
        <f>SUM(AG277+AG297)</f>
        <v>6178</v>
      </c>
      <c r="AH298" s="406">
        <f>SUM(AH277+AH297)</f>
        <v>6365</v>
      </c>
      <c r="AI298" s="266">
        <f>ROUND(((AH298/AG298-1)*100), 1)</f>
        <v>3</v>
      </c>
      <c r="AJ298" s="408">
        <f>SUM(AJ277+AJ297)</f>
        <v>30940</v>
      </c>
      <c r="AK298" s="406">
        <f>SUM(AK277+AK297)</f>
        <v>31000</v>
      </c>
      <c r="AL298" s="266">
        <f>ROUND(((AK298/AJ298-1)*100), 1)</f>
        <v>0.2</v>
      </c>
      <c r="AM298" s="720">
        <f>SUM(AM277+AM297)</f>
        <v>5786</v>
      </c>
      <c r="AN298" s="718">
        <f>SUM(AN277+AN297)</f>
        <v>6453</v>
      </c>
      <c r="AO298" s="706">
        <f>ROUND(((AN298/AM298-1)*100), 1)</f>
        <v>11.5</v>
      </c>
      <c r="AP298" s="720">
        <f>SUM(AP277+AP297)</f>
        <v>36726</v>
      </c>
      <c r="AQ298" s="718">
        <f>SUM(AQ277+AQ297)</f>
        <v>37453</v>
      </c>
      <c r="AR298" s="706">
        <f>ROUND(((AQ298/AP298-1)*100), 1)</f>
        <v>2</v>
      </c>
      <c r="AS298" s="720">
        <f>SUM(AS277+AS297)</f>
        <v>5660</v>
      </c>
      <c r="AT298" s="718">
        <f>SUM(AT277+AT297)</f>
        <v>6727</v>
      </c>
      <c r="AU298" s="706">
        <f>ROUND(((AT298/AS298-1)*100), 1)</f>
        <v>18.899999999999999</v>
      </c>
      <c r="AV298" s="1016">
        <f>SUM(AV277+AV297)</f>
        <v>42386</v>
      </c>
      <c r="AW298" s="1008">
        <f>SUM(AW277+AW297)</f>
        <v>44180</v>
      </c>
      <c r="AX298" s="706">
        <f>ROUND(((AW298/AV298-1)*100), 1)</f>
        <v>4.2</v>
      </c>
      <c r="AY298" s="720">
        <f>SUM(AY277+AY297)</f>
        <v>5399</v>
      </c>
      <c r="AZ298" s="718">
        <f>SUM(AZ277+AZ297)</f>
        <v>6266</v>
      </c>
      <c r="BA298" s="706">
        <f>ROUND(((AZ298/AY298-1)*100), 1)</f>
        <v>16.100000000000001</v>
      </c>
      <c r="BB298" s="720">
        <f>SUM(BB277+BB297)</f>
        <v>47785</v>
      </c>
      <c r="BC298" s="718">
        <f>SUM(BC277+BC297)</f>
        <v>50446</v>
      </c>
      <c r="BD298" s="706">
        <f>ROUND(((BC298/BB298-1)*100), 1)</f>
        <v>5.6</v>
      </c>
      <c r="BE298" s="720">
        <f>SUM(BE277+BE297)</f>
        <v>5464</v>
      </c>
      <c r="BF298" s="718">
        <f>SUM(BF277+BF297)</f>
        <v>7181</v>
      </c>
      <c r="BG298" s="706">
        <f>ROUND(((BF298/BE298-1)*100), 1)</f>
        <v>31.4</v>
      </c>
      <c r="BH298" s="720">
        <f>SUM(BH277+BH297)</f>
        <v>53249</v>
      </c>
      <c r="BI298" s="718">
        <f>SUM(BI277+BI297)</f>
        <v>57627</v>
      </c>
      <c r="BJ298" s="706">
        <f>ROUND(((BI298/BH298-1)*100), 1)</f>
        <v>8.1999999999999993</v>
      </c>
      <c r="BK298" s="720">
        <f>SUM(BK277+BK297)</f>
        <v>5981</v>
      </c>
      <c r="BL298" s="718">
        <f>SUM(BL277+BL297)</f>
        <v>6851</v>
      </c>
      <c r="BM298" s="706">
        <f>ROUND(((BL298/BK298-1)*100), 1)</f>
        <v>14.5</v>
      </c>
      <c r="BN298" s="720">
        <f>SUM(BN277+BN297)</f>
        <v>59230</v>
      </c>
      <c r="BO298" s="718">
        <f>SUM(BO277+BO297)</f>
        <v>64478</v>
      </c>
      <c r="BP298" s="706">
        <f>ROUND(((BO298/BN298-1)*100), 1)</f>
        <v>8.9</v>
      </c>
      <c r="BQ298" s="720">
        <f>SUM(BQ277+BQ297)</f>
        <v>5281</v>
      </c>
      <c r="BR298" s="718">
        <f>SUM(BR277+BR297)</f>
        <v>7310</v>
      </c>
      <c r="BS298" s="706">
        <f>ROUND(((BR298/BQ298-1)*100), 1)</f>
        <v>38.4</v>
      </c>
      <c r="BT298" s="720">
        <f>SUM(BT277+BT297)</f>
        <v>64511</v>
      </c>
      <c r="BU298" s="718">
        <f>SUM(BU277+BU297)</f>
        <v>71788</v>
      </c>
      <c r="BV298" s="706">
        <f>ROUND(((BU298/BT298-1)*100), 1)</f>
        <v>11.3</v>
      </c>
    </row>
    <row r="299" spans="1:74" ht="12.75" customHeight="1">
      <c r="N299" s="268"/>
    </row>
    <row r="300" spans="1:74">
      <c r="N300" s="268"/>
    </row>
    <row r="301" spans="1:74">
      <c r="A301" s="30"/>
      <c r="B301" s="30"/>
      <c r="D301" s="75"/>
      <c r="E301" s="75"/>
      <c r="F301" s="75"/>
      <c r="G301" s="75"/>
      <c r="H301" s="75"/>
      <c r="I301" s="75"/>
      <c r="J301" s="279"/>
      <c r="K301" s="279"/>
      <c r="L301" s="279"/>
      <c r="M301" s="279"/>
      <c r="N301" s="269" t="s">
        <v>94</v>
      </c>
      <c r="O301" s="279"/>
      <c r="P301" s="279"/>
      <c r="Q301" s="274"/>
      <c r="R301" s="279"/>
      <c r="S301" s="279"/>
      <c r="T301" s="274" t="s">
        <v>94</v>
      </c>
      <c r="U301" s="279"/>
      <c r="V301" s="279"/>
      <c r="W301" s="274"/>
      <c r="X301" s="279"/>
      <c r="Y301" s="279"/>
      <c r="Z301" s="274" t="s">
        <v>94</v>
      </c>
      <c r="AA301" s="279"/>
      <c r="AB301" s="279"/>
      <c r="AC301" s="274"/>
      <c r="AD301" s="279"/>
      <c r="AE301" s="279"/>
      <c r="AF301" s="274" t="s">
        <v>94</v>
      </c>
      <c r="AG301" s="279"/>
      <c r="AH301" s="279"/>
      <c r="AI301" s="274"/>
      <c r="AJ301" s="279"/>
      <c r="AK301" s="279"/>
      <c r="AL301" s="274" t="s">
        <v>94</v>
      </c>
      <c r="AM301" s="691"/>
      <c r="AN301" s="691"/>
      <c r="AO301" s="697"/>
      <c r="AP301" s="746"/>
      <c r="AQ301" s="746"/>
      <c r="AR301" s="697" t="s">
        <v>94</v>
      </c>
      <c r="AS301" s="746"/>
      <c r="AT301" s="746"/>
      <c r="AU301" s="755"/>
      <c r="AV301" s="961"/>
      <c r="AW301" s="961"/>
      <c r="AX301" s="755" t="s">
        <v>94</v>
      </c>
      <c r="AY301" s="746"/>
      <c r="AZ301" s="746"/>
      <c r="BA301" s="755"/>
      <c r="BB301" s="746"/>
      <c r="BC301" s="746"/>
      <c r="BD301" s="755" t="s">
        <v>94</v>
      </c>
      <c r="BE301" s="746"/>
      <c r="BF301" s="746"/>
      <c r="BG301" s="755"/>
      <c r="BH301" s="746"/>
      <c r="BI301" s="746"/>
      <c r="BJ301" s="755" t="s">
        <v>94</v>
      </c>
      <c r="BK301" s="746"/>
      <c r="BL301" s="746"/>
      <c r="BM301" s="755"/>
      <c r="BN301" s="746"/>
      <c r="BO301" s="746"/>
      <c r="BP301" s="755" t="s">
        <v>94</v>
      </c>
      <c r="BQ301" s="746"/>
      <c r="BR301" s="746"/>
      <c r="BS301" s="755"/>
      <c r="BT301" s="746"/>
      <c r="BU301" s="746"/>
      <c r="BV301" s="755" t="s">
        <v>94</v>
      </c>
    </row>
    <row r="302" spans="1:74">
      <c r="A302" s="1082" t="s">
        <v>95</v>
      </c>
      <c r="B302" s="1082"/>
      <c r="C302" s="1082"/>
      <c r="D302" s="1170" t="s">
        <v>3</v>
      </c>
      <c r="E302" s="1170" t="s">
        <v>4</v>
      </c>
      <c r="F302" s="1170" t="s">
        <v>5</v>
      </c>
      <c r="G302" s="1170" t="s">
        <v>6</v>
      </c>
      <c r="H302" s="1170" t="s">
        <v>7</v>
      </c>
      <c r="I302" s="1170" t="s">
        <v>81</v>
      </c>
      <c r="J302" s="1170" t="s">
        <v>83</v>
      </c>
      <c r="K302" s="1172" t="s">
        <v>315</v>
      </c>
      <c r="L302" s="1171" t="s">
        <v>40</v>
      </c>
      <c r="M302" s="1170"/>
      <c r="N302" s="1082"/>
      <c r="O302" s="1155" t="s">
        <v>505</v>
      </c>
      <c r="P302" s="1156"/>
      <c r="Q302" s="1157"/>
      <c r="R302" s="1155" t="s">
        <v>506</v>
      </c>
      <c r="S302" s="1156"/>
      <c r="T302" s="1157"/>
      <c r="U302" s="1155" t="s">
        <v>513</v>
      </c>
      <c r="V302" s="1156"/>
      <c r="W302" s="1157"/>
      <c r="X302" s="1155" t="s">
        <v>514</v>
      </c>
      <c r="Y302" s="1156"/>
      <c r="Z302" s="1157"/>
      <c r="AA302" s="1155" t="s">
        <v>531</v>
      </c>
      <c r="AB302" s="1156"/>
      <c r="AC302" s="1157"/>
      <c r="AD302" s="1155" t="s">
        <v>533</v>
      </c>
      <c r="AE302" s="1156"/>
      <c r="AF302" s="1157"/>
      <c r="AG302" s="1155" t="s">
        <v>555</v>
      </c>
      <c r="AH302" s="1156"/>
      <c r="AI302" s="1157"/>
      <c r="AJ302" s="1155" t="s">
        <v>556</v>
      </c>
      <c r="AK302" s="1156"/>
      <c r="AL302" s="1157"/>
      <c r="AM302" s="1155" t="s">
        <v>583</v>
      </c>
      <c r="AN302" s="1156"/>
      <c r="AO302" s="1157"/>
      <c r="AP302" s="1155" t="s">
        <v>584</v>
      </c>
      <c r="AQ302" s="1156"/>
      <c r="AR302" s="1157"/>
      <c r="AS302" s="1155" t="s">
        <v>621</v>
      </c>
      <c r="AT302" s="1156"/>
      <c r="AU302" s="1157"/>
      <c r="AV302" s="1155" t="s">
        <v>622</v>
      </c>
      <c r="AW302" s="1156"/>
      <c r="AX302" s="1157"/>
      <c r="AY302" s="1155" t="s">
        <v>626</v>
      </c>
      <c r="AZ302" s="1156"/>
      <c r="BA302" s="1157"/>
      <c r="BB302" s="1155" t="s">
        <v>628</v>
      </c>
      <c r="BC302" s="1156"/>
      <c r="BD302" s="1157"/>
      <c r="BE302" s="1155" t="s">
        <v>650</v>
      </c>
      <c r="BF302" s="1156"/>
      <c r="BG302" s="1157"/>
      <c r="BH302" s="1155" t="s">
        <v>651</v>
      </c>
      <c r="BI302" s="1156"/>
      <c r="BJ302" s="1157"/>
      <c r="BK302" s="1155" t="s">
        <v>674</v>
      </c>
      <c r="BL302" s="1156"/>
      <c r="BM302" s="1157"/>
      <c r="BN302" s="1155" t="s">
        <v>675</v>
      </c>
      <c r="BO302" s="1156"/>
      <c r="BP302" s="1157"/>
      <c r="BQ302" s="1155" t="s">
        <v>712</v>
      </c>
      <c r="BR302" s="1156"/>
      <c r="BS302" s="1157"/>
      <c r="BT302" s="1155" t="s">
        <v>711</v>
      </c>
      <c r="BU302" s="1156"/>
      <c r="BV302" s="1157"/>
    </row>
    <row r="303" spans="1:74">
      <c r="A303" s="1082"/>
      <c r="B303" s="1082"/>
      <c r="C303" s="1082"/>
      <c r="D303" s="1170"/>
      <c r="E303" s="1170"/>
      <c r="F303" s="1170"/>
      <c r="G303" s="1170"/>
      <c r="H303" s="1170"/>
      <c r="I303" s="1170"/>
      <c r="J303" s="1170"/>
      <c r="K303" s="1173"/>
      <c r="L303" s="418" t="s">
        <v>445</v>
      </c>
      <c r="M303" s="427" t="s">
        <v>446</v>
      </c>
      <c r="N303" s="277" t="s">
        <v>10</v>
      </c>
      <c r="O303" s="418" t="s">
        <v>445</v>
      </c>
      <c r="P303" s="427" t="s">
        <v>446</v>
      </c>
      <c r="Q303" s="277" t="s">
        <v>10</v>
      </c>
      <c r="R303" s="418" t="s">
        <v>445</v>
      </c>
      <c r="S303" s="427" t="s">
        <v>446</v>
      </c>
      <c r="T303" s="277" t="s">
        <v>10</v>
      </c>
      <c r="U303" s="418" t="s">
        <v>445</v>
      </c>
      <c r="V303" s="427" t="s">
        <v>446</v>
      </c>
      <c r="W303" s="277" t="s">
        <v>10</v>
      </c>
      <c r="X303" s="418" t="s">
        <v>445</v>
      </c>
      <c r="Y303" s="427" t="s">
        <v>446</v>
      </c>
      <c r="Z303" s="277" t="s">
        <v>10</v>
      </c>
      <c r="AA303" s="418" t="s">
        <v>445</v>
      </c>
      <c r="AB303" s="427" t="s">
        <v>446</v>
      </c>
      <c r="AC303" s="277" t="s">
        <v>10</v>
      </c>
      <c r="AD303" s="418" t="s">
        <v>445</v>
      </c>
      <c r="AE303" s="427" t="s">
        <v>446</v>
      </c>
      <c r="AF303" s="277" t="s">
        <v>10</v>
      </c>
      <c r="AG303" s="418" t="s">
        <v>445</v>
      </c>
      <c r="AH303" s="427" t="s">
        <v>446</v>
      </c>
      <c r="AI303" s="277" t="s">
        <v>10</v>
      </c>
      <c r="AJ303" s="418" t="s">
        <v>445</v>
      </c>
      <c r="AK303" s="427" t="s">
        <v>446</v>
      </c>
      <c r="AL303" s="277" t="s">
        <v>10</v>
      </c>
      <c r="AM303" s="723" t="s">
        <v>445</v>
      </c>
      <c r="AN303" s="732" t="s">
        <v>446</v>
      </c>
      <c r="AO303" s="702" t="s">
        <v>10</v>
      </c>
      <c r="AP303" s="815" t="s">
        <v>445</v>
      </c>
      <c r="AQ303" s="816" t="s">
        <v>446</v>
      </c>
      <c r="AR303" s="702" t="s">
        <v>10</v>
      </c>
      <c r="AS303" s="815" t="s">
        <v>445</v>
      </c>
      <c r="AT303" s="816" t="s">
        <v>446</v>
      </c>
      <c r="AU303" s="757" t="s">
        <v>10</v>
      </c>
      <c r="AV303" s="996" t="s">
        <v>445</v>
      </c>
      <c r="AW303" s="1009" t="s">
        <v>446</v>
      </c>
      <c r="AX303" s="757" t="s">
        <v>10</v>
      </c>
      <c r="AY303" s="815" t="s">
        <v>445</v>
      </c>
      <c r="AZ303" s="816" t="s">
        <v>446</v>
      </c>
      <c r="BA303" s="757" t="s">
        <v>10</v>
      </c>
      <c r="BB303" s="815" t="s">
        <v>445</v>
      </c>
      <c r="BC303" s="816" t="s">
        <v>446</v>
      </c>
      <c r="BD303" s="757" t="s">
        <v>10</v>
      </c>
      <c r="BE303" s="815" t="s">
        <v>669</v>
      </c>
      <c r="BF303" s="816" t="s">
        <v>671</v>
      </c>
      <c r="BG303" s="757" t="s">
        <v>10</v>
      </c>
      <c r="BH303" s="815" t="s">
        <v>669</v>
      </c>
      <c r="BI303" s="816" t="s">
        <v>671</v>
      </c>
      <c r="BJ303" s="757" t="s">
        <v>10</v>
      </c>
      <c r="BK303" s="815" t="s">
        <v>698</v>
      </c>
      <c r="BL303" s="816" t="s">
        <v>699</v>
      </c>
      <c r="BM303" s="757" t="s">
        <v>10</v>
      </c>
      <c r="BN303" s="815" t="s">
        <v>698</v>
      </c>
      <c r="BO303" s="816" t="s">
        <v>699</v>
      </c>
      <c r="BP303" s="757" t="s">
        <v>10</v>
      </c>
      <c r="BQ303" s="815" t="s">
        <v>445</v>
      </c>
      <c r="BR303" s="816" t="s">
        <v>446</v>
      </c>
      <c r="BS303" s="757" t="s">
        <v>10</v>
      </c>
      <c r="BT303" s="815" t="s">
        <v>445</v>
      </c>
      <c r="BU303" s="816" t="s">
        <v>446</v>
      </c>
      <c r="BV303" s="757" t="s">
        <v>10</v>
      </c>
    </row>
    <row r="304" spans="1:74">
      <c r="A304" s="96"/>
      <c r="B304" s="8" t="s">
        <v>240</v>
      </c>
      <c r="C304" s="103" t="s">
        <v>96</v>
      </c>
      <c r="D304" s="98">
        <v>15555</v>
      </c>
      <c r="E304" s="98">
        <v>21971</v>
      </c>
      <c r="F304" s="98">
        <v>26355</v>
      </c>
      <c r="G304" s="98">
        <v>29244</v>
      </c>
      <c r="H304" s="98">
        <v>37512</v>
      </c>
      <c r="I304" s="348">
        <v>46131</v>
      </c>
      <c r="J304" s="104">
        <v>60066</v>
      </c>
      <c r="K304" s="98">
        <v>59485</v>
      </c>
      <c r="L304" s="417">
        <v>5164</v>
      </c>
      <c r="M304" s="386">
        <v>5216</v>
      </c>
      <c r="N304" s="265">
        <f t="shared" ref="N304:N311" si="576">ROUND(((M304/L304-1)*100), 1)</f>
        <v>1</v>
      </c>
      <c r="O304" s="417">
        <f t="shared" ref="O304:P321" si="577">R304-L304</f>
        <v>4008</v>
      </c>
      <c r="P304" s="386">
        <f t="shared" si="577"/>
        <v>3893</v>
      </c>
      <c r="Q304" s="265">
        <f t="shared" ref="Q304:Q311" si="578">ROUND(((P304/O304-1)*100), 1)</f>
        <v>-2.9</v>
      </c>
      <c r="R304" s="417">
        <v>9172</v>
      </c>
      <c r="S304" s="386">
        <v>9109</v>
      </c>
      <c r="T304" s="265">
        <f t="shared" ref="T304:T311" si="579">ROUND(((S304/R304-1)*100), 1)</f>
        <v>-0.7</v>
      </c>
      <c r="U304" s="417">
        <f t="shared" ref="U304:U321" si="580">X304-R304</f>
        <v>5615</v>
      </c>
      <c r="V304" s="386">
        <f t="shared" ref="V304:V321" si="581">Y304-S304</f>
        <v>6095</v>
      </c>
      <c r="W304" s="265">
        <f t="shared" ref="W304:W310" si="582">ROUND(((V304/U304-1)*100), 1)</f>
        <v>8.5</v>
      </c>
      <c r="X304" s="417">
        <v>14787</v>
      </c>
      <c r="Y304" s="508">
        <v>15204</v>
      </c>
      <c r="Z304" s="265">
        <f t="shared" ref="Z304:Z311" si="583">ROUND(((Y304/X304-1)*100), 1)</f>
        <v>2.8</v>
      </c>
      <c r="AA304" s="417">
        <f t="shared" ref="AA304:AA321" si="584">AD304-X304</f>
        <v>5405</v>
      </c>
      <c r="AB304" s="386">
        <f t="shared" ref="AB304:AB321" si="585">AE304-Y304</f>
        <v>4870</v>
      </c>
      <c r="AC304" s="265">
        <f t="shared" ref="AC304:AC309" si="586">ROUND(((AB304/AA304-1)*100), 1)</f>
        <v>-9.9</v>
      </c>
      <c r="AD304" s="417">
        <v>20192</v>
      </c>
      <c r="AE304" s="548">
        <v>20074</v>
      </c>
      <c r="AF304" s="265">
        <f t="shared" ref="AF304:AF311" si="587">ROUND(((AE304/AD304-1)*100), 1)</f>
        <v>-0.6</v>
      </c>
      <c r="AG304" s="417">
        <f t="shared" ref="AG304:AH321" si="588">AJ304-AD304</f>
        <v>5947</v>
      </c>
      <c r="AH304" s="386">
        <f t="shared" si="588"/>
        <v>4367</v>
      </c>
      <c r="AI304" s="265">
        <f t="shared" ref="AI304:AI309" si="589">ROUND(((AH304/AG304-1)*100), 1)</f>
        <v>-26.6</v>
      </c>
      <c r="AJ304" s="417">
        <v>26139</v>
      </c>
      <c r="AK304" s="548">
        <v>24441</v>
      </c>
      <c r="AL304" s="265">
        <f t="shared" ref="AL304:AL311" si="590">ROUND(((AK304/AJ304-1)*100), 1)</f>
        <v>-6.5</v>
      </c>
      <c r="AM304" s="722">
        <f t="shared" ref="AM304:AM321" si="591">AP304-AJ304</f>
        <v>4613</v>
      </c>
      <c r="AN304" s="714">
        <f t="shared" ref="AN304:AN321" si="592">AQ304-AK304</f>
        <v>5454</v>
      </c>
      <c r="AO304" s="705">
        <f t="shared" ref="AO304:AO309" si="593">ROUND(((AN304/AM304-1)*100), 1)</f>
        <v>18.2</v>
      </c>
      <c r="AP304" s="770">
        <v>30752</v>
      </c>
      <c r="AQ304" s="548">
        <v>29895</v>
      </c>
      <c r="AR304" s="705">
        <f t="shared" ref="AR304:AR311" si="594">ROUND(((AQ304/AP304-1)*100), 1)</f>
        <v>-2.8</v>
      </c>
      <c r="AS304" s="770">
        <f t="shared" ref="AS304:AT321" si="595">AV304-AP304</f>
        <v>5689</v>
      </c>
      <c r="AT304" s="714">
        <f t="shared" si="595"/>
        <v>5344</v>
      </c>
      <c r="AU304" s="705">
        <f t="shared" ref="AU304:AU309" si="596">ROUND(((AT304/AS304-1)*100), 1)</f>
        <v>-6.1</v>
      </c>
      <c r="AV304" s="992">
        <v>36441</v>
      </c>
      <c r="AW304" s="1023">
        <v>35239</v>
      </c>
      <c r="AX304" s="705">
        <f t="shared" ref="AX304:AX311" si="597">ROUND(((AW304/AV304-1)*100), 1)</f>
        <v>-3.3</v>
      </c>
      <c r="AY304" s="770">
        <f t="shared" ref="AY304:AY321" si="598">BB304-AV304</f>
        <v>4487</v>
      </c>
      <c r="AZ304" s="714">
        <f t="shared" ref="AZ304:AZ321" si="599">BC304-AW304</f>
        <v>4443</v>
      </c>
      <c r="BA304" s="705">
        <f t="shared" ref="BA304:BA309" si="600">ROUND(((AZ304/AY304-1)*100), 1)</f>
        <v>-1</v>
      </c>
      <c r="BB304" s="770">
        <v>40928</v>
      </c>
      <c r="BC304" s="548">
        <v>39682</v>
      </c>
      <c r="BD304" s="705">
        <f t="shared" ref="BD304:BD311" si="601">ROUND(((BC304/BB304-1)*100), 1)</f>
        <v>-3</v>
      </c>
      <c r="BE304" s="770">
        <f t="shared" ref="BE304:BF321" si="602">BH304-BB304</f>
        <v>4389</v>
      </c>
      <c r="BF304" s="714">
        <f t="shared" si="602"/>
        <v>5426</v>
      </c>
      <c r="BG304" s="705">
        <f t="shared" ref="BG304:BG309" si="603">ROUND(((BF304/BE304-1)*100), 1)</f>
        <v>23.6</v>
      </c>
      <c r="BH304" s="770">
        <v>45317</v>
      </c>
      <c r="BI304" s="548">
        <v>45108</v>
      </c>
      <c r="BJ304" s="705">
        <f t="shared" ref="BJ304:BJ312" si="604">ROUND(((BI304/BH304-1)*100), 1)</f>
        <v>-0.5</v>
      </c>
      <c r="BK304" s="770">
        <f t="shared" ref="BK304:BL321" si="605">BN304-BH304</f>
        <v>4291</v>
      </c>
      <c r="BL304" s="714">
        <f t="shared" si="605"/>
        <v>5059</v>
      </c>
      <c r="BM304" s="705">
        <f t="shared" ref="BM304:BM309" si="606">ROUND(((BL304/BK304-1)*100), 1)</f>
        <v>17.899999999999999</v>
      </c>
      <c r="BN304" s="770">
        <v>49608</v>
      </c>
      <c r="BO304" s="548">
        <v>50167</v>
      </c>
      <c r="BP304" s="705">
        <f t="shared" ref="BP304:BP312" si="607">ROUND(((BO304/BN304-1)*100), 1)</f>
        <v>1.1000000000000001</v>
      </c>
      <c r="BQ304" s="770">
        <f t="shared" ref="BQ304:BR321" si="608">BT304-BN304</f>
        <v>5273</v>
      </c>
      <c r="BR304" s="714">
        <f t="shared" si="608"/>
        <v>6249</v>
      </c>
      <c r="BS304" s="705">
        <f t="shared" ref="BS304:BS309" si="609">ROUND(((BR304/BQ304-1)*100), 1)</f>
        <v>18.5</v>
      </c>
      <c r="BT304" s="770">
        <v>54881</v>
      </c>
      <c r="BU304" s="548">
        <v>56416</v>
      </c>
      <c r="BV304" s="705">
        <f t="shared" ref="BV304:BV313" si="610">ROUND(((BU304/BT304-1)*100), 1)</f>
        <v>2.8</v>
      </c>
    </row>
    <row r="305" spans="1:74">
      <c r="A305" s="96" t="s">
        <v>134</v>
      </c>
      <c r="B305" s="4" t="s">
        <v>235</v>
      </c>
      <c r="C305" s="105" t="s">
        <v>107</v>
      </c>
      <c r="D305" s="98">
        <v>1802</v>
      </c>
      <c r="E305" s="98">
        <v>1624</v>
      </c>
      <c r="F305" s="98">
        <v>1867</v>
      </c>
      <c r="G305" s="98">
        <v>1670</v>
      </c>
      <c r="H305" s="98">
        <v>1764</v>
      </c>
      <c r="I305" s="348">
        <v>2046</v>
      </c>
      <c r="J305" s="98">
        <v>2216</v>
      </c>
      <c r="K305" s="98">
        <v>1454</v>
      </c>
      <c r="L305" s="417">
        <v>203</v>
      </c>
      <c r="M305" s="386">
        <v>90</v>
      </c>
      <c r="N305" s="265">
        <f t="shared" si="576"/>
        <v>-55.7</v>
      </c>
      <c r="O305" s="417">
        <f t="shared" si="577"/>
        <v>148</v>
      </c>
      <c r="P305" s="386">
        <f t="shared" si="577"/>
        <v>147</v>
      </c>
      <c r="Q305" s="265">
        <f t="shared" si="578"/>
        <v>-0.7</v>
      </c>
      <c r="R305" s="417">
        <v>351</v>
      </c>
      <c r="S305" s="386">
        <v>237</v>
      </c>
      <c r="T305" s="265">
        <f t="shared" si="579"/>
        <v>-32.5</v>
      </c>
      <c r="U305" s="417">
        <f t="shared" si="580"/>
        <v>179</v>
      </c>
      <c r="V305" s="386">
        <f t="shared" si="581"/>
        <v>152</v>
      </c>
      <c r="W305" s="265">
        <f t="shared" si="582"/>
        <v>-15.1</v>
      </c>
      <c r="X305" s="417">
        <v>530</v>
      </c>
      <c r="Y305" s="508">
        <v>389</v>
      </c>
      <c r="Z305" s="265">
        <f t="shared" si="583"/>
        <v>-26.6</v>
      </c>
      <c r="AA305" s="417">
        <f t="shared" si="584"/>
        <v>153</v>
      </c>
      <c r="AB305" s="386">
        <f t="shared" si="585"/>
        <v>185</v>
      </c>
      <c r="AC305" s="265">
        <f t="shared" si="586"/>
        <v>20.9</v>
      </c>
      <c r="AD305" s="417">
        <v>683</v>
      </c>
      <c r="AE305" s="548">
        <v>574</v>
      </c>
      <c r="AF305" s="265">
        <f t="shared" si="587"/>
        <v>-16</v>
      </c>
      <c r="AG305" s="417">
        <f t="shared" si="588"/>
        <v>37</v>
      </c>
      <c r="AH305" s="386">
        <f t="shared" si="588"/>
        <v>97</v>
      </c>
      <c r="AI305" s="265">
        <f t="shared" si="589"/>
        <v>162.19999999999999</v>
      </c>
      <c r="AJ305" s="417">
        <v>720</v>
      </c>
      <c r="AK305" s="548">
        <v>671</v>
      </c>
      <c r="AL305" s="265">
        <f t="shared" si="590"/>
        <v>-6.8</v>
      </c>
      <c r="AM305" s="722">
        <f t="shared" si="591"/>
        <v>45</v>
      </c>
      <c r="AN305" s="714">
        <f t="shared" si="592"/>
        <v>142</v>
      </c>
      <c r="AO305" s="705">
        <f t="shared" si="593"/>
        <v>215.6</v>
      </c>
      <c r="AP305" s="770">
        <v>765</v>
      </c>
      <c r="AQ305" s="548">
        <v>813</v>
      </c>
      <c r="AR305" s="705">
        <f t="shared" si="594"/>
        <v>6.3</v>
      </c>
      <c r="AS305" s="770">
        <f t="shared" si="595"/>
        <v>81</v>
      </c>
      <c r="AT305" s="714">
        <f t="shared" si="595"/>
        <v>128</v>
      </c>
      <c r="AU305" s="705">
        <f t="shared" si="596"/>
        <v>58</v>
      </c>
      <c r="AV305" s="992">
        <v>846</v>
      </c>
      <c r="AW305" s="1023">
        <v>941</v>
      </c>
      <c r="AX305" s="705">
        <f t="shared" si="597"/>
        <v>11.2</v>
      </c>
      <c r="AY305" s="770">
        <f t="shared" si="598"/>
        <v>128</v>
      </c>
      <c r="AZ305" s="714">
        <f t="shared" si="599"/>
        <v>80</v>
      </c>
      <c r="BA305" s="705">
        <f t="shared" si="600"/>
        <v>-37.5</v>
      </c>
      <c r="BB305" s="770">
        <v>974</v>
      </c>
      <c r="BC305" s="548">
        <v>1021</v>
      </c>
      <c r="BD305" s="705">
        <f t="shared" si="601"/>
        <v>4.8</v>
      </c>
      <c r="BE305" s="770">
        <f t="shared" si="602"/>
        <v>135</v>
      </c>
      <c r="BF305" s="714">
        <f t="shared" si="602"/>
        <v>116</v>
      </c>
      <c r="BG305" s="705">
        <f t="shared" si="603"/>
        <v>-14.1</v>
      </c>
      <c r="BH305" s="770">
        <v>1109</v>
      </c>
      <c r="BI305" s="548">
        <v>1137</v>
      </c>
      <c r="BJ305" s="705">
        <f t="shared" si="604"/>
        <v>2.5</v>
      </c>
      <c r="BK305" s="770">
        <f t="shared" si="605"/>
        <v>109</v>
      </c>
      <c r="BL305" s="714">
        <f t="shared" si="605"/>
        <v>114</v>
      </c>
      <c r="BM305" s="705">
        <f t="shared" si="606"/>
        <v>4.5999999999999996</v>
      </c>
      <c r="BN305" s="770">
        <v>1218</v>
      </c>
      <c r="BO305" s="548">
        <v>1251</v>
      </c>
      <c r="BP305" s="705">
        <f t="shared" si="607"/>
        <v>2.7</v>
      </c>
      <c r="BQ305" s="770">
        <f t="shared" si="608"/>
        <v>104</v>
      </c>
      <c r="BR305" s="714">
        <f t="shared" si="608"/>
        <v>92</v>
      </c>
      <c r="BS305" s="705">
        <f t="shared" si="609"/>
        <v>-11.5</v>
      </c>
      <c r="BT305" s="770">
        <v>1322</v>
      </c>
      <c r="BU305" s="548">
        <v>1343</v>
      </c>
      <c r="BV305" s="705">
        <f t="shared" si="610"/>
        <v>1.6</v>
      </c>
    </row>
    <row r="306" spans="1:74">
      <c r="A306" s="96"/>
      <c r="B306" s="4" t="s">
        <v>241</v>
      </c>
      <c r="C306" s="105" t="s">
        <v>116</v>
      </c>
      <c r="D306" s="98">
        <v>1450</v>
      </c>
      <c r="E306" s="98">
        <v>1166</v>
      </c>
      <c r="F306" s="98">
        <v>759</v>
      </c>
      <c r="G306" s="98">
        <v>693</v>
      </c>
      <c r="H306" s="98">
        <v>1116</v>
      </c>
      <c r="I306" s="348">
        <v>981</v>
      </c>
      <c r="J306" s="98">
        <v>891</v>
      </c>
      <c r="K306" s="98">
        <v>1452</v>
      </c>
      <c r="L306" s="417">
        <v>152</v>
      </c>
      <c r="M306" s="386">
        <v>6</v>
      </c>
      <c r="N306" s="265">
        <f t="shared" si="576"/>
        <v>-96.1</v>
      </c>
      <c r="O306" s="417">
        <f t="shared" si="577"/>
        <v>169</v>
      </c>
      <c r="P306" s="386">
        <f t="shared" si="577"/>
        <v>113</v>
      </c>
      <c r="Q306" s="265">
        <f t="shared" si="578"/>
        <v>-33.1</v>
      </c>
      <c r="R306" s="417">
        <v>321</v>
      </c>
      <c r="S306" s="386">
        <v>119</v>
      </c>
      <c r="T306" s="265">
        <f t="shared" si="579"/>
        <v>-62.9</v>
      </c>
      <c r="U306" s="417">
        <f t="shared" si="580"/>
        <v>73</v>
      </c>
      <c r="V306" s="386">
        <f t="shared" si="581"/>
        <v>120</v>
      </c>
      <c r="W306" s="265">
        <f t="shared" si="582"/>
        <v>64.400000000000006</v>
      </c>
      <c r="X306" s="417">
        <v>394</v>
      </c>
      <c r="Y306" s="508">
        <v>239</v>
      </c>
      <c r="Z306" s="265">
        <f t="shared" si="583"/>
        <v>-39.299999999999997</v>
      </c>
      <c r="AA306" s="417">
        <f t="shared" si="584"/>
        <v>186</v>
      </c>
      <c r="AB306" s="386">
        <f t="shared" si="585"/>
        <v>61</v>
      </c>
      <c r="AC306" s="265">
        <f t="shared" si="586"/>
        <v>-67.2</v>
      </c>
      <c r="AD306" s="417">
        <v>580</v>
      </c>
      <c r="AE306" s="548">
        <v>300</v>
      </c>
      <c r="AF306" s="265">
        <f t="shared" si="587"/>
        <v>-48.3</v>
      </c>
      <c r="AG306" s="417">
        <f t="shared" si="588"/>
        <v>72</v>
      </c>
      <c r="AH306" s="386">
        <f t="shared" si="588"/>
        <v>107</v>
      </c>
      <c r="AI306" s="265">
        <f t="shared" si="589"/>
        <v>48.6</v>
      </c>
      <c r="AJ306" s="417">
        <v>652</v>
      </c>
      <c r="AK306" s="548">
        <v>407</v>
      </c>
      <c r="AL306" s="265">
        <f t="shared" si="590"/>
        <v>-37.6</v>
      </c>
      <c r="AM306" s="722">
        <f t="shared" si="591"/>
        <v>122</v>
      </c>
      <c r="AN306" s="714">
        <f t="shared" si="592"/>
        <v>65</v>
      </c>
      <c r="AO306" s="705">
        <f t="shared" si="593"/>
        <v>-46.7</v>
      </c>
      <c r="AP306" s="770">
        <v>774</v>
      </c>
      <c r="AQ306" s="548">
        <v>472</v>
      </c>
      <c r="AR306" s="705">
        <f t="shared" si="594"/>
        <v>-39</v>
      </c>
      <c r="AS306" s="770">
        <f t="shared" si="595"/>
        <v>95</v>
      </c>
      <c r="AT306" s="714">
        <f t="shared" si="595"/>
        <v>78</v>
      </c>
      <c r="AU306" s="705">
        <f t="shared" si="596"/>
        <v>-17.899999999999999</v>
      </c>
      <c r="AV306" s="992">
        <v>869</v>
      </c>
      <c r="AW306" s="1023">
        <v>550</v>
      </c>
      <c r="AX306" s="705">
        <f t="shared" si="597"/>
        <v>-36.700000000000003</v>
      </c>
      <c r="AY306" s="770">
        <f t="shared" si="598"/>
        <v>65</v>
      </c>
      <c r="AZ306" s="714">
        <f t="shared" si="599"/>
        <v>63</v>
      </c>
      <c r="BA306" s="705">
        <f t="shared" si="600"/>
        <v>-3.1</v>
      </c>
      <c r="BB306" s="770">
        <v>934</v>
      </c>
      <c r="BC306" s="548">
        <v>613</v>
      </c>
      <c r="BD306" s="705">
        <f t="shared" si="601"/>
        <v>-34.4</v>
      </c>
      <c r="BE306" s="770">
        <f t="shared" si="602"/>
        <v>128</v>
      </c>
      <c r="BF306" s="714">
        <f t="shared" si="602"/>
        <v>83</v>
      </c>
      <c r="BG306" s="705">
        <f t="shared" si="603"/>
        <v>-35.200000000000003</v>
      </c>
      <c r="BH306" s="770">
        <v>1062</v>
      </c>
      <c r="BI306" s="548">
        <v>696</v>
      </c>
      <c r="BJ306" s="705">
        <f t="shared" si="604"/>
        <v>-34.5</v>
      </c>
      <c r="BK306" s="770">
        <f t="shared" si="605"/>
        <v>132</v>
      </c>
      <c r="BL306" s="714">
        <f t="shared" si="605"/>
        <v>102</v>
      </c>
      <c r="BM306" s="705">
        <f t="shared" si="606"/>
        <v>-22.7</v>
      </c>
      <c r="BN306" s="770">
        <v>1194</v>
      </c>
      <c r="BO306" s="548">
        <v>798</v>
      </c>
      <c r="BP306" s="705">
        <f t="shared" si="607"/>
        <v>-33.200000000000003</v>
      </c>
      <c r="BQ306" s="770">
        <f t="shared" si="608"/>
        <v>117</v>
      </c>
      <c r="BR306" s="714">
        <f t="shared" si="608"/>
        <v>78</v>
      </c>
      <c r="BS306" s="705">
        <f t="shared" si="609"/>
        <v>-33.299999999999997</v>
      </c>
      <c r="BT306" s="770">
        <v>1311</v>
      </c>
      <c r="BU306" s="548">
        <v>876</v>
      </c>
      <c r="BV306" s="705">
        <f t="shared" si="610"/>
        <v>-33.200000000000003</v>
      </c>
    </row>
    <row r="307" spans="1:74">
      <c r="A307" s="96"/>
      <c r="B307" s="4"/>
      <c r="C307" s="105" t="s">
        <v>100</v>
      </c>
      <c r="D307" s="98">
        <v>57</v>
      </c>
      <c r="E307" s="98">
        <v>48</v>
      </c>
      <c r="F307" s="98">
        <v>36</v>
      </c>
      <c r="G307" s="98">
        <v>49</v>
      </c>
      <c r="H307" s="98">
        <v>53</v>
      </c>
      <c r="I307" s="348">
        <v>139</v>
      </c>
      <c r="J307" s="98">
        <v>253</v>
      </c>
      <c r="K307" s="98">
        <v>280</v>
      </c>
      <c r="L307" s="417">
        <v>7</v>
      </c>
      <c r="M307" s="386">
        <v>16</v>
      </c>
      <c r="N307" s="265">
        <f t="shared" si="576"/>
        <v>128.6</v>
      </c>
      <c r="O307" s="417">
        <f t="shared" si="577"/>
        <v>24</v>
      </c>
      <c r="P307" s="386">
        <f t="shared" si="577"/>
        <v>17</v>
      </c>
      <c r="Q307" s="265">
        <f t="shared" si="578"/>
        <v>-29.2</v>
      </c>
      <c r="R307" s="417">
        <v>31</v>
      </c>
      <c r="S307" s="386">
        <v>33</v>
      </c>
      <c r="T307" s="265">
        <f t="shared" si="579"/>
        <v>6.5</v>
      </c>
      <c r="U307" s="417">
        <f t="shared" si="580"/>
        <v>12</v>
      </c>
      <c r="V307" s="386">
        <f t="shared" si="581"/>
        <v>20</v>
      </c>
      <c r="W307" s="265">
        <f t="shared" si="582"/>
        <v>66.7</v>
      </c>
      <c r="X307" s="417">
        <v>43</v>
      </c>
      <c r="Y307" s="508">
        <v>53</v>
      </c>
      <c r="Z307" s="265">
        <f t="shared" si="583"/>
        <v>23.3</v>
      </c>
      <c r="AA307" s="417">
        <f t="shared" si="584"/>
        <v>19</v>
      </c>
      <c r="AB307" s="386">
        <f t="shared" si="585"/>
        <v>31</v>
      </c>
      <c r="AC307" s="265">
        <f t="shared" si="586"/>
        <v>63.2</v>
      </c>
      <c r="AD307" s="417">
        <v>62</v>
      </c>
      <c r="AE307" s="548">
        <v>84</v>
      </c>
      <c r="AF307" s="265">
        <f t="shared" si="587"/>
        <v>35.5</v>
      </c>
      <c r="AG307" s="417">
        <f t="shared" si="588"/>
        <v>35</v>
      </c>
      <c r="AH307" s="386">
        <f t="shared" si="588"/>
        <v>24</v>
      </c>
      <c r="AI307" s="265">
        <f t="shared" si="589"/>
        <v>-31.4</v>
      </c>
      <c r="AJ307" s="417">
        <v>97</v>
      </c>
      <c r="AK307" s="548">
        <v>108</v>
      </c>
      <c r="AL307" s="265">
        <f t="shared" si="590"/>
        <v>11.3</v>
      </c>
      <c r="AM307" s="722">
        <f t="shared" si="591"/>
        <v>20</v>
      </c>
      <c r="AN307" s="714">
        <f t="shared" si="592"/>
        <v>20</v>
      </c>
      <c r="AO307" s="705">
        <f t="shared" si="593"/>
        <v>0</v>
      </c>
      <c r="AP307" s="770">
        <v>117</v>
      </c>
      <c r="AQ307" s="548">
        <v>128</v>
      </c>
      <c r="AR307" s="705">
        <f t="shared" si="594"/>
        <v>9.4</v>
      </c>
      <c r="AS307" s="770">
        <f t="shared" si="595"/>
        <v>15</v>
      </c>
      <c r="AT307" s="714">
        <f t="shared" si="595"/>
        <v>34</v>
      </c>
      <c r="AU307" s="705">
        <f t="shared" si="596"/>
        <v>126.7</v>
      </c>
      <c r="AV307" s="992">
        <v>132</v>
      </c>
      <c r="AW307" s="1023">
        <v>162</v>
      </c>
      <c r="AX307" s="705">
        <f t="shared" si="597"/>
        <v>22.7</v>
      </c>
      <c r="AY307" s="770">
        <f t="shared" si="598"/>
        <v>33</v>
      </c>
      <c r="AZ307" s="714">
        <f t="shared" si="599"/>
        <v>29</v>
      </c>
      <c r="BA307" s="705">
        <f t="shared" si="600"/>
        <v>-12.1</v>
      </c>
      <c r="BB307" s="770">
        <v>165</v>
      </c>
      <c r="BC307" s="548">
        <v>191</v>
      </c>
      <c r="BD307" s="705">
        <f t="shared" si="601"/>
        <v>15.8</v>
      </c>
      <c r="BE307" s="770">
        <f t="shared" si="602"/>
        <v>22</v>
      </c>
      <c r="BF307" s="714">
        <f t="shared" si="602"/>
        <v>27</v>
      </c>
      <c r="BG307" s="705">
        <f t="shared" si="603"/>
        <v>22.7</v>
      </c>
      <c r="BH307" s="770">
        <v>187</v>
      </c>
      <c r="BI307" s="548">
        <v>218</v>
      </c>
      <c r="BJ307" s="705">
        <f t="shared" si="604"/>
        <v>16.600000000000001</v>
      </c>
      <c r="BK307" s="770">
        <f t="shared" si="605"/>
        <v>31</v>
      </c>
      <c r="BL307" s="714">
        <f t="shared" si="605"/>
        <v>47</v>
      </c>
      <c r="BM307" s="705">
        <f t="shared" si="606"/>
        <v>51.6</v>
      </c>
      <c r="BN307" s="770">
        <v>218</v>
      </c>
      <c r="BO307" s="548">
        <v>265</v>
      </c>
      <c r="BP307" s="705">
        <f t="shared" si="607"/>
        <v>21.6</v>
      </c>
      <c r="BQ307" s="770">
        <f t="shared" si="608"/>
        <v>33</v>
      </c>
      <c r="BR307" s="714">
        <f t="shared" si="608"/>
        <v>28</v>
      </c>
      <c r="BS307" s="705">
        <f t="shared" si="609"/>
        <v>-15.2</v>
      </c>
      <c r="BT307" s="770">
        <v>251</v>
      </c>
      <c r="BU307" s="548">
        <v>293</v>
      </c>
      <c r="BV307" s="705">
        <f t="shared" si="610"/>
        <v>16.7</v>
      </c>
    </row>
    <row r="308" spans="1:74">
      <c r="A308" s="96"/>
      <c r="B308" s="4"/>
      <c r="C308" s="105" t="s">
        <v>113</v>
      </c>
      <c r="D308" s="98">
        <v>163</v>
      </c>
      <c r="E308" s="98">
        <v>131</v>
      </c>
      <c r="F308" s="98">
        <v>155</v>
      </c>
      <c r="G308" s="98">
        <v>139</v>
      </c>
      <c r="H308" s="98">
        <v>124</v>
      </c>
      <c r="I308" s="348">
        <v>143</v>
      </c>
      <c r="J308" s="98">
        <v>160</v>
      </c>
      <c r="K308" s="98">
        <v>211</v>
      </c>
      <c r="L308" s="417">
        <v>43</v>
      </c>
      <c r="M308" s="386">
        <v>11</v>
      </c>
      <c r="N308" s="265">
        <f t="shared" si="576"/>
        <v>-74.400000000000006</v>
      </c>
      <c r="O308" s="417">
        <f t="shared" si="577"/>
        <v>1</v>
      </c>
      <c r="P308" s="386">
        <f t="shared" si="577"/>
        <v>18</v>
      </c>
      <c r="Q308" s="265">
        <f t="shared" si="578"/>
        <v>1700</v>
      </c>
      <c r="R308" s="417">
        <v>44</v>
      </c>
      <c r="S308" s="386">
        <v>29</v>
      </c>
      <c r="T308" s="265">
        <f t="shared" si="579"/>
        <v>-34.1</v>
      </c>
      <c r="U308" s="417">
        <f t="shared" si="580"/>
        <v>2</v>
      </c>
      <c r="V308" s="386">
        <f t="shared" si="581"/>
        <v>6</v>
      </c>
      <c r="W308" s="265">
        <f t="shared" si="582"/>
        <v>200</v>
      </c>
      <c r="X308" s="417">
        <v>46</v>
      </c>
      <c r="Y308" s="508">
        <v>35</v>
      </c>
      <c r="Z308" s="265">
        <f t="shared" si="583"/>
        <v>-23.9</v>
      </c>
      <c r="AA308" s="417">
        <f t="shared" si="584"/>
        <v>5</v>
      </c>
      <c r="AB308" s="386">
        <f t="shared" si="585"/>
        <v>22</v>
      </c>
      <c r="AC308" s="265">
        <f t="shared" si="586"/>
        <v>340</v>
      </c>
      <c r="AD308" s="417">
        <v>51</v>
      </c>
      <c r="AE308" s="548">
        <v>57</v>
      </c>
      <c r="AF308" s="265">
        <f t="shared" si="587"/>
        <v>11.8</v>
      </c>
      <c r="AG308" s="417">
        <f t="shared" si="588"/>
        <v>56</v>
      </c>
      <c r="AH308" s="386">
        <f t="shared" si="588"/>
        <v>21</v>
      </c>
      <c r="AI308" s="265">
        <f t="shared" si="589"/>
        <v>-62.5</v>
      </c>
      <c r="AJ308" s="417">
        <v>107</v>
      </c>
      <c r="AK308" s="548">
        <v>78</v>
      </c>
      <c r="AL308" s="265">
        <f t="shared" si="590"/>
        <v>-27.1</v>
      </c>
      <c r="AM308" s="722">
        <f t="shared" si="591"/>
        <v>10</v>
      </c>
      <c r="AN308" s="714">
        <f t="shared" si="592"/>
        <v>3</v>
      </c>
      <c r="AO308" s="705">
        <f t="shared" si="593"/>
        <v>-70</v>
      </c>
      <c r="AP308" s="770">
        <v>117</v>
      </c>
      <c r="AQ308" s="548">
        <v>81</v>
      </c>
      <c r="AR308" s="705">
        <f t="shared" si="594"/>
        <v>-30.8</v>
      </c>
      <c r="AS308" s="770">
        <f t="shared" si="595"/>
        <v>13</v>
      </c>
      <c r="AT308" s="714">
        <f t="shared" si="595"/>
        <v>11</v>
      </c>
      <c r="AU308" s="705">
        <f t="shared" si="596"/>
        <v>-15.4</v>
      </c>
      <c r="AV308" s="992">
        <v>130</v>
      </c>
      <c r="AW308" s="1023">
        <v>92</v>
      </c>
      <c r="AX308" s="705">
        <f t="shared" si="597"/>
        <v>-29.2</v>
      </c>
      <c r="AY308" s="770">
        <f t="shared" si="598"/>
        <v>12</v>
      </c>
      <c r="AZ308" s="714">
        <f t="shared" si="599"/>
        <v>6</v>
      </c>
      <c r="BA308" s="705">
        <f t="shared" si="600"/>
        <v>-50</v>
      </c>
      <c r="BB308" s="770">
        <v>142</v>
      </c>
      <c r="BC308" s="548">
        <v>98</v>
      </c>
      <c r="BD308" s="705">
        <f t="shared" si="601"/>
        <v>-31</v>
      </c>
      <c r="BE308" s="770">
        <f t="shared" si="602"/>
        <v>17</v>
      </c>
      <c r="BF308" s="714">
        <f t="shared" si="602"/>
        <v>16</v>
      </c>
      <c r="BG308" s="705">
        <f t="shared" si="603"/>
        <v>-5.9</v>
      </c>
      <c r="BH308" s="770">
        <v>159</v>
      </c>
      <c r="BI308" s="548">
        <v>114</v>
      </c>
      <c r="BJ308" s="705">
        <f t="shared" si="604"/>
        <v>-28.3</v>
      </c>
      <c r="BK308" s="770">
        <f t="shared" si="605"/>
        <v>13</v>
      </c>
      <c r="BL308" s="714">
        <f t="shared" si="605"/>
        <v>11</v>
      </c>
      <c r="BM308" s="705">
        <f t="shared" si="606"/>
        <v>-15.4</v>
      </c>
      <c r="BN308" s="770">
        <v>172</v>
      </c>
      <c r="BO308" s="548">
        <v>125</v>
      </c>
      <c r="BP308" s="705">
        <f t="shared" si="607"/>
        <v>-27.3</v>
      </c>
      <c r="BQ308" s="770">
        <f t="shared" si="608"/>
        <v>28</v>
      </c>
      <c r="BR308" s="714">
        <f t="shared" si="608"/>
        <v>17</v>
      </c>
      <c r="BS308" s="705">
        <f t="shared" si="609"/>
        <v>-39.299999999999997</v>
      </c>
      <c r="BT308" s="770">
        <v>200</v>
      </c>
      <c r="BU308" s="548">
        <v>142</v>
      </c>
      <c r="BV308" s="705">
        <f t="shared" si="610"/>
        <v>-29</v>
      </c>
    </row>
    <row r="309" spans="1:74">
      <c r="A309" s="96"/>
      <c r="B309" s="4"/>
      <c r="C309" s="105" t="s">
        <v>128</v>
      </c>
      <c r="D309" s="98">
        <v>29</v>
      </c>
      <c r="E309" s="98">
        <v>25</v>
      </c>
      <c r="F309" s="98">
        <v>13</v>
      </c>
      <c r="G309" s="98">
        <v>12</v>
      </c>
      <c r="H309" s="98">
        <v>19</v>
      </c>
      <c r="I309" s="348">
        <v>12</v>
      </c>
      <c r="J309" s="98">
        <v>25</v>
      </c>
      <c r="K309" s="98">
        <v>129</v>
      </c>
      <c r="L309" s="417">
        <v>3</v>
      </c>
      <c r="M309" s="386">
        <v>39</v>
      </c>
      <c r="N309" s="265">
        <f t="shared" si="576"/>
        <v>1200</v>
      </c>
      <c r="O309" s="417">
        <f t="shared" si="577"/>
        <v>0</v>
      </c>
      <c r="P309" s="386">
        <f t="shared" si="577"/>
        <v>1</v>
      </c>
      <c r="Q309" s="523">
        <v>0</v>
      </c>
      <c r="R309" s="417">
        <v>3</v>
      </c>
      <c r="S309" s="386">
        <v>40</v>
      </c>
      <c r="T309" s="265">
        <f t="shared" si="579"/>
        <v>1233.3</v>
      </c>
      <c r="U309" s="417">
        <f t="shared" si="580"/>
        <v>1</v>
      </c>
      <c r="V309" s="386">
        <f t="shared" si="581"/>
        <v>20</v>
      </c>
      <c r="W309" s="265">
        <f t="shared" si="582"/>
        <v>1900</v>
      </c>
      <c r="X309" s="417">
        <v>4</v>
      </c>
      <c r="Y309" s="508">
        <v>60</v>
      </c>
      <c r="Z309" s="265">
        <f t="shared" si="583"/>
        <v>1400</v>
      </c>
      <c r="AA309" s="417">
        <f t="shared" si="584"/>
        <v>5</v>
      </c>
      <c r="AB309" s="386">
        <f t="shared" si="585"/>
        <v>15</v>
      </c>
      <c r="AC309" s="265">
        <f t="shared" si="586"/>
        <v>200</v>
      </c>
      <c r="AD309" s="417">
        <v>9</v>
      </c>
      <c r="AE309" s="548">
        <v>75</v>
      </c>
      <c r="AF309" s="265">
        <f t="shared" si="587"/>
        <v>733.3</v>
      </c>
      <c r="AG309" s="417">
        <f t="shared" si="588"/>
        <v>14</v>
      </c>
      <c r="AH309" s="386">
        <f t="shared" si="588"/>
        <v>3</v>
      </c>
      <c r="AI309" s="265">
        <f t="shared" si="589"/>
        <v>-78.599999999999994</v>
      </c>
      <c r="AJ309" s="417">
        <v>23</v>
      </c>
      <c r="AK309" s="548">
        <v>78</v>
      </c>
      <c r="AL309" s="265">
        <f t="shared" si="590"/>
        <v>239.1</v>
      </c>
      <c r="AM309" s="722">
        <f t="shared" si="591"/>
        <v>1</v>
      </c>
      <c r="AN309" s="714">
        <f t="shared" si="592"/>
        <v>0</v>
      </c>
      <c r="AO309" s="705">
        <f t="shared" si="593"/>
        <v>-100</v>
      </c>
      <c r="AP309" s="770">
        <v>24</v>
      </c>
      <c r="AQ309" s="548">
        <v>78</v>
      </c>
      <c r="AR309" s="705">
        <f t="shared" si="594"/>
        <v>225</v>
      </c>
      <c r="AS309" s="770">
        <f t="shared" si="595"/>
        <v>1</v>
      </c>
      <c r="AT309" s="714">
        <f t="shared" si="595"/>
        <v>9</v>
      </c>
      <c r="AU309" s="705">
        <f t="shared" si="596"/>
        <v>800</v>
      </c>
      <c r="AV309" s="992">
        <v>25</v>
      </c>
      <c r="AW309" s="1023">
        <v>87</v>
      </c>
      <c r="AX309" s="705">
        <f t="shared" si="597"/>
        <v>248</v>
      </c>
      <c r="AY309" s="770">
        <f t="shared" si="598"/>
        <v>21</v>
      </c>
      <c r="AZ309" s="714">
        <f t="shared" si="599"/>
        <v>1</v>
      </c>
      <c r="BA309" s="705">
        <f t="shared" si="600"/>
        <v>-95.2</v>
      </c>
      <c r="BB309" s="770">
        <v>46</v>
      </c>
      <c r="BC309" s="548">
        <v>88</v>
      </c>
      <c r="BD309" s="705">
        <f t="shared" si="601"/>
        <v>91.3</v>
      </c>
      <c r="BE309" s="770">
        <f t="shared" si="602"/>
        <v>20</v>
      </c>
      <c r="BF309" s="714">
        <f t="shared" si="602"/>
        <v>3</v>
      </c>
      <c r="BG309" s="705">
        <f t="shared" si="603"/>
        <v>-85</v>
      </c>
      <c r="BH309" s="770">
        <v>66</v>
      </c>
      <c r="BI309" s="548">
        <v>91</v>
      </c>
      <c r="BJ309" s="705">
        <f t="shared" si="604"/>
        <v>37.9</v>
      </c>
      <c r="BK309" s="770">
        <f t="shared" si="605"/>
        <v>19</v>
      </c>
      <c r="BL309" s="714">
        <f t="shared" si="605"/>
        <v>38</v>
      </c>
      <c r="BM309" s="705">
        <f t="shared" si="606"/>
        <v>100</v>
      </c>
      <c r="BN309" s="770">
        <v>85</v>
      </c>
      <c r="BO309" s="548">
        <v>129</v>
      </c>
      <c r="BP309" s="705">
        <f t="shared" si="607"/>
        <v>51.8</v>
      </c>
      <c r="BQ309" s="770">
        <f t="shared" si="608"/>
        <v>21</v>
      </c>
      <c r="BR309" s="714">
        <f t="shared" si="608"/>
        <v>19</v>
      </c>
      <c r="BS309" s="705">
        <f t="shared" si="609"/>
        <v>-9.5</v>
      </c>
      <c r="BT309" s="770">
        <v>106</v>
      </c>
      <c r="BU309" s="548">
        <v>148</v>
      </c>
      <c r="BV309" s="705">
        <f t="shared" si="610"/>
        <v>39.6</v>
      </c>
    </row>
    <row r="310" spans="1:74">
      <c r="A310" s="96"/>
      <c r="B310" s="4"/>
      <c r="C310" s="105" t="s">
        <v>101</v>
      </c>
      <c r="D310" s="98">
        <v>14</v>
      </c>
      <c r="E310" s="98">
        <v>46</v>
      </c>
      <c r="F310" s="98">
        <v>62</v>
      </c>
      <c r="G310" s="98">
        <v>80</v>
      </c>
      <c r="H310" s="98">
        <v>2</v>
      </c>
      <c r="I310" s="348">
        <v>98</v>
      </c>
      <c r="J310" s="98">
        <v>27</v>
      </c>
      <c r="K310" s="98">
        <v>40</v>
      </c>
      <c r="L310" s="417">
        <v>2</v>
      </c>
      <c r="M310" s="386">
        <v>0</v>
      </c>
      <c r="N310" s="265">
        <f t="shared" si="576"/>
        <v>-100</v>
      </c>
      <c r="O310" s="417">
        <f t="shared" si="577"/>
        <v>0</v>
      </c>
      <c r="P310" s="386">
        <f t="shared" si="577"/>
        <v>0</v>
      </c>
      <c r="Q310" s="523">
        <v>0</v>
      </c>
      <c r="R310" s="417">
        <v>2</v>
      </c>
      <c r="S310" s="386">
        <v>0</v>
      </c>
      <c r="T310" s="265">
        <f t="shared" si="579"/>
        <v>-100</v>
      </c>
      <c r="U310" s="417">
        <f t="shared" si="580"/>
        <v>6</v>
      </c>
      <c r="V310" s="386">
        <f t="shared" si="581"/>
        <v>2</v>
      </c>
      <c r="W310" s="265">
        <f t="shared" si="582"/>
        <v>-66.7</v>
      </c>
      <c r="X310" s="417">
        <v>8</v>
      </c>
      <c r="Y310" s="508">
        <v>2</v>
      </c>
      <c r="Z310" s="265">
        <f t="shared" si="583"/>
        <v>-75</v>
      </c>
      <c r="AA310" s="417">
        <f t="shared" si="584"/>
        <v>0</v>
      </c>
      <c r="AB310" s="386">
        <f t="shared" si="585"/>
        <v>0</v>
      </c>
      <c r="AC310" s="523">
        <v>0</v>
      </c>
      <c r="AD310" s="417">
        <v>8</v>
      </c>
      <c r="AE310" s="548">
        <v>2</v>
      </c>
      <c r="AF310" s="265">
        <f t="shared" si="587"/>
        <v>-75</v>
      </c>
      <c r="AG310" s="417">
        <f t="shared" si="588"/>
        <v>0</v>
      </c>
      <c r="AH310" s="386">
        <f t="shared" si="588"/>
        <v>0</v>
      </c>
      <c r="AI310" s="529">
        <v>0</v>
      </c>
      <c r="AJ310" s="417">
        <v>8</v>
      </c>
      <c r="AK310" s="548">
        <v>2</v>
      </c>
      <c r="AL310" s="265">
        <f t="shared" si="590"/>
        <v>-75</v>
      </c>
      <c r="AM310" s="722">
        <f t="shared" si="591"/>
        <v>26</v>
      </c>
      <c r="AN310" s="714">
        <f t="shared" si="592"/>
        <v>1</v>
      </c>
      <c r="AO310" s="705">
        <f>ROUND(((AN310/AM310-1)*100), 1)</f>
        <v>-96.2</v>
      </c>
      <c r="AP310" s="770">
        <v>34</v>
      </c>
      <c r="AQ310" s="548">
        <v>3</v>
      </c>
      <c r="AR310" s="705">
        <f t="shared" si="594"/>
        <v>-91.2</v>
      </c>
      <c r="AS310" s="770">
        <f t="shared" si="595"/>
        <v>0</v>
      </c>
      <c r="AT310" s="714">
        <f t="shared" si="595"/>
        <v>0</v>
      </c>
      <c r="AU310" s="751">
        <v>0</v>
      </c>
      <c r="AV310" s="992">
        <v>34</v>
      </c>
      <c r="AW310" s="1023">
        <v>3</v>
      </c>
      <c r="AX310" s="705">
        <f t="shared" si="597"/>
        <v>-91.2</v>
      </c>
      <c r="AY310" s="770">
        <f t="shared" si="598"/>
        <v>0</v>
      </c>
      <c r="AZ310" s="714">
        <f t="shared" si="599"/>
        <v>0</v>
      </c>
      <c r="BA310" s="751">
        <v>0</v>
      </c>
      <c r="BB310" s="770">
        <v>34</v>
      </c>
      <c r="BC310" s="548">
        <v>3</v>
      </c>
      <c r="BD310" s="705">
        <f t="shared" si="601"/>
        <v>-91.2</v>
      </c>
      <c r="BE310" s="770">
        <f t="shared" si="602"/>
        <v>0</v>
      </c>
      <c r="BF310" s="714">
        <f t="shared" si="602"/>
        <v>15</v>
      </c>
      <c r="BG310" s="751">
        <v>0</v>
      </c>
      <c r="BH310" s="770">
        <v>34</v>
      </c>
      <c r="BI310" s="548">
        <v>18</v>
      </c>
      <c r="BJ310" s="705">
        <f t="shared" si="604"/>
        <v>-47.1</v>
      </c>
      <c r="BK310" s="770">
        <f t="shared" si="605"/>
        <v>0</v>
      </c>
      <c r="BL310" s="714">
        <f t="shared" si="605"/>
        <v>0</v>
      </c>
      <c r="BM310" s="751">
        <v>0</v>
      </c>
      <c r="BN310" s="770">
        <v>34</v>
      </c>
      <c r="BO310" s="548">
        <v>18</v>
      </c>
      <c r="BP310" s="705">
        <f t="shared" si="607"/>
        <v>-47.1</v>
      </c>
      <c r="BQ310" s="770">
        <f t="shared" si="608"/>
        <v>0</v>
      </c>
      <c r="BR310" s="714">
        <f t="shared" si="608"/>
        <v>63</v>
      </c>
      <c r="BS310" s="751">
        <v>0</v>
      </c>
      <c r="BT310" s="770">
        <v>34</v>
      </c>
      <c r="BU310" s="548">
        <v>81</v>
      </c>
      <c r="BV310" s="705">
        <f t="shared" si="610"/>
        <v>138.19999999999999</v>
      </c>
    </row>
    <row r="311" spans="1:74">
      <c r="A311" s="96"/>
      <c r="B311" s="4"/>
      <c r="C311" s="105" t="s">
        <v>125</v>
      </c>
      <c r="D311" s="98">
        <v>4</v>
      </c>
      <c r="E311" s="98">
        <v>3</v>
      </c>
      <c r="F311" s="98">
        <v>4</v>
      </c>
      <c r="G311" s="98">
        <v>6</v>
      </c>
      <c r="H311" s="98">
        <v>1</v>
      </c>
      <c r="I311" s="348">
        <v>8</v>
      </c>
      <c r="J311" s="98">
        <v>12</v>
      </c>
      <c r="K311" s="98">
        <v>10</v>
      </c>
      <c r="L311" s="417">
        <v>2</v>
      </c>
      <c r="M311" s="386">
        <v>5</v>
      </c>
      <c r="N311" s="265">
        <f t="shared" si="576"/>
        <v>150</v>
      </c>
      <c r="O311" s="417">
        <f t="shared" si="577"/>
        <v>2</v>
      </c>
      <c r="P311" s="386">
        <f t="shared" si="577"/>
        <v>1</v>
      </c>
      <c r="Q311" s="265">
        <f t="shared" si="578"/>
        <v>-50</v>
      </c>
      <c r="R311" s="417">
        <v>4</v>
      </c>
      <c r="S311" s="386">
        <v>6</v>
      </c>
      <c r="T311" s="265">
        <f t="shared" si="579"/>
        <v>50</v>
      </c>
      <c r="U311" s="417">
        <f t="shared" si="580"/>
        <v>0</v>
      </c>
      <c r="V311" s="386">
        <f t="shared" si="581"/>
        <v>1</v>
      </c>
      <c r="W311" s="523">
        <v>0</v>
      </c>
      <c r="X311" s="417">
        <v>4</v>
      </c>
      <c r="Y311" s="508">
        <v>7</v>
      </c>
      <c r="Z311" s="265">
        <f t="shared" si="583"/>
        <v>75</v>
      </c>
      <c r="AA311" s="417">
        <f t="shared" si="584"/>
        <v>0</v>
      </c>
      <c r="AB311" s="386">
        <f t="shared" si="585"/>
        <v>0</v>
      </c>
      <c r="AC311" s="523">
        <v>0</v>
      </c>
      <c r="AD311" s="417">
        <v>4</v>
      </c>
      <c r="AE311" s="548">
        <v>7</v>
      </c>
      <c r="AF311" s="265">
        <f t="shared" si="587"/>
        <v>75</v>
      </c>
      <c r="AG311" s="417">
        <f t="shared" si="588"/>
        <v>0</v>
      </c>
      <c r="AH311" s="386">
        <f t="shared" si="588"/>
        <v>0</v>
      </c>
      <c r="AI311" s="523">
        <v>0</v>
      </c>
      <c r="AJ311" s="417">
        <v>4</v>
      </c>
      <c r="AK311" s="548">
        <v>7</v>
      </c>
      <c r="AL311" s="265">
        <f t="shared" si="590"/>
        <v>75</v>
      </c>
      <c r="AM311" s="722">
        <f t="shared" si="591"/>
        <v>2</v>
      </c>
      <c r="AN311" s="714">
        <f t="shared" si="592"/>
        <v>0</v>
      </c>
      <c r="AO311" s="705">
        <f>ROUND(((AN311/AM311-1)*100), 1)</f>
        <v>-100</v>
      </c>
      <c r="AP311" s="770">
        <v>6</v>
      </c>
      <c r="AQ311" s="548">
        <v>7</v>
      </c>
      <c r="AR311" s="705">
        <f t="shared" si="594"/>
        <v>16.7</v>
      </c>
      <c r="AS311" s="770">
        <f t="shared" si="595"/>
        <v>0</v>
      </c>
      <c r="AT311" s="714">
        <f t="shared" si="595"/>
        <v>0</v>
      </c>
      <c r="AU311" s="751">
        <v>0</v>
      </c>
      <c r="AV311" s="992">
        <v>6</v>
      </c>
      <c r="AW311" s="1023">
        <v>7</v>
      </c>
      <c r="AX311" s="705">
        <f t="shared" si="597"/>
        <v>16.7</v>
      </c>
      <c r="AY311" s="770">
        <f t="shared" si="598"/>
        <v>0</v>
      </c>
      <c r="AZ311" s="714">
        <f t="shared" si="599"/>
        <v>1</v>
      </c>
      <c r="BA311" s="751">
        <v>0</v>
      </c>
      <c r="BB311" s="770">
        <v>6</v>
      </c>
      <c r="BC311" s="548">
        <v>8</v>
      </c>
      <c r="BD311" s="705">
        <f t="shared" si="601"/>
        <v>33.299999999999997</v>
      </c>
      <c r="BE311" s="770">
        <f t="shared" si="602"/>
        <v>0</v>
      </c>
      <c r="BF311" s="714">
        <f t="shared" si="602"/>
        <v>2</v>
      </c>
      <c r="BG311" s="751">
        <v>0</v>
      </c>
      <c r="BH311" s="770">
        <v>6</v>
      </c>
      <c r="BI311" s="548">
        <v>10</v>
      </c>
      <c r="BJ311" s="705">
        <f t="shared" si="604"/>
        <v>66.7</v>
      </c>
      <c r="BK311" s="770">
        <f t="shared" si="605"/>
        <v>1</v>
      </c>
      <c r="BL311" s="714">
        <f t="shared" si="605"/>
        <v>0</v>
      </c>
      <c r="BM311" s="753">
        <f>ROUND(((BL311/BK311-1)*100), 1)</f>
        <v>-100</v>
      </c>
      <c r="BN311" s="770">
        <v>7</v>
      </c>
      <c r="BO311" s="548">
        <v>10</v>
      </c>
      <c r="BP311" s="705">
        <f t="shared" si="607"/>
        <v>42.9</v>
      </c>
      <c r="BQ311" s="770">
        <f t="shared" si="608"/>
        <v>3</v>
      </c>
      <c r="BR311" s="714">
        <f t="shared" si="608"/>
        <v>1</v>
      </c>
      <c r="BS311" s="753">
        <f>ROUND(((BR311/BQ311-1)*100), 1)</f>
        <v>-66.7</v>
      </c>
      <c r="BT311" s="770">
        <v>10</v>
      </c>
      <c r="BU311" s="548">
        <v>11</v>
      </c>
      <c r="BV311" s="705">
        <f t="shared" si="610"/>
        <v>10</v>
      </c>
    </row>
    <row r="312" spans="1:74">
      <c r="A312" s="96"/>
      <c r="B312" s="4"/>
      <c r="C312" s="105" t="s">
        <v>52</v>
      </c>
      <c r="D312" s="98">
        <v>4</v>
      </c>
      <c r="E312" s="98">
        <v>31</v>
      </c>
      <c r="F312" s="98">
        <v>4</v>
      </c>
      <c r="G312" s="98">
        <v>13</v>
      </c>
      <c r="H312" s="98">
        <v>8</v>
      </c>
      <c r="I312" s="348">
        <v>11</v>
      </c>
      <c r="J312" s="98">
        <v>45</v>
      </c>
      <c r="K312" s="98">
        <v>6</v>
      </c>
      <c r="L312" s="417">
        <v>0</v>
      </c>
      <c r="M312" s="386">
        <v>1</v>
      </c>
      <c r="N312" s="179">
        <v>0</v>
      </c>
      <c r="O312" s="417">
        <f t="shared" si="577"/>
        <v>0</v>
      </c>
      <c r="P312" s="386">
        <f t="shared" si="577"/>
        <v>0</v>
      </c>
      <c r="Q312" s="179">
        <v>0</v>
      </c>
      <c r="R312" s="417">
        <v>0</v>
      </c>
      <c r="S312" s="386">
        <v>1</v>
      </c>
      <c r="T312" s="179">
        <v>0</v>
      </c>
      <c r="U312" s="417">
        <f t="shared" si="580"/>
        <v>0</v>
      </c>
      <c r="V312" s="386">
        <f t="shared" si="581"/>
        <v>2</v>
      </c>
      <c r="W312" s="523">
        <v>0</v>
      </c>
      <c r="X312" s="417">
        <v>0</v>
      </c>
      <c r="Y312" s="508">
        <v>3</v>
      </c>
      <c r="Z312" s="179">
        <v>0</v>
      </c>
      <c r="AA312" s="417">
        <f t="shared" si="584"/>
        <v>0</v>
      </c>
      <c r="AB312" s="386">
        <f t="shared" si="585"/>
        <v>0</v>
      </c>
      <c r="AC312" s="523">
        <v>0</v>
      </c>
      <c r="AD312" s="417">
        <v>0</v>
      </c>
      <c r="AE312" s="548">
        <v>3</v>
      </c>
      <c r="AF312" s="523">
        <v>0</v>
      </c>
      <c r="AG312" s="417">
        <f t="shared" si="588"/>
        <v>0</v>
      </c>
      <c r="AH312" s="386">
        <f t="shared" si="588"/>
        <v>10</v>
      </c>
      <c r="AI312" s="523">
        <v>0</v>
      </c>
      <c r="AJ312" s="417">
        <v>0</v>
      </c>
      <c r="AK312" s="548">
        <v>13</v>
      </c>
      <c r="AL312" s="523">
        <v>0</v>
      </c>
      <c r="AM312" s="722">
        <f t="shared" si="591"/>
        <v>0</v>
      </c>
      <c r="AN312" s="714">
        <f t="shared" si="592"/>
        <v>1</v>
      </c>
      <c r="AO312" s="695">
        <v>0</v>
      </c>
      <c r="AP312" s="770">
        <v>0</v>
      </c>
      <c r="AQ312" s="548">
        <v>14</v>
      </c>
      <c r="AR312" s="695">
        <v>0</v>
      </c>
      <c r="AS312" s="770">
        <f t="shared" si="595"/>
        <v>0</v>
      </c>
      <c r="AT312" s="714">
        <f t="shared" si="595"/>
        <v>1</v>
      </c>
      <c r="AU312" s="751">
        <v>0</v>
      </c>
      <c r="AV312" s="992">
        <v>0</v>
      </c>
      <c r="AW312" s="1023">
        <v>15</v>
      </c>
      <c r="AX312" s="751">
        <v>0</v>
      </c>
      <c r="AY312" s="770">
        <f t="shared" si="598"/>
        <v>0</v>
      </c>
      <c r="AZ312" s="714">
        <f t="shared" si="599"/>
        <v>0</v>
      </c>
      <c r="BA312" s="751">
        <v>0</v>
      </c>
      <c r="BB312" s="770">
        <v>0</v>
      </c>
      <c r="BC312" s="548">
        <v>15</v>
      </c>
      <c r="BD312" s="751">
        <v>0</v>
      </c>
      <c r="BE312" s="770">
        <f t="shared" si="602"/>
        <v>1</v>
      </c>
      <c r="BF312" s="714">
        <f t="shared" si="602"/>
        <v>0</v>
      </c>
      <c r="BG312" s="705">
        <f t="shared" ref="BG312" si="611">ROUND(((BF312/BE312-1)*100), 1)</f>
        <v>-100</v>
      </c>
      <c r="BH312" s="770">
        <v>1</v>
      </c>
      <c r="BI312" s="548">
        <v>15</v>
      </c>
      <c r="BJ312" s="705">
        <f t="shared" si="604"/>
        <v>1400</v>
      </c>
      <c r="BK312" s="770">
        <f t="shared" si="605"/>
        <v>0</v>
      </c>
      <c r="BL312" s="714">
        <f t="shared" si="605"/>
        <v>0</v>
      </c>
      <c r="BM312" s="751">
        <v>0</v>
      </c>
      <c r="BN312" s="770">
        <v>1</v>
      </c>
      <c r="BO312" s="548">
        <v>15</v>
      </c>
      <c r="BP312" s="705">
        <f t="shared" si="607"/>
        <v>1400</v>
      </c>
      <c r="BQ312" s="770">
        <f t="shared" si="608"/>
        <v>5</v>
      </c>
      <c r="BR312" s="714">
        <f t="shared" si="608"/>
        <v>0</v>
      </c>
      <c r="BS312" s="705">
        <f t="shared" ref="BS312:BS313" si="612">ROUND(((BR312/BQ312-1)*100), 1)</f>
        <v>-100</v>
      </c>
      <c r="BT312" s="770">
        <v>6</v>
      </c>
      <c r="BU312" s="548">
        <v>15</v>
      </c>
      <c r="BV312" s="705">
        <f t="shared" si="610"/>
        <v>150</v>
      </c>
    </row>
    <row r="313" spans="1:74">
      <c r="A313" s="96"/>
      <c r="B313" s="4"/>
      <c r="C313" s="105" t="s">
        <v>106</v>
      </c>
      <c r="D313" s="98">
        <v>10</v>
      </c>
      <c r="E313" s="98">
        <v>1</v>
      </c>
      <c r="F313" s="98">
        <v>2</v>
      </c>
      <c r="G313" s="98">
        <v>3</v>
      </c>
      <c r="H313" s="98">
        <v>15</v>
      </c>
      <c r="I313" s="348">
        <v>5</v>
      </c>
      <c r="J313" s="98">
        <v>0</v>
      </c>
      <c r="K313" s="98">
        <v>5</v>
      </c>
      <c r="L313" s="417">
        <v>0</v>
      </c>
      <c r="M313" s="386">
        <v>0</v>
      </c>
      <c r="N313" s="179">
        <v>0</v>
      </c>
      <c r="O313" s="417">
        <f t="shared" si="577"/>
        <v>0</v>
      </c>
      <c r="P313" s="386">
        <f t="shared" si="577"/>
        <v>0</v>
      </c>
      <c r="Q313" s="179">
        <v>0</v>
      </c>
      <c r="R313" s="417">
        <v>0</v>
      </c>
      <c r="S313" s="386">
        <v>0</v>
      </c>
      <c r="T313" s="179">
        <v>0</v>
      </c>
      <c r="U313" s="417">
        <f t="shared" si="580"/>
        <v>0</v>
      </c>
      <c r="V313" s="386">
        <f t="shared" si="581"/>
        <v>0</v>
      </c>
      <c r="W313" s="179">
        <v>0</v>
      </c>
      <c r="X313" s="417">
        <v>0</v>
      </c>
      <c r="Y313" s="508">
        <v>0</v>
      </c>
      <c r="Z313" s="179">
        <v>0</v>
      </c>
      <c r="AA313" s="417">
        <f t="shared" si="584"/>
        <v>0</v>
      </c>
      <c r="AB313" s="386">
        <f t="shared" si="585"/>
        <v>0</v>
      </c>
      <c r="AC313" s="523">
        <v>0</v>
      </c>
      <c r="AD313" s="417">
        <v>0</v>
      </c>
      <c r="AE313" s="548">
        <v>0</v>
      </c>
      <c r="AF313" s="523">
        <v>0</v>
      </c>
      <c r="AG313" s="417">
        <f t="shared" si="588"/>
        <v>0</v>
      </c>
      <c r="AH313" s="386">
        <f t="shared" si="588"/>
        <v>0</v>
      </c>
      <c r="AI313" s="523">
        <v>0</v>
      </c>
      <c r="AJ313" s="417">
        <v>0</v>
      </c>
      <c r="AK313" s="548">
        <v>0</v>
      </c>
      <c r="AL313" s="523">
        <v>0</v>
      </c>
      <c r="AM313" s="722">
        <f t="shared" si="591"/>
        <v>0</v>
      </c>
      <c r="AN313" s="714">
        <f t="shared" si="592"/>
        <v>0</v>
      </c>
      <c r="AO313" s="695">
        <v>0</v>
      </c>
      <c r="AP313" s="770">
        <v>0</v>
      </c>
      <c r="AQ313" s="548">
        <v>0</v>
      </c>
      <c r="AR313" s="695">
        <v>0</v>
      </c>
      <c r="AS313" s="770">
        <f t="shared" si="595"/>
        <v>0</v>
      </c>
      <c r="AT313" s="714">
        <f t="shared" si="595"/>
        <v>0</v>
      </c>
      <c r="AU313" s="751">
        <v>0</v>
      </c>
      <c r="AV313" s="992">
        <v>0</v>
      </c>
      <c r="AW313" s="1023">
        <v>0</v>
      </c>
      <c r="AX313" s="751">
        <v>0</v>
      </c>
      <c r="AY313" s="770">
        <f t="shared" si="598"/>
        <v>0</v>
      </c>
      <c r="AZ313" s="714">
        <f t="shared" si="599"/>
        <v>0</v>
      </c>
      <c r="BA313" s="751">
        <v>0</v>
      </c>
      <c r="BB313" s="770">
        <v>0</v>
      </c>
      <c r="BC313" s="548">
        <v>0</v>
      </c>
      <c r="BD313" s="751">
        <v>0</v>
      </c>
      <c r="BE313" s="770">
        <f t="shared" si="602"/>
        <v>0</v>
      </c>
      <c r="BF313" s="714">
        <f t="shared" si="602"/>
        <v>0</v>
      </c>
      <c r="BG313" s="751">
        <v>0</v>
      </c>
      <c r="BH313" s="770">
        <v>0</v>
      </c>
      <c r="BI313" s="548">
        <v>0</v>
      </c>
      <c r="BJ313" s="751">
        <v>0</v>
      </c>
      <c r="BK313" s="770">
        <f t="shared" si="605"/>
        <v>0</v>
      </c>
      <c r="BL313" s="714">
        <f t="shared" si="605"/>
        <v>0</v>
      </c>
      <c r="BM313" s="751">
        <v>0</v>
      </c>
      <c r="BN313" s="770">
        <v>0</v>
      </c>
      <c r="BO313" s="548">
        <v>0</v>
      </c>
      <c r="BP313" s="751">
        <v>0</v>
      </c>
      <c r="BQ313" s="770">
        <f t="shared" si="608"/>
        <v>3</v>
      </c>
      <c r="BR313" s="714">
        <f t="shared" si="608"/>
        <v>0</v>
      </c>
      <c r="BS313" s="705">
        <f t="shared" si="612"/>
        <v>-100</v>
      </c>
      <c r="BT313" s="770">
        <v>3</v>
      </c>
      <c r="BU313" s="548">
        <v>0</v>
      </c>
      <c r="BV313" s="705">
        <f t="shared" si="610"/>
        <v>-100</v>
      </c>
    </row>
    <row r="314" spans="1:74">
      <c r="A314" s="96"/>
      <c r="B314" s="4"/>
      <c r="C314" s="105" t="s">
        <v>56</v>
      </c>
      <c r="D314" s="98">
        <v>214</v>
      </c>
      <c r="E314" s="98">
        <v>227</v>
      </c>
      <c r="F314" s="98">
        <v>254</v>
      </c>
      <c r="G314" s="98">
        <v>165</v>
      </c>
      <c r="H314" s="98">
        <v>136</v>
      </c>
      <c r="I314" s="348">
        <v>56</v>
      </c>
      <c r="J314" s="98">
        <v>2</v>
      </c>
      <c r="K314" s="98">
        <v>3</v>
      </c>
      <c r="L314" s="417">
        <v>2</v>
      </c>
      <c r="M314" s="386">
        <v>0</v>
      </c>
      <c r="N314" s="265">
        <f>ROUND(((M314/L314-1)*100), 1)</f>
        <v>-100</v>
      </c>
      <c r="O314" s="417">
        <f t="shared" si="577"/>
        <v>0</v>
      </c>
      <c r="P314" s="386">
        <f t="shared" si="577"/>
        <v>0</v>
      </c>
      <c r="Q314" s="523">
        <v>0</v>
      </c>
      <c r="R314" s="417">
        <v>2</v>
      </c>
      <c r="S314" s="386">
        <v>0</v>
      </c>
      <c r="T314" s="265">
        <f>ROUND(((S314/R314-1)*100), 1)</f>
        <v>-100</v>
      </c>
      <c r="U314" s="417">
        <f t="shared" si="580"/>
        <v>0</v>
      </c>
      <c r="V314" s="386">
        <f t="shared" si="581"/>
        <v>0</v>
      </c>
      <c r="W314" s="523">
        <v>0</v>
      </c>
      <c r="X314" s="417">
        <v>2</v>
      </c>
      <c r="Y314" s="508">
        <v>0</v>
      </c>
      <c r="Z314" s="265">
        <f>ROUND(((Y314/X314-1)*100), 1)</f>
        <v>-100</v>
      </c>
      <c r="AA314" s="417">
        <f t="shared" si="584"/>
        <v>0</v>
      </c>
      <c r="AB314" s="386">
        <f t="shared" si="585"/>
        <v>0</v>
      </c>
      <c r="AC314" s="523">
        <v>0</v>
      </c>
      <c r="AD314" s="417">
        <v>2</v>
      </c>
      <c r="AE314" s="548">
        <v>0</v>
      </c>
      <c r="AF314" s="265">
        <f>ROUND(((AE314/AD314-1)*100), 1)</f>
        <v>-100</v>
      </c>
      <c r="AG314" s="417">
        <f t="shared" si="588"/>
        <v>0</v>
      </c>
      <c r="AH314" s="386">
        <f t="shared" si="588"/>
        <v>0</v>
      </c>
      <c r="AI314" s="523">
        <v>0</v>
      </c>
      <c r="AJ314" s="417">
        <v>2</v>
      </c>
      <c r="AK314" s="548">
        <v>0</v>
      </c>
      <c r="AL314" s="265">
        <f>ROUND(((AK314/AJ314-1)*100), 1)</f>
        <v>-100</v>
      </c>
      <c r="AM314" s="722">
        <f t="shared" si="591"/>
        <v>0</v>
      </c>
      <c r="AN314" s="714">
        <f t="shared" si="592"/>
        <v>0</v>
      </c>
      <c r="AO314" s="695">
        <v>0</v>
      </c>
      <c r="AP314" s="770">
        <v>2</v>
      </c>
      <c r="AQ314" s="548">
        <v>0</v>
      </c>
      <c r="AR314" s="705">
        <f>ROUND(((AQ314/AP314-1)*100), 1)</f>
        <v>-100</v>
      </c>
      <c r="AS314" s="770">
        <f t="shared" si="595"/>
        <v>0</v>
      </c>
      <c r="AT314" s="714">
        <f t="shared" si="595"/>
        <v>0</v>
      </c>
      <c r="AU314" s="751">
        <v>0</v>
      </c>
      <c r="AV314" s="992">
        <v>2</v>
      </c>
      <c r="AW314" s="1023">
        <v>0</v>
      </c>
      <c r="AX314" s="705">
        <f>ROUND(((AW314/AV314-1)*100), 1)</f>
        <v>-100</v>
      </c>
      <c r="AY314" s="770">
        <f t="shared" si="598"/>
        <v>0</v>
      </c>
      <c r="AZ314" s="714">
        <f t="shared" si="599"/>
        <v>2</v>
      </c>
      <c r="BA314" s="751">
        <v>0</v>
      </c>
      <c r="BB314" s="770">
        <v>2</v>
      </c>
      <c r="BC314" s="548">
        <v>2</v>
      </c>
      <c r="BD314" s="705">
        <f>ROUND(((BC314/BB314-1)*100), 1)</f>
        <v>0</v>
      </c>
      <c r="BE314" s="770">
        <f t="shared" si="602"/>
        <v>1</v>
      </c>
      <c r="BF314" s="714">
        <f t="shared" si="602"/>
        <v>0</v>
      </c>
      <c r="BG314" s="705">
        <f t="shared" ref="BG314" si="613">ROUND(((BF314/BE314-1)*100), 1)</f>
        <v>-100</v>
      </c>
      <c r="BH314" s="770">
        <v>3</v>
      </c>
      <c r="BI314" s="548">
        <v>2</v>
      </c>
      <c r="BJ314" s="705">
        <f>ROUND(((BI314/BH314-1)*100), 1)</f>
        <v>-33.299999999999997</v>
      </c>
      <c r="BK314" s="770">
        <f t="shared" si="605"/>
        <v>0</v>
      </c>
      <c r="BL314" s="714">
        <f t="shared" si="605"/>
        <v>0</v>
      </c>
      <c r="BM314" s="751">
        <v>0</v>
      </c>
      <c r="BN314" s="770">
        <v>3</v>
      </c>
      <c r="BO314" s="548">
        <v>2</v>
      </c>
      <c r="BP314" s="705">
        <f>ROUND(((BO314/BN314-1)*100), 1)</f>
        <v>-33.299999999999997</v>
      </c>
      <c r="BQ314" s="770">
        <f t="shared" si="608"/>
        <v>0</v>
      </c>
      <c r="BR314" s="714">
        <f t="shared" si="608"/>
        <v>0</v>
      </c>
      <c r="BS314" s="751">
        <v>0</v>
      </c>
      <c r="BT314" s="770">
        <v>3</v>
      </c>
      <c r="BU314" s="548">
        <v>2</v>
      </c>
      <c r="BV314" s="705">
        <f>ROUND(((BU314/BT314-1)*100), 1)</f>
        <v>-33.299999999999997</v>
      </c>
    </row>
    <row r="315" spans="1:74">
      <c r="A315" s="96"/>
      <c r="B315" s="4"/>
      <c r="C315" s="105" t="s">
        <v>105</v>
      </c>
      <c r="D315" s="98">
        <v>1</v>
      </c>
      <c r="E315" s="98">
        <v>7</v>
      </c>
      <c r="F315" s="98">
        <v>0</v>
      </c>
      <c r="G315" s="98">
        <v>16</v>
      </c>
      <c r="H315" s="98">
        <v>15</v>
      </c>
      <c r="I315" s="348">
        <v>0</v>
      </c>
      <c r="J315" s="98">
        <v>0</v>
      </c>
      <c r="K315" s="98">
        <v>2</v>
      </c>
      <c r="L315" s="417">
        <v>0</v>
      </c>
      <c r="M315" s="386">
        <v>0</v>
      </c>
      <c r="N315" s="179">
        <v>0</v>
      </c>
      <c r="O315" s="417">
        <f t="shared" si="577"/>
        <v>0</v>
      </c>
      <c r="P315" s="386">
        <f t="shared" si="577"/>
        <v>0</v>
      </c>
      <c r="Q315" s="179">
        <v>0</v>
      </c>
      <c r="R315" s="417">
        <v>0</v>
      </c>
      <c r="S315" s="386">
        <v>0</v>
      </c>
      <c r="T315" s="179">
        <v>0</v>
      </c>
      <c r="U315" s="417">
        <f t="shared" si="580"/>
        <v>0</v>
      </c>
      <c r="V315" s="386">
        <f t="shared" si="581"/>
        <v>0</v>
      </c>
      <c r="W315" s="179">
        <v>0</v>
      </c>
      <c r="X315" s="417">
        <v>0</v>
      </c>
      <c r="Y315" s="508">
        <v>0</v>
      </c>
      <c r="Z315" s="179">
        <v>0</v>
      </c>
      <c r="AA315" s="417">
        <f t="shared" si="584"/>
        <v>0</v>
      </c>
      <c r="AB315" s="386">
        <f t="shared" si="585"/>
        <v>0</v>
      </c>
      <c r="AC315" s="523">
        <v>0</v>
      </c>
      <c r="AD315" s="417">
        <v>0</v>
      </c>
      <c r="AE315" s="548">
        <v>0</v>
      </c>
      <c r="AF315" s="523">
        <v>0</v>
      </c>
      <c r="AG315" s="417">
        <f t="shared" si="588"/>
        <v>0</v>
      </c>
      <c r="AH315" s="386">
        <f t="shared" si="588"/>
        <v>0</v>
      </c>
      <c r="AI315" s="523">
        <v>0</v>
      </c>
      <c r="AJ315" s="417">
        <v>0</v>
      </c>
      <c r="AK315" s="548">
        <v>0</v>
      </c>
      <c r="AL315" s="523">
        <v>0</v>
      </c>
      <c r="AM315" s="722">
        <f t="shared" si="591"/>
        <v>0</v>
      </c>
      <c r="AN315" s="714">
        <f t="shared" si="592"/>
        <v>3</v>
      </c>
      <c r="AO315" s="695">
        <v>0</v>
      </c>
      <c r="AP315" s="770">
        <v>0</v>
      </c>
      <c r="AQ315" s="548">
        <v>3</v>
      </c>
      <c r="AR315" s="695">
        <v>0</v>
      </c>
      <c r="AS315" s="770">
        <f t="shared" si="595"/>
        <v>0</v>
      </c>
      <c r="AT315" s="714">
        <f t="shared" si="595"/>
        <v>0</v>
      </c>
      <c r="AU315" s="751">
        <v>0</v>
      </c>
      <c r="AV315" s="992">
        <v>0</v>
      </c>
      <c r="AW315" s="1023">
        <v>3</v>
      </c>
      <c r="AX315" s="751">
        <v>0</v>
      </c>
      <c r="AY315" s="770">
        <f t="shared" si="598"/>
        <v>0</v>
      </c>
      <c r="AZ315" s="714">
        <f t="shared" si="599"/>
        <v>0</v>
      </c>
      <c r="BA315" s="751">
        <v>0</v>
      </c>
      <c r="BB315" s="770">
        <v>0</v>
      </c>
      <c r="BC315" s="548">
        <v>3</v>
      </c>
      <c r="BD315" s="751">
        <v>0</v>
      </c>
      <c r="BE315" s="770">
        <f t="shared" si="602"/>
        <v>0</v>
      </c>
      <c r="BF315" s="714">
        <f t="shared" si="602"/>
        <v>0</v>
      </c>
      <c r="BG315" s="751">
        <v>0</v>
      </c>
      <c r="BH315" s="770">
        <v>0</v>
      </c>
      <c r="BI315" s="548">
        <v>3</v>
      </c>
      <c r="BJ315" s="751">
        <v>0</v>
      </c>
      <c r="BK315" s="770">
        <f t="shared" si="605"/>
        <v>1</v>
      </c>
      <c r="BL315" s="714">
        <f t="shared" si="605"/>
        <v>0</v>
      </c>
      <c r="BM315" s="753">
        <f>ROUND(((BL315/BK315-1)*100), 1)</f>
        <v>-100</v>
      </c>
      <c r="BN315" s="770">
        <v>1</v>
      </c>
      <c r="BO315" s="548">
        <v>3</v>
      </c>
      <c r="BP315" s="753">
        <f>ROUND(((BO315/BN315-1)*100), 1)</f>
        <v>200</v>
      </c>
      <c r="BQ315" s="770">
        <f t="shared" si="608"/>
        <v>1</v>
      </c>
      <c r="BR315" s="714">
        <f t="shared" si="608"/>
        <v>0</v>
      </c>
      <c r="BS315" s="753">
        <f>ROUND(((BR315/BQ315-1)*100), 1)</f>
        <v>-100</v>
      </c>
      <c r="BT315" s="770">
        <v>2</v>
      </c>
      <c r="BU315" s="548">
        <v>3</v>
      </c>
      <c r="BV315" s="753">
        <f>ROUND(((BU315/BT315-1)*100), 1)</f>
        <v>50</v>
      </c>
    </row>
    <row r="316" spans="1:74">
      <c r="A316" s="96"/>
      <c r="B316" s="4"/>
      <c r="C316" s="105" t="s">
        <v>122</v>
      </c>
      <c r="D316" s="98">
        <v>1</v>
      </c>
      <c r="E316" s="98">
        <v>27</v>
      </c>
      <c r="F316" s="98">
        <v>37</v>
      </c>
      <c r="G316" s="98">
        <v>1</v>
      </c>
      <c r="H316" s="98">
        <v>66</v>
      </c>
      <c r="I316" s="348">
        <v>1</v>
      </c>
      <c r="J316" s="98">
        <v>1</v>
      </c>
      <c r="K316" s="98">
        <v>1</v>
      </c>
      <c r="L316" s="417">
        <v>0</v>
      </c>
      <c r="M316" s="386">
        <v>0</v>
      </c>
      <c r="N316" s="179">
        <v>0</v>
      </c>
      <c r="O316" s="417">
        <f t="shared" si="577"/>
        <v>0</v>
      </c>
      <c r="P316" s="386">
        <f t="shared" si="577"/>
        <v>0</v>
      </c>
      <c r="Q316" s="179">
        <v>0</v>
      </c>
      <c r="R316" s="417">
        <v>0</v>
      </c>
      <c r="S316" s="386">
        <v>0</v>
      </c>
      <c r="T316" s="179">
        <v>0</v>
      </c>
      <c r="U316" s="417">
        <f t="shared" si="580"/>
        <v>0</v>
      </c>
      <c r="V316" s="386">
        <f t="shared" si="581"/>
        <v>1</v>
      </c>
      <c r="W316" s="179">
        <v>0</v>
      </c>
      <c r="X316" s="417">
        <v>0</v>
      </c>
      <c r="Y316" s="508">
        <v>1</v>
      </c>
      <c r="Z316" s="179">
        <v>0</v>
      </c>
      <c r="AA316" s="417">
        <f t="shared" si="584"/>
        <v>0</v>
      </c>
      <c r="AB316" s="386">
        <f t="shared" si="585"/>
        <v>0</v>
      </c>
      <c r="AC316" s="523">
        <v>0</v>
      </c>
      <c r="AD316" s="417">
        <v>0</v>
      </c>
      <c r="AE316" s="548">
        <v>1</v>
      </c>
      <c r="AF316" s="523">
        <v>0</v>
      </c>
      <c r="AG316" s="417">
        <f t="shared" si="588"/>
        <v>0</v>
      </c>
      <c r="AH316" s="386">
        <f t="shared" si="588"/>
        <v>0</v>
      </c>
      <c r="AI316" s="523">
        <v>0</v>
      </c>
      <c r="AJ316" s="417">
        <v>0</v>
      </c>
      <c r="AK316" s="548">
        <v>1</v>
      </c>
      <c r="AL316" s="523">
        <v>0</v>
      </c>
      <c r="AM316" s="722">
        <f t="shared" si="591"/>
        <v>1</v>
      </c>
      <c r="AN316" s="714">
        <f t="shared" si="592"/>
        <v>0</v>
      </c>
      <c r="AO316" s="705">
        <f>ROUND(((AN316/AM316-1)*100), 1)</f>
        <v>-100</v>
      </c>
      <c r="AP316" s="770">
        <v>1</v>
      </c>
      <c r="AQ316" s="548">
        <v>1</v>
      </c>
      <c r="AR316" s="705">
        <f>ROUND(((AQ316/AP316-1)*100), 1)</f>
        <v>0</v>
      </c>
      <c r="AS316" s="770">
        <f t="shared" si="595"/>
        <v>0</v>
      </c>
      <c r="AT316" s="714">
        <f t="shared" si="595"/>
        <v>0</v>
      </c>
      <c r="AU316" s="751">
        <v>0</v>
      </c>
      <c r="AV316" s="992">
        <v>1</v>
      </c>
      <c r="AW316" s="1023">
        <v>1</v>
      </c>
      <c r="AX316" s="705">
        <f>ROUND(((AW316/AV316-1)*100), 1)</f>
        <v>0</v>
      </c>
      <c r="AY316" s="770">
        <f t="shared" si="598"/>
        <v>0</v>
      </c>
      <c r="AZ316" s="714">
        <f t="shared" si="599"/>
        <v>0</v>
      </c>
      <c r="BA316" s="751">
        <v>0</v>
      </c>
      <c r="BB316" s="770">
        <v>1</v>
      </c>
      <c r="BC316" s="548">
        <v>1</v>
      </c>
      <c r="BD316" s="705">
        <f>ROUND(((BC316/BB316-1)*100), 1)</f>
        <v>0</v>
      </c>
      <c r="BE316" s="770">
        <f t="shared" si="602"/>
        <v>0</v>
      </c>
      <c r="BF316" s="714">
        <f t="shared" si="602"/>
        <v>1</v>
      </c>
      <c r="BG316" s="751">
        <v>0</v>
      </c>
      <c r="BH316" s="770">
        <v>1</v>
      </c>
      <c r="BI316" s="548">
        <v>2</v>
      </c>
      <c r="BJ316" s="705">
        <f>ROUND(((BI316/BH316-1)*100), 1)</f>
        <v>100</v>
      </c>
      <c r="BK316" s="770">
        <f t="shared" si="605"/>
        <v>0</v>
      </c>
      <c r="BL316" s="714">
        <f t="shared" si="605"/>
        <v>0</v>
      </c>
      <c r="BM316" s="751">
        <v>0</v>
      </c>
      <c r="BN316" s="770">
        <v>1</v>
      </c>
      <c r="BO316" s="548">
        <v>2</v>
      </c>
      <c r="BP316" s="705">
        <f>ROUND(((BO316/BN316-1)*100), 1)</f>
        <v>100</v>
      </c>
      <c r="BQ316" s="770">
        <f t="shared" si="608"/>
        <v>0</v>
      </c>
      <c r="BR316" s="714">
        <f t="shared" si="608"/>
        <v>0</v>
      </c>
      <c r="BS316" s="751">
        <v>0</v>
      </c>
      <c r="BT316" s="770">
        <v>1</v>
      </c>
      <c r="BU316" s="548">
        <v>2</v>
      </c>
      <c r="BV316" s="705">
        <f>ROUND(((BU316/BT316-1)*100), 1)</f>
        <v>100</v>
      </c>
    </row>
    <row r="317" spans="1:74">
      <c r="A317" s="96"/>
      <c r="B317" s="4"/>
      <c r="C317" s="105" t="s">
        <v>242</v>
      </c>
      <c r="D317" s="98">
        <v>188</v>
      </c>
      <c r="E317" s="98">
        <v>339</v>
      </c>
      <c r="F317" s="98">
        <v>327</v>
      </c>
      <c r="G317" s="98">
        <v>306</v>
      </c>
      <c r="H317" s="98">
        <v>263</v>
      </c>
      <c r="I317" s="348">
        <v>185</v>
      </c>
      <c r="J317" s="98">
        <v>35</v>
      </c>
      <c r="K317" s="98">
        <v>0</v>
      </c>
      <c r="L317" s="417">
        <v>0</v>
      </c>
      <c r="M317" s="386">
        <v>0</v>
      </c>
      <c r="N317" s="179">
        <v>0</v>
      </c>
      <c r="O317" s="417">
        <f t="shared" si="577"/>
        <v>0</v>
      </c>
      <c r="P317" s="386">
        <f t="shared" si="577"/>
        <v>0</v>
      </c>
      <c r="Q317" s="179">
        <v>0</v>
      </c>
      <c r="R317" s="417">
        <v>0</v>
      </c>
      <c r="S317" s="386">
        <v>0</v>
      </c>
      <c r="T317" s="179">
        <v>0</v>
      </c>
      <c r="U317" s="417">
        <f t="shared" si="580"/>
        <v>0</v>
      </c>
      <c r="V317" s="386">
        <f t="shared" si="581"/>
        <v>0</v>
      </c>
      <c r="W317" s="179">
        <v>0</v>
      </c>
      <c r="X317" s="417">
        <v>0</v>
      </c>
      <c r="Y317" s="508">
        <v>0</v>
      </c>
      <c r="Z317" s="179">
        <v>0</v>
      </c>
      <c r="AA317" s="417">
        <f t="shared" si="584"/>
        <v>0</v>
      </c>
      <c r="AB317" s="386">
        <f t="shared" si="585"/>
        <v>0</v>
      </c>
      <c r="AC317" s="523">
        <v>0</v>
      </c>
      <c r="AD317" s="417">
        <v>0</v>
      </c>
      <c r="AE317" s="548">
        <v>0</v>
      </c>
      <c r="AF317" s="523">
        <v>0</v>
      </c>
      <c r="AG317" s="417">
        <f t="shared" si="588"/>
        <v>0</v>
      </c>
      <c r="AH317" s="386">
        <f t="shared" si="588"/>
        <v>0</v>
      </c>
      <c r="AI317" s="523">
        <v>0</v>
      </c>
      <c r="AJ317" s="417">
        <v>0</v>
      </c>
      <c r="AK317" s="548">
        <v>0</v>
      </c>
      <c r="AL317" s="523">
        <v>0</v>
      </c>
      <c r="AM317" s="722">
        <f t="shared" si="591"/>
        <v>0</v>
      </c>
      <c r="AN317" s="714">
        <f t="shared" si="592"/>
        <v>0</v>
      </c>
      <c r="AO317" s="695">
        <v>0</v>
      </c>
      <c r="AP317" s="770">
        <v>0</v>
      </c>
      <c r="AQ317" s="548">
        <v>0</v>
      </c>
      <c r="AR317" s="695">
        <v>0</v>
      </c>
      <c r="AS317" s="770">
        <f t="shared" si="595"/>
        <v>0</v>
      </c>
      <c r="AT317" s="714">
        <f t="shared" si="595"/>
        <v>0</v>
      </c>
      <c r="AU317" s="751">
        <v>0</v>
      </c>
      <c r="AV317" s="992">
        <v>0</v>
      </c>
      <c r="AW317" s="1023">
        <v>0</v>
      </c>
      <c r="AX317" s="751">
        <v>0</v>
      </c>
      <c r="AY317" s="770">
        <f t="shared" si="598"/>
        <v>0</v>
      </c>
      <c r="AZ317" s="714">
        <f t="shared" si="599"/>
        <v>0</v>
      </c>
      <c r="BA317" s="751">
        <v>0</v>
      </c>
      <c r="BB317" s="770">
        <v>0</v>
      </c>
      <c r="BC317" s="548">
        <v>0</v>
      </c>
      <c r="BD317" s="751">
        <v>0</v>
      </c>
      <c r="BE317" s="770">
        <f t="shared" si="602"/>
        <v>0</v>
      </c>
      <c r="BF317" s="714">
        <f t="shared" si="602"/>
        <v>0</v>
      </c>
      <c r="BG317" s="751">
        <v>0</v>
      </c>
      <c r="BH317" s="770">
        <v>0</v>
      </c>
      <c r="BI317" s="548">
        <v>0</v>
      </c>
      <c r="BJ317" s="751">
        <v>0</v>
      </c>
      <c r="BK317" s="770">
        <f t="shared" si="605"/>
        <v>0</v>
      </c>
      <c r="BL317" s="714">
        <f t="shared" si="605"/>
        <v>0</v>
      </c>
      <c r="BM317" s="751">
        <v>0</v>
      </c>
      <c r="BN317" s="770">
        <v>0</v>
      </c>
      <c r="BO317" s="548">
        <v>0</v>
      </c>
      <c r="BP317" s="751">
        <v>0</v>
      </c>
      <c r="BQ317" s="770">
        <f t="shared" si="608"/>
        <v>0</v>
      </c>
      <c r="BR317" s="714">
        <f t="shared" si="608"/>
        <v>0</v>
      </c>
      <c r="BS317" s="751">
        <v>0</v>
      </c>
      <c r="BT317" s="770">
        <v>0</v>
      </c>
      <c r="BU317" s="548">
        <v>0</v>
      </c>
      <c r="BV317" s="751">
        <v>0</v>
      </c>
    </row>
    <row r="318" spans="1:74">
      <c r="A318" s="96"/>
      <c r="B318" s="4"/>
      <c r="C318" s="105" t="s">
        <v>103</v>
      </c>
      <c r="D318" s="98">
        <v>23</v>
      </c>
      <c r="E318" s="98">
        <v>6</v>
      </c>
      <c r="F318" s="98">
        <v>6</v>
      </c>
      <c r="G318" s="98">
        <v>6</v>
      </c>
      <c r="H318" s="98">
        <v>1</v>
      </c>
      <c r="I318" s="348">
        <v>31</v>
      </c>
      <c r="J318" s="98">
        <v>1</v>
      </c>
      <c r="K318" s="98">
        <v>0</v>
      </c>
      <c r="L318" s="417">
        <v>0</v>
      </c>
      <c r="M318" s="386">
        <v>0</v>
      </c>
      <c r="N318" s="179">
        <v>0</v>
      </c>
      <c r="O318" s="417">
        <f t="shared" si="577"/>
        <v>0</v>
      </c>
      <c r="P318" s="386">
        <f t="shared" si="577"/>
        <v>0</v>
      </c>
      <c r="Q318" s="179">
        <v>0</v>
      </c>
      <c r="R318" s="417">
        <v>0</v>
      </c>
      <c r="S318" s="386">
        <v>0</v>
      </c>
      <c r="T318" s="179">
        <v>0</v>
      </c>
      <c r="U318" s="417">
        <f t="shared" si="580"/>
        <v>0</v>
      </c>
      <c r="V318" s="386">
        <f t="shared" si="581"/>
        <v>0</v>
      </c>
      <c r="W318" s="179">
        <v>0</v>
      </c>
      <c r="X318" s="417">
        <v>0</v>
      </c>
      <c r="Y318" s="508">
        <v>0</v>
      </c>
      <c r="Z318" s="179">
        <v>0</v>
      </c>
      <c r="AA318" s="417">
        <f t="shared" si="584"/>
        <v>0</v>
      </c>
      <c r="AB318" s="386">
        <f t="shared" si="585"/>
        <v>0</v>
      </c>
      <c r="AC318" s="523">
        <v>0</v>
      </c>
      <c r="AD318" s="417">
        <v>0</v>
      </c>
      <c r="AE318" s="548">
        <v>0</v>
      </c>
      <c r="AF318" s="523">
        <v>0</v>
      </c>
      <c r="AG318" s="417">
        <f t="shared" si="588"/>
        <v>0</v>
      </c>
      <c r="AH318" s="386">
        <f t="shared" si="588"/>
        <v>0</v>
      </c>
      <c r="AI318" s="523">
        <v>0</v>
      </c>
      <c r="AJ318" s="417">
        <v>0</v>
      </c>
      <c r="AK318" s="548">
        <v>0</v>
      </c>
      <c r="AL318" s="523">
        <v>0</v>
      </c>
      <c r="AM318" s="722">
        <f t="shared" si="591"/>
        <v>0</v>
      </c>
      <c r="AN318" s="714">
        <f t="shared" si="592"/>
        <v>0</v>
      </c>
      <c r="AO318" s="695">
        <v>0</v>
      </c>
      <c r="AP318" s="770">
        <v>0</v>
      </c>
      <c r="AQ318" s="548">
        <v>0</v>
      </c>
      <c r="AR318" s="695">
        <v>0</v>
      </c>
      <c r="AS318" s="770">
        <f t="shared" si="595"/>
        <v>0</v>
      </c>
      <c r="AT318" s="714">
        <f t="shared" si="595"/>
        <v>0</v>
      </c>
      <c r="AU318" s="751">
        <v>0</v>
      </c>
      <c r="AV318" s="992">
        <v>0</v>
      </c>
      <c r="AW318" s="1023">
        <v>0</v>
      </c>
      <c r="AX318" s="751">
        <v>0</v>
      </c>
      <c r="AY318" s="770">
        <f t="shared" si="598"/>
        <v>0</v>
      </c>
      <c r="AZ318" s="714">
        <f t="shared" si="599"/>
        <v>0</v>
      </c>
      <c r="BA318" s="751">
        <v>0</v>
      </c>
      <c r="BB318" s="770">
        <v>0</v>
      </c>
      <c r="BC318" s="548">
        <v>0</v>
      </c>
      <c r="BD318" s="751">
        <v>0</v>
      </c>
      <c r="BE318" s="770">
        <f t="shared" si="602"/>
        <v>0</v>
      </c>
      <c r="BF318" s="714">
        <f t="shared" si="602"/>
        <v>0</v>
      </c>
      <c r="BG318" s="751">
        <v>0</v>
      </c>
      <c r="BH318" s="770">
        <v>0</v>
      </c>
      <c r="BI318" s="548">
        <v>0</v>
      </c>
      <c r="BJ318" s="751">
        <v>0</v>
      </c>
      <c r="BK318" s="770">
        <f t="shared" si="605"/>
        <v>0</v>
      </c>
      <c r="BL318" s="714">
        <f t="shared" si="605"/>
        <v>0</v>
      </c>
      <c r="BM318" s="751">
        <v>0</v>
      </c>
      <c r="BN318" s="770">
        <v>0</v>
      </c>
      <c r="BO318" s="548">
        <v>0</v>
      </c>
      <c r="BP318" s="751">
        <v>0</v>
      </c>
      <c r="BQ318" s="770">
        <f t="shared" si="608"/>
        <v>0</v>
      </c>
      <c r="BR318" s="714">
        <f t="shared" si="608"/>
        <v>0</v>
      </c>
      <c r="BS318" s="751">
        <v>0</v>
      </c>
      <c r="BT318" s="770">
        <v>0</v>
      </c>
      <c r="BU318" s="548">
        <v>0</v>
      </c>
      <c r="BV318" s="751">
        <v>0</v>
      </c>
    </row>
    <row r="319" spans="1:74">
      <c r="A319" s="96"/>
      <c r="B319" s="4"/>
      <c r="C319" s="105" t="s">
        <v>130</v>
      </c>
      <c r="D319" s="98">
        <v>6</v>
      </c>
      <c r="E319" s="98">
        <v>0</v>
      </c>
      <c r="F319" s="98">
        <v>2</v>
      </c>
      <c r="G319" s="98">
        <v>0</v>
      </c>
      <c r="H319" s="98">
        <v>23</v>
      </c>
      <c r="I319" s="348">
        <v>1</v>
      </c>
      <c r="J319" s="98">
        <v>1</v>
      </c>
      <c r="K319" s="98">
        <v>0</v>
      </c>
      <c r="L319" s="417">
        <v>0</v>
      </c>
      <c r="M319" s="386">
        <v>0</v>
      </c>
      <c r="N319" s="179">
        <v>0</v>
      </c>
      <c r="O319" s="417">
        <f t="shared" si="577"/>
        <v>0</v>
      </c>
      <c r="P319" s="386">
        <f t="shared" si="577"/>
        <v>0</v>
      </c>
      <c r="Q319" s="179">
        <v>0</v>
      </c>
      <c r="R319" s="417">
        <v>0</v>
      </c>
      <c r="S319" s="386">
        <v>0</v>
      </c>
      <c r="T319" s="179">
        <v>0</v>
      </c>
      <c r="U319" s="417">
        <f t="shared" si="580"/>
        <v>0</v>
      </c>
      <c r="V319" s="386">
        <f t="shared" si="581"/>
        <v>0</v>
      </c>
      <c r="W319" s="179">
        <v>0</v>
      </c>
      <c r="X319" s="417">
        <v>0</v>
      </c>
      <c r="Y319" s="508">
        <v>0</v>
      </c>
      <c r="Z319" s="179">
        <v>0</v>
      </c>
      <c r="AA319" s="417">
        <f t="shared" si="584"/>
        <v>0</v>
      </c>
      <c r="AB319" s="386">
        <f t="shared" si="585"/>
        <v>0</v>
      </c>
      <c r="AC319" s="523">
        <v>0</v>
      </c>
      <c r="AD319" s="417">
        <v>0</v>
      </c>
      <c r="AE319" s="548">
        <v>0</v>
      </c>
      <c r="AF319" s="523">
        <v>0</v>
      </c>
      <c r="AG319" s="417">
        <f t="shared" si="588"/>
        <v>0</v>
      </c>
      <c r="AH319" s="386">
        <f t="shared" si="588"/>
        <v>0</v>
      </c>
      <c r="AI319" s="523">
        <v>0</v>
      </c>
      <c r="AJ319" s="417">
        <v>0</v>
      </c>
      <c r="AK319" s="548">
        <v>0</v>
      </c>
      <c r="AL319" s="523">
        <v>0</v>
      </c>
      <c r="AM319" s="722">
        <f t="shared" si="591"/>
        <v>0</v>
      </c>
      <c r="AN319" s="714">
        <f t="shared" si="592"/>
        <v>0</v>
      </c>
      <c r="AO319" s="695">
        <v>0</v>
      </c>
      <c r="AP319" s="770">
        <v>0</v>
      </c>
      <c r="AQ319" s="548">
        <v>0</v>
      </c>
      <c r="AR319" s="695">
        <v>0</v>
      </c>
      <c r="AS319" s="770">
        <f t="shared" si="595"/>
        <v>0</v>
      </c>
      <c r="AT319" s="714">
        <f t="shared" si="595"/>
        <v>0</v>
      </c>
      <c r="AU319" s="751">
        <v>0</v>
      </c>
      <c r="AV319" s="992">
        <v>0</v>
      </c>
      <c r="AW319" s="1023">
        <v>0</v>
      </c>
      <c r="AX319" s="751">
        <v>0</v>
      </c>
      <c r="AY319" s="770">
        <f t="shared" si="598"/>
        <v>0</v>
      </c>
      <c r="AZ319" s="714">
        <f t="shared" si="599"/>
        <v>0</v>
      </c>
      <c r="BA319" s="751">
        <v>0</v>
      </c>
      <c r="BB319" s="770">
        <v>0</v>
      </c>
      <c r="BC319" s="548">
        <v>0</v>
      </c>
      <c r="BD319" s="751">
        <v>0</v>
      </c>
      <c r="BE319" s="770">
        <f t="shared" si="602"/>
        <v>0</v>
      </c>
      <c r="BF319" s="714">
        <f t="shared" si="602"/>
        <v>0</v>
      </c>
      <c r="BG319" s="751">
        <v>0</v>
      </c>
      <c r="BH319" s="770">
        <v>0</v>
      </c>
      <c r="BI319" s="548">
        <v>0</v>
      </c>
      <c r="BJ319" s="751">
        <v>0</v>
      </c>
      <c r="BK319" s="770">
        <f t="shared" si="605"/>
        <v>0</v>
      </c>
      <c r="BL319" s="714">
        <f t="shared" si="605"/>
        <v>0</v>
      </c>
      <c r="BM319" s="751">
        <v>0</v>
      </c>
      <c r="BN319" s="770">
        <v>0</v>
      </c>
      <c r="BO319" s="548">
        <v>0</v>
      </c>
      <c r="BP319" s="751">
        <v>0</v>
      </c>
      <c r="BQ319" s="770">
        <f t="shared" si="608"/>
        <v>0</v>
      </c>
      <c r="BR319" s="714">
        <f t="shared" si="608"/>
        <v>0</v>
      </c>
      <c r="BS319" s="751">
        <v>0</v>
      </c>
      <c r="BT319" s="770">
        <v>0</v>
      </c>
      <c r="BU319" s="548">
        <v>0</v>
      </c>
      <c r="BV319" s="751">
        <v>0</v>
      </c>
    </row>
    <row r="320" spans="1:74">
      <c r="A320" s="96"/>
      <c r="B320" s="4"/>
      <c r="C320" s="105" t="s">
        <v>145</v>
      </c>
      <c r="D320" s="98">
        <v>0</v>
      </c>
      <c r="E320" s="98">
        <v>1</v>
      </c>
      <c r="F320" s="98">
        <v>0</v>
      </c>
      <c r="G320" s="98">
        <v>0</v>
      </c>
      <c r="H320" s="98">
        <v>191</v>
      </c>
      <c r="I320" s="348">
        <v>129</v>
      </c>
      <c r="J320" s="98">
        <v>0</v>
      </c>
      <c r="K320" s="98">
        <v>0</v>
      </c>
      <c r="L320" s="417">
        <v>0</v>
      </c>
      <c r="M320" s="386">
        <v>0</v>
      </c>
      <c r="N320" s="179">
        <v>0</v>
      </c>
      <c r="O320" s="417">
        <f t="shared" si="577"/>
        <v>0</v>
      </c>
      <c r="P320" s="386">
        <f t="shared" si="577"/>
        <v>0</v>
      </c>
      <c r="Q320" s="179">
        <v>0</v>
      </c>
      <c r="R320" s="417">
        <v>0</v>
      </c>
      <c r="S320" s="386">
        <v>0</v>
      </c>
      <c r="T320" s="179">
        <v>0</v>
      </c>
      <c r="U320" s="417">
        <f t="shared" si="580"/>
        <v>0</v>
      </c>
      <c r="V320" s="386">
        <f t="shared" si="581"/>
        <v>0</v>
      </c>
      <c r="W320" s="179">
        <v>0</v>
      </c>
      <c r="X320" s="417">
        <v>0</v>
      </c>
      <c r="Y320" s="508">
        <v>0</v>
      </c>
      <c r="Z320" s="179">
        <v>0</v>
      </c>
      <c r="AA320" s="417">
        <f t="shared" si="584"/>
        <v>0</v>
      </c>
      <c r="AB320" s="386">
        <f t="shared" si="585"/>
        <v>0</v>
      </c>
      <c r="AC320" s="523">
        <v>0</v>
      </c>
      <c r="AD320" s="417">
        <v>0</v>
      </c>
      <c r="AE320" s="548">
        <v>0</v>
      </c>
      <c r="AF320" s="523">
        <v>0</v>
      </c>
      <c r="AG320" s="417">
        <f t="shared" si="588"/>
        <v>0</v>
      </c>
      <c r="AH320" s="386">
        <f t="shared" si="588"/>
        <v>0</v>
      </c>
      <c r="AI320" s="523">
        <v>0</v>
      </c>
      <c r="AJ320" s="417">
        <v>0</v>
      </c>
      <c r="AK320" s="548">
        <v>0</v>
      </c>
      <c r="AL320" s="523">
        <v>0</v>
      </c>
      <c r="AM320" s="722">
        <f t="shared" si="591"/>
        <v>0</v>
      </c>
      <c r="AN320" s="714">
        <f t="shared" si="592"/>
        <v>0</v>
      </c>
      <c r="AO320" s="695">
        <v>0</v>
      </c>
      <c r="AP320" s="770">
        <v>0</v>
      </c>
      <c r="AQ320" s="548">
        <v>0</v>
      </c>
      <c r="AR320" s="695">
        <v>0</v>
      </c>
      <c r="AS320" s="770">
        <f t="shared" si="595"/>
        <v>0</v>
      </c>
      <c r="AT320" s="714">
        <f t="shared" si="595"/>
        <v>0</v>
      </c>
      <c r="AU320" s="751">
        <v>0</v>
      </c>
      <c r="AV320" s="992">
        <v>0</v>
      </c>
      <c r="AW320" s="1023">
        <v>0</v>
      </c>
      <c r="AX320" s="751">
        <v>0</v>
      </c>
      <c r="AY320" s="770">
        <f t="shared" si="598"/>
        <v>0</v>
      </c>
      <c r="AZ320" s="714">
        <f t="shared" si="599"/>
        <v>0</v>
      </c>
      <c r="BA320" s="751">
        <v>0</v>
      </c>
      <c r="BB320" s="770">
        <v>0</v>
      </c>
      <c r="BC320" s="548">
        <v>0</v>
      </c>
      <c r="BD320" s="751">
        <v>0</v>
      </c>
      <c r="BE320" s="770">
        <f t="shared" si="602"/>
        <v>0</v>
      </c>
      <c r="BF320" s="714">
        <f t="shared" si="602"/>
        <v>0</v>
      </c>
      <c r="BG320" s="751">
        <v>0</v>
      </c>
      <c r="BH320" s="770">
        <v>0</v>
      </c>
      <c r="BI320" s="548">
        <v>0</v>
      </c>
      <c r="BJ320" s="751">
        <v>0</v>
      </c>
      <c r="BK320" s="770">
        <f t="shared" si="605"/>
        <v>0</v>
      </c>
      <c r="BL320" s="714">
        <f t="shared" si="605"/>
        <v>0</v>
      </c>
      <c r="BM320" s="751">
        <v>0</v>
      </c>
      <c r="BN320" s="770">
        <v>0</v>
      </c>
      <c r="BO320" s="548">
        <v>0</v>
      </c>
      <c r="BP320" s="751">
        <v>0</v>
      </c>
      <c r="BQ320" s="770">
        <f t="shared" si="608"/>
        <v>0</v>
      </c>
      <c r="BR320" s="714">
        <f t="shared" si="608"/>
        <v>0</v>
      </c>
      <c r="BS320" s="751">
        <v>0</v>
      </c>
      <c r="BT320" s="770">
        <v>0</v>
      </c>
      <c r="BU320" s="548">
        <v>0</v>
      </c>
      <c r="BV320" s="751">
        <v>0</v>
      </c>
    </row>
    <row r="321" spans="1:74">
      <c r="A321" s="96"/>
      <c r="B321" s="4"/>
      <c r="C321" s="105" t="s">
        <v>98</v>
      </c>
      <c r="D321" s="98">
        <v>0</v>
      </c>
      <c r="E321" s="98">
        <v>0</v>
      </c>
      <c r="F321" s="98">
        <v>5</v>
      </c>
      <c r="G321" s="98">
        <v>21</v>
      </c>
      <c r="H321" s="98">
        <v>24</v>
      </c>
      <c r="I321" s="348">
        <v>0</v>
      </c>
      <c r="J321" s="98">
        <v>0</v>
      </c>
      <c r="K321" s="98">
        <v>0</v>
      </c>
      <c r="L321" s="417">
        <v>0</v>
      </c>
      <c r="M321" s="386">
        <v>0</v>
      </c>
      <c r="N321" s="179">
        <v>0</v>
      </c>
      <c r="O321" s="417">
        <f t="shared" si="577"/>
        <v>0</v>
      </c>
      <c r="P321" s="386">
        <f t="shared" si="577"/>
        <v>1</v>
      </c>
      <c r="Q321" s="179">
        <v>0</v>
      </c>
      <c r="R321" s="417">
        <v>0</v>
      </c>
      <c r="S321" s="386">
        <v>1</v>
      </c>
      <c r="T321" s="179">
        <v>0</v>
      </c>
      <c r="U321" s="417">
        <f t="shared" si="580"/>
        <v>0</v>
      </c>
      <c r="V321" s="386">
        <f t="shared" si="581"/>
        <v>0</v>
      </c>
      <c r="W321" s="179">
        <v>0</v>
      </c>
      <c r="X321" s="417">
        <v>0</v>
      </c>
      <c r="Y321" s="508">
        <v>1</v>
      </c>
      <c r="Z321" s="179">
        <v>0</v>
      </c>
      <c r="AA321" s="417">
        <f t="shared" si="584"/>
        <v>0</v>
      </c>
      <c r="AB321" s="386">
        <f t="shared" si="585"/>
        <v>0</v>
      </c>
      <c r="AC321" s="523">
        <v>0</v>
      </c>
      <c r="AD321" s="417">
        <v>0</v>
      </c>
      <c r="AE321" s="548">
        <v>1</v>
      </c>
      <c r="AF321" s="523">
        <v>0</v>
      </c>
      <c r="AG321" s="417">
        <f t="shared" si="588"/>
        <v>0</v>
      </c>
      <c r="AH321" s="386">
        <f t="shared" si="588"/>
        <v>0</v>
      </c>
      <c r="AI321" s="523">
        <v>0</v>
      </c>
      <c r="AJ321" s="417">
        <v>0</v>
      </c>
      <c r="AK321" s="548">
        <v>1</v>
      </c>
      <c r="AL321" s="523">
        <v>0</v>
      </c>
      <c r="AM321" s="722">
        <f t="shared" si="591"/>
        <v>0</v>
      </c>
      <c r="AN321" s="714">
        <f t="shared" si="592"/>
        <v>0</v>
      </c>
      <c r="AO321" s="695">
        <v>0</v>
      </c>
      <c r="AP321" s="770">
        <v>0</v>
      </c>
      <c r="AQ321" s="548">
        <v>1</v>
      </c>
      <c r="AR321" s="695">
        <v>0</v>
      </c>
      <c r="AS321" s="770">
        <f t="shared" si="595"/>
        <v>0</v>
      </c>
      <c r="AT321" s="714">
        <f t="shared" si="595"/>
        <v>0</v>
      </c>
      <c r="AU321" s="751">
        <v>0</v>
      </c>
      <c r="AV321" s="992">
        <v>0</v>
      </c>
      <c r="AW321" s="1023">
        <v>1</v>
      </c>
      <c r="AX321" s="751">
        <v>0</v>
      </c>
      <c r="AY321" s="770">
        <f t="shared" si="598"/>
        <v>0</v>
      </c>
      <c r="AZ321" s="714">
        <f t="shared" si="599"/>
        <v>0</v>
      </c>
      <c r="BA321" s="751">
        <v>0</v>
      </c>
      <c r="BB321" s="770">
        <v>0</v>
      </c>
      <c r="BC321" s="548">
        <v>1</v>
      </c>
      <c r="BD321" s="751">
        <v>0</v>
      </c>
      <c r="BE321" s="770">
        <f t="shared" si="602"/>
        <v>0</v>
      </c>
      <c r="BF321" s="714">
        <f t="shared" si="602"/>
        <v>0</v>
      </c>
      <c r="BG321" s="751">
        <v>0</v>
      </c>
      <c r="BH321" s="770">
        <v>0</v>
      </c>
      <c r="BI321" s="548">
        <v>1</v>
      </c>
      <c r="BJ321" s="751">
        <v>0</v>
      </c>
      <c r="BK321" s="770">
        <f t="shared" si="605"/>
        <v>0</v>
      </c>
      <c r="BL321" s="714">
        <f t="shared" si="605"/>
        <v>4</v>
      </c>
      <c r="BM321" s="751">
        <v>0</v>
      </c>
      <c r="BN321" s="770">
        <v>0</v>
      </c>
      <c r="BO321" s="548">
        <v>5</v>
      </c>
      <c r="BP321" s="751">
        <v>0</v>
      </c>
      <c r="BQ321" s="770">
        <f t="shared" si="608"/>
        <v>0</v>
      </c>
      <c r="BR321" s="714">
        <f t="shared" si="608"/>
        <v>0</v>
      </c>
      <c r="BS321" s="751">
        <v>0</v>
      </c>
      <c r="BT321" s="770">
        <v>0</v>
      </c>
      <c r="BU321" s="548">
        <v>5</v>
      </c>
      <c r="BV321" s="751">
        <v>0</v>
      </c>
    </row>
    <row r="322" spans="1:74">
      <c r="A322" s="96"/>
      <c r="B322" s="4"/>
      <c r="C322" s="105" t="s">
        <v>82</v>
      </c>
      <c r="D322" s="98">
        <f t="shared" ref="D322:J322" si="614">D323-SUM(D304:D321)</f>
        <v>186</v>
      </c>
      <c r="E322" s="98">
        <f t="shared" si="614"/>
        <v>55</v>
      </c>
      <c r="F322" s="98">
        <f t="shared" si="614"/>
        <v>32</v>
      </c>
      <c r="G322" s="98">
        <f t="shared" si="614"/>
        <v>26</v>
      </c>
      <c r="H322" s="98">
        <f>H323-SUM(H304:H321)</f>
        <v>31</v>
      </c>
      <c r="I322" s="98">
        <f t="shared" si="614"/>
        <v>19</v>
      </c>
      <c r="J322" s="98">
        <f t="shared" si="614"/>
        <v>32</v>
      </c>
      <c r="K322" s="98">
        <f>K323-SUM(K304:K321)</f>
        <v>38</v>
      </c>
      <c r="L322" s="417">
        <f>L323-SUM(L304:L321)</f>
        <v>0</v>
      </c>
      <c r="M322" s="386">
        <f>M323-SUM(M304:M321)</f>
        <v>2</v>
      </c>
      <c r="N322" s="290">
        <v>0</v>
      </c>
      <c r="O322" s="417">
        <f>O323-SUM(O304:O321)</f>
        <v>0</v>
      </c>
      <c r="P322" s="386">
        <f>P323-SUM(P304:P321)</f>
        <v>22</v>
      </c>
      <c r="Q322" s="290">
        <v>0</v>
      </c>
      <c r="R322" s="417">
        <f>R323-SUM(R304:R321)</f>
        <v>0</v>
      </c>
      <c r="S322" s="386">
        <f>S323-SUM(S304:S321)</f>
        <v>24</v>
      </c>
      <c r="T322" s="290">
        <v>0</v>
      </c>
      <c r="U322" s="417">
        <f>U323-SUM(U304:U321)</f>
        <v>3</v>
      </c>
      <c r="V322" s="386">
        <f>V323-SUM(V304:V321)</f>
        <v>72</v>
      </c>
      <c r="W322" s="265">
        <f t="shared" ref="W322" si="615">ROUND(((V322/U322-1)*100), 1)</f>
        <v>2300</v>
      </c>
      <c r="X322" s="417">
        <f>X323-SUM(X304:X321)</f>
        <v>3</v>
      </c>
      <c r="Y322" s="386">
        <f>Y323-SUM(Y304:Y321)</f>
        <v>96</v>
      </c>
      <c r="Z322" s="265">
        <f t="shared" ref="Z322" si="616">ROUND(((Y322/X322-1)*100), 1)</f>
        <v>3100</v>
      </c>
      <c r="AA322" s="417">
        <f>AA323-SUM(AA304:AA321)</f>
        <v>2</v>
      </c>
      <c r="AB322" s="386">
        <f>AB323-SUM(AB304:AB321)</f>
        <v>50</v>
      </c>
      <c r="AC322" s="265">
        <f t="shared" ref="AC322:AC329" si="617">ROUND(((AB322/AA322-1)*100), 1)</f>
        <v>2400</v>
      </c>
      <c r="AD322" s="417">
        <f>AD323-SUM(AD304:AD321)</f>
        <v>5</v>
      </c>
      <c r="AE322" s="544">
        <f>AE323-SUM(AE304:AE321)</f>
        <v>146</v>
      </c>
      <c r="AF322" s="265">
        <f t="shared" ref="AF322:AF331" si="618">ROUND(((AE322/AD322-1)*100), 1)</f>
        <v>2820</v>
      </c>
      <c r="AG322" s="417">
        <f>AG323-SUM(AG304:AG321)</f>
        <v>0</v>
      </c>
      <c r="AH322" s="386">
        <f>AH323-SUM(AH304:AH321)</f>
        <v>13</v>
      </c>
      <c r="AI322" s="547">
        <v>0</v>
      </c>
      <c r="AJ322" s="417">
        <f>AJ323-SUM(AJ304:AJ321)</f>
        <v>5</v>
      </c>
      <c r="AK322" s="544">
        <f>AK323-SUM(AK304:AK321)</f>
        <v>159</v>
      </c>
      <c r="AL322" s="265">
        <f t="shared" ref="AL322:AL331" si="619">ROUND(((AK322/AJ322-1)*100), 1)</f>
        <v>3080</v>
      </c>
      <c r="AM322" s="722">
        <f>AM323-SUM(AM304:AM321)</f>
        <v>0</v>
      </c>
      <c r="AN322" s="714">
        <f>AN323-SUM(AN304:AN321)</f>
        <v>43</v>
      </c>
      <c r="AO322" s="740">
        <v>0</v>
      </c>
      <c r="AP322" s="770">
        <f>AP323-SUM(AP304:AP321)</f>
        <v>5</v>
      </c>
      <c r="AQ322" s="544">
        <f>AQ323-SUM(AQ304:AQ321)</f>
        <v>202</v>
      </c>
      <c r="AR322" s="705">
        <f t="shared" ref="AR322:AR331" si="620">ROUND(((AQ322/AP322-1)*100), 1)</f>
        <v>3940</v>
      </c>
      <c r="AS322" s="770">
        <f>AS323-SUM(AS304:AS321)</f>
        <v>2</v>
      </c>
      <c r="AT322" s="714">
        <f>AT323-SUM(AT304:AT321)</f>
        <v>21</v>
      </c>
      <c r="AU322" s="709">
        <f t="shared" ref="AU322:AU330" si="621">ROUND(((AT322/AS322-1)*100), 1)</f>
        <v>950</v>
      </c>
      <c r="AV322" s="992">
        <f>AV323-SUM(AV304:AV321)</f>
        <v>7</v>
      </c>
      <c r="AW322" s="1018">
        <f>AW323-SUM(AW304:AW321)</f>
        <v>223</v>
      </c>
      <c r="AX322" s="705">
        <f t="shared" ref="AX322:AX337" si="622">ROUND(((AW322/AV322-1)*100), 1)</f>
        <v>3085.7</v>
      </c>
      <c r="AY322" s="770">
        <f>AY323-SUM(AY304:AY321)</f>
        <v>24</v>
      </c>
      <c r="AZ322" s="714">
        <f>AZ323-SUM(AZ304:AZ321)</f>
        <v>4</v>
      </c>
      <c r="BA322" s="709">
        <f t="shared" ref="BA322:BA330" si="623">ROUND(((AZ322/AY322-1)*100), 1)</f>
        <v>-83.3</v>
      </c>
      <c r="BB322" s="770">
        <f>BB323-SUM(BB304:BB321)</f>
        <v>31</v>
      </c>
      <c r="BC322" s="544">
        <f>BC323-SUM(BC304:BC321)</f>
        <v>227</v>
      </c>
      <c r="BD322" s="705">
        <f t="shared" ref="BD322:BD337" si="624">ROUND(((BC322/BB322-1)*100), 1)</f>
        <v>632.29999999999995</v>
      </c>
      <c r="BE322" s="770">
        <f>BE323-SUM(BE304:BE321)</f>
        <v>1</v>
      </c>
      <c r="BF322" s="714">
        <f>BF323-SUM(BF304:BF321)</f>
        <v>2</v>
      </c>
      <c r="BG322" s="709">
        <f t="shared" ref="BG322:BG334" si="625">ROUND(((BF322/BE322-1)*100), 1)</f>
        <v>100</v>
      </c>
      <c r="BH322" s="770">
        <f>BH323-SUM(BH304:BH321)</f>
        <v>32</v>
      </c>
      <c r="BI322" s="544">
        <f>BI323-SUM(BI304:BI321)</f>
        <v>229</v>
      </c>
      <c r="BJ322" s="705">
        <f t="shared" ref="BJ322:BJ337" si="626">ROUND(((BI322/BH322-1)*100), 1)</f>
        <v>615.6</v>
      </c>
      <c r="BK322" s="770">
        <f>BK323-SUM(BK304:BK321)</f>
        <v>2</v>
      </c>
      <c r="BL322" s="714">
        <f>BL323-SUM(BL304:BL321)</f>
        <v>5</v>
      </c>
      <c r="BM322" s="709">
        <f t="shared" ref="BM322:BM332" si="627">ROUND(((BL322/BK322-1)*100), 1)</f>
        <v>150</v>
      </c>
      <c r="BN322" s="770">
        <f>BN323-SUM(BN304:BN321)</f>
        <v>34</v>
      </c>
      <c r="BO322" s="544">
        <f>BO323-SUM(BO304:BO321)</f>
        <v>234</v>
      </c>
      <c r="BP322" s="705">
        <f t="shared" ref="BP322:BP337" si="628">ROUND(((BO322/BN322-1)*100), 1)</f>
        <v>588.20000000000005</v>
      </c>
      <c r="BQ322" s="770">
        <f>BQ323-SUM(BQ304:BQ321)</f>
        <v>2</v>
      </c>
      <c r="BR322" s="714">
        <f>BR323-SUM(BR304:BR321)</f>
        <v>4</v>
      </c>
      <c r="BS322" s="709">
        <f t="shared" ref="BS322:BS332" si="629">ROUND(((BR322/BQ322-1)*100), 1)</f>
        <v>100</v>
      </c>
      <c r="BT322" s="770">
        <f>BT323-SUM(BT304:BT321)</f>
        <v>36</v>
      </c>
      <c r="BU322" s="544">
        <f>BU323-SUM(BU304:BU321)</f>
        <v>238</v>
      </c>
      <c r="BV322" s="705">
        <f t="shared" ref="BV322:BV337" si="630">ROUND(((BU322/BT322-1)*100), 1)</f>
        <v>561.1</v>
      </c>
    </row>
    <row r="323" spans="1:74">
      <c r="A323" s="96"/>
      <c r="B323" s="9"/>
      <c r="C323" s="45" t="s">
        <v>230</v>
      </c>
      <c r="D323" s="99">
        <v>19707</v>
      </c>
      <c r="E323" s="99">
        <v>25708</v>
      </c>
      <c r="F323" s="99">
        <v>29920</v>
      </c>
      <c r="G323" s="99">
        <v>32450</v>
      </c>
      <c r="H323" s="99">
        <v>41364</v>
      </c>
      <c r="I323" s="99">
        <v>49996</v>
      </c>
      <c r="J323" s="99">
        <v>63767</v>
      </c>
      <c r="K323" s="99">
        <v>63116</v>
      </c>
      <c r="L323" s="409">
        <v>5578</v>
      </c>
      <c r="M323" s="387">
        <v>5386</v>
      </c>
      <c r="N323" s="266">
        <f>ROUND(((M323/L323-1)*100), 1)</f>
        <v>-3.4</v>
      </c>
      <c r="O323" s="409">
        <f t="shared" ref="O323:P341" si="631">R323-L323</f>
        <v>4352</v>
      </c>
      <c r="P323" s="387">
        <f t="shared" si="631"/>
        <v>4213</v>
      </c>
      <c r="Q323" s="266">
        <f t="shared" ref="Q323:Q331" si="632">ROUND(((P323/O323-1)*100), 1)</f>
        <v>-3.2</v>
      </c>
      <c r="R323" s="409">
        <v>9930</v>
      </c>
      <c r="S323" s="387">
        <v>9599</v>
      </c>
      <c r="T323" s="266">
        <f t="shared" ref="T323:T331" si="633">ROUND(((S323/R323-1)*100), 1)</f>
        <v>-3.3</v>
      </c>
      <c r="U323" s="409">
        <f t="shared" ref="U323:U341" si="634">X323-R323</f>
        <v>5891</v>
      </c>
      <c r="V323" s="387">
        <f t="shared" ref="V323:V341" si="635">Y323-S323</f>
        <v>6491</v>
      </c>
      <c r="W323" s="266">
        <f t="shared" ref="W323:W331" si="636">ROUND(((V323/U323-1)*100), 1)</f>
        <v>10.199999999999999</v>
      </c>
      <c r="X323" s="409">
        <v>15821</v>
      </c>
      <c r="Y323" s="387">
        <v>16090</v>
      </c>
      <c r="Z323" s="266">
        <f t="shared" ref="Z323:Z331" si="637">ROUND(((Y323/X323-1)*100), 1)</f>
        <v>1.7</v>
      </c>
      <c r="AA323" s="409">
        <f t="shared" ref="AA323:AA341" si="638">AD323-X323</f>
        <v>5775</v>
      </c>
      <c r="AB323" s="387">
        <f t="shared" ref="AB323:AB341" si="639">AE323-Y323</f>
        <v>5234</v>
      </c>
      <c r="AC323" s="266">
        <f t="shared" si="617"/>
        <v>-9.4</v>
      </c>
      <c r="AD323" s="409">
        <v>21596</v>
      </c>
      <c r="AE323" s="545">
        <v>21324</v>
      </c>
      <c r="AF323" s="266">
        <f t="shared" si="618"/>
        <v>-1.3</v>
      </c>
      <c r="AG323" s="409">
        <f t="shared" ref="AG323:AH341" si="640">AJ323-AD323</f>
        <v>6161</v>
      </c>
      <c r="AH323" s="387">
        <f t="shared" si="640"/>
        <v>4642</v>
      </c>
      <c r="AI323" s="266">
        <f t="shared" ref="AI323:AI330" si="641">ROUND(((AH323/AG323-1)*100), 1)</f>
        <v>-24.7</v>
      </c>
      <c r="AJ323" s="409">
        <v>27757</v>
      </c>
      <c r="AK323" s="545">
        <v>25966</v>
      </c>
      <c r="AL323" s="266">
        <f t="shared" si="619"/>
        <v>-6.5</v>
      </c>
      <c r="AM323" s="721">
        <f t="shared" ref="AM323:AM341" si="642">AP323-AJ323</f>
        <v>4840</v>
      </c>
      <c r="AN323" s="715">
        <f t="shared" ref="AN323:AN341" si="643">AQ323-AK323</f>
        <v>5732</v>
      </c>
      <c r="AO323" s="706">
        <f t="shared" ref="AO323:AO330" si="644">ROUND(((AN323/AM323-1)*100), 1)</f>
        <v>18.399999999999999</v>
      </c>
      <c r="AP323" s="721">
        <v>32597</v>
      </c>
      <c r="AQ323" s="545">
        <v>31698</v>
      </c>
      <c r="AR323" s="706">
        <f t="shared" si="620"/>
        <v>-2.8</v>
      </c>
      <c r="AS323" s="721">
        <f t="shared" ref="AS323:AT341" si="645">AV323-AP323</f>
        <v>5896</v>
      </c>
      <c r="AT323" s="715">
        <f t="shared" si="645"/>
        <v>5626</v>
      </c>
      <c r="AU323" s="706">
        <f t="shared" si="621"/>
        <v>-4.5999999999999996</v>
      </c>
      <c r="AV323" s="1010">
        <v>38493</v>
      </c>
      <c r="AW323" s="1019">
        <v>37324</v>
      </c>
      <c r="AX323" s="706">
        <f t="shared" si="622"/>
        <v>-3</v>
      </c>
      <c r="AY323" s="721">
        <f t="shared" ref="AY323:AY341" si="646">BB323-AV323</f>
        <v>4770</v>
      </c>
      <c r="AZ323" s="715">
        <f t="shared" ref="AZ323:AZ341" si="647">BC323-AW323</f>
        <v>4629</v>
      </c>
      <c r="BA323" s="706">
        <f t="shared" si="623"/>
        <v>-3</v>
      </c>
      <c r="BB323" s="721">
        <v>43263</v>
      </c>
      <c r="BC323" s="545">
        <v>41953</v>
      </c>
      <c r="BD323" s="706">
        <f t="shared" si="624"/>
        <v>-3</v>
      </c>
      <c r="BE323" s="721">
        <f t="shared" ref="BE323:BF341" si="648">BH323-BB323</f>
        <v>4714</v>
      </c>
      <c r="BF323" s="715">
        <f t="shared" si="648"/>
        <v>5691</v>
      </c>
      <c r="BG323" s="706">
        <f t="shared" si="625"/>
        <v>20.7</v>
      </c>
      <c r="BH323" s="721">
        <v>47977</v>
      </c>
      <c r="BI323" s="545">
        <v>47644</v>
      </c>
      <c r="BJ323" s="706">
        <f t="shared" si="626"/>
        <v>-0.7</v>
      </c>
      <c r="BK323" s="721">
        <f t="shared" ref="BK323:BL341" si="649">BN323-BH323</f>
        <v>4599</v>
      </c>
      <c r="BL323" s="715">
        <f t="shared" si="649"/>
        <v>5380</v>
      </c>
      <c r="BM323" s="706">
        <f t="shared" si="627"/>
        <v>17</v>
      </c>
      <c r="BN323" s="721">
        <v>52576</v>
      </c>
      <c r="BO323" s="545">
        <v>53024</v>
      </c>
      <c r="BP323" s="706">
        <f t="shared" si="628"/>
        <v>0.9</v>
      </c>
      <c r="BQ323" s="721">
        <f t="shared" ref="BQ323:BR341" si="650">BT323-BN323</f>
        <v>5590</v>
      </c>
      <c r="BR323" s="715">
        <f t="shared" si="650"/>
        <v>6551</v>
      </c>
      <c r="BS323" s="706">
        <f t="shared" si="629"/>
        <v>17.2</v>
      </c>
      <c r="BT323" s="721">
        <v>58166</v>
      </c>
      <c r="BU323" s="545">
        <v>59575</v>
      </c>
      <c r="BV323" s="706">
        <f t="shared" si="630"/>
        <v>2.4</v>
      </c>
    </row>
    <row r="324" spans="1:74">
      <c r="A324" s="96"/>
      <c r="B324" s="4" t="s">
        <v>234</v>
      </c>
      <c r="C324" s="105" t="s">
        <v>96</v>
      </c>
      <c r="D324" s="98">
        <v>3639</v>
      </c>
      <c r="E324" s="98">
        <v>3105</v>
      </c>
      <c r="F324" s="98">
        <v>3489</v>
      </c>
      <c r="G324" s="98">
        <v>2811</v>
      </c>
      <c r="H324" s="98">
        <v>2731</v>
      </c>
      <c r="I324" s="98">
        <v>3021</v>
      </c>
      <c r="J324" s="98">
        <v>3624</v>
      </c>
      <c r="K324" s="98">
        <v>3718</v>
      </c>
      <c r="L324" s="417">
        <v>368</v>
      </c>
      <c r="M324" s="386">
        <v>455</v>
      </c>
      <c r="N324" s="265">
        <f t="shared" ref="N324:N335" si="651">ROUND(((M324/L324-1)*100), 1)</f>
        <v>23.6</v>
      </c>
      <c r="O324" s="417">
        <f t="shared" si="631"/>
        <v>113</v>
      </c>
      <c r="P324" s="386">
        <f t="shared" si="631"/>
        <v>111</v>
      </c>
      <c r="Q324" s="265">
        <f t="shared" si="632"/>
        <v>-1.8</v>
      </c>
      <c r="R324" s="417">
        <v>481</v>
      </c>
      <c r="S324" s="386">
        <v>566</v>
      </c>
      <c r="T324" s="265">
        <f t="shared" si="633"/>
        <v>17.7</v>
      </c>
      <c r="U324" s="417">
        <f t="shared" si="634"/>
        <v>283</v>
      </c>
      <c r="V324" s="386">
        <f t="shared" si="635"/>
        <v>544</v>
      </c>
      <c r="W324" s="265">
        <f t="shared" si="636"/>
        <v>92.2</v>
      </c>
      <c r="X324" s="417">
        <v>764</v>
      </c>
      <c r="Y324" s="386">
        <v>1110</v>
      </c>
      <c r="Z324" s="265">
        <f t="shared" si="637"/>
        <v>45.3</v>
      </c>
      <c r="AA324" s="417">
        <f t="shared" si="638"/>
        <v>341</v>
      </c>
      <c r="AB324" s="386">
        <f t="shared" si="639"/>
        <v>403</v>
      </c>
      <c r="AC324" s="265">
        <f t="shared" si="617"/>
        <v>18.2</v>
      </c>
      <c r="AD324" s="417">
        <v>1105</v>
      </c>
      <c r="AE324" s="544">
        <v>1513</v>
      </c>
      <c r="AF324" s="265">
        <f t="shared" si="618"/>
        <v>36.9</v>
      </c>
      <c r="AG324" s="417">
        <f t="shared" si="640"/>
        <v>245</v>
      </c>
      <c r="AH324" s="386">
        <f t="shared" si="640"/>
        <v>387</v>
      </c>
      <c r="AI324" s="265">
        <f t="shared" si="641"/>
        <v>58</v>
      </c>
      <c r="AJ324" s="417">
        <v>1350</v>
      </c>
      <c r="AK324" s="544">
        <v>1900</v>
      </c>
      <c r="AL324" s="265">
        <f t="shared" si="619"/>
        <v>40.700000000000003</v>
      </c>
      <c r="AM324" s="722">
        <f t="shared" si="642"/>
        <v>283</v>
      </c>
      <c r="AN324" s="714">
        <f t="shared" si="643"/>
        <v>338</v>
      </c>
      <c r="AO324" s="705">
        <f t="shared" si="644"/>
        <v>19.399999999999999</v>
      </c>
      <c r="AP324" s="770">
        <v>1633</v>
      </c>
      <c r="AQ324" s="544">
        <v>2238</v>
      </c>
      <c r="AR324" s="705">
        <f t="shared" si="620"/>
        <v>37</v>
      </c>
      <c r="AS324" s="770">
        <f t="shared" si="645"/>
        <v>340</v>
      </c>
      <c r="AT324" s="714">
        <f t="shared" si="645"/>
        <v>351</v>
      </c>
      <c r="AU324" s="705">
        <f t="shared" si="621"/>
        <v>3.2</v>
      </c>
      <c r="AV324" s="992">
        <v>1973</v>
      </c>
      <c r="AW324" s="1018">
        <v>2589</v>
      </c>
      <c r="AX324" s="705">
        <f t="shared" si="622"/>
        <v>31.2</v>
      </c>
      <c r="AY324" s="770">
        <f t="shared" si="646"/>
        <v>333</v>
      </c>
      <c r="AZ324" s="714">
        <f t="shared" si="647"/>
        <v>382</v>
      </c>
      <c r="BA324" s="705">
        <f t="shared" si="623"/>
        <v>14.7</v>
      </c>
      <c r="BB324" s="770">
        <v>2306</v>
      </c>
      <c r="BC324" s="544">
        <v>2971</v>
      </c>
      <c r="BD324" s="705">
        <f t="shared" si="624"/>
        <v>28.8</v>
      </c>
      <c r="BE324" s="770">
        <f t="shared" si="648"/>
        <v>318</v>
      </c>
      <c r="BF324" s="714">
        <f t="shared" si="648"/>
        <v>377</v>
      </c>
      <c r="BG324" s="705">
        <f t="shared" si="625"/>
        <v>18.600000000000001</v>
      </c>
      <c r="BH324" s="770">
        <v>2624</v>
      </c>
      <c r="BI324" s="544">
        <v>3348</v>
      </c>
      <c r="BJ324" s="705">
        <f t="shared" si="626"/>
        <v>27.6</v>
      </c>
      <c r="BK324" s="770">
        <f t="shared" si="649"/>
        <v>354</v>
      </c>
      <c r="BL324" s="714">
        <f t="shared" si="649"/>
        <v>450</v>
      </c>
      <c r="BM324" s="705">
        <f t="shared" si="627"/>
        <v>27.1</v>
      </c>
      <c r="BN324" s="770">
        <v>2978</v>
      </c>
      <c r="BO324" s="544">
        <v>3798</v>
      </c>
      <c r="BP324" s="705">
        <f t="shared" si="628"/>
        <v>27.5</v>
      </c>
      <c r="BQ324" s="770">
        <f t="shared" si="650"/>
        <v>340</v>
      </c>
      <c r="BR324" s="714">
        <f t="shared" si="650"/>
        <v>215</v>
      </c>
      <c r="BS324" s="705">
        <f t="shared" si="629"/>
        <v>-36.799999999999997</v>
      </c>
      <c r="BT324" s="770">
        <v>3318</v>
      </c>
      <c r="BU324" s="544">
        <v>4013</v>
      </c>
      <c r="BV324" s="705">
        <f t="shared" si="630"/>
        <v>20.9</v>
      </c>
    </row>
    <row r="325" spans="1:74">
      <c r="A325" s="96"/>
      <c r="B325" s="4" t="s">
        <v>238</v>
      </c>
      <c r="C325" s="105" t="s">
        <v>106</v>
      </c>
      <c r="D325" s="98">
        <v>59</v>
      </c>
      <c r="E325" s="98">
        <v>115</v>
      </c>
      <c r="F325" s="98">
        <v>392</v>
      </c>
      <c r="G325" s="98">
        <v>450</v>
      </c>
      <c r="H325" s="98">
        <v>591</v>
      </c>
      <c r="I325" s="98">
        <v>564</v>
      </c>
      <c r="J325" s="98">
        <v>629</v>
      </c>
      <c r="K325" s="98">
        <v>764</v>
      </c>
      <c r="L325" s="417">
        <v>46</v>
      </c>
      <c r="M325" s="386">
        <v>53</v>
      </c>
      <c r="N325" s="265">
        <f t="shared" si="651"/>
        <v>15.2</v>
      </c>
      <c r="O325" s="417">
        <f t="shared" si="631"/>
        <v>53</v>
      </c>
      <c r="P325" s="386">
        <f t="shared" si="631"/>
        <v>74</v>
      </c>
      <c r="Q325" s="265">
        <f t="shared" si="632"/>
        <v>39.6</v>
      </c>
      <c r="R325" s="417">
        <v>99</v>
      </c>
      <c r="S325" s="386">
        <v>127</v>
      </c>
      <c r="T325" s="265">
        <f t="shared" si="633"/>
        <v>28.3</v>
      </c>
      <c r="U325" s="417">
        <f t="shared" si="634"/>
        <v>50</v>
      </c>
      <c r="V325" s="386">
        <f t="shared" si="635"/>
        <v>63</v>
      </c>
      <c r="W325" s="265">
        <f t="shared" si="636"/>
        <v>26</v>
      </c>
      <c r="X325" s="417">
        <v>149</v>
      </c>
      <c r="Y325" s="386">
        <v>190</v>
      </c>
      <c r="Z325" s="265">
        <f t="shared" si="637"/>
        <v>27.5</v>
      </c>
      <c r="AA325" s="417">
        <f t="shared" si="638"/>
        <v>59</v>
      </c>
      <c r="AB325" s="386">
        <f t="shared" si="639"/>
        <v>60</v>
      </c>
      <c r="AC325" s="265">
        <f t="shared" si="617"/>
        <v>1.7</v>
      </c>
      <c r="AD325" s="417">
        <v>208</v>
      </c>
      <c r="AE325" s="544">
        <v>250</v>
      </c>
      <c r="AF325" s="265">
        <f t="shared" si="618"/>
        <v>20.2</v>
      </c>
      <c r="AG325" s="417">
        <f t="shared" si="640"/>
        <v>94</v>
      </c>
      <c r="AH325" s="386">
        <f t="shared" si="640"/>
        <v>63</v>
      </c>
      <c r="AI325" s="265">
        <f t="shared" si="641"/>
        <v>-33</v>
      </c>
      <c r="AJ325" s="417">
        <v>302</v>
      </c>
      <c r="AK325" s="544">
        <v>313</v>
      </c>
      <c r="AL325" s="265">
        <f t="shared" si="619"/>
        <v>3.6</v>
      </c>
      <c r="AM325" s="722">
        <f t="shared" si="642"/>
        <v>53</v>
      </c>
      <c r="AN325" s="714">
        <f t="shared" si="643"/>
        <v>84</v>
      </c>
      <c r="AO325" s="705">
        <f t="shared" si="644"/>
        <v>58.5</v>
      </c>
      <c r="AP325" s="770">
        <v>355</v>
      </c>
      <c r="AQ325" s="544">
        <v>397</v>
      </c>
      <c r="AR325" s="705">
        <f t="shared" si="620"/>
        <v>11.8</v>
      </c>
      <c r="AS325" s="770">
        <f t="shared" si="645"/>
        <v>71</v>
      </c>
      <c r="AT325" s="714">
        <f t="shared" si="645"/>
        <v>96</v>
      </c>
      <c r="AU325" s="705">
        <f t="shared" si="621"/>
        <v>35.200000000000003</v>
      </c>
      <c r="AV325" s="992">
        <v>426</v>
      </c>
      <c r="AW325" s="1018">
        <v>493</v>
      </c>
      <c r="AX325" s="705">
        <f t="shared" si="622"/>
        <v>15.7</v>
      </c>
      <c r="AY325" s="770">
        <f t="shared" si="646"/>
        <v>69</v>
      </c>
      <c r="AZ325" s="714">
        <f t="shared" si="647"/>
        <v>84</v>
      </c>
      <c r="BA325" s="705">
        <f t="shared" si="623"/>
        <v>21.7</v>
      </c>
      <c r="BB325" s="770">
        <v>495</v>
      </c>
      <c r="BC325" s="544">
        <v>577</v>
      </c>
      <c r="BD325" s="705">
        <f t="shared" si="624"/>
        <v>16.600000000000001</v>
      </c>
      <c r="BE325" s="770">
        <f t="shared" si="648"/>
        <v>35</v>
      </c>
      <c r="BF325" s="714">
        <f t="shared" si="648"/>
        <v>56</v>
      </c>
      <c r="BG325" s="705">
        <f t="shared" si="625"/>
        <v>60</v>
      </c>
      <c r="BH325" s="770">
        <v>530</v>
      </c>
      <c r="BI325" s="544">
        <v>633</v>
      </c>
      <c r="BJ325" s="705">
        <f t="shared" si="626"/>
        <v>19.399999999999999</v>
      </c>
      <c r="BK325" s="770">
        <f t="shared" si="649"/>
        <v>88</v>
      </c>
      <c r="BL325" s="714">
        <f t="shared" si="649"/>
        <v>69</v>
      </c>
      <c r="BM325" s="705">
        <f t="shared" si="627"/>
        <v>-21.6</v>
      </c>
      <c r="BN325" s="770">
        <v>618</v>
      </c>
      <c r="BO325" s="544">
        <v>702</v>
      </c>
      <c r="BP325" s="705">
        <f t="shared" si="628"/>
        <v>13.6</v>
      </c>
      <c r="BQ325" s="770">
        <f t="shared" si="650"/>
        <v>69</v>
      </c>
      <c r="BR325" s="714">
        <f t="shared" si="650"/>
        <v>65</v>
      </c>
      <c r="BS325" s="705">
        <f t="shared" si="629"/>
        <v>-5.8</v>
      </c>
      <c r="BT325" s="770">
        <v>687</v>
      </c>
      <c r="BU325" s="544">
        <v>767</v>
      </c>
      <c r="BV325" s="705">
        <f t="shared" si="630"/>
        <v>11.6</v>
      </c>
    </row>
    <row r="326" spans="1:74">
      <c r="A326" s="96"/>
      <c r="B326" s="4"/>
      <c r="C326" s="105" t="s">
        <v>56</v>
      </c>
      <c r="D326" s="98">
        <v>768</v>
      </c>
      <c r="E326" s="98">
        <v>1082</v>
      </c>
      <c r="F326" s="98">
        <v>1094</v>
      </c>
      <c r="G326" s="98">
        <v>784</v>
      </c>
      <c r="H326" s="98">
        <v>777</v>
      </c>
      <c r="I326" s="98">
        <v>1123</v>
      </c>
      <c r="J326" s="98">
        <v>750</v>
      </c>
      <c r="K326" s="98">
        <v>571</v>
      </c>
      <c r="L326" s="417">
        <v>72</v>
      </c>
      <c r="M326" s="386">
        <v>40</v>
      </c>
      <c r="N326" s="265">
        <f t="shared" si="651"/>
        <v>-44.4</v>
      </c>
      <c r="O326" s="417">
        <f t="shared" si="631"/>
        <v>55</v>
      </c>
      <c r="P326" s="386">
        <f t="shared" si="631"/>
        <v>23</v>
      </c>
      <c r="Q326" s="265">
        <f t="shared" si="632"/>
        <v>-58.2</v>
      </c>
      <c r="R326" s="417">
        <v>127</v>
      </c>
      <c r="S326" s="386">
        <v>63</v>
      </c>
      <c r="T326" s="265">
        <f t="shared" si="633"/>
        <v>-50.4</v>
      </c>
      <c r="U326" s="417">
        <f t="shared" si="634"/>
        <v>93</v>
      </c>
      <c r="V326" s="386">
        <f t="shared" si="635"/>
        <v>36</v>
      </c>
      <c r="W326" s="265">
        <f t="shared" si="636"/>
        <v>-61.3</v>
      </c>
      <c r="X326" s="417">
        <v>220</v>
      </c>
      <c r="Y326" s="386">
        <v>99</v>
      </c>
      <c r="Z326" s="265">
        <f t="shared" si="637"/>
        <v>-55</v>
      </c>
      <c r="AA326" s="417">
        <f t="shared" si="638"/>
        <v>8</v>
      </c>
      <c r="AB326" s="386">
        <f t="shared" si="639"/>
        <v>17</v>
      </c>
      <c r="AC326" s="265">
        <f t="shared" si="617"/>
        <v>112.5</v>
      </c>
      <c r="AD326" s="417">
        <v>228</v>
      </c>
      <c r="AE326" s="544">
        <v>116</v>
      </c>
      <c r="AF326" s="265">
        <f t="shared" si="618"/>
        <v>-49.1</v>
      </c>
      <c r="AG326" s="417">
        <f t="shared" si="640"/>
        <v>48</v>
      </c>
      <c r="AH326" s="386">
        <f t="shared" si="640"/>
        <v>40</v>
      </c>
      <c r="AI326" s="265">
        <f t="shared" si="641"/>
        <v>-16.7</v>
      </c>
      <c r="AJ326" s="417">
        <v>276</v>
      </c>
      <c r="AK326" s="544">
        <v>156</v>
      </c>
      <c r="AL326" s="265">
        <f t="shared" si="619"/>
        <v>-43.5</v>
      </c>
      <c r="AM326" s="722">
        <f t="shared" si="642"/>
        <v>52</v>
      </c>
      <c r="AN326" s="714">
        <f t="shared" si="643"/>
        <v>44</v>
      </c>
      <c r="AO326" s="705">
        <f t="shared" si="644"/>
        <v>-15.4</v>
      </c>
      <c r="AP326" s="770">
        <v>328</v>
      </c>
      <c r="AQ326" s="544">
        <v>200</v>
      </c>
      <c r="AR326" s="705">
        <f t="shared" si="620"/>
        <v>-39</v>
      </c>
      <c r="AS326" s="770">
        <f t="shared" si="645"/>
        <v>72</v>
      </c>
      <c r="AT326" s="714">
        <f t="shared" si="645"/>
        <v>14</v>
      </c>
      <c r="AU326" s="705">
        <f t="shared" si="621"/>
        <v>-80.599999999999994</v>
      </c>
      <c r="AV326" s="992">
        <v>400</v>
      </c>
      <c r="AW326" s="1018">
        <v>214</v>
      </c>
      <c r="AX326" s="705">
        <f t="shared" si="622"/>
        <v>-46.5</v>
      </c>
      <c r="AY326" s="770">
        <f t="shared" si="646"/>
        <v>49</v>
      </c>
      <c r="AZ326" s="714">
        <f t="shared" si="647"/>
        <v>15</v>
      </c>
      <c r="BA326" s="705">
        <f t="shared" si="623"/>
        <v>-69.400000000000006</v>
      </c>
      <c r="BB326" s="770">
        <v>449</v>
      </c>
      <c r="BC326" s="544">
        <v>229</v>
      </c>
      <c r="BD326" s="705">
        <f t="shared" si="624"/>
        <v>-49</v>
      </c>
      <c r="BE326" s="770">
        <f t="shared" si="648"/>
        <v>24</v>
      </c>
      <c r="BF326" s="714">
        <f t="shared" si="648"/>
        <v>2</v>
      </c>
      <c r="BG326" s="705">
        <f t="shared" si="625"/>
        <v>-91.7</v>
      </c>
      <c r="BH326" s="770">
        <v>473</v>
      </c>
      <c r="BI326" s="544">
        <v>231</v>
      </c>
      <c r="BJ326" s="705">
        <f t="shared" si="626"/>
        <v>-51.2</v>
      </c>
      <c r="BK326" s="770">
        <f t="shared" si="649"/>
        <v>46</v>
      </c>
      <c r="BL326" s="714">
        <f t="shared" si="649"/>
        <v>7</v>
      </c>
      <c r="BM326" s="705">
        <f t="shared" si="627"/>
        <v>-84.8</v>
      </c>
      <c r="BN326" s="770">
        <v>519</v>
      </c>
      <c r="BO326" s="544">
        <v>238</v>
      </c>
      <c r="BP326" s="705">
        <f t="shared" si="628"/>
        <v>-54.1</v>
      </c>
      <c r="BQ326" s="770">
        <f t="shared" si="650"/>
        <v>23</v>
      </c>
      <c r="BR326" s="714">
        <f t="shared" si="650"/>
        <v>38</v>
      </c>
      <c r="BS326" s="705">
        <f t="shared" si="629"/>
        <v>65.2</v>
      </c>
      <c r="BT326" s="770">
        <v>542</v>
      </c>
      <c r="BU326" s="544">
        <v>276</v>
      </c>
      <c r="BV326" s="705">
        <f t="shared" si="630"/>
        <v>-49.1</v>
      </c>
    </row>
    <row r="327" spans="1:74">
      <c r="A327" s="96"/>
      <c r="B327" s="4"/>
      <c r="C327" s="105" t="s">
        <v>107</v>
      </c>
      <c r="D327" s="98">
        <v>254</v>
      </c>
      <c r="E327" s="98">
        <v>116</v>
      </c>
      <c r="F327" s="98">
        <v>53</v>
      </c>
      <c r="G327" s="98">
        <v>91</v>
      </c>
      <c r="H327" s="98">
        <v>67</v>
      </c>
      <c r="I327" s="98">
        <v>68</v>
      </c>
      <c r="J327" s="98">
        <v>140</v>
      </c>
      <c r="K327" s="98">
        <v>386</v>
      </c>
      <c r="L327" s="417">
        <v>42</v>
      </c>
      <c r="M327" s="386">
        <v>15</v>
      </c>
      <c r="N327" s="265">
        <f t="shared" si="651"/>
        <v>-64.3</v>
      </c>
      <c r="O327" s="417">
        <f t="shared" si="631"/>
        <v>36</v>
      </c>
      <c r="P327" s="386">
        <f t="shared" si="631"/>
        <v>15</v>
      </c>
      <c r="Q327" s="265">
        <f t="shared" si="632"/>
        <v>-58.3</v>
      </c>
      <c r="R327" s="417">
        <v>78</v>
      </c>
      <c r="S327" s="386">
        <v>30</v>
      </c>
      <c r="T327" s="265">
        <f t="shared" si="633"/>
        <v>-61.5</v>
      </c>
      <c r="U327" s="417">
        <f t="shared" si="634"/>
        <v>26</v>
      </c>
      <c r="V327" s="386">
        <f t="shared" si="635"/>
        <v>22</v>
      </c>
      <c r="W327" s="265">
        <f t="shared" si="636"/>
        <v>-15.4</v>
      </c>
      <c r="X327" s="417">
        <v>104</v>
      </c>
      <c r="Y327" s="386">
        <v>52</v>
      </c>
      <c r="Z327" s="265">
        <f t="shared" si="637"/>
        <v>-50</v>
      </c>
      <c r="AA327" s="417">
        <f t="shared" si="638"/>
        <v>63</v>
      </c>
      <c r="AB327" s="386">
        <f t="shared" si="639"/>
        <v>14</v>
      </c>
      <c r="AC327" s="265">
        <f t="shared" si="617"/>
        <v>-77.8</v>
      </c>
      <c r="AD327" s="417">
        <v>167</v>
      </c>
      <c r="AE327" s="544">
        <v>66</v>
      </c>
      <c r="AF327" s="265">
        <f t="shared" si="618"/>
        <v>-60.5</v>
      </c>
      <c r="AG327" s="417">
        <f t="shared" si="640"/>
        <v>16</v>
      </c>
      <c r="AH327" s="386">
        <f t="shared" si="640"/>
        <v>6</v>
      </c>
      <c r="AI327" s="265">
        <f t="shared" si="641"/>
        <v>-62.5</v>
      </c>
      <c r="AJ327" s="417">
        <v>183</v>
      </c>
      <c r="AK327" s="544">
        <v>72</v>
      </c>
      <c r="AL327" s="265">
        <f t="shared" si="619"/>
        <v>-60.7</v>
      </c>
      <c r="AM327" s="722">
        <f t="shared" si="642"/>
        <v>30</v>
      </c>
      <c r="AN327" s="714">
        <f t="shared" si="643"/>
        <v>23</v>
      </c>
      <c r="AO327" s="705">
        <f t="shared" si="644"/>
        <v>-23.3</v>
      </c>
      <c r="AP327" s="770">
        <v>213</v>
      </c>
      <c r="AQ327" s="544">
        <v>95</v>
      </c>
      <c r="AR327" s="705">
        <f t="shared" si="620"/>
        <v>-55.4</v>
      </c>
      <c r="AS327" s="770">
        <f t="shared" si="645"/>
        <v>37</v>
      </c>
      <c r="AT327" s="714">
        <f t="shared" si="645"/>
        <v>17</v>
      </c>
      <c r="AU327" s="705">
        <f t="shared" si="621"/>
        <v>-54.1</v>
      </c>
      <c r="AV327" s="992">
        <v>250</v>
      </c>
      <c r="AW327" s="1018">
        <v>112</v>
      </c>
      <c r="AX327" s="705">
        <f t="shared" si="622"/>
        <v>-55.2</v>
      </c>
      <c r="AY327" s="770">
        <f t="shared" si="646"/>
        <v>21</v>
      </c>
      <c r="AZ327" s="714">
        <f t="shared" si="647"/>
        <v>16</v>
      </c>
      <c r="BA327" s="705">
        <f t="shared" si="623"/>
        <v>-23.8</v>
      </c>
      <c r="BB327" s="770">
        <v>271</v>
      </c>
      <c r="BC327" s="544">
        <v>128</v>
      </c>
      <c r="BD327" s="705">
        <f t="shared" si="624"/>
        <v>-52.8</v>
      </c>
      <c r="BE327" s="770">
        <f t="shared" si="648"/>
        <v>44</v>
      </c>
      <c r="BF327" s="714">
        <f t="shared" si="648"/>
        <v>9</v>
      </c>
      <c r="BG327" s="705">
        <f t="shared" si="625"/>
        <v>-79.5</v>
      </c>
      <c r="BH327" s="770">
        <v>315</v>
      </c>
      <c r="BI327" s="544">
        <v>137</v>
      </c>
      <c r="BJ327" s="705">
        <f t="shared" si="626"/>
        <v>-56.5</v>
      </c>
      <c r="BK327" s="770">
        <f t="shared" si="649"/>
        <v>52</v>
      </c>
      <c r="BL327" s="714">
        <f t="shared" si="649"/>
        <v>14</v>
      </c>
      <c r="BM327" s="705">
        <f t="shared" si="627"/>
        <v>-73.099999999999994</v>
      </c>
      <c r="BN327" s="770">
        <v>367</v>
      </c>
      <c r="BO327" s="544">
        <v>151</v>
      </c>
      <c r="BP327" s="705">
        <f t="shared" si="628"/>
        <v>-58.9</v>
      </c>
      <c r="BQ327" s="770">
        <f t="shared" si="650"/>
        <v>11</v>
      </c>
      <c r="BR327" s="714">
        <f t="shared" si="650"/>
        <v>10</v>
      </c>
      <c r="BS327" s="705">
        <f t="shared" si="629"/>
        <v>-9.1</v>
      </c>
      <c r="BT327" s="770">
        <v>378</v>
      </c>
      <c r="BU327" s="544">
        <v>161</v>
      </c>
      <c r="BV327" s="705">
        <f t="shared" si="630"/>
        <v>-57.4</v>
      </c>
    </row>
    <row r="328" spans="1:74">
      <c r="A328" s="96"/>
      <c r="B328" s="4"/>
      <c r="C328" s="105" t="s">
        <v>116</v>
      </c>
      <c r="D328" s="98">
        <v>197</v>
      </c>
      <c r="E328" s="98">
        <v>174</v>
      </c>
      <c r="F328" s="98">
        <v>151</v>
      </c>
      <c r="G328" s="98">
        <v>204</v>
      </c>
      <c r="H328" s="98">
        <v>233</v>
      </c>
      <c r="I328" s="98">
        <v>300</v>
      </c>
      <c r="J328" s="98">
        <v>331</v>
      </c>
      <c r="K328" s="98">
        <v>380</v>
      </c>
      <c r="L328" s="417">
        <v>14</v>
      </c>
      <c r="M328" s="386">
        <v>25</v>
      </c>
      <c r="N328" s="265">
        <f t="shared" si="651"/>
        <v>78.599999999999994</v>
      </c>
      <c r="O328" s="417">
        <f t="shared" si="631"/>
        <v>43</v>
      </c>
      <c r="P328" s="386">
        <f t="shared" si="631"/>
        <v>44</v>
      </c>
      <c r="Q328" s="265">
        <f t="shared" si="632"/>
        <v>2.2999999999999998</v>
      </c>
      <c r="R328" s="417">
        <v>57</v>
      </c>
      <c r="S328" s="386">
        <v>69</v>
      </c>
      <c r="T328" s="265">
        <f t="shared" si="633"/>
        <v>21.1</v>
      </c>
      <c r="U328" s="417">
        <f t="shared" si="634"/>
        <v>23</v>
      </c>
      <c r="V328" s="386">
        <f t="shared" si="635"/>
        <v>25</v>
      </c>
      <c r="W328" s="265">
        <f t="shared" si="636"/>
        <v>8.6999999999999993</v>
      </c>
      <c r="X328" s="417">
        <v>80</v>
      </c>
      <c r="Y328" s="386">
        <v>94</v>
      </c>
      <c r="Z328" s="265">
        <f t="shared" si="637"/>
        <v>17.5</v>
      </c>
      <c r="AA328" s="417">
        <f t="shared" si="638"/>
        <v>9</v>
      </c>
      <c r="AB328" s="386">
        <f t="shared" si="639"/>
        <v>49</v>
      </c>
      <c r="AC328" s="265">
        <f t="shared" si="617"/>
        <v>444.4</v>
      </c>
      <c r="AD328" s="417">
        <v>89</v>
      </c>
      <c r="AE328" s="544">
        <v>143</v>
      </c>
      <c r="AF328" s="265">
        <f t="shared" si="618"/>
        <v>60.7</v>
      </c>
      <c r="AG328" s="417">
        <f t="shared" si="640"/>
        <v>63</v>
      </c>
      <c r="AH328" s="386">
        <f t="shared" si="640"/>
        <v>38</v>
      </c>
      <c r="AI328" s="265">
        <f t="shared" si="641"/>
        <v>-39.700000000000003</v>
      </c>
      <c r="AJ328" s="417">
        <v>152</v>
      </c>
      <c r="AK328" s="544">
        <v>181</v>
      </c>
      <c r="AL328" s="265">
        <f t="shared" si="619"/>
        <v>19.100000000000001</v>
      </c>
      <c r="AM328" s="722">
        <f t="shared" si="642"/>
        <v>42</v>
      </c>
      <c r="AN328" s="714">
        <f t="shared" si="643"/>
        <v>26</v>
      </c>
      <c r="AO328" s="705">
        <f t="shared" si="644"/>
        <v>-38.1</v>
      </c>
      <c r="AP328" s="770">
        <v>194</v>
      </c>
      <c r="AQ328" s="544">
        <v>207</v>
      </c>
      <c r="AR328" s="705">
        <f t="shared" si="620"/>
        <v>6.7</v>
      </c>
      <c r="AS328" s="770">
        <f t="shared" si="645"/>
        <v>47</v>
      </c>
      <c r="AT328" s="714">
        <f t="shared" si="645"/>
        <v>41</v>
      </c>
      <c r="AU328" s="705">
        <f t="shared" si="621"/>
        <v>-12.8</v>
      </c>
      <c r="AV328" s="992">
        <v>241</v>
      </c>
      <c r="AW328" s="1018">
        <v>248</v>
      </c>
      <c r="AX328" s="705">
        <f t="shared" si="622"/>
        <v>2.9</v>
      </c>
      <c r="AY328" s="770">
        <f t="shared" si="646"/>
        <v>46</v>
      </c>
      <c r="AZ328" s="714">
        <f t="shared" si="647"/>
        <v>23</v>
      </c>
      <c r="BA328" s="705">
        <f t="shared" si="623"/>
        <v>-50</v>
      </c>
      <c r="BB328" s="770">
        <v>287</v>
      </c>
      <c r="BC328" s="544">
        <v>271</v>
      </c>
      <c r="BD328" s="705">
        <f t="shared" si="624"/>
        <v>-5.6</v>
      </c>
      <c r="BE328" s="770">
        <f t="shared" si="648"/>
        <v>18</v>
      </c>
      <c r="BF328" s="714">
        <f t="shared" si="648"/>
        <v>9</v>
      </c>
      <c r="BG328" s="705">
        <f t="shared" si="625"/>
        <v>-50</v>
      </c>
      <c r="BH328" s="770">
        <v>305</v>
      </c>
      <c r="BI328" s="544">
        <v>280</v>
      </c>
      <c r="BJ328" s="705">
        <f t="shared" si="626"/>
        <v>-8.1999999999999993</v>
      </c>
      <c r="BK328" s="770">
        <f t="shared" si="649"/>
        <v>23</v>
      </c>
      <c r="BL328" s="714">
        <f t="shared" si="649"/>
        <v>43</v>
      </c>
      <c r="BM328" s="705">
        <f t="shared" si="627"/>
        <v>87</v>
      </c>
      <c r="BN328" s="770">
        <v>328</v>
      </c>
      <c r="BO328" s="544">
        <v>323</v>
      </c>
      <c r="BP328" s="705">
        <f t="shared" si="628"/>
        <v>-1.5</v>
      </c>
      <c r="BQ328" s="770">
        <f t="shared" si="650"/>
        <v>23</v>
      </c>
      <c r="BR328" s="714">
        <f t="shared" si="650"/>
        <v>37</v>
      </c>
      <c r="BS328" s="705">
        <f t="shared" si="629"/>
        <v>60.9</v>
      </c>
      <c r="BT328" s="770">
        <v>351</v>
      </c>
      <c r="BU328" s="544">
        <v>360</v>
      </c>
      <c r="BV328" s="705">
        <f t="shared" si="630"/>
        <v>2.6</v>
      </c>
    </row>
    <row r="329" spans="1:74">
      <c r="A329" s="96"/>
      <c r="B329" s="4"/>
      <c r="C329" s="105" t="s">
        <v>113</v>
      </c>
      <c r="D329" s="98">
        <v>67</v>
      </c>
      <c r="E329" s="98">
        <v>120</v>
      </c>
      <c r="F329" s="98">
        <v>123</v>
      </c>
      <c r="G329" s="98">
        <v>185</v>
      </c>
      <c r="H329" s="98">
        <v>112</v>
      </c>
      <c r="I329" s="98">
        <v>168</v>
      </c>
      <c r="J329" s="98">
        <v>291</v>
      </c>
      <c r="K329" s="98">
        <v>216</v>
      </c>
      <c r="L329" s="417">
        <v>17</v>
      </c>
      <c r="M329" s="386">
        <v>2</v>
      </c>
      <c r="N329" s="265">
        <f t="shared" si="651"/>
        <v>-88.2</v>
      </c>
      <c r="O329" s="417">
        <f t="shared" si="631"/>
        <v>34</v>
      </c>
      <c r="P329" s="386">
        <f t="shared" si="631"/>
        <v>2</v>
      </c>
      <c r="Q329" s="265">
        <f t="shared" si="632"/>
        <v>-94.1</v>
      </c>
      <c r="R329" s="417">
        <v>51</v>
      </c>
      <c r="S329" s="386">
        <v>4</v>
      </c>
      <c r="T329" s="265">
        <f t="shared" si="633"/>
        <v>-92.2</v>
      </c>
      <c r="U329" s="417">
        <f t="shared" si="634"/>
        <v>1</v>
      </c>
      <c r="V329" s="386">
        <f t="shared" si="635"/>
        <v>1</v>
      </c>
      <c r="W329" s="265">
        <f t="shared" si="636"/>
        <v>0</v>
      </c>
      <c r="X329" s="417">
        <v>52</v>
      </c>
      <c r="Y329" s="386">
        <v>5</v>
      </c>
      <c r="Z329" s="265">
        <f t="shared" si="637"/>
        <v>-90.4</v>
      </c>
      <c r="AA329" s="417">
        <f t="shared" si="638"/>
        <v>1</v>
      </c>
      <c r="AB329" s="386">
        <f t="shared" si="639"/>
        <v>16</v>
      </c>
      <c r="AC329" s="265">
        <f t="shared" si="617"/>
        <v>1500</v>
      </c>
      <c r="AD329" s="417">
        <v>53</v>
      </c>
      <c r="AE329" s="544">
        <v>21</v>
      </c>
      <c r="AF329" s="265">
        <f t="shared" si="618"/>
        <v>-60.4</v>
      </c>
      <c r="AG329" s="417">
        <f t="shared" si="640"/>
        <v>55</v>
      </c>
      <c r="AH329" s="386">
        <f t="shared" si="640"/>
        <v>1</v>
      </c>
      <c r="AI329" s="265">
        <f t="shared" si="641"/>
        <v>-98.2</v>
      </c>
      <c r="AJ329" s="417">
        <v>108</v>
      </c>
      <c r="AK329" s="544">
        <v>22</v>
      </c>
      <c r="AL329" s="265">
        <f t="shared" si="619"/>
        <v>-79.599999999999994</v>
      </c>
      <c r="AM329" s="722">
        <f t="shared" si="642"/>
        <v>18</v>
      </c>
      <c r="AN329" s="714">
        <f t="shared" si="643"/>
        <v>0</v>
      </c>
      <c r="AO329" s="705">
        <f t="shared" si="644"/>
        <v>-100</v>
      </c>
      <c r="AP329" s="770">
        <v>126</v>
      </c>
      <c r="AQ329" s="544">
        <v>22</v>
      </c>
      <c r="AR329" s="705">
        <f t="shared" si="620"/>
        <v>-82.5</v>
      </c>
      <c r="AS329" s="770">
        <f t="shared" si="645"/>
        <v>27</v>
      </c>
      <c r="AT329" s="714">
        <f t="shared" si="645"/>
        <v>1</v>
      </c>
      <c r="AU329" s="705">
        <f t="shared" si="621"/>
        <v>-96.3</v>
      </c>
      <c r="AV329" s="992">
        <v>153</v>
      </c>
      <c r="AW329" s="1018">
        <v>23</v>
      </c>
      <c r="AX329" s="705">
        <f t="shared" si="622"/>
        <v>-85</v>
      </c>
      <c r="AY329" s="770">
        <f t="shared" si="646"/>
        <v>23</v>
      </c>
      <c r="AZ329" s="714">
        <f t="shared" si="647"/>
        <v>1</v>
      </c>
      <c r="BA329" s="705">
        <f t="shared" si="623"/>
        <v>-95.7</v>
      </c>
      <c r="BB329" s="770">
        <v>176</v>
      </c>
      <c r="BC329" s="544">
        <v>24</v>
      </c>
      <c r="BD329" s="705">
        <f t="shared" si="624"/>
        <v>-86.4</v>
      </c>
      <c r="BE329" s="770">
        <f t="shared" si="648"/>
        <v>8</v>
      </c>
      <c r="BF329" s="714">
        <f t="shared" si="648"/>
        <v>1</v>
      </c>
      <c r="BG329" s="705">
        <f t="shared" si="625"/>
        <v>-87.5</v>
      </c>
      <c r="BH329" s="770">
        <v>184</v>
      </c>
      <c r="BI329" s="544">
        <v>25</v>
      </c>
      <c r="BJ329" s="705">
        <f t="shared" si="626"/>
        <v>-86.4</v>
      </c>
      <c r="BK329" s="770">
        <f t="shared" si="649"/>
        <v>15</v>
      </c>
      <c r="BL329" s="714">
        <f t="shared" si="649"/>
        <v>2</v>
      </c>
      <c r="BM329" s="705">
        <f t="shared" si="627"/>
        <v>-86.7</v>
      </c>
      <c r="BN329" s="770">
        <v>199</v>
      </c>
      <c r="BO329" s="544">
        <v>27</v>
      </c>
      <c r="BP329" s="705">
        <f t="shared" si="628"/>
        <v>-86.4</v>
      </c>
      <c r="BQ329" s="770">
        <f t="shared" si="650"/>
        <v>16</v>
      </c>
      <c r="BR329" s="714">
        <f t="shared" si="650"/>
        <v>0</v>
      </c>
      <c r="BS329" s="705">
        <f t="shared" si="629"/>
        <v>-100</v>
      </c>
      <c r="BT329" s="770">
        <v>215</v>
      </c>
      <c r="BU329" s="544">
        <v>27</v>
      </c>
      <c r="BV329" s="705">
        <f t="shared" si="630"/>
        <v>-87.4</v>
      </c>
    </row>
    <row r="330" spans="1:74">
      <c r="A330" s="96"/>
      <c r="B330" s="4"/>
      <c r="C330" s="105" t="s">
        <v>142</v>
      </c>
      <c r="D330" s="98">
        <v>76</v>
      </c>
      <c r="E330" s="98">
        <v>77</v>
      </c>
      <c r="F330" s="98">
        <v>103</v>
      </c>
      <c r="G330" s="98">
        <v>90</v>
      </c>
      <c r="H330" s="98">
        <v>112</v>
      </c>
      <c r="I330" s="98">
        <v>106</v>
      </c>
      <c r="J330" s="98">
        <v>162</v>
      </c>
      <c r="K330" s="98">
        <v>173</v>
      </c>
      <c r="L330" s="417">
        <v>13</v>
      </c>
      <c r="M330" s="386">
        <v>0</v>
      </c>
      <c r="N330" s="265">
        <f t="shared" si="651"/>
        <v>-100</v>
      </c>
      <c r="O330" s="417">
        <f t="shared" si="631"/>
        <v>4</v>
      </c>
      <c r="P330" s="386">
        <f t="shared" si="631"/>
        <v>25</v>
      </c>
      <c r="Q330" s="265">
        <f t="shared" si="632"/>
        <v>525</v>
      </c>
      <c r="R330" s="417">
        <v>17</v>
      </c>
      <c r="S330" s="386">
        <v>25</v>
      </c>
      <c r="T330" s="265">
        <f t="shared" si="633"/>
        <v>47.1</v>
      </c>
      <c r="U330" s="417">
        <f t="shared" si="634"/>
        <v>18</v>
      </c>
      <c r="V330" s="386">
        <f t="shared" si="635"/>
        <v>13</v>
      </c>
      <c r="W330" s="265">
        <f t="shared" si="636"/>
        <v>-27.8</v>
      </c>
      <c r="X330" s="417">
        <v>35</v>
      </c>
      <c r="Y330" s="386">
        <v>38</v>
      </c>
      <c r="Z330" s="265">
        <f t="shared" si="637"/>
        <v>8.6</v>
      </c>
      <c r="AA330" s="417">
        <f t="shared" si="638"/>
        <v>0</v>
      </c>
      <c r="AB330" s="386">
        <f t="shared" si="639"/>
        <v>14</v>
      </c>
      <c r="AC330" s="523">
        <v>0</v>
      </c>
      <c r="AD330" s="417">
        <v>35</v>
      </c>
      <c r="AE330" s="544">
        <v>52</v>
      </c>
      <c r="AF330" s="265">
        <f t="shared" si="618"/>
        <v>48.6</v>
      </c>
      <c r="AG330" s="417">
        <f t="shared" si="640"/>
        <v>15</v>
      </c>
      <c r="AH330" s="386">
        <f t="shared" si="640"/>
        <v>13</v>
      </c>
      <c r="AI330" s="265">
        <f t="shared" si="641"/>
        <v>-13.3</v>
      </c>
      <c r="AJ330" s="417">
        <v>50</v>
      </c>
      <c r="AK330" s="544">
        <v>65</v>
      </c>
      <c r="AL330" s="265">
        <f t="shared" si="619"/>
        <v>30</v>
      </c>
      <c r="AM330" s="722">
        <f t="shared" si="642"/>
        <v>14</v>
      </c>
      <c r="AN330" s="714">
        <f t="shared" si="643"/>
        <v>12</v>
      </c>
      <c r="AO330" s="705">
        <f t="shared" si="644"/>
        <v>-14.3</v>
      </c>
      <c r="AP330" s="770">
        <v>64</v>
      </c>
      <c r="AQ330" s="544">
        <v>77</v>
      </c>
      <c r="AR330" s="705">
        <f t="shared" si="620"/>
        <v>20.3</v>
      </c>
      <c r="AS330" s="770">
        <f t="shared" si="645"/>
        <v>42</v>
      </c>
      <c r="AT330" s="714">
        <f t="shared" si="645"/>
        <v>18</v>
      </c>
      <c r="AU330" s="705">
        <f t="shared" si="621"/>
        <v>-57.1</v>
      </c>
      <c r="AV330" s="992">
        <v>106</v>
      </c>
      <c r="AW330" s="1018">
        <v>95</v>
      </c>
      <c r="AX330" s="705">
        <f t="shared" si="622"/>
        <v>-10.4</v>
      </c>
      <c r="AY330" s="770">
        <f t="shared" si="646"/>
        <v>10</v>
      </c>
      <c r="AZ330" s="714">
        <f t="shared" si="647"/>
        <v>1</v>
      </c>
      <c r="BA330" s="705">
        <f t="shared" si="623"/>
        <v>-90</v>
      </c>
      <c r="BB330" s="770">
        <v>116</v>
      </c>
      <c r="BC330" s="544">
        <v>96</v>
      </c>
      <c r="BD330" s="705">
        <f t="shared" si="624"/>
        <v>-17.2</v>
      </c>
      <c r="BE330" s="770">
        <f t="shared" si="648"/>
        <v>16</v>
      </c>
      <c r="BF330" s="714">
        <f t="shared" si="648"/>
        <v>13</v>
      </c>
      <c r="BG330" s="705">
        <f t="shared" si="625"/>
        <v>-18.8</v>
      </c>
      <c r="BH330" s="770">
        <v>132</v>
      </c>
      <c r="BI330" s="544">
        <v>109</v>
      </c>
      <c r="BJ330" s="705">
        <f t="shared" si="626"/>
        <v>-17.399999999999999</v>
      </c>
      <c r="BK330" s="770">
        <f t="shared" si="649"/>
        <v>25</v>
      </c>
      <c r="BL330" s="714">
        <f t="shared" si="649"/>
        <v>29</v>
      </c>
      <c r="BM330" s="705">
        <f t="shared" si="627"/>
        <v>16</v>
      </c>
      <c r="BN330" s="770">
        <v>157</v>
      </c>
      <c r="BO330" s="544">
        <v>138</v>
      </c>
      <c r="BP330" s="705">
        <f t="shared" si="628"/>
        <v>-12.1</v>
      </c>
      <c r="BQ330" s="770">
        <f t="shared" si="650"/>
        <v>3</v>
      </c>
      <c r="BR330" s="714">
        <f t="shared" si="650"/>
        <v>15</v>
      </c>
      <c r="BS330" s="705">
        <f t="shared" si="629"/>
        <v>400</v>
      </c>
      <c r="BT330" s="770">
        <v>160</v>
      </c>
      <c r="BU330" s="544">
        <v>153</v>
      </c>
      <c r="BV330" s="705">
        <f t="shared" si="630"/>
        <v>-4.4000000000000004</v>
      </c>
    </row>
    <row r="331" spans="1:74">
      <c r="A331" s="96"/>
      <c r="B331" s="4"/>
      <c r="C331" s="105" t="s">
        <v>128</v>
      </c>
      <c r="D331" s="98">
        <v>45</v>
      </c>
      <c r="E331" s="98">
        <v>43</v>
      </c>
      <c r="F331" s="98">
        <v>64</v>
      </c>
      <c r="G331" s="98">
        <v>91</v>
      </c>
      <c r="H331" s="98">
        <v>33</v>
      </c>
      <c r="I331" s="98">
        <v>101</v>
      </c>
      <c r="J331" s="98">
        <v>124</v>
      </c>
      <c r="K331" s="98">
        <v>166</v>
      </c>
      <c r="L331" s="417">
        <v>0</v>
      </c>
      <c r="M331" s="386">
        <v>0</v>
      </c>
      <c r="N331" s="179">
        <v>0</v>
      </c>
      <c r="O331" s="417">
        <f t="shared" si="631"/>
        <v>1</v>
      </c>
      <c r="P331" s="386">
        <f t="shared" si="631"/>
        <v>0</v>
      </c>
      <c r="Q331" s="265">
        <f t="shared" si="632"/>
        <v>-100</v>
      </c>
      <c r="R331" s="417">
        <v>1</v>
      </c>
      <c r="S331" s="386">
        <v>0</v>
      </c>
      <c r="T331" s="265">
        <f t="shared" si="633"/>
        <v>-100</v>
      </c>
      <c r="U331" s="417">
        <f t="shared" si="634"/>
        <v>3</v>
      </c>
      <c r="V331" s="386">
        <f t="shared" si="635"/>
        <v>0</v>
      </c>
      <c r="W331" s="265">
        <f t="shared" si="636"/>
        <v>-100</v>
      </c>
      <c r="X331" s="417">
        <v>4</v>
      </c>
      <c r="Y331" s="386">
        <v>0</v>
      </c>
      <c r="Z331" s="265">
        <f t="shared" si="637"/>
        <v>-100</v>
      </c>
      <c r="AA331" s="417">
        <f t="shared" si="638"/>
        <v>0</v>
      </c>
      <c r="AB331" s="386">
        <f t="shared" si="639"/>
        <v>0</v>
      </c>
      <c r="AC331" s="523">
        <v>0</v>
      </c>
      <c r="AD331" s="417">
        <v>4</v>
      </c>
      <c r="AE331" s="544">
        <v>0</v>
      </c>
      <c r="AF331" s="265">
        <f t="shared" si="618"/>
        <v>-100</v>
      </c>
      <c r="AG331" s="417">
        <f t="shared" si="640"/>
        <v>0</v>
      </c>
      <c r="AH331" s="386">
        <f t="shared" si="640"/>
        <v>6</v>
      </c>
      <c r="AI331" s="523">
        <v>0</v>
      </c>
      <c r="AJ331" s="417">
        <v>4</v>
      </c>
      <c r="AK331" s="544">
        <v>6</v>
      </c>
      <c r="AL331" s="265">
        <f t="shared" si="619"/>
        <v>50</v>
      </c>
      <c r="AM331" s="722">
        <f t="shared" si="642"/>
        <v>3</v>
      </c>
      <c r="AN331" s="714">
        <f t="shared" si="643"/>
        <v>2</v>
      </c>
      <c r="AO331" s="705">
        <f>ROUND(((AN331/AM331-1)*100), 1)</f>
        <v>-33.299999999999997</v>
      </c>
      <c r="AP331" s="770">
        <v>7</v>
      </c>
      <c r="AQ331" s="544">
        <v>8</v>
      </c>
      <c r="AR331" s="705">
        <f t="shared" si="620"/>
        <v>14.3</v>
      </c>
      <c r="AS331" s="770">
        <f t="shared" si="645"/>
        <v>0</v>
      </c>
      <c r="AT331" s="714">
        <f t="shared" si="645"/>
        <v>6</v>
      </c>
      <c r="AU331" s="751">
        <v>0</v>
      </c>
      <c r="AV331" s="992">
        <v>7</v>
      </c>
      <c r="AW331" s="1018">
        <v>14</v>
      </c>
      <c r="AX331" s="705">
        <f t="shared" si="622"/>
        <v>100</v>
      </c>
      <c r="AY331" s="770">
        <f t="shared" si="646"/>
        <v>0</v>
      </c>
      <c r="AZ331" s="714">
        <f t="shared" si="647"/>
        <v>0</v>
      </c>
      <c r="BA331" s="751">
        <v>0</v>
      </c>
      <c r="BB331" s="770">
        <v>7</v>
      </c>
      <c r="BC331" s="544">
        <v>14</v>
      </c>
      <c r="BD331" s="705">
        <f t="shared" si="624"/>
        <v>100</v>
      </c>
      <c r="BE331" s="770">
        <f t="shared" si="648"/>
        <v>144</v>
      </c>
      <c r="BF331" s="714">
        <f t="shared" si="648"/>
        <v>3</v>
      </c>
      <c r="BG331" s="705">
        <f t="shared" si="625"/>
        <v>-97.9</v>
      </c>
      <c r="BH331" s="770">
        <v>151</v>
      </c>
      <c r="BI331" s="544">
        <v>17</v>
      </c>
      <c r="BJ331" s="705">
        <f t="shared" si="626"/>
        <v>-88.7</v>
      </c>
      <c r="BK331" s="770">
        <f t="shared" si="649"/>
        <v>10</v>
      </c>
      <c r="BL331" s="714">
        <f t="shared" si="649"/>
        <v>0</v>
      </c>
      <c r="BM331" s="705">
        <f t="shared" si="627"/>
        <v>-100</v>
      </c>
      <c r="BN331" s="770">
        <v>161</v>
      </c>
      <c r="BO331" s="544">
        <v>17</v>
      </c>
      <c r="BP331" s="705">
        <f t="shared" si="628"/>
        <v>-89.4</v>
      </c>
      <c r="BQ331" s="770">
        <f t="shared" si="650"/>
        <v>0</v>
      </c>
      <c r="BR331" s="714">
        <f t="shared" si="650"/>
        <v>0</v>
      </c>
      <c r="BS331" s="751">
        <v>0</v>
      </c>
      <c r="BT331" s="770">
        <v>161</v>
      </c>
      <c r="BU331" s="544">
        <v>17</v>
      </c>
      <c r="BV331" s="705">
        <f t="shared" si="630"/>
        <v>-89.4</v>
      </c>
    </row>
    <row r="332" spans="1:74">
      <c r="A332" s="96"/>
      <c r="B332" s="4"/>
      <c r="C332" s="105" t="s">
        <v>98</v>
      </c>
      <c r="D332" s="98">
        <v>6</v>
      </c>
      <c r="E332" s="98">
        <v>0</v>
      </c>
      <c r="F332" s="98">
        <v>23</v>
      </c>
      <c r="G332" s="98">
        <v>46</v>
      </c>
      <c r="H332" s="98">
        <v>317</v>
      </c>
      <c r="I332" s="98">
        <v>103</v>
      </c>
      <c r="J332" s="98">
        <v>259</v>
      </c>
      <c r="K332" s="98">
        <v>152</v>
      </c>
      <c r="L332" s="417">
        <v>18</v>
      </c>
      <c r="M332" s="386">
        <v>2</v>
      </c>
      <c r="N332" s="265">
        <f t="shared" si="651"/>
        <v>-88.9</v>
      </c>
      <c r="O332" s="417">
        <f t="shared" si="631"/>
        <v>23</v>
      </c>
      <c r="P332" s="386">
        <f t="shared" si="631"/>
        <v>13</v>
      </c>
      <c r="Q332" s="265">
        <f>ROUND(((P332/O332-1)*100), 1)</f>
        <v>-43.5</v>
      </c>
      <c r="R332" s="417">
        <v>41</v>
      </c>
      <c r="S332" s="386">
        <v>15</v>
      </c>
      <c r="T332" s="265">
        <f>ROUND(((S332/R332-1)*100), 1)</f>
        <v>-63.4</v>
      </c>
      <c r="U332" s="417">
        <f t="shared" si="634"/>
        <v>22</v>
      </c>
      <c r="V332" s="386">
        <f t="shared" si="635"/>
        <v>6</v>
      </c>
      <c r="W332" s="265">
        <f>ROUND(((V332/U332-1)*100), 1)</f>
        <v>-72.7</v>
      </c>
      <c r="X332" s="417">
        <v>63</v>
      </c>
      <c r="Y332" s="386">
        <v>21</v>
      </c>
      <c r="Z332" s="265">
        <f>ROUND(((Y332/X332-1)*100), 1)</f>
        <v>-66.7</v>
      </c>
      <c r="AA332" s="417">
        <f t="shared" si="638"/>
        <v>31</v>
      </c>
      <c r="AB332" s="386">
        <f t="shared" si="639"/>
        <v>0</v>
      </c>
      <c r="AC332" s="265">
        <f>ROUND(((AB332/AA332-1)*100), 1)</f>
        <v>-100</v>
      </c>
      <c r="AD332" s="417">
        <v>94</v>
      </c>
      <c r="AE332" s="544">
        <v>21</v>
      </c>
      <c r="AF332" s="265">
        <f>ROUND(((AE332/AD332-1)*100), 1)</f>
        <v>-77.7</v>
      </c>
      <c r="AG332" s="417">
        <f t="shared" si="640"/>
        <v>8</v>
      </c>
      <c r="AH332" s="386">
        <f t="shared" si="640"/>
        <v>1</v>
      </c>
      <c r="AI332" s="265">
        <f>ROUND(((AH332/AG332-1)*100), 1)</f>
        <v>-87.5</v>
      </c>
      <c r="AJ332" s="417">
        <v>102</v>
      </c>
      <c r="AK332" s="544">
        <v>22</v>
      </c>
      <c r="AL332" s="265">
        <f>ROUND(((AK332/AJ332-1)*100), 1)</f>
        <v>-78.400000000000006</v>
      </c>
      <c r="AM332" s="722">
        <f t="shared" si="642"/>
        <v>0</v>
      </c>
      <c r="AN332" s="714">
        <f t="shared" si="643"/>
        <v>0</v>
      </c>
      <c r="AO332" s="737">
        <v>0</v>
      </c>
      <c r="AP332" s="770">
        <v>102</v>
      </c>
      <c r="AQ332" s="544">
        <v>22</v>
      </c>
      <c r="AR332" s="705">
        <f>ROUND(((AQ332/AP332-1)*100), 1)</f>
        <v>-78.400000000000006</v>
      </c>
      <c r="AS332" s="770">
        <f t="shared" si="645"/>
        <v>17</v>
      </c>
      <c r="AT332" s="714">
        <f t="shared" si="645"/>
        <v>0</v>
      </c>
      <c r="AU332" s="709">
        <f t="shared" ref="AU332" si="652">ROUND(((AT332/AS332-1)*100), 1)</f>
        <v>-100</v>
      </c>
      <c r="AV332" s="992">
        <v>119</v>
      </c>
      <c r="AW332" s="1018">
        <v>22</v>
      </c>
      <c r="AX332" s="705">
        <f t="shared" si="622"/>
        <v>-81.5</v>
      </c>
      <c r="AY332" s="770">
        <f t="shared" si="646"/>
        <v>12</v>
      </c>
      <c r="AZ332" s="714">
        <f t="shared" si="647"/>
        <v>1</v>
      </c>
      <c r="BA332" s="709">
        <f t="shared" ref="BA332:BA334" si="653">ROUND(((AZ332/AY332-1)*100), 1)</f>
        <v>-91.7</v>
      </c>
      <c r="BB332" s="770">
        <v>131</v>
      </c>
      <c r="BC332" s="544">
        <v>23</v>
      </c>
      <c r="BD332" s="705">
        <f t="shared" si="624"/>
        <v>-82.4</v>
      </c>
      <c r="BE332" s="770">
        <f t="shared" si="648"/>
        <v>13</v>
      </c>
      <c r="BF332" s="714">
        <f t="shared" si="648"/>
        <v>10</v>
      </c>
      <c r="BG332" s="709">
        <f t="shared" si="625"/>
        <v>-23.1</v>
      </c>
      <c r="BH332" s="770">
        <v>144</v>
      </c>
      <c r="BI332" s="544">
        <v>33</v>
      </c>
      <c r="BJ332" s="705">
        <f t="shared" si="626"/>
        <v>-77.099999999999994</v>
      </c>
      <c r="BK332" s="770">
        <f t="shared" si="649"/>
        <v>2</v>
      </c>
      <c r="BL332" s="714">
        <f t="shared" si="649"/>
        <v>0</v>
      </c>
      <c r="BM332" s="709">
        <f t="shared" si="627"/>
        <v>-100</v>
      </c>
      <c r="BN332" s="770">
        <v>146</v>
      </c>
      <c r="BO332" s="544">
        <v>33</v>
      </c>
      <c r="BP332" s="705">
        <f t="shared" si="628"/>
        <v>-77.400000000000006</v>
      </c>
      <c r="BQ332" s="770">
        <f t="shared" si="650"/>
        <v>4</v>
      </c>
      <c r="BR332" s="714">
        <f t="shared" si="650"/>
        <v>2</v>
      </c>
      <c r="BS332" s="709">
        <f t="shared" si="629"/>
        <v>-50</v>
      </c>
      <c r="BT332" s="770">
        <v>150</v>
      </c>
      <c r="BU332" s="544">
        <v>35</v>
      </c>
      <c r="BV332" s="705">
        <f t="shared" si="630"/>
        <v>-76.7</v>
      </c>
    </row>
    <row r="333" spans="1:74">
      <c r="A333" s="96"/>
      <c r="B333" s="4"/>
      <c r="C333" s="105" t="s">
        <v>125</v>
      </c>
      <c r="D333" s="98">
        <v>19</v>
      </c>
      <c r="E333" s="98">
        <v>104</v>
      </c>
      <c r="F333" s="98">
        <v>50</v>
      </c>
      <c r="G333" s="98">
        <v>5</v>
      </c>
      <c r="H333" s="98">
        <v>17</v>
      </c>
      <c r="I333" s="98">
        <v>74</v>
      </c>
      <c r="J333" s="98">
        <v>46</v>
      </c>
      <c r="K333" s="98">
        <v>113</v>
      </c>
      <c r="L333" s="417">
        <v>34</v>
      </c>
      <c r="M333" s="386">
        <v>0</v>
      </c>
      <c r="N333" s="265">
        <f t="shared" si="651"/>
        <v>-100</v>
      </c>
      <c r="O333" s="417">
        <f t="shared" si="631"/>
        <v>0</v>
      </c>
      <c r="P333" s="386">
        <f t="shared" si="631"/>
        <v>0</v>
      </c>
      <c r="Q333" s="523">
        <v>0</v>
      </c>
      <c r="R333" s="417">
        <v>34</v>
      </c>
      <c r="S333" s="386">
        <v>0</v>
      </c>
      <c r="T333" s="265">
        <f>ROUND(((S333/R333-1)*100), 1)</f>
        <v>-100</v>
      </c>
      <c r="U333" s="417">
        <f t="shared" si="634"/>
        <v>0</v>
      </c>
      <c r="V333" s="386">
        <f t="shared" si="635"/>
        <v>14</v>
      </c>
      <c r="W333" s="523">
        <v>0</v>
      </c>
      <c r="X333" s="417">
        <v>34</v>
      </c>
      <c r="Y333" s="386">
        <v>14</v>
      </c>
      <c r="Z333" s="265">
        <f>ROUND(((Y333/X333-1)*100), 1)</f>
        <v>-58.8</v>
      </c>
      <c r="AA333" s="417">
        <f t="shared" si="638"/>
        <v>26</v>
      </c>
      <c r="AB333" s="386">
        <f t="shared" si="639"/>
        <v>15</v>
      </c>
      <c r="AC333" s="265">
        <f t="shared" ref="AC333" si="654">ROUND(((AB333/AA333-1)*100), 1)</f>
        <v>-42.3</v>
      </c>
      <c r="AD333" s="417">
        <v>60</v>
      </c>
      <c r="AE333" s="544">
        <v>29</v>
      </c>
      <c r="AF333" s="265">
        <f>ROUND(((AE333/AD333-1)*100), 1)</f>
        <v>-51.7</v>
      </c>
      <c r="AG333" s="417">
        <f t="shared" si="640"/>
        <v>0</v>
      </c>
      <c r="AH333" s="386">
        <f t="shared" si="640"/>
        <v>30</v>
      </c>
      <c r="AI333" s="523">
        <v>0</v>
      </c>
      <c r="AJ333" s="417">
        <v>60</v>
      </c>
      <c r="AK333" s="544">
        <v>59</v>
      </c>
      <c r="AL333" s="265">
        <f>ROUND(((AK333/AJ333-1)*100), 1)</f>
        <v>-1.7</v>
      </c>
      <c r="AM333" s="722">
        <f t="shared" si="642"/>
        <v>8</v>
      </c>
      <c r="AN333" s="714">
        <f t="shared" si="643"/>
        <v>1</v>
      </c>
      <c r="AO333" s="705">
        <f>ROUND(((AN333/AM333-1)*100), 1)</f>
        <v>-87.5</v>
      </c>
      <c r="AP333" s="770">
        <v>68</v>
      </c>
      <c r="AQ333" s="544">
        <v>60</v>
      </c>
      <c r="AR333" s="705">
        <f>ROUND(((AQ333/AP333-1)*100), 1)</f>
        <v>-11.8</v>
      </c>
      <c r="AS333" s="770">
        <f t="shared" si="645"/>
        <v>0</v>
      </c>
      <c r="AT333" s="714">
        <f t="shared" si="645"/>
        <v>0</v>
      </c>
      <c r="AU333" s="751">
        <v>0</v>
      </c>
      <c r="AV333" s="992">
        <v>68</v>
      </c>
      <c r="AW333" s="1018">
        <v>60</v>
      </c>
      <c r="AX333" s="705">
        <f t="shared" si="622"/>
        <v>-11.8</v>
      </c>
      <c r="AY333" s="770">
        <f t="shared" si="646"/>
        <v>11</v>
      </c>
      <c r="AZ333" s="714">
        <f t="shared" si="647"/>
        <v>17</v>
      </c>
      <c r="BA333" s="709">
        <f t="shared" si="653"/>
        <v>54.5</v>
      </c>
      <c r="BB333" s="770">
        <v>79</v>
      </c>
      <c r="BC333" s="544">
        <v>77</v>
      </c>
      <c r="BD333" s="705">
        <f t="shared" si="624"/>
        <v>-2.5</v>
      </c>
      <c r="BE333" s="770">
        <f t="shared" si="648"/>
        <v>0</v>
      </c>
      <c r="BF333" s="714">
        <f t="shared" si="648"/>
        <v>0</v>
      </c>
      <c r="BG333" s="751">
        <v>0</v>
      </c>
      <c r="BH333" s="770">
        <v>79</v>
      </c>
      <c r="BI333" s="544">
        <v>77</v>
      </c>
      <c r="BJ333" s="705">
        <f t="shared" si="626"/>
        <v>-2.5</v>
      </c>
      <c r="BK333" s="770">
        <f t="shared" si="649"/>
        <v>12</v>
      </c>
      <c r="BL333" s="714">
        <f t="shared" si="649"/>
        <v>0</v>
      </c>
      <c r="BM333" s="753">
        <f>ROUND(((BL333/BK333-1)*100), 1)</f>
        <v>-100</v>
      </c>
      <c r="BN333" s="770">
        <v>91</v>
      </c>
      <c r="BO333" s="544">
        <v>77</v>
      </c>
      <c r="BP333" s="705">
        <f t="shared" si="628"/>
        <v>-15.4</v>
      </c>
      <c r="BQ333" s="770">
        <f t="shared" si="650"/>
        <v>9</v>
      </c>
      <c r="BR333" s="714">
        <f t="shared" si="650"/>
        <v>0</v>
      </c>
      <c r="BS333" s="753">
        <f>ROUND(((BR333/BQ333-1)*100), 1)</f>
        <v>-100</v>
      </c>
      <c r="BT333" s="770">
        <v>100</v>
      </c>
      <c r="BU333" s="544">
        <v>77</v>
      </c>
      <c r="BV333" s="705">
        <f t="shared" si="630"/>
        <v>-23</v>
      </c>
    </row>
    <row r="334" spans="1:74">
      <c r="A334" s="96"/>
      <c r="B334" s="4"/>
      <c r="C334" s="105" t="s">
        <v>122</v>
      </c>
      <c r="D334" s="98">
        <v>39</v>
      </c>
      <c r="E334" s="98">
        <v>36</v>
      </c>
      <c r="F334" s="98">
        <v>21</v>
      </c>
      <c r="G334" s="98">
        <v>17</v>
      </c>
      <c r="H334" s="98">
        <v>23</v>
      </c>
      <c r="I334" s="98">
        <v>246</v>
      </c>
      <c r="J334" s="98">
        <v>227</v>
      </c>
      <c r="K334" s="98">
        <v>88</v>
      </c>
      <c r="L334" s="417">
        <v>0</v>
      </c>
      <c r="M334" s="386">
        <v>8</v>
      </c>
      <c r="N334" s="179">
        <v>0</v>
      </c>
      <c r="O334" s="417">
        <f t="shared" si="631"/>
        <v>0</v>
      </c>
      <c r="P334" s="386">
        <f t="shared" si="631"/>
        <v>26</v>
      </c>
      <c r="Q334" s="179">
        <v>0</v>
      </c>
      <c r="R334" s="417">
        <v>0</v>
      </c>
      <c r="S334" s="386">
        <v>34</v>
      </c>
      <c r="T334" s="179">
        <v>0</v>
      </c>
      <c r="U334" s="417">
        <f t="shared" si="634"/>
        <v>1</v>
      </c>
      <c r="V334" s="386">
        <f t="shared" si="635"/>
        <v>0</v>
      </c>
      <c r="W334" s="265">
        <f t="shared" ref="W334" si="655">ROUND(((V334/U334-1)*100), 1)</f>
        <v>-100</v>
      </c>
      <c r="X334" s="417">
        <v>1</v>
      </c>
      <c r="Y334" s="386">
        <v>34</v>
      </c>
      <c r="Z334" s="265">
        <f t="shared" ref="Z334" si="656">ROUND(((Y334/X334-1)*100), 1)</f>
        <v>3300</v>
      </c>
      <c r="AA334" s="417">
        <f t="shared" si="638"/>
        <v>1</v>
      </c>
      <c r="AB334" s="386">
        <f t="shared" si="639"/>
        <v>1</v>
      </c>
      <c r="AC334" s="265">
        <f t="shared" ref="AC334" si="657">ROUND(((AB334/AA334-1)*100), 1)</f>
        <v>0</v>
      </c>
      <c r="AD334" s="417">
        <v>2</v>
      </c>
      <c r="AE334" s="544">
        <v>35</v>
      </c>
      <c r="AF334" s="265">
        <f t="shared" ref="AF334" si="658">ROUND(((AE334/AD334-1)*100), 1)</f>
        <v>1650</v>
      </c>
      <c r="AG334" s="417">
        <f t="shared" si="640"/>
        <v>0</v>
      </c>
      <c r="AH334" s="386">
        <f t="shared" si="640"/>
        <v>5</v>
      </c>
      <c r="AI334" s="523">
        <v>0</v>
      </c>
      <c r="AJ334" s="417">
        <v>2</v>
      </c>
      <c r="AK334" s="544">
        <v>40</v>
      </c>
      <c r="AL334" s="265">
        <f t="shared" ref="AL334" si="659">ROUND(((AK334/AJ334-1)*100), 1)</f>
        <v>1900</v>
      </c>
      <c r="AM334" s="722">
        <f t="shared" si="642"/>
        <v>0</v>
      </c>
      <c r="AN334" s="714">
        <f t="shared" si="643"/>
        <v>21</v>
      </c>
      <c r="AO334" s="695">
        <v>0</v>
      </c>
      <c r="AP334" s="770">
        <v>2</v>
      </c>
      <c r="AQ334" s="544">
        <v>61</v>
      </c>
      <c r="AR334" s="705">
        <f t="shared" ref="AR334" si="660">ROUND(((AQ334/AP334-1)*100), 1)</f>
        <v>2950</v>
      </c>
      <c r="AS334" s="770">
        <f t="shared" si="645"/>
        <v>0</v>
      </c>
      <c r="AT334" s="714">
        <f t="shared" si="645"/>
        <v>2</v>
      </c>
      <c r="AU334" s="751">
        <v>0</v>
      </c>
      <c r="AV334" s="992">
        <v>2</v>
      </c>
      <c r="AW334" s="1018">
        <v>63</v>
      </c>
      <c r="AX334" s="705">
        <f t="shared" si="622"/>
        <v>3050</v>
      </c>
      <c r="AY334" s="770">
        <f t="shared" si="646"/>
        <v>38</v>
      </c>
      <c r="AZ334" s="714">
        <f t="shared" si="647"/>
        <v>22</v>
      </c>
      <c r="BA334" s="709">
        <f t="shared" si="653"/>
        <v>-42.1</v>
      </c>
      <c r="BB334" s="770">
        <v>40</v>
      </c>
      <c r="BC334" s="544">
        <v>85</v>
      </c>
      <c r="BD334" s="705">
        <f t="shared" si="624"/>
        <v>112.5</v>
      </c>
      <c r="BE334" s="770">
        <f t="shared" si="648"/>
        <v>16</v>
      </c>
      <c r="BF334" s="714">
        <f t="shared" si="648"/>
        <v>3</v>
      </c>
      <c r="BG334" s="709">
        <f t="shared" si="625"/>
        <v>-81.3</v>
      </c>
      <c r="BH334" s="770">
        <v>56</v>
      </c>
      <c r="BI334" s="544">
        <v>88</v>
      </c>
      <c r="BJ334" s="705">
        <f t="shared" si="626"/>
        <v>57.1</v>
      </c>
      <c r="BK334" s="770">
        <f t="shared" si="649"/>
        <v>7</v>
      </c>
      <c r="BL334" s="714">
        <f t="shared" si="649"/>
        <v>85</v>
      </c>
      <c r="BM334" s="709">
        <f t="shared" ref="BM334" si="661">ROUND(((BL334/BK334-1)*100), 1)</f>
        <v>1114.3</v>
      </c>
      <c r="BN334" s="770">
        <v>63</v>
      </c>
      <c r="BO334" s="544">
        <v>173</v>
      </c>
      <c r="BP334" s="705">
        <f t="shared" si="628"/>
        <v>174.6</v>
      </c>
      <c r="BQ334" s="770">
        <f t="shared" si="650"/>
        <v>3</v>
      </c>
      <c r="BR334" s="714">
        <f t="shared" si="650"/>
        <v>12</v>
      </c>
      <c r="BS334" s="709">
        <f>ROUND(((BR334/BQ334-1)*100), 1)</f>
        <v>300</v>
      </c>
      <c r="BT334" s="770">
        <v>66</v>
      </c>
      <c r="BU334" s="544">
        <v>185</v>
      </c>
      <c r="BV334" s="705">
        <f t="shared" si="630"/>
        <v>180.3</v>
      </c>
    </row>
    <row r="335" spans="1:74">
      <c r="A335" s="96"/>
      <c r="B335" s="4"/>
      <c r="C335" s="105" t="s">
        <v>111</v>
      </c>
      <c r="D335" s="98">
        <v>151</v>
      </c>
      <c r="E335" s="98">
        <v>208</v>
      </c>
      <c r="F335" s="98">
        <v>247</v>
      </c>
      <c r="G335" s="98">
        <v>247</v>
      </c>
      <c r="H335" s="98">
        <v>203</v>
      </c>
      <c r="I335" s="98">
        <v>131</v>
      </c>
      <c r="J335" s="98">
        <v>73</v>
      </c>
      <c r="K335" s="98">
        <v>71</v>
      </c>
      <c r="L335" s="417">
        <v>6</v>
      </c>
      <c r="M335" s="386">
        <v>3</v>
      </c>
      <c r="N335" s="265">
        <f t="shared" si="651"/>
        <v>-50</v>
      </c>
      <c r="O335" s="417">
        <f t="shared" si="631"/>
        <v>7</v>
      </c>
      <c r="P335" s="386">
        <f t="shared" si="631"/>
        <v>8</v>
      </c>
      <c r="Q335" s="265">
        <f>ROUND(((P335/O335-1)*100), 1)</f>
        <v>14.3</v>
      </c>
      <c r="R335" s="417">
        <v>13</v>
      </c>
      <c r="S335" s="386">
        <v>11</v>
      </c>
      <c r="T335" s="265">
        <f>ROUND(((S335/R335-1)*100), 1)</f>
        <v>-15.4</v>
      </c>
      <c r="U335" s="417">
        <f t="shared" si="634"/>
        <v>6</v>
      </c>
      <c r="V335" s="386">
        <f t="shared" si="635"/>
        <v>9</v>
      </c>
      <c r="W335" s="265">
        <f>ROUND(((V335/U335-1)*100), 1)</f>
        <v>50</v>
      </c>
      <c r="X335" s="417">
        <v>19</v>
      </c>
      <c r="Y335" s="386">
        <v>20</v>
      </c>
      <c r="Z335" s="265">
        <f>ROUND(((Y335/X335-1)*100), 1)</f>
        <v>5.3</v>
      </c>
      <c r="AA335" s="417">
        <f t="shared" si="638"/>
        <v>3</v>
      </c>
      <c r="AB335" s="386">
        <f t="shared" si="639"/>
        <v>3</v>
      </c>
      <c r="AC335" s="265">
        <f>ROUND(((AB335/AA335-1)*100), 1)</f>
        <v>0</v>
      </c>
      <c r="AD335" s="417">
        <v>22</v>
      </c>
      <c r="AE335" s="544">
        <v>23</v>
      </c>
      <c r="AF335" s="265">
        <f>ROUND(((AE335/AD335-1)*100), 1)</f>
        <v>4.5</v>
      </c>
      <c r="AG335" s="417">
        <f t="shared" si="640"/>
        <v>7</v>
      </c>
      <c r="AH335" s="386">
        <f t="shared" si="640"/>
        <v>3</v>
      </c>
      <c r="AI335" s="265">
        <f>ROUND(((AH335/AG335-1)*100), 1)</f>
        <v>-57.1</v>
      </c>
      <c r="AJ335" s="417">
        <v>29</v>
      </c>
      <c r="AK335" s="544">
        <v>26</v>
      </c>
      <c r="AL335" s="265">
        <f>ROUND(((AK335/AJ335-1)*100), 1)</f>
        <v>-10.3</v>
      </c>
      <c r="AM335" s="722">
        <f t="shared" si="642"/>
        <v>5</v>
      </c>
      <c r="AN335" s="714">
        <f t="shared" si="643"/>
        <v>8</v>
      </c>
      <c r="AO335" s="705">
        <f>ROUND(((AN335/AM335-1)*100), 1)</f>
        <v>60</v>
      </c>
      <c r="AP335" s="770">
        <v>34</v>
      </c>
      <c r="AQ335" s="544">
        <v>34</v>
      </c>
      <c r="AR335" s="705">
        <f>ROUND(((AQ335/AP335-1)*100), 1)</f>
        <v>0</v>
      </c>
      <c r="AS335" s="770">
        <f t="shared" si="645"/>
        <v>6</v>
      </c>
      <c r="AT335" s="714">
        <f t="shared" si="645"/>
        <v>8</v>
      </c>
      <c r="AU335" s="705">
        <f>ROUND(((AT335/AS335-1)*100), 1)</f>
        <v>33.299999999999997</v>
      </c>
      <c r="AV335" s="992">
        <v>40</v>
      </c>
      <c r="AW335" s="1018">
        <v>42</v>
      </c>
      <c r="AX335" s="705">
        <f t="shared" si="622"/>
        <v>5</v>
      </c>
      <c r="AY335" s="770">
        <f t="shared" si="646"/>
        <v>7</v>
      </c>
      <c r="AZ335" s="714">
        <f t="shared" si="647"/>
        <v>10</v>
      </c>
      <c r="BA335" s="705">
        <f>ROUND(((AZ335/AY335-1)*100), 1)</f>
        <v>42.9</v>
      </c>
      <c r="BB335" s="770">
        <v>47</v>
      </c>
      <c r="BC335" s="544">
        <v>52</v>
      </c>
      <c r="BD335" s="705">
        <f t="shared" si="624"/>
        <v>10.6</v>
      </c>
      <c r="BE335" s="770">
        <f t="shared" si="648"/>
        <v>5</v>
      </c>
      <c r="BF335" s="714">
        <f t="shared" si="648"/>
        <v>3</v>
      </c>
      <c r="BG335" s="705">
        <f>ROUND(((BF335/BE335-1)*100), 1)</f>
        <v>-40</v>
      </c>
      <c r="BH335" s="770">
        <v>52</v>
      </c>
      <c r="BI335" s="544">
        <v>55</v>
      </c>
      <c r="BJ335" s="705">
        <f t="shared" si="626"/>
        <v>5.8</v>
      </c>
      <c r="BK335" s="770">
        <f t="shared" si="649"/>
        <v>4</v>
      </c>
      <c r="BL335" s="714">
        <f t="shared" si="649"/>
        <v>13</v>
      </c>
      <c r="BM335" s="705">
        <f>ROUND(((BL335/BK335-1)*100), 1)</f>
        <v>225</v>
      </c>
      <c r="BN335" s="770">
        <v>56</v>
      </c>
      <c r="BO335" s="544">
        <v>68</v>
      </c>
      <c r="BP335" s="705">
        <f t="shared" si="628"/>
        <v>21.4</v>
      </c>
      <c r="BQ335" s="770">
        <f t="shared" si="650"/>
        <v>8</v>
      </c>
      <c r="BR335" s="714">
        <f t="shared" si="650"/>
        <v>0</v>
      </c>
      <c r="BS335" s="705">
        <f>ROUND(((BR335/BQ335-1)*100), 1)</f>
        <v>-100</v>
      </c>
      <c r="BT335" s="770">
        <v>64</v>
      </c>
      <c r="BU335" s="544">
        <v>68</v>
      </c>
      <c r="BV335" s="705">
        <f t="shared" si="630"/>
        <v>6.3</v>
      </c>
    </row>
    <row r="336" spans="1:74">
      <c r="A336" s="96"/>
      <c r="B336" s="4"/>
      <c r="C336" s="105" t="s">
        <v>231</v>
      </c>
      <c r="D336" s="98">
        <v>10</v>
      </c>
      <c r="E336" s="98">
        <v>15</v>
      </c>
      <c r="F336" s="98">
        <v>2</v>
      </c>
      <c r="G336" s="98">
        <v>22</v>
      </c>
      <c r="H336" s="98">
        <v>6</v>
      </c>
      <c r="I336" s="98">
        <v>9</v>
      </c>
      <c r="J336" s="98">
        <v>0</v>
      </c>
      <c r="K336" s="98">
        <v>13</v>
      </c>
      <c r="L336" s="417">
        <v>0</v>
      </c>
      <c r="M336" s="386">
        <v>0</v>
      </c>
      <c r="N336" s="179">
        <v>0</v>
      </c>
      <c r="O336" s="417">
        <f t="shared" si="631"/>
        <v>0</v>
      </c>
      <c r="P336" s="386">
        <f t="shared" si="631"/>
        <v>0</v>
      </c>
      <c r="Q336" s="179">
        <v>0</v>
      </c>
      <c r="R336" s="417">
        <v>0</v>
      </c>
      <c r="S336" s="386">
        <v>0</v>
      </c>
      <c r="T336" s="179">
        <v>0</v>
      </c>
      <c r="U336" s="417">
        <f t="shared" si="634"/>
        <v>0</v>
      </c>
      <c r="V336" s="386">
        <f t="shared" si="635"/>
        <v>0</v>
      </c>
      <c r="W336" s="179">
        <v>0</v>
      </c>
      <c r="X336" s="417">
        <v>0</v>
      </c>
      <c r="Y336" s="386">
        <v>0</v>
      </c>
      <c r="Z336" s="179">
        <v>0</v>
      </c>
      <c r="AA336" s="417">
        <f t="shared" si="638"/>
        <v>0</v>
      </c>
      <c r="AB336" s="386">
        <f t="shared" si="639"/>
        <v>0</v>
      </c>
      <c r="AC336" s="523">
        <v>0</v>
      </c>
      <c r="AD336" s="417">
        <v>0</v>
      </c>
      <c r="AE336" s="544">
        <v>0</v>
      </c>
      <c r="AF336" s="523">
        <v>0</v>
      </c>
      <c r="AG336" s="417">
        <f t="shared" si="640"/>
        <v>1</v>
      </c>
      <c r="AH336" s="386">
        <f t="shared" si="640"/>
        <v>0</v>
      </c>
      <c r="AI336" s="265">
        <f>ROUND(((AH336/AG336-1)*100), 1)</f>
        <v>-100</v>
      </c>
      <c r="AJ336" s="417">
        <v>1</v>
      </c>
      <c r="AK336" s="544">
        <v>0</v>
      </c>
      <c r="AL336" s="265">
        <f>ROUND(((AK336/AJ336-1)*100), 1)</f>
        <v>-100</v>
      </c>
      <c r="AM336" s="722">
        <f t="shared" si="642"/>
        <v>1</v>
      </c>
      <c r="AN336" s="714">
        <f t="shared" si="643"/>
        <v>0</v>
      </c>
      <c r="AO336" s="705">
        <f>ROUND(((AN336/AM336-1)*100), 1)</f>
        <v>-100</v>
      </c>
      <c r="AP336" s="770">
        <v>2</v>
      </c>
      <c r="AQ336" s="544">
        <v>0</v>
      </c>
      <c r="AR336" s="705">
        <f>ROUND(((AQ336/AP336-1)*100), 1)</f>
        <v>-100</v>
      </c>
      <c r="AS336" s="770">
        <f t="shared" si="645"/>
        <v>1</v>
      </c>
      <c r="AT336" s="714">
        <f t="shared" si="645"/>
        <v>0</v>
      </c>
      <c r="AU336" s="705">
        <f>ROUND(((AT336/AS336-1)*100), 1)</f>
        <v>-100</v>
      </c>
      <c r="AV336" s="992">
        <v>3</v>
      </c>
      <c r="AW336" s="1018">
        <v>0</v>
      </c>
      <c r="AX336" s="705">
        <f t="shared" si="622"/>
        <v>-100</v>
      </c>
      <c r="AY336" s="770">
        <f t="shared" si="646"/>
        <v>1</v>
      </c>
      <c r="AZ336" s="714">
        <f t="shared" si="647"/>
        <v>0</v>
      </c>
      <c r="BA336" s="705">
        <f>ROUND(((AZ336/AY336-1)*100), 1)</f>
        <v>-100</v>
      </c>
      <c r="BB336" s="770">
        <v>4</v>
      </c>
      <c r="BC336" s="544">
        <v>0</v>
      </c>
      <c r="BD336" s="705">
        <f t="shared" si="624"/>
        <v>-100</v>
      </c>
      <c r="BE336" s="770">
        <f t="shared" si="648"/>
        <v>0</v>
      </c>
      <c r="BF336" s="714">
        <f t="shared" si="648"/>
        <v>0</v>
      </c>
      <c r="BG336" s="751">
        <v>0</v>
      </c>
      <c r="BH336" s="770">
        <v>4</v>
      </c>
      <c r="BI336" s="544">
        <v>0</v>
      </c>
      <c r="BJ336" s="705">
        <f t="shared" si="626"/>
        <v>-100</v>
      </c>
      <c r="BK336" s="770">
        <f t="shared" si="649"/>
        <v>4</v>
      </c>
      <c r="BL336" s="714">
        <f t="shared" si="649"/>
        <v>0</v>
      </c>
      <c r="BM336" s="753">
        <f>ROUND(((BL336/BK336-1)*100), 1)</f>
        <v>-100</v>
      </c>
      <c r="BN336" s="770">
        <v>8</v>
      </c>
      <c r="BO336" s="544">
        <v>0</v>
      </c>
      <c r="BP336" s="705">
        <f t="shared" si="628"/>
        <v>-100</v>
      </c>
      <c r="BQ336" s="770">
        <f t="shared" si="650"/>
        <v>0</v>
      </c>
      <c r="BR336" s="714">
        <f t="shared" si="650"/>
        <v>0</v>
      </c>
      <c r="BS336" s="751">
        <v>0</v>
      </c>
      <c r="BT336" s="770">
        <v>8</v>
      </c>
      <c r="BU336" s="544">
        <v>0</v>
      </c>
      <c r="BV336" s="705">
        <f t="shared" si="630"/>
        <v>-100</v>
      </c>
    </row>
    <row r="337" spans="1:74">
      <c r="A337" s="96"/>
      <c r="B337" s="4"/>
      <c r="C337" s="105" t="s">
        <v>101</v>
      </c>
      <c r="D337" s="98">
        <v>0</v>
      </c>
      <c r="E337" s="98">
        <v>0</v>
      </c>
      <c r="F337" s="98">
        <v>2</v>
      </c>
      <c r="G337" s="98">
        <v>3</v>
      </c>
      <c r="H337" s="98">
        <v>16</v>
      </c>
      <c r="I337" s="98">
        <v>2</v>
      </c>
      <c r="J337" s="98">
        <v>9</v>
      </c>
      <c r="K337" s="98">
        <v>4</v>
      </c>
      <c r="L337" s="417">
        <v>0</v>
      </c>
      <c r="M337" s="386">
        <v>0</v>
      </c>
      <c r="N337" s="179">
        <v>0</v>
      </c>
      <c r="O337" s="417">
        <f t="shared" si="631"/>
        <v>0</v>
      </c>
      <c r="P337" s="386">
        <f t="shared" si="631"/>
        <v>0</v>
      </c>
      <c r="Q337" s="179">
        <v>0</v>
      </c>
      <c r="R337" s="417">
        <v>0</v>
      </c>
      <c r="S337" s="386">
        <v>0</v>
      </c>
      <c r="T337" s="179">
        <v>0</v>
      </c>
      <c r="U337" s="417">
        <f t="shared" si="634"/>
        <v>1</v>
      </c>
      <c r="V337" s="386">
        <f t="shared" si="635"/>
        <v>0</v>
      </c>
      <c r="W337" s="265">
        <f t="shared" ref="W337" si="662">ROUND(((V337/U337-1)*100), 1)</f>
        <v>-100</v>
      </c>
      <c r="X337" s="417">
        <v>1</v>
      </c>
      <c r="Y337" s="386">
        <v>0</v>
      </c>
      <c r="Z337" s="265">
        <f t="shared" ref="Z337" si="663">ROUND(((Y337/X337-1)*100), 1)</f>
        <v>-100</v>
      </c>
      <c r="AA337" s="417">
        <f t="shared" si="638"/>
        <v>0</v>
      </c>
      <c r="AB337" s="386">
        <f t="shared" si="639"/>
        <v>1</v>
      </c>
      <c r="AC337" s="523">
        <v>0</v>
      </c>
      <c r="AD337" s="417">
        <v>1</v>
      </c>
      <c r="AE337" s="544">
        <v>1</v>
      </c>
      <c r="AF337" s="265">
        <f t="shared" ref="AF337" si="664">ROUND(((AE337/AD337-1)*100), 1)</f>
        <v>0</v>
      </c>
      <c r="AG337" s="417">
        <f t="shared" si="640"/>
        <v>1</v>
      </c>
      <c r="AH337" s="386">
        <f t="shared" si="640"/>
        <v>0</v>
      </c>
      <c r="AI337" s="265">
        <f t="shared" ref="AI337" si="665">ROUND(((AH337/AG337-1)*100), 1)</f>
        <v>-100</v>
      </c>
      <c r="AJ337" s="417">
        <v>2</v>
      </c>
      <c r="AK337" s="544">
        <v>1</v>
      </c>
      <c r="AL337" s="265">
        <f t="shared" ref="AL337" si="666">ROUND(((AK337/AJ337-1)*100), 1)</f>
        <v>-50</v>
      </c>
      <c r="AM337" s="722">
        <f t="shared" si="642"/>
        <v>0</v>
      </c>
      <c r="AN337" s="714">
        <f t="shared" si="643"/>
        <v>0</v>
      </c>
      <c r="AO337" s="737">
        <v>0</v>
      </c>
      <c r="AP337" s="770">
        <v>2</v>
      </c>
      <c r="AQ337" s="544">
        <v>1</v>
      </c>
      <c r="AR337" s="705">
        <f t="shared" ref="AR337" si="667">ROUND(((AQ337/AP337-1)*100), 1)</f>
        <v>-50</v>
      </c>
      <c r="AS337" s="770">
        <f t="shared" si="645"/>
        <v>0</v>
      </c>
      <c r="AT337" s="714">
        <f t="shared" si="645"/>
        <v>0</v>
      </c>
      <c r="AU337" s="737">
        <v>0</v>
      </c>
      <c r="AV337" s="992">
        <v>2</v>
      </c>
      <c r="AW337" s="1018">
        <v>1</v>
      </c>
      <c r="AX337" s="705">
        <f t="shared" si="622"/>
        <v>-50</v>
      </c>
      <c r="AY337" s="770">
        <f t="shared" si="646"/>
        <v>0</v>
      </c>
      <c r="AZ337" s="714">
        <f t="shared" si="647"/>
        <v>0</v>
      </c>
      <c r="BA337" s="737">
        <v>0</v>
      </c>
      <c r="BB337" s="770">
        <v>2</v>
      </c>
      <c r="BC337" s="544">
        <v>1</v>
      </c>
      <c r="BD337" s="705">
        <f t="shared" si="624"/>
        <v>-50</v>
      </c>
      <c r="BE337" s="770">
        <f t="shared" si="648"/>
        <v>1</v>
      </c>
      <c r="BF337" s="714">
        <f t="shared" si="648"/>
        <v>0</v>
      </c>
      <c r="BG337" s="705">
        <f t="shared" ref="BG337" si="668">ROUND(((BF337/BE337-1)*100), 1)</f>
        <v>-100</v>
      </c>
      <c r="BH337" s="770">
        <v>3</v>
      </c>
      <c r="BI337" s="544">
        <v>1</v>
      </c>
      <c r="BJ337" s="705">
        <f t="shared" si="626"/>
        <v>-66.7</v>
      </c>
      <c r="BK337" s="770">
        <f t="shared" si="649"/>
        <v>0</v>
      </c>
      <c r="BL337" s="714">
        <f t="shared" si="649"/>
        <v>0</v>
      </c>
      <c r="BM337" s="751">
        <v>0</v>
      </c>
      <c r="BN337" s="770">
        <v>3</v>
      </c>
      <c r="BO337" s="544">
        <v>1</v>
      </c>
      <c r="BP337" s="705">
        <f t="shared" si="628"/>
        <v>-66.7</v>
      </c>
      <c r="BQ337" s="770">
        <f t="shared" si="650"/>
        <v>0</v>
      </c>
      <c r="BR337" s="714">
        <f t="shared" si="650"/>
        <v>1</v>
      </c>
      <c r="BS337" s="751">
        <v>0</v>
      </c>
      <c r="BT337" s="770">
        <v>3</v>
      </c>
      <c r="BU337" s="544">
        <v>2</v>
      </c>
      <c r="BV337" s="705">
        <f t="shared" si="630"/>
        <v>-33.299999999999997</v>
      </c>
    </row>
    <row r="338" spans="1:74">
      <c r="A338" s="96"/>
      <c r="B338" s="4"/>
      <c r="C338" s="105" t="s">
        <v>243</v>
      </c>
      <c r="D338" s="98">
        <v>3</v>
      </c>
      <c r="E338" s="98">
        <v>4</v>
      </c>
      <c r="F338" s="98">
        <v>3</v>
      </c>
      <c r="G338" s="98">
        <v>4</v>
      </c>
      <c r="H338" s="98">
        <v>7</v>
      </c>
      <c r="I338" s="98">
        <v>3</v>
      </c>
      <c r="J338" s="98">
        <v>0</v>
      </c>
      <c r="K338" s="98">
        <v>0</v>
      </c>
      <c r="L338" s="417">
        <v>0</v>
      </c>
      <c r="M338" s="386">
        <v>0</v>
      </c>
      <c r="N338" s="179">
        <v>0</v>
      </c>
      <c r="O338" s="417">
        <f t="shared" si="631"/>
        <v>0</v>
      </c>
      <c r="P338" s="386">
        <f t="shared" si="631"/>
        <v>0</v>
      </c>
      <c r="Q338" s="179">
        <v>0</v>
      </c>
      <c r="R338" s="417">
        <v>0</v>
      </c>
      <c r="S338" s="386">
        <v>0</v>
      </c>
      <c r="T338" s="179">
        <v>0</v>
      </c>
      <c r="U338" s="417">
        <f t="shared" si="634"/>
        <v>0</v>
      </c>
      <c r="V338" s="386">
        <f t="shared" si="635"/>
        <v>0</v>
      </c>
      <c r="W338" s="179">
        <v>0</v>
      </c>
      <c r="X338" s="417">
        <v>0</v>
      </c>
      <c r="Y338" s="386">
        <v>0</v>
      </c>
      <c r="Z338" s="179">
        <v>0</v>
      </c>
      <c r="AA338" s="417">
        <f t="shared" si="638"/>
        <v>0</v>
      </c>
      <c r="AB338" s="386">
        <f t="shared" si="639"/>
        <v>0</v>
      </c>
      <c r="AC338" s="523">
        <v>0</v>
      </c>
      <c r="AD338" s="417">
        <v>0</v>
      </c>
      <c r="AE338" s="544">
        <v>0</v>
      </c>
      <c r="AF338" s="523">
        <v>0</v>
      </c>
      <c r="AG338" s="417">
        <f t="shared" si="640"/>
        <v>0</v>
      </c>
      <c r="AH338" s="386">
        <f t="shared" si="640"/>
        <v>0</v>
      </c>
      <c r="AI338" s="523">
        <v>0</v>
      </c>
      <c r="AJ338" s="417">
        <v>0</v>
      </c>
      <c r="AK338" s="544">
        <v>0</v>
      </c>
      <c r="AL338" s="523">
        <v>0</v>
      </c>
      <c r="AM338" s="722">
        <f t="shared" si="642"/>
        <v>0</v>
      </c>
      <c r="AN338" s="714">
        <f t="shared" si="643"/>
        <v>0</v>
      </c>
      <c r="AO338" s="695">
        <v>0</v>
      </c>
      <c r="AP338" s="770">
        <v>0</v>
      </c>
      <c r="AQ338" s="544">
        <v>0</v>
      </c>
      <c r="AR338" s="695">
        <v>0</v>
      </c>
      <c r="AS338" s="770">
        <f t="shared" si="645"/>
        <v>0</v>
      </c>
      <c r="AT338" s="714">
        <f t="shared" si="645"/>
        <v>0</v>
      </c>
      <c r="AU338" s="751">
        <v>0</v>
      </c>
      <c r="AV338" s="992">
        <v>0</v>
      </c>
      <c r="AW338" s="1018">
        <v>0</v>
      </c>
      <c r="AX338" s="751">
        <v>0</v>
      </c>
      <c r="AY338" s="770">
        <f t="shared" si="646"/>
        <v>0</v>
      </c>
      <c r="AZ338" s="714">
        <f t="shared" si="647"/>
        <v>0</v>
      </c>
      <c r="BA338" s="751">
        <v>0</v>
      </c>
      <c r="BB338" s="770">
        <v>0</v>
      </c>
      <c r="BC338" s="544">
        <v>0</v>
      </c>
      <c r="BD338" s="751">
        <v>0</v>
      </c>
      <c r="BE338" s="770">
        <f t="shared" si="648"/>
        <v>0</v>
      </c>
      <c r="BF338" s="714">
        <f t="shared" si="648"/>
        <v>0</v>
      </c>
      <c r="BG338" s="751">
        <v>0</v>
      </c>
      <c r="BH338" s="770">
        <v>0</v>
      </c>
      <c r="BI338" s="544">
        <v>0</v>
      </c>
      <c r="BJ338" s="751">
        <v>0</v>
      </c>
      <c r="BK338" s="770">
        <f t="shared" si="649"/>
        <v>0</v>
      </c>
      <c r="BL338" s="714">
        <f t="shared" si="649"/>
        <v>0</v>
      </c>
      <c r="BM338" s="751">
        <v>0</v>
      </c>
      <c r="BN338" s="770">
        <v>0</v>
      </c>
      <c r="BO338" s="544">
        <v>0</v>
      </c>
      <c r="BP338" s="751">
        <v>0</v>
      </c>
      <c r="BQ338" s="770">
        <f t="shared" si="650"/>
        <v>0</v>
      </c>
      <c r="BR338" s="714">
        <f t="shared" si="650"/>
        <v>0</v>
      </c>
      <c r="BS338" s="751">
        <v>0</v>
      </c>
      <c r="BT338" s="770">
        <v>0</v>
      </c>
      <c r="BU338" s="544">
        <v>0</v>
      </c>
      <c r="BV338" s="751">
        <v>0</v>
      </c>
    </row>
    <row r="339" spans="1:74">
      <c r="A339" s="96"/>
      <c r="B339" s="4"/>
      <c r="C339" s="105" t="s">
        <v>244</v>
      </c>
      <c r="D339" s="98">
        <v>45</v>
      </c>
      <c r="E339" s="98">
        <v>4</v>
      </c>
      <c r="F339" s="98">
        <v>14</v>
      </c>
      <c r="G339" s="98">
        <v>79</v>
      </c>
      <c r="H339" s="98">
        <v>33</v>
      </c>
      <c r="I339" s="98">
        <v>0</v>
      </c>
      <c r="J339" s="98">
        <v>0</v>
      </c>
      <c r="K339" s="98">
        <v>0</v>
      </c>
      <c r="L339" s="417">
        <v>0</v>
      </c>
      <c r="M339" s="386">
        <v>0</v>
      </c>
      <c r="N339" s="179">
        <v>0</v>
      </c>
      <c r="O339" s="417">
        <f t="shared" si="631"/>
        <v>0</v>
      </c>
      <c r="P339" s="386">
        <f t="shared" si="631"/>
        <v>0</v>
      </c>
      <c r="Q339" s="179">
        <v>0</v>
      </c>
      <c r="R339" s="417">
        <v>0</v>
      </c>
      <c r="S339" s="386">
        <v>0</v>
      </c>
      <c r="T339" s="179">
        <v>0</v>
      </c>
      <c r="U339" s="417">
        <f t="shared" si="634"/>
        <v>0</v>
      </c>
      <c r="V339" s="386">
        <f t="shared" si="635"/>
        <v>0</v>
      </c>
      <c r="W339" s="179">
        <v>0</v>
      </c>
      <c r="X339" s="417">
        <v>0</v>
      </c>
      <c r="Y339" s="386">
        <v>0</v>
      </c>
      <c r="Z339" s="179">
        <v>0</v>
      </c>
      <c r="AA339" s="417">
        <f t="shared" si="638"/>
        <v>0</v>
      </c>
      <c r="AB339" s="386">
        <f t="shared" si="639"/>
        <v>0</v>
      </c>
      <c r="AC339" s="523">
        <v>0</v>
      </c>
      <c r="AD339" s="417">
        <v>0</v>
      </c>
      <c r="AE339" s="544">
        <v>0</v>
      </c>
      <c r="AF339" s="523">
        <v>0</v>
      </c>
      <c r="AG339" s="417">
        <f t="shared" si="640"/>
        <v>0</v>
      </c>
      <c r="AH339" s="386">
        <f t="shared" si="640"/>
        <v>0</v>
      </c>
      <c r="AI339" s="523">
        <v>0</v>
      </c>
      <c r="AJ339" s="417">
        <v>0</v>
      </c>
      <c r="AK339" s="544">
        <v>0</v>
      </c>
      <c r="AL339" s="523">
        <v>0</v>
      </c>
      <c r="AM339" s="722">
        <f t="shared" si="642"/>
        <v>0</v>
      </c>
      <c r="AN339" s="714">
        <f t="shared" si="643"/>
        <v>0</v>
      </c>
      <c r="AO339" s="695">
        <v>0</v>
      </c>
      <c r="AP339" s="770">
        <v>0</v>
      </c>
      <c r="AQ339" s="544">
        <v>0</v>
      </c>
      <c r="AR339" s="695">
        <v>0</v>
      </c>
      <c r="AS339" s="770">
        <f t="shared" si="645"/>
        <v>0</v>
      </c>
      <c r="AT339" s="714">
        <f t="shared" si="645"/>
        <v>0</v>
      </c>
      <c r="AU339" s="751">
        <v>0</v>
      </c>
      <c r="AV339" s="992">
        <v>0</v>
      </c>
      <c r="AW339" s="1018">
        <v>0</v>
      </c>
      <c r="AX339" s="751">
        <v>0</v>
      </c>
      <c r="AY339" s="770">
        <f t="shared" si="646"/>
        <v>0</v>
      </c>
      <c r="AZ339" s="714">
        <f t="shared" si="647"/>
        <v>0</v>
      </c>
      <c r="BA339" s="751">
        <v>0</v>
      </c>
      <c r="BB339" s="770">
        <v>0</v>
      </c>
      <c r="BC339" s="544">
        <v>0</v>
      </c>
      <c r="BD339" s="751">
        <v>0</v>
      </c>
      <c r="BE339" s="770">
        <f t="shared" si="648"/>
        <v>0</v>
      </c>
      <c r="BF339" s="714">
        <f t="shared" si="648"/>
        <v>0</v>
      </c>
      <c r="BG339" s="751">
        <v>0</v>
      </c>
      <c r="BH339" s="770">
        <v>0</v>
      </c>
      <c r="BI339" s="544">
        <v>0</v>
      </c>
      <c r="BJ339" s="751">
        <v>0</v>
      </c>
      <c r="BK339" s="770">
        <f t="shared" si="649"/>
        <v>0</v>
      </c>
      <c r="BL339" s="714">
        <f t="shared" si="649"/>
        <v>1</v>
      </c>
      <c r="BM339" s="751">
        <v>0</v>
      </c>
      <c r="BN339" s="770">
        <v>0</v>
      </c>
      <c r="BO339" s="544">
        <v>1</v>
      </c>
      <c r="BP339" s="751">
        <v>0</v>
      </c>
      <c r="BQ339" s="770">
        <f t="shared" si="650"/>
        <v>0</v>
      </c>
      <c r="BR339" s="714">
        <f t="shared" si="650"/>
        <v>0</v>
      </c>
      <c r="BS339" s="751">
        <v>0</v>
      </c>
      <c r="BT339" s="770">
        <v>0</v>
      </c>
      <c r="BU339" s="544">
        <v>1</v>
      </c>
      <c r="BV339" s="751">
        <v>0</v>
      </c>
    </row>
    <row r="340" spans="1:74">
      <c r="A340" s="96"/>
      <c r="B340" s="4"/>
      <c r="C340" s="105" t="s">
        <v>139</v>
      </c>
      <c r="D340" s="98">
        <v>51</v>
      </c>
      <c r="E340" s="98">
        <v>30</v>
      </c>
      <c r="F340" s="98">
        <v>30</v>
      </c>
      <c r="G340" s="98">
        <v>5</v>
      </c>
      <c r="H340" s="98">
        <v>4</v>
      </c>
      <c r="I340" s="98">
        <v>0</v>
      </c>
      <c r="J340" s="98">
        <v>0</v>
      </c>
      <c r="K340" s="98">
        <v>0</v>
      </c>
      <c r="L340" s="417">
        <v>0</v>
      </c>
      <c r="M340" s="386">
        <v>0</v>
      </c>
      <c r="N340" s="179">
        <v>0</v>
      </c>
      <c r="O340" s="417">
        <f t="shared" si="631"/>
        <v>0</v>
      </c>
      <c r="P340" s="386">
        <f t="shared" si="631"/>
        <v>0</v>
      </c>
      <c r="Q340" s="179">
        <v>0</v>
      </c>
      <c r="R340" s="417">
        <v>0</v>
      </c>
      <c r="S340" s="386">
        <v>0</v>
      </c>
      <c r="T340" s="179">
        <v>0</v>
      </c>
      <c r="U340" s="417">
        <f t="shared" si="634"/>
        <v>0</v>
      </c>
      <c r="V340" s="386">
        <f t="shared" si="635"/>
        <v>0</v>
      </c>
      <c r="W340" s="179">
        <v>0</v>
      </c>
      <c r="X340" s="417">
        <v>0</v>
      </c>
      <c r="Y340" s="386">
        <v>0</v>
      </c>
      <c r="Z340" s="179">
        <v>0</v>
      </c>
      <c r="AA340" s="417">
        <f t="shared" si="638"/>
        <v>0</v>
      </c>
      <c r="AB340" s="386">
        <f t="shared" si="639"/>
        <v>0</v>
      </c>
      <c r="AC340" s="523">
        <v>0</v>
      </c>
      <c r="AD340" s="417">
        <v>0</v>
      </c>
      <c r="AE340" s="544">
        <v>0</v>
      </c>
      <c r="AF340" s="523">
        <v>0</v>
      </c>
      <c r="AG340" s="417">
        <f t="shared" si="640"/>
        <v>0</v>
      </c>
      <c r="AH340" s="386">
        <f t="shared" si="640"/>
        <v>0</v>
      </c>
      <c r="AI340" s="523">
        <v>0</v>
      </c>
      <c r="AJ340" s="417">
        <v>0</v>
      </c>
      <c r="AK340" s="544">
        <v>0</v>
      </c>
      <c r="AL340" s="523">
        <v>0</v>
      </c>
      <c r="AM340" s="722">
        <f t="shared" si="642"/>
        <v>0</v>
      </c>
      <c r="AN340" s="714">
        <f t="shared" si="643"/>
        <v>0</v>
      </c>
      <c r="AO340" s="695">
        <v>0</v>
      </c>
      <c r="AP340" s="770">
        <v>0</v>
      </c>
      <c r="AQ340" s="544">
        <v>0</v>
      </c>
      <c r="AR340" s="695">
        <v>0</v>
      </c>
      <c r="AS340" s="770">
        <f t="shared" si="645"/>
        <v>0</v>
      </c>
      <c r="AT340" s="714">
        <f t="shared" si="645"/>
        <v>0</v>
      </c>
      <c r="AU340" s="751">
        <v>0</v>
      </c>
      <c r="AV340" s="992">
        <v>0</v>
      </c>
      <c r="AW340" s="1018">
        <v>0</v>
      </c>
      <c r="AX340" s="751">
        <v>0</v>
      </c>
      <c r="AY340" s="770">
        <f t="shared" si="646"/>
        <v>0</v>
      </c>
      <c r="AZ340" s="714">
        <f t="shared" si="647"/>
        <v>0</v>
      </c>
      <c r="BA340" s="751">
        <v>0</v>
      </c>
      <c r="BB340" s="770">
        <v>0</v>
      </c>
      <c r="BC340" s="544">
        <v>0</v>
      </c>
      <c r="BD340" s="751">
        <v>0</v>
      </c>
      <c r="BE340" s="770">
        <f t="shared" si="648"/>
        <v>0</v>
      </c>
      <c r="BF340" s="714">
        <f t="shared" si="648"/>
        <v>0</v>
      </c>
      <c r="BG340" s="751">
        <v>0</v>
      </c>
      <c r="BH340" s="770">
        <v>0</v>
      </c>
      <c r="BI340" s="544">
        <v>0</v>
      </c>
      <c r="BJ340" s="751">
        <v>0</v>
      </c>
      <c r="BK340" s="770">
        <f t="shared" si="649"/>
        <v>0</v>
      </c>
      <c r="BL340" s="714">
        <f t="shared" si="649"/>
        <v>0</v>
      </c>
      <c r="BM340" s="751">
        <v>0</v>
      </c>
      <c r="BN340" s="770">
        <v>0</v>
      </c>
      <c r="BO340" s="544">
        <v>0</v>
      </c>
      <c r="BP340" s="751">
        <v>0</v>
      </c>
      <c r="BQ340" s="770">
        <f t="shared" si="650"/>
        <v>0</v>
      </c>
      <c r="BR340" s="714">
        <f t="shared" si="650"/>
        <v>0</v>
      </c>
      <c r="BS340" s="751">
        <v>0</v>
      </c>
      <c r="BT340" s="770">
        <v>0</v>
      </c>
      <c r="BU340" s="544">
        <v>0</v>
      </c>
      <c r="BV340" s="751">
        <v>0</v>
      </c>
    </row>
    <row r="341" spans="1:74">
      <c r="A341" s="96"/>
      <c r="B341" s="4"/>
      <c r="C341" s="105" t="s">
        <v>105</v>
      </c>
      <c r="D341" s="98">
        <v>0</v>
      </c>
      <c r="E341" s="98">
        <v>0</v>
      </c>
      <c r="F341" s="98">
        <v>18</v>
      </c>
      <c r="G341" s="98">
        <v>0</v>
      </c>
      <c r="H341" s="98">
        <v>2</v>
      </c>
      <c r="I341" s="98">
        <v>0</v>
      </c>
      <c r="J341" s="98">
        <v>0</v>
      </c>
      <c r="K341" s="98">
        <v>0</v>
      </c>
      <c r="L341" s="417">
        <v>0</v>
      </c>
      <c r="M341" s="386">
        <v>0</v>
      </c>
      <c r="N341" s="179">
        <v>0</v>
      </c>
      <c r="O341" s="417">
        <f t="shared" si="631"/>
        <v>0</v>
      </c>
      <c r="P341" s="386">
        <f t="shared" si="631"/>
        <v>0</v>
      </c>
      <c r="Q341" s="179">
        <v>0</v>
      </c>
      <c r="R341" s="417">
        <v>0</v>
      </c>
      <c r="S341" s="386">
        <v>0</v>
      </c>
      <c r="T341" s="179">
        <v>0</v>
      </c>
      <c r="U341" s="417">
        <f t="shared" si="634"/>
        <v>0</v>
      </c>
      <c r="V341" s="386">
        <f t="shared" si="635"/>
        <v>0</v>
      </c>
      <c r="W341" s="179">
        <v>0</v>
      </c>
      <c r="X341" s="417">
        <v>0</v>
      </c>
      <c r="Y341" s="386">
        <v>0</v>
      </c>
      <c r="Z341" s="179">
        <v>0</v>
      </c>
      <c r="AA341" s="417">
        <f t="shared" si="638"/>
        <v>0</v>
      </c>
      <c r="AB341" s="386">
        <f t="shared" si="639"/>
        <v>0</v>
      </c>
      <c r="AC341" s="523">
        <v>0</v>
      </c>
      <c r="AD341" s="417">
        <v>0</v>
      </c>
      <c r="AE341" s="544">
        <v>0</v>
      </c>
      <c r="AF341" s="523">
        <v>0</v>
      </c>
      <c r="AG341" s="417">
        <f t="shared" si="640"/>
        <v>0</v>
      </c>
      <c r="AH341" s="386">
        <f t="shared" si="640"/>
        <v>0</v>
      </c>
      <c r="AI341" s="523">
        <v>0</v>
      </c>
      <c r="AJ341" s="417">
        <v>0</v>
      </c>
      <c r="AK341" s="544">
        <v>0</v>
      </c>
      <c r="AL341" s="523">
        <v>0</v>
      </c>
      <c r="AM341" s="722">
        <f t="shared" si="642"/>
        <v>0</v>
      </c>
      <c r="AN341" s="714">
        <f t="shared" si="643"/>
        <v>0</v>
      </c>
      <c r="AO341" s="695">
        <v>0</v>
      </c>
      <c r="AP341" s="770">
        <v>0</v>
      </c>
      <c r="AQ341" s="544">
        <v>0</v>
      </c>
      <c r="AR341" s="695">
        <v>0</v>
      </c>
      <c r="AS341" s="770">
        <f t="shared" si="645"/>
        <v>0</v>
      </c>
      <c r="AT341" s="714">
        <f t="shared" si="645"/>
        <v>0</v>
      </c>
      <c r="AU341" s="751">
        <v>0</v>
      </c>
      <c r="AV341" s="992">
        <v>0</v>
      </c>
      <c r="AW341" s="1018">
        <v>0</v>
      </c>
      <c r="AX341" s="751">
        <v>0</v>
      </c>
      <c r="AY341" s="770">
        <f t="shared" si="646"/>
        <v>0</v>
      </c>
      <c r="AZ341" s="714">
        <f t="shared" si="647"/>
        <v>0</v>
      </c>
      <c r="BA341" s="751">
        <v>0</v>
      </c>
      <c r="BB341" s="770">
        <v>0</v>
      </c>
      <c r="BC341" s="544">
        <v>0</v>
      </c>
      <c r="BD341" s="751">
        <v>0</v>
      </c>
      <c r="BE341" s="770">
        <f t="shared" si="648"/>
        <v>0</v>
      </c>
      <c r="BF341" s="714">
        <f t="shared" si="648"/>
        <v>0</v>
      </c>
      <c r="BG341" s="751">
        <v>0</v>
      </c>
      <c r="BH341" s="770">
        <v>0</v>
      </c>
      <c r="BI341" s="544">
        <v>0</v>
      </c>
      <c r="BJ341" s="751">
        <v>0</v>
      </c>
      <c r="BK341" s="770">
        <f t="shared" si="649"/>
        <v>0</v>
      </c>
      <c r="BL341" s="714">
        <f t="shared" si="649"/>
        <v>0</v>
      </c>
      <c r="BM341" s="751">
        <v>0</v>
      </c>
      <c r="BN341" s="770">
        <v>0</v>
      </c>
      <c r="BO341" s="544">
        <v>0</v>
      </c>
      <c r="BP341" s="751">
        <v>0</v>
      </c>
      <c r="BQ341" s="770">
        <f t="shared" si="650"/>
        <v>0</v>
      </c>
      <c r="BR341" s="714">
        <f t="shared" si="650"/>
        <v>0</v>
      </c>
      <c r="BS341" s="751">
        <v>0</v>
      </c>
      <c r="BT341" s="770">
        <v>0</v>
      </c>
      <c r="BU341" s="544">
        <v>0</v>
      </c>
      <c r="BV341" s="751">
        <v>0</v>
      </c>
    </row>
    <row r="342" spans="1:74">
      <c r="A342" s="96"/>
      <c r="B342" s="4"/>
      <c r="C342" s="105" t="s">
        <v>82</v>
      </c>
      <c r="D342" s="98">
        <f t="shared" ref="D342:I342" si="669">D343-SUM(D324:D341)</f>
        <v>78</v>
      </c>
      <c r="E342" s="98">
        <f t="shared" si="669"/>
        <v>102</v>
      </c>
      <c r="F342" s="98">
        <f t="shared" si="669"/>
        <v>334</v>
      </c>
      <c r="G342" s="98">
        <f t="shared" si="669"/>
        <v>387</v>
      </c>
      <c r="H342" s="98">
        <f>H343-SUM(H324:H341)</f>
        <v>2</v>
      </c>
      <c r="I342" s="98">
        <f t="shared" si="669"/>
        <v>10</v>
      </c>
      <c r="J342" s="98">
        <f>J343-SUM(J324:J341)</f>
        <v>44</v>
      </c>
      <c r="K342" s="98">
        <f>K343-SUM(K324:K341)</f>
        <v>69</v>
      </c>
      <c r="L342" s="417">
        <f>L343-SUM(L324:L341)</f>
        <v>5</v>
      </c>
      <c r="M342" s="386">
        <f>M343-SUM(M324:M341)</f>
        <v>3</v>
      </c>
      <c r="N342" s="265">
        <f>ROUND(((M342/L342-1)*100), 1)</f>
        <v>-40</v>
      </c>
      <c r="O342" s="417">
        <f>O343-SUM(O324:O341)</f>
        <v>6</v>
      </c>
      <c r="P342" s="386">
        <f>P343-SUM(P324:P341)</f>
        <v>1</v>
      </c>
      <c r="Q342" s="265">
        <f>ROUND(((P342/O342-1)*100), 1)</f>
        <v>-83.3</v>
      </c>
      <c r="R342" s="417">
        <f>R343-SUM(R324:R341)</f>
        <v>11</v>
      </c>
      <c r="S342" s="386">
        <f>S343-SUM(S324:S341)</f>
        <v>4</v>
      </c>
      <c r="T342" s="265">
        <f>ROUND(((S342/R342-1)*100), 1)</f>
        <v>-63.6</v>
      </c>
      <c r="U342" s="417">
        <f>U343-SUM(U324:U341)</f>
        <v>12</v>
      </c>
      <c r="V342" s="386">
        <f>V343-SUM(V324:V341)</f>
        <v>1</v>
      </c>
      <c r="W342" s="265">
        <f>ROUND(((V342/U342-1)*100), 1)</f>
        <v>-91.7</v>
      </c>
      <c r="X342" s="417">
        <f>X343-SUM(X324:X341)</f>
        <v>23</v>
      </c>
      <c r="Y342" s="386">
        <f>Y343-SUM(Y324:Y341)</f>
        <v>5</v>
      </c>
      <c r="Z342" s="265">
        <f>ROUND(((Y342/X342-1)*100), 1)</f>
        <v>-78.3</v>
      </c>
      <c r="AA342" s="417">
        <f>AA343-SUM(AA324:AA341)</f>
        <v>0</v>
      </c>
      <c r="AB342" s="386">
        <f>AB343-SUM(AB324:AB341)</f>
        <v>1</v>
      </c>
      <c r="AC342" s="525">
        <v>0</v>
      </c>
      <c r="AD342" s="417">
        <f>AD343-SUM(AD324:AD341)</f>
        <v>23</v>
      </c>
      <c r="AE342" s="544">
        <f>AE343-SUM(AE324:AE341)</f>
        <v>6</v>
      </c>
      <c r="AF342" s="265">
        <f>ROUND(((AE342/AD342-1)*100), 1)</f>
        <v>-73.900000000000006</v>
      </c>
      <c r="AG342" s="417">
        <f>AG343-SUM(AG324:AG341)</f>
        <v>1</v>
      </c>
      <c r="AH342" s="386">
        <f>AH343-SUM(AH324:AH341)</f>
        <v>1</v>
      </c>
      <c r="AI342" s="265">
        <f>ROUND(((AH342/AG342-1)*100), 1)</f>
        <v>0</v>
      </c>
      <c r="AJ342" s="417">
        <f>AJ343-SUM(AJ324:AJ341)</f>
        <v>24</v>
      </c>
      <c r="AK342" s="544">
        <f>AK343-SUM(AK324:AK341)</f>
        <v>7</v>
      </c>
      <c r="AL342" s="265">
        <f>ROUND(((AK342/AJ342-1)*100), 1)</f>
        <v>-70.8</v>
      </c>
      <c r="AM342" s="722">
        <f>AM343-SUM(AM324:AM341)</f>
        <v>3</v>
      </c>
      <c r="AN342" s="714">
        <f>AN343-SUM(AN324:AN341)</f>
        <v>2</v>
      </c>
      <c r="AO342" s="705">
        <f>ROUND(((AN342/AM342-1)*100), 1)</f>
        <v>-33.299999999999997</v>
      </c>
      <c r="AP342" s="770">
        <f>AP343-SUM(AP324:AP341)</f>
        <v>27</v>
      </c>
      <c r="AQ342" s="544">
        <f>AQ343-SUM(AQ324:AQ341)</f>
        <v>9</v>
      </c>
      <c r="AR342" s="705">
        <f>ROUND(((AQ342/AP342-1)*100), 1)</f>
        <v>-66.7</v>
      </c>
      <c r="AS342" s="770">
        <f>AS343-SUM(AS324:AS341)</f>
        <v>6</v>
      </c>
      <c r="AT342" s="714">
        <f>AT343-SUM(AT324:AT341)</f>
        <v>10</v>
      </c>
      <c r="AU342" s="705">
        <f>ROUND(((AT342/AS342-1)*100), 1)</f>
        <v>66.7</v>
      </c>
      <c r="AV342" s="992">
        <f>AV343-SUM(AV324:AV341)</f>
        <v>33</v>
      </c>
      <c r="AW342" s="1018">
        <f>AW343-SUM(AW324:AW341)</f>
        <v>19</v>
      </c>
      <c r="AX342" s="705">
        <f>ROUND(((AW342/AV342-1)*100), 1)</f>
        <v>-42.4</v>
      </c>
      <c r="AY342" s="770">
        <f>AY343-SUM(AY324:AY341)</f>
        <v>31</v>
      </c>
      <c r="AZ342" s="714">
        <f>AZ343-SUM(AZ324:AZ341)</f>
        <v>1</v>
      </c>
      <c r="BA342" s="705">
        <f>ROUND(((AZ342/AY342-1)*100), 1)</f>
        <v>-96.8</v>
      </c>
      <c r="BB342" s="770">
        <f>BB343-SUM(BB324:BB341)</f>
        <v>64</v>
      </c>
      <c r="BC342" s="544">
        <f>BC343-SUM(BC324:BC341)</f>
        <v>20</v>
      </c>
      <c r="BD342" s="705">
        <f>ROUND(((BC342/BB342-1)*100), 1)</f>
        <v>-68.8</v>
      </c>
      <c r="BE342" s="770">
        <f>BE343-SUM(BE324:BE341)</f>
        <v>1</v>
      </c>
      <c r="BF342" s="714">
        <f>BF343-SUM(BF324:BF341)</f>
        <v>1</v>
      </c>
      <c r="BG342" s="705">
        <f>ROUND(((BF342/BE342-1)*100), 1)</f>
        <v>0</v>
      </c>
      <c r="BH342" s="770">
        <f>BH343-SUM(BH324:BH341)</f>
        <v>65</v>
      </c>
      <c r="BI342" s="544">
        <f>BI343-SUM(BI324:BI341)</f>
        <v>21</v>
      </c>
      <c r="BJ342" s="705">
        <f>ROUND(((BI342/BH342-1)*100), 1)</f>
        <v>-67.7</v>
      </c>
      <c r="BK342" s="770">
        <f>BK343-SUM(BK324:BK341)</f>
        <v>1</v>
      </c>
      <c r="BL342" s="714">
        <f>BL343-SUM(BL324:BL341)</f>
        <v>22</v>
      </c>
      <c r="BM342" s="705">
        <f>ROUND(((BL342/BK342-1)*100), 1)</f>
        <v>2100</v>
      </c>
      <c r="BN342" s="770">
        <f>BN343-SUM(BN324:BN341)</f>
        <v>66</v>
      </c>
      <c r="BO342" s="544">
        <f>BO343-SUM(BO324:BO341)</f>
        <v>43</v>
      </c>
      <c r="BP342" s="705">
        <f>ROUND(((BO342/BN342-1)*100), 1)</f>
        <v>-34.799999999999997</v>
      </c>
      <c r="BQ342" s="770">
        <f>BQ343-SUM(BQ324:BQ341)</f>
        <v>3</v>
      </c>
      <c r="BR342" s="714">
        <f>BR343-SUM(BR324:BR341)</f>
        <v>0</v>
      </c>
      <c r="BS342" s="705">
        <f>ROUND(((BR342/BQ342-1)*100), 1)</f>
        <v>-100</v>
      </c>
      <c r="BT342" s="770">
        <f>BT343-SUM(BT324:BT341)</f>
        <v>69</v>
      </c>
      <c r="BU342" s="544">
        <f>BU343-SUM(BU324:BU341)</f>
        <v>43</v>
      </c>
      <c r="BV342" s="705">
        <f>ROUND(((BU342/BT342-1)*100), 1)</f>
        <v>-37.700000000000003</v>
      </c>
    </row>
    <row r="343" spans="1:74">
      <c r="A343" s="96"/>
      <c r="B343" s="9"/>
      <c r="C343" s="45" t="s">
        <v>230</v>
      </c>
      <c r="D343" s="99">
        <v>5507</v>
      </c>
      <c r="E343" s="99">
        <v>5335</v>
      </c>
      <c r="F343" s="99">
        <v>6213</v>
      </c>
      <c r="G343" s="99">
        <v>5521</v>
      </c>
      <c r="H343" s="99">
        <v>5286</v>
      </c>
      <c r="I343" s="99">
        <v>6029</v>
      </c>
      <c r="J343" s="99">
        <v>6709</v>
      </c>
      <c r="K343" s="99">
        <v>6884</v>
      </c>
      <c r="L343" s="409">
        <v>635</v>
      </c>
      <c r="M343" s="387">
        <v>606</v>
      </c>
      <c r="N343" s="266">
        <f>ROUND(((M343/L343-1)*100), 1)</f>
        <v>-4.5999999999999996</v>
      </c>
      <c r="O343" s="409">
        <f>R343-L343</f>
        <v>375</v>
      </c>
      <c r="P343" s="387">
        <f>S343-M343</f>
        <v>342</v>
      </c>
      <c r="Q343" s="266">
        <f>ROUND(((P343/O343-1)*100), 1)</f>
        <v>-8.8000000000000007</v>
      </c>
      <c r="R343" s="409">
        <v>1010</v>
      </c>
      <c r="S343" s="387">
        <v>948</v>
      </c>
      <c r="T343" s="266">
        <f>ROUND(((S343/R343-1)*100), 1)</f>
        <v>-6.1</v>
      </c>
      <c r="U343" s="409">
        <f>X343-R343</f>
        <v>539</v>
      </c>
      <c r="V343" s="387">
        <f>Y343-S343</f>
        <v>734</v>
      </c>
      <c r="W343" s="266">
        <f>ROUND(((V343/U343-1)*100), 1)</f>
        <v>36.200000000000003</v>
      </c>
      <c r="X343" s="409">
        <v>1549</v>
      </c>
      <c r="Y343" s="387">
        <v>1682</v>
      </c>
      <c r="Z343" s="266">
        <f>ROUND(((Y343/X343-1)*100), 1)</f>
        <v>8.6</v>
      </c>
      <c r="AA343" s="409">
        <f>AD343-X343</f>
        <v>542</v>
      </c>
      <c r="AB343" s="387">
        <f>AE343-Y343</f>
        <v>594</v>
      </c>
      <c r="AC343" s="266">
        <f>ROUND(((AB343/AA343-1)*100), 1)</f>
        <v>9.6</v>
      </c>
      <c r="AD343" s="409">
        <v>2091</v>
      </c>
      <c r="AE343" s="545">
        <v>2276</v>
      </c>
      <c r="AF343" s="266">
        <f>ROUND(((AE343/AD343-1)*100), 1)</f>
        <v>8.8000000000000007</v>
      </c>
      <c r="AG343" s="409">
        <f>AJ343-AD343</f>
        <v>554</v>
      </c>
      <c r="AH343" s="387">
        <f>AK343-AE343</f>
        <v>594</v>
      </c>
      <c r="AI343" s="266">
        <f>ROUND(((AH343/AG343-1)*100), 1)</f>
        <v>7.2</v>
      </c>
      <c r="AJ343" s="409">
        <v>2645</v>
      </c>
      <c r="AK343" s="545">
        <v>2870</v>
      </c>
      <c r="AL343" s="266">
        <f>ROUND(((AK343/AJ343-1)*100), 1)</f>
        <v>8.5</v>
      </c>
      <c r="AM343" s="721">
        <f>AP343-AJ343</f>
        <v>512</v>
      </c>
      <c r="AN343" s="715">
        <f>AQ343-AK343</f>
        <v>561</v>
      </c>
      <c r="AO343" s="706">
        <f>ROUND(((AN343/AM343-1)*100), 1)</f>
        <v>9.6</v>
      </c>
      <c r="AP343" s="721">
        <v>3157</v>
      </c>
      <c r="AQ343" s="545">
        <v>3431</v>
      </c>
      <c r="AR343" s="706">
        <f>ROUND(((AQ343/AP343-1)*100), 1)</f>
        <v>8.6999999999999993</v>
      </c>
      <c r="AS343" s="721">
        <f>AV343-AP343</f>
        <v>666</v>
      </c>
      <c r="AT343" s="715">
        <f>AW343-AQ343</f>
        <v>564</v>
      </c>
      <c r="AU343" s="706">
        <f>ROUND(((AT343/AS343-1)*100), 1)</f>
        <v>-15.3</v>
      </c>
      <c r="AV343" s="1010">
        <v>3823</v>
      </c>
      <c r="AW343" s="1019">
        <v>3995</v>
      </c>
      <c r="AX343" s="706">
        <f>ROUND(((AW343/AV343-1)*100), 1)</f>
        <v>4.5</v>
      </c>
      <c r="AY343" s="721">
        <f>BB343-AV343</f>
        <v>651</v>
      </c>
      <c r="AZ343" s="715">
        <f>BC343-AW343</f>
        <v>573</v>
      </c>
      <c r="BA343" s="706">
        <f>ROUND(((AZ343/AY343-1)*100), 1)</f>
        <v>-12</v>
      </c>
      <c r="BB343" s="721">
        <v>4474</v>
      </c>
      <c r="BC343" s="545">
        <v>4568</v>
      </c>
      <c r="BD343" s="706">
        <f>ROUND(((BC343/BB343-1)*100), 1)</f>
        <v>2.1</v>
      </c>
      <c r="BE343" s="721">
        <f>BH343-BB343</f>
        <v>643</v>
      </c>
      <c r="BF343" s="715">
        <f>BI343-BC343</f>
        <v>487</v>
      </c>
      <c r="BG343" s="706">
        <f>ROUND(((BF343/BE343-1)*100), 1)</f>
        <v>-24.3</v>
      </c>
      <c r="BH343" s="721">
        <v>5117</v>
      </c>
      <c r="BI343" s="545">
        <v>5055</v>
      </c>
      <c r="BJ343" s="706">
        <f>ROUND(((BI343/BH343-1)*100), 1)</f>
        <v>-1.2</v>
      </c>
      <c r="BK343" s="721">
        <f>BN343-BH343</f>
        <v>643</v>
      </c>
      <c r="BL343" s="715">
        <f>BO343-BI343</f>
        <v>735</v>
      </c>
      <c r="BM343" s="706">
        <f>ROUND(((BL343/BK343-1)*100), 1)</f>
        <v>14.3</v>
      </c>
      <c r="BN343" s="721">
        <v>5760</v>
      </c>
      <c r="BO343" s="545">
        <v>5790</v>
      </c>
      <c r="BP343" s="706">
        <f>ROUND(((BO343/BN343-1)*100), 1)</f>
        <v>0.5</v>
      </c>
      <c r="BQ343" s="721">
        <f>BT343-BN343</f>
        <v>512</v>
      </c>
      <c r="BR343" s="715">
        <f>BU343-BO343</f>
        <v>395</v>
      </c>
      <c r="BS343" s="706">
        <f>ROUND(((BR343/BQ343-1)*100), 1)</f>
        <v>-22.9</v>
      </c>
      <c r="BT343" s="721">
        <v>6272</v>
      </c>
      <c r="BU343" s="545">
        <v>6185</v>
      </c>
      <c r="BV343" s="706">
        <f>ROUND(((BU343/BT343-1)*100), 1)</f>
        <v>-1.4</v>
      </c>
    </row>
    <row r="344" spans="1:74">
      <c r="A344" s="97"/>
      <c r="B344" s="1162" t="s">
        <v>181</v>
      </c>
      <c r="C344" s="1121"/>
      <c r="D344" s="108">
        <f t="shared" ref="D344:I344" si="670">SUM(D323+D343)</f>
        <v>25214</v>
      </c>
      <c r="E344" s="108">
        <f t="shared" si="670"/>
        <v>31043</v>
      </c>
      <c r="F344" s="108">
        <f t="shared" si="670"/>
        <v>36133</v>
      </c>
      <c r="G344" s="108">
        <f t="shared" si="670"/>
        <v>37971</v>
      </c>
      <c r="H344" s="108">
        <f>SUM(H323+H343)</f>
        <v>46650</v>
      </c>
      <c r="I344" s="349">
        <f t="shared" si="670"/>
        <v>56025</v>
      </c>
      <c r="J344" s="99">
        <f>SUM(J323+J343)</f>
        <v>70476</v>
      </c>
      <c r="K344" s="107">
        <f>SUM(K323+K343)</f>
        <v>70000</v>
      </c>
      <c r="L344" s="409">
        <f>SUM(L323+L343)</f>
        <v>6213</v>
      </c>
      <c r="M344" s="387">
        <f>SUM(M323+M343)</f>
        <v>5992</v>
      </c>
      <c r="N344" s="270">
        <v>10.3</v>
      </c>
      <c r="O344" s="409">
        <f>SUM(O323+O343)</f>
        <v>4727</v>
      </c>
      <c r="P344" s="387">
        <f>SUM(P323+P343)</f>
        <v>4555</v>
      </c>
      <c r="Q344" s="266">
        <f>ROUND(((P344/O344-1)*100), 1)</f>
        <v>-3.6</v>
      </c>
      <c r="R344" s="409">
        <f>SUM(R323+R343)</f>
        <v>10940</v>
      </c>
      <c r="S344" s="387">
        <f>SUM(S323+S343)</f>
        <v>10547</v>
      </c>
      <c r="T344" s="266">
        <f>ROUND(((S344/R344-1)*100), 1)</f>
        <v>-3.6</v>
      </c>
      <c r="U344" s="409">
        <f>SUM(U323+U343)</f>
        <v>6430</v>
      </c>
      <c r="V344" s="387">
        <f>SUM(V323+V343)</f>
        <v>7225</v>
      </c>
      <c r="W344" s="266">
        <f>ROUND(((V344/U344-1)*100), 1)</f>
        <v>12.4</v>
      </c>
      <c r="X344" s="409">
        <f>SUM(X323+X343)</f>
        <v>17370</v>
      </c>
      <c r="Y344" s="387">
        <f>SUM(Y323+Y343)</f>
        <v>17772</v>
      </c>
      <c r="Z344" s="266">
        <f>ROUND(((Y344/X344-1)*100), 1)</f>
        <v>2.2999999999999998</v>
      </c>
      <c r="AA344" s="409">
        <f>SUM(AA323+AA343)</f>
        <v>6317</v>
      </c>
      <c r="AB344" s="387">
        <f>SUM(AB323+AB343)</f>
        <v>5828</v>
      </c>
      <c r="AC344" s="266">
        <f>ROUND(((AB344/AA344-1)*100), 1)</f>
        <v>-7.7</v>
      </c>
      <c r="AD344" s="409">
        <f>SUM(AD323+AD343)</f>
        <v>23687</v>
      </c>
      <c r="AE344" s="545">
        <f>SUM(AE323+AE343)</f>
        <v>23600</v>
      </c>
      <c r="AF344" s="266">
        <f>ROUND(((AE344/AD344-1)*100), 1)</f>
        <v>-0.4</v>
      </c>
      <c r="AG344" s="409">
        <f>SUM(AG323+AG343)</f>
        <v>6715</v>
      </c>
      <c r="AH344" s="387">
        <f>SUM(AH323+AH343)</f>
        <v>5236</v>
      </c>
      <c r="AI344" s="266">
        <f>ROUND(((AH344/AG344-1)*100), 1)</f>
        <v>-22</v>
      </c>
      <c r="AJ344" s="409">
        <f>SUM(AJ323+AJ343)</f>
        <v>30402</v>
      </c>
      <c r="AK344" s="545">
        <f>SUM(AK323+AK343)</f>
        <v>28836</v>
      </c>
      <c r="AL344" s="266">
        <f>ROUND(((AK344/AJ344-1)*100), 1)</f>
        <v>-5.2</v>
      </c>
      <c r="AM344" s="721">
        <f>SUM(AM323+AM343)</f>
        <v>5352</v>
      </c>
      <c r="AN344" s="715">
        <f>SUM(AN323+AN343)</f>
        <v>6293</v>
      </c>
      <c r="AO344" s="706">
        <f>ROUND(((AN344/AM344-1)*100), 1)</f>
        <v>17.600000000000001</v>
      </c>
      <c r="AP344" s="721">
        <f>SUM(AP323+AP343)</f>
        <v>35754</v>
      </c>
      <c r="AQ344" s="545">
        <f>SUM(AQ323+AQ343)</f>
        <v>35129</v>
      </c>
      <c r="AR344" s="706">
        <f>ROUND(((AQ344/AP344-1)*100), 1)</f>
        <v>-1.7</v>
      </c>
      <c r="AS344" s="721">
        <f>SUM(AS323+AS343)</f>
        <v>6562</v>
      </c>
      <c r="AT344" s="715">
        <f>SUM(AT323+AT343)</f>
        <v>6190</v>
      </c>
      <c r="AU344" s="706">
        <f>ROUND(((AT344/AS344-1)*100), 1)</f>
        <v>-5.7</v>
      </c>
      <c r="AV344" s="1010">
        <f>SUM(AV323+AV343)</f>
        <v>42316</v>
      </c>
      <c r="AW344" s="1019">
        <f>SUM(AW323+AW343)</f>
        <v>41319</v>
      </c>
      <c r="AX344" s="706">
        <f>ROUND(((AW344/AV344-1)*100), 1)</f>
        <v>-2.4</v>
      </c>
      <c r="AY344" s="721">
        <f>SUM(AY323+AY343)</f>
        <v>5421</v>
      </c>
      <c r="AZ344" s="715">
        <f>SUM(AZ323+AZ343)</f>
        <v>5202</v>
      </c>
      <c r="BA344" s="706">
        <f>ROUND(((AZ344/AY344-1)*100), 1)</f>
        <v>-4</v>
      </c>
      <c r="BB344" s="721">
        <f>SUM(BB323+BB343)</f>
        <v>47737</v>
      </c>
      <c r="BC344" s="545">
        <f>SUM(BC323+BC343)</f>
        <v>46521</v>
      </c>
      <c r="BD344" s="706">
        <f>ROUND(((BC344/BB344-1)*100), 1)</f>
        <v>-2.5</v>
      </c>
      <c r="BE344" s="721">
        <f>SUM(BE323+BE343)</f>
        <v>5357</v>
      </c>
      <c r="BF344" s="715">
        <f>SUM(BF323+BF343)</f>
        <v>6178</v>
      </c>
      <c r="BG344" s="706">
        <f>ROUND(((BF344/BE344-1)*100), 1)</f>
        <v>15.3</v>
      </c>
      <c r="BH344" s="721">
        <f>SUM(BH323+BH343)</f>
        <v>53094</v>
      </c>
      <c r="BI344" s="545">
        <f>SUM(BI323+BI343)</f>
        <v>52699</v>
      </c>
      <c r="BJ344" s="706">
        <f>ROUND(((BI344/BH344-1)*100), 1)</f>
        <v>-0.7</v>
      </c>
      <c r="BK344" s="721">
        <f>SUM(BK323+BK343)</f>
        <v>5242</v>
      </c>
      <c r="BL344" s="715">
        <f>SUM(BL323+BL343)</f>
        <v>6115</v>
      </c>
      <c r="BM344" s="706">
        <f>ROUND(((BL344/BK344-1)*100), 1)</f>
        <v>16.7</v>
      </c>
      <c r="BN344" s="721">
        <f>SUM(BN323+BN343)</f>
        <v>58336</v>
      </c>
      <c r="BO344" s="545">
        <f>SUM(BO323+BO343)</f>
        <v>58814</v>
      </c>
      <c r="BP344" s="706">
        <f>ROUND(((BO344/BN344-1)*100), 1)</f>
        <v>0.8</v>
      </c>
      <c r="BQ344" s="721">
        <f>SUM(BQ323+BQ343)</f>
        <v>6102</v>
      </c>
      <c r="BR344" s="715">
        <f>SUM(BR323+BR343)</f>
        <v>6946</v>
      </c>
      <c r="BS344" s="706">
        <f>ROUND(((BR344/BQ344-1)*100), 1)</f>
        <v>13.8</v>
      </c>
      <c r="BT344" s="721">
        <f>SUM(BT323+BT343)</f>
        <v>64438</v>
      </c>
      <c r="BU344" s="545">
        <f>SUM(BU323+BU343)</f>
        <v>65760</v>
      </c>
      <c r="BV344" s="706">
        <f>ROUND(((BU344/BT344-1)*100), 1)</f>
        <v>2.1</v>
      </c>
    </row>
    <row r="345" spans="1:74">
      <c r="A345" s="55" t="s">
        <v>118</v>
      </c>
    </row>
  </sheetData>
  <sortState ref="C323:N340">
    <sortCondition descending="1" ref="K323:K340"/>
  </sortState>
  <mergeCells count="230">
    <mergeCell ref="BQ253:BS253"/>
    <mergeCell ref="BT253:BV253"/>
    <mergeCell ref="BQ302:BS302"/>
    <mergeCell ref="BT302:BV302"/>
    <mergeCell ref="BQ3:BS3"/>
    <mergeCell ref="BT3:BV3"/>
    <mergeCell ref="BQ64:BS64"/>
    <mergeCell ref="BT64:BV64"/>
    <mergeCell ref="BQ109:BS109"/>
    <mergeCell ref="BT109:BV109"/>
    <mergeCell ref="BQ160:BS160"/>
    <mergeCell ref="BT160:BV160"/>
    <mergeCell ref="BQ210:BS210"/>
    <mergeCell ref="BT210:BV210"/>
    <mergeCell ref="BK253:BM253"/>
    <mergeCell ref="BN253:BP253"/>
    <mergeCell ref="BK302:BM302"/>
    <mergeCell ref="BN302:BP302"/>
    <mergeCell ref="BK3:BM3"/>
    <mergeCell ref="BN3:BP3"/>
    <mergeCell ref="BK64:BM64"/>
    <mergeCell ref="BN64:BP64"/>
    <mergeCell ref="BK109:BM109"/>
    <mergeCell ref="BN109:BP109"/>
    <mergeCell ref="BK160:BM160"/>
    <mergeCell ref="BN160:BP160"/>
    <mergeCell ref="BK210:BM210"/>
    <mergeCell ref="BN210:BP210"/>
    <mergeCell ref="BE253:BG253"/>
    <mergeCell ref="BH253:BJ253"/>
    <mergeCell ref="BE302:BG302"/>
    <mergeCell ref="BH302:BJ302"/>
    <mergeCell ref="BE3:BG3"/>
    <mergeCell ref="BH3:BJ3"/>
    <mergeCell ref="BE64:BG64"/>
    <mergeCell ref="BH64:BJ64"/>
    <mergeCell ref="BE109:BG109"/>
    <mergeCell ref="BH109:BJ109"/>
    <mergeCell ref="BE160:BG160"/>
    <mergeCell ref="BH160:BJ160"/>
    <mergeCell ref="BE210:BG210"/>
    <mergeCell ref="BH210:BJ210"/>
    <mergeCell ref="AY253:BA253"/>
    <mergeCell ref="BB253:BD253"/>
    <mergeCell ref="AY302:BA302"/>
    <mergeCell ref="BB302:BD302"/>
    <mergeCell ref="AY3:BA3"/>
    <mergeCell ref="BB3:BD3"/>
    <mergeCell ref="AY64:BA64"/>
    <mergeCell ref="BB64:BD64"/>
    <mergeCell ref="AY109:BA109"/>
    <mergeCell ref="BB109:BD109"/>
    <mergeCell ref="AY160:BA160"/>
    <mergeCell ref="BB160:BD160"/>
    <mergeCell ref="AY210:BA210"/>
    <mergeCell ref="BB210:BD210"/>
    <mergeCell ref="AG253:AI253"/>
    <mergeCell ref="AJ253:AL253"/>
    <mergeCell ref="AG302:AI302"/>
    <mergeCell ref="AJ302:AL302"/>
    <mergeCell ref="AG3:AI3"/>
    <mergeCell ref="AJ3:AL3"/>
    <mergeCell ref="AG64:AI64"/>
    <mergeCell ref="AJ64:AL64"/>
    <mergeCell ref="AG109:AI109"/>
    <mergeCell ref="AJ109:AL109"/>
    <mergeCell ref="AG160:AI160"/>
    <mergeCell ref="AJ160:AL160"/>
    <mergeCell ref="AG210:AI210"/>
    <mergeCell ref="AJ210:AL210"/>
    <mergeCell ref="AA253:AC253"/>
    <mergeCell ref="AD253:AF253"/>
    <mergeCell ref="AA302:AC302"/>
    <mergeCell ref="AD302:AF302"/>
    <mergeCell ref="AA3:AC3"/>
    <mergeCell ref="AD3:AF3"/>
    <mergeCell ref="AA64:AC64"/>
    <mergeCell ref="AD64:AF64"/>
    <mergeCell ref="AA109:AC109"/>
    <mergeCell ref="AD109:AF109"/>
    <mergeCell ref="AA160:AC160"/>
    <mergeCell ref="AD160:AF160"/>
    <mergeCell ref="AA210:AC210"/>
    <mergeCell ref="AD210:AF210"/>
    <mergeCell ref="O253:Q253"/>
    <mergeCell ref="O302:Q302"/>
    <mergeCell ref="R3:T3"/>
    <mergeCell ref="R64:T64"/>
    <mergeCell ref="R109:T109"/>
    <mergeCell ref="R160:T160"/>
    <mergeCell ref="R210:T210"/>
    <mergeCell ref="R253:T253"/>
    <mergeCell ref="R302:T302"/>
    <mergeCell ref="O3:Q3"/>
    <mergeCell ref="O64:Q64"/>
    <mergeCell ref="O109:Q109"/>
    <mergeCell ref="O160:Q160"/>
    <mergeCell ref="O210:Q210"/>
    <mergeCell ref="E3:E4"/>
    <mergeCell ref="F3:F4"/>
    <mergeCell ref="G3:G4"/>
    <mergeCell ref="H3:H4"/>
    <mergeCell ref="J109:J110"/>
    <mergeCell ref="I64:I65"/>
    <mergeCell ref="J3:J4"/>
    <mergeCell ref="F64:F65"/>
    <mergeCell ref="I3:I4"/>
    <mergeCell ref="H109:H110"/>
    <mergeCell ref="I109:I110"/>
    <mergeCell ref="J64:J65"/>
    <mergeCell ref="H64:H65"/>
    <mergeCell ref="J160:J161"/>
    <mergeCell ref="J210:J211"/>
    <mergeCell ref="A3:C4"/>
    <mergeCell ref="D3:D4"/>
    <mergeCell ref="G109:G110"/>
    <mergeCell ref="B66:B91"/>
    <mergeCell ref="B92:B105"/>
    <mergeCell ref="G64:G65"/>
    <mergeCell ref="A109:C110"/>
    <mergeCell ref="D109:D110"/>
    <mergeCell ref="E109:E110"/>
    <mergeCell ref="F109:F110"/>
    <mergeCell ref="B5:B12"/>
    <mergeCell ref="A7:A8"/>
    <mergeCell ref="B13:B28"/>
    <mergeCell ref="B29:B48"/>
    <mergeCell ref="B49:B59"/>
    <mergeCell ref="B60:C60"/>
    <mergeCell ref="A64:C65"/>
    <mergeCell ref="D64:D65"/>
    <mergeCell ref="E64:E65"/>
    <mergeCell ref="B206:C206"/>
    <mergeCell ref="A210:C211"/>
    <mergeCell ref="I160:I161"/>
    <mergeCell ref="B111:B130"/>
    <mergeCell ref="B131:B153"/>
    <mergeCell ref="B154:C154"/>
    <mergeCell ref="A160:C161"/>
    <mergeCell ref="D160:D161"/>
    <mergeCell ref="E160:E161"/>
    <mergeCell ref="F160:F161"/>
    <mergeCell ref="G160:G161"/>
    <mergeCell ref="H160:H161"/>
    <mergeCell ref="K302:K303"/>
    <mergeCell ref="A162:A163"/>
    <mergeCell ref="B162:B179"/>
    <mergeCell ref="B180:B205"/>
    <mergeCell ref="B226:B246"/>
    <mergeCell ref="B247:C247"/>
    <mergeCell ref="H210:H211"/>
    <mergeCell ref="I210:I211"/>
    <mergeCell ref="A253:C254"/>
    <mergeCell ref="D253:D254"/>
    <mergeCell ref="E253:E254"/>
    <mergeCell ref="F253:F254"/>
    <mergeCell ref="G253:G254"/>
    <mergeCell ref="H253:H254"/>
    <mergeCell ref="G210:G211"/>
    <mergeCell ref="D210:D211"/>
    <mergeCell ref="E210:E211"/>
    <mergeCell ref="F210:F211"/>
    <mergeCell ref="I253:I254"/>
    <mergeCell ref="B212:B225"/>
    <mergeCell ref="B344:C344"/>
    <mergeCell ref="B298:C298"/>
    <mergeCell ref="A302:C303"/>
    <mergeCell ref="D302:D303"/>
    <mergeCell ref="E302:E303"/>
    <mergeCell ref="L3:N3"/>
    <mergeCell ref="L64:N64"/>
    <mergeCell ref="L109:N109"/>
    <mergeCell ref="L160:N160"/>
    <mergeCell ref="L210:N210"/>
    <mergeCell ref="K3:K4"/>
    <mergeCell ref="K64:K65"/>
    <mergeCell ref="K109:K110"/>
    <mergeCell ref="K160:K161"/>
    <mergeCell ref="K210:K211"/>
    <mergeCell ref="F302:F303"/>
    <mergeCell ref="L253:N253"/>
    <mergeCell ref="L302:N302"/>
    <mergeCell ref="J253:J254"/>
    <mergeCell ref="J302:J303"/>
    <mergeCell ref="G302:G303"/>
    <mergeCell ref="H302:H303"/>
    <mergeCell ref="I302:I303"/>
    <mergeCell ref="K253:K254"/>
    <mergeCell ref="U253:W253"/>
    <mergeCell ref="X253:Z253"/>
    <mergeCell ref="U302:W302"/>
    <mergeCell ref="X302:Z302"/>
    <mergeCell ref="U3:W3"/>
    <mergeCell ref="X3:Z3"/>
    <mergeCell ref="U64:W64"/>
    <mergeCell ref="X64:Z64"/>
    <mergeCell ref="U109:W109"/>
    <mergeCell ref="X109:Z109"/>
    <mergeCell ref="U160:W160"/>
    <mergeCell ref="X160:Z160"/>
    <mergeCell ref="U210:W210"/>
    <mergeCell ref="X210:Z210"/>
    <mergeCell ref="AM253:AO253"/>
    <mergeCell ref="AP253:AR253"/>
    <mergeCell ref="AM302:AO302"/>
    <mergeCell ref="AP302:AR302"/>
    <mergeCell ref="AM3:AO3"/>
    <mergeCell ref="AP3:AR3"/>
    <mergeCell ref="AM64:AO64"/>
    <mergeCell ref="AP64:AR64"/>
    <mergeCell ref="AM109:AO109"/>
    <mergeCell ref="AP109:AR109"/>
    <mergeCell ref="AM160:AO160"/>
    <mergeCell ref="AP160:AR160"/>
    <mergeCell ref="AM210:AO210"/>
    <mergeCell ref="AP210:AR210"/>
    <mergeCell ref="AS253:AU253"/>
    <mergeCell ref="AV253:AX253"/>
    <mergeCell ref="AS302:AU302"/>
    <mergeCell ref="AV302:AX302"/>
    <mergeCell ref="AS3:AU3"/>
    <mergeCell ref="AV3:AX3"/>
    <mergeCell ref="AS64:AU64"/>
    <mergeCell ref="AV64:AX64"/>
    <mergeCell ref="AS109:AU109"/>
    <mergeCell ref="AV109:AX109"/>
    <mergeCell ref="AS160:AU160"/>
    <mergeCell ref="AV160:AX160"/>
    <mergeCell ref="AS210:AU210"/>
    <mergeCell ref="AV210:AX210"/>
  </mergeCells>
  <phoneticPr fontId="2" type="noConversion"/>
  <printOptions horizontalCentered="1"/>
  <pageMargins left="0.19685039370078741" right="0.19685039370078741" top="0.74803149606299213" bottom="0.55118110236220474" header="0.31496062992125984" footer="0.31496062992125984"/>
  <pageSetup paperSize="9" scale="88" orientation="portrait" r:id="rId1"/>
  <rowBreaks count="6" manualBreakCount="6">
    <brk id="61" max="16383" man="1"/>
    <brk id="106" max="16383" man="1"/>
    <brk id="156" max="16383" man="1"/>
    <brk id="207" max="16383" man="1"/>
    <brk id="249" max="16383" man="1"/>
    <brk id="299" max="16383" man="1"/>
  </rowBreaks>
  <ignoredErrors>
    <ignoredError sqref="K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2"/>
  <sheetViews>
    <sheetView workbookViewId="0">
      <pane xSplit="10" ySplit="4" topLeftCell="BP116" activePane="bottomRight" state="frozen"/>
      <selection pane="topRight" activeCell="K1" sqref="K1"/>
      <selection pane="bottomLeft" activeCell="A5" sqref="A5"/>
      <selection pane="bottomRight"/>
    </sheetView>
  </sheetViews>
  <sheetFormatPr defaultRowHeight="16.5"/>
  <cols>
    <col min="1" max="1" width="6" style="55" customWidth="1"/>
    <col min="2" max="2" width="18.875" style="2" customWidth="1"/>
    <col min="3" max="8" width="11" style="63" hidden="1" customWidth="1"/>
    <col min="9" max="9" width="11" style="228" hidden="1" customWidth="1"/>
    <col min="10" max="10" width="11" style="228" customWidth="1"/>
    <col min="11" max="12" width="11" style="320" hidden="1" customWidth="1"/>
    <col min="13" max="13" width="9" hidden="1" customWidth="1"/>
    <col min="14" max="15" width="11" style="320" hidden="1" customWidth="1"/>
    <col min="16" max="16" width="9" style="291" hidden="1" customWidth="1"/>
    <col min="17" max="18" width="11" style="320" hidden="1" customWidth="1"/>
    <col min="19" max="19" width="9" style="291" hidden="1" customWidth="1"/>
    <col min="20" max="21" width="11" style="320" hidden="1" customWidth="1"/>
    <col min="22" max="22" width="9" style="291" hidden="1" customWidth="1"/>
    <col min="23" max="24" width="11" style="320" hidden="1" customWidth="1"/>
    <col min="25" max="25" width="9" style="291" hidden="1" customWidth="1"/>
    <col min="26" max="27" width="11" style="320" hidden="1" customWidth="1"/>
    <col min="28" max="28" width="9" style="291" hidden="1" customWidth="1"/>
    <col min="29" max="30" width="11" style="320" hidden="1" customWidth="1"/>
    <col min="31" max="31" width="9" style="291" hidden="1" customWidth="1"/>
    <col min="32" max="33" width="11" style="320" hidden="1" customWidth="1"/>
    <col min="34" max="34" width="9" style="291" hidden="1" customWidth="1"/>
    <col min="35" max="36" width="11" style="320" hidden="1" customWidth="1"/>
    <col min="37" max="37" width="9" style="291" hidden="1" customWidth="1"/>
    <col min="38" max="39" width="11" style="752" hidden="1" customWidth="1"/>
    <col min="40" max="40" width="9" style="745" hidden="1" customWidth="1"/>
    <col min="41" max="42" width="11" style="833" hidden="1" customWidth="1"/>
    <col min="43" max="43" width="9" style="745" hidden="1" customWidth="1"/>
    <col min="44" max="45" width="11" style="833" hidden="1" customWidth="1"/>
    <col min="46" max="46" width="9" style="846" hidden="1" customWidth="1"/>
    <col min="47" max="48" width="11" style="960" hidden="1" customWidth="1"/>
    <col min="49" max="49" width="9" style="846" hidden="1" customWidth="1"/>
    <col min="50" max="51" width="11" style="833" hidden="1" customWidth="1"/>
    <col min="52" max="52" width="9" style="846" hidden="1" customWidth="1"/>
    <col min="53" max="54" width="11" style="833" hidden="1" customWidth="1"/>
    <col min="55" max="55" width="9" style="846" hidden="1" customWidth="1"/>
    <col min="56" max="57" width="11" style="833" hidden="1" customWidth="1"/>
    <col min="58" max="58" width="9" style="846" hidden="1" customWidth="1"/>
    <col min="59" max="60" width="11" style="833" hidden="1" customWidth="1"/>
    <col min="61" max="61" width="9" style="846" hidden="1" customWidth="1"/>
    <col min="62" max="63" width="11" style="833" hidden="1" customWidth="1"/>
    <col min="64" max="64" width="9" style="846" hidden="1" customWidth="1"/>
    <col min="65" max="66" width="11" style="833" hidden="1" customWidth="1"/>
    <col min="67" max="67" width="9" style="846" hidden="1" customWidth="1"/>
    <col min="68" max="69" width="11" style="833" customWidth="1"/>
    <col min="70" max="70" width="9" style="846" customWidth="1"/>
    <col min="71" max="72" width="11" style="833" customWidth="1"/>
    <col min="73" max="73" width="9" style="846" customWidth="1"/>
  </cols>
  <sheetData>
    <row r="1" spans="1:73">
      <c r="A1" s="81" t="s">
        <v>245</v>
      </c>
      <c r="B1" s="82"/>
      <c r="C1" s="102"/>
      <c r="D1" s="102"/>
      <c r="E1" s="102"/>
      <c r="F1" s="102"/>
      <c r="G1" s="102"/>
      <c r="J1" s="280" t="s">
        <v>246</v>
      </c>
      <c r="K1" s="102"/>
      <c r="L1" s="102"/>
      <c r="M1" s="276"/>
      <c r="N1" s="102"/>
      <c r="O1" s="102"/>
      <c r="P1" s="276"/>
      <c r="Q1" s="102"/>
      <c r="R1" s="102"/>
      <c r="S1" s="276"/>
      <c r="T1" s="102"/>
      <c r="U1" s="102"/>
      <c r="V1" s="276"/>
      <c r="W1" s="102"/>
      <c r="X1" s="102"/>
      <c r="Y1" s="276"/>
      <c r="Z1" s="102"/>
      <c r="AA1" s="102"/>
      <c r="AB1" s="276"/>
      <c r="AC1" s="102"/>
      <c r="AD1" s="102"/>
      <c r="AE1" s="276"/>
      <c r="AF1" s="102"/>
      <c r="AG1" s="102"/>
      <c r="AH1" s="276"/>
      <c r="AI1" s="102"/>
      <c r="AJ1" s="102"/>
      <c r="AK1" s="276"/>
      <c r="AL1" s="748"/>
      <c r="AM1" s="748"/>
      <c r="AN1" s="756"/>
      <c r="AO1" s="748"/>
      <c r="AP1" s="748"/>
      <c r="AQ1" s="756"/>
      <c r="AR1" s="748"/>
      <c r="AS1" s="748"/>
      <c r="AT1" s="756"/>
      <c r="AU1" s="995"/>
      <c r="AV1" s="995"/>
      <c r="AW1" s="756"/>
      <c r="AX1" s="748"/>
      <c r="AY1" s="748"/>
      <c r="AZ1" s="756"/>
      <c r="BA1" s="748"/>
      <c r="BB1" s="748"/>
      <c r="BC1" s="756"/>
      <c r="BD1" s="748"/>
      <c r="BE1" s="748"/>
      <c r="BF1" s="756"/>
      <c r="BG1" s="748"/>
      <c r="BH1" s="748"/>
      <c r="BI1" s="756"/>
      <c r="BJ1" s="748"/>
      <c r="BK1" s="748"/>
      <c r="BL1" s="756"/>
      <c r="BM1" s="748"/>
      <c r="BN1" s="748"/>
      <c r="BO1" s="756"/>
      <c r="BP1" s="748"/>
      <c r="BQ1" s="748"/>
      <c r="BR1" s="756"/>
      <c r="BS1" s="748"/>
      <c r="BT1" s="748"/>
      <c r="BU1" s="756"/>
    </row>
    <row r="2" spans="1:73">
      <c r="B2" s="30"/>
      <c r="C2" s="75"/>
      <c r="D2" s="75"/>
      <c r="E2" s="75"/>
      <c r="F2" s="75"/>
      <c r="G2" s="75"/>
      <c r="H2" s="75"/>
      <c r="I2" s="279"/>
      <c r="J2" s="279"/>
      <c r="K2" s="279"/>
      <c r="L2" s="279"/>
      <c r="M2" s="274" t="s">
        <v>94</v>
      </c>
      <c r="N2" s="279"/>
      <c r="O2" s="279"/>
      <c r="P2" s="274"/>
      <c r="Q2" s="279"/>
      <c r="R2" s="279"/>
      <c r="S2" s="274" t="s">
        <v>94</v>
      </c>
      <c r="T2" s="279"/>
      <c r="U2" s="279"/>
      <c r="V2" s="274"/>
      <c r="W2" s="279"/>
      <c r="X2" s="279"/>
      <c r="Y2" s="274" t="s">
        <v>94</v>
      </c>
      <c r="Z2" s="279"/>
      <c r="AA2" s="279"/>
      <c r="AB2" s="274"/>
      <c r="AC2" s="279"/>
      <c r="AD2" s="279"/>
      <c r="AE2" s="274" t="s">
        <v>94</v>
      </c>
      <c r="AF2" s="279"/>
      <c r="AG2" s="279"/>
      <c r="AH2" s="274"/>
      <c r="AI2" s="279"/>
      <c r="AJ2" s="279"/>
      <c r="AK2" s="274" t="s">
        <v>94</v>
      </c>
      <c r="AL2" s="746"/>
      <c r="AM2" s="746"/>
      <c r="AN2" s="755"/>
      <c r="AO2" s="746"/>
      <c r="AP2" s="746"/>
      <c r="AQ2" s="755" t="s">
        <v>94</v>
      </c>
      <c r="AR2" s="746"/>
      <c r="AS2" s="746"/>
      <c r="AT2" s="755"/>
      <c r="AU2" s="961"/>
      <c r="AV2" s="961"/>
      <c r="AW2" s="755" t="s">
        <v>94</v>
      </c>
      <c r="AX2" s="746"/>
      <c r="AY2" s="746"/>
      <c r="AZ2" s="755"/>
      <c r="BA2" s="746"/>
      <c r="BB2" s="746"/>
      <c r="BC2" s="755" t="s">
        <v>94</v>
      </c>
      <c r="BD2" s="746"/>
      <c r="BE2" s="746"/>
      <c r="BF2" s="755"/>
      <c r="BG2" s="746"/>
      <c r="BH2" s="746"/>
      <c r="BI2" s="755" t="s">
        <v>94</v>
      </c>
      <c r="BJ2" s="746"/>
      <c r="BK2" s="746"/>
      <c r="BL2" s="755"/>
      <c r="BM2" s="746"/>
      <c r="BN2" s="746"/>
      <c r="BO2" s="755" t="s">
        <v>94</v>
      </c>
      <c r="BP2" s="746"/>
      <c r="BQ2" s="746"/>
      <c r="BR2" s="755"/>
      <c r="BS2" s="746"/>
      <c r="BT2" s="746"/>
      <c r="BU2" s="755" t="s">
        <v>94</v>
      </c>
    </row>
    <row r="3" spans="1:73">
      <c r="A3" s="1082" t="s">
        <v>95</v>
      </c>
      <c r="B3" s="1082"/>
      <c r="C3" s="1170" t="s">
        <v>3</v>
      </c>
      <c r="D3" s="1170" t="s">
        <v>4</v>
      </c>
      <c r="E3" s="1170" t="s">
        <v>5</v>
      </c>
      <c r="F3" s="1170" t="s">
        <v>6</v>
      </c>
      <c r="G3" s="1170" t="s">
        <v>7</v>
      </c>
      <c r="H3" s="1170" t="s">
        <v>81</v>
      </c>
      <c r="I3" s="1170" t="s">
        <v>83</v>
      </c>
      <c r="J3" s="1172" t="s">
        <v>315</v>
      </c>
      <c r="K3" s="1180" t="s">
        <v>40</v>
      </c>
      <c r="L3" s="1115"/>
      <c r="M3" s="1082"/>
      <c r="N3" s="1155" t="s">
        <v>505</v>
      </c>
      <c r="O3" s="1156"/>
      <c r="P3" s="1157"/>
      <c r="Q3" s="1155" t="s">
        <v>506</v>
      </c>
      <c r="R3" s="1156"/>
      <c r="S3" s="1157"/>
      <c r="T3" s="1155" t="s">
        <v>513</v>
      </c>
      <c r="U3" s="1156"/>
      <c r="V3" s="1157"/>
      <c r="W3" s="1155" t="s">
        <v>514</v>
      </c>
      <c r="X3" s="1156"/>
      <c r="Y3" s="1157"/>
      <c r="Z3" s="1155" t="s">
        <v>531</v>
      </c>
      <c r="AA3" s="1156"/>
      <c r="AB3" s="1157"/>
      <c r="AC3" s="1155" t="s">
        <v>533</v>
      </c>
      <c r="AD3" s="1156"/>
      <c r="AE3" s="1157"/>
      <c r="AF3" s="1155" t="s">
        <v>555</v>
      </c>
      <c r="AG3" s="1156"/>
      <c r="AH3" s="1157"/>
      <c r="AI3" s="1155" t="s">
        <v>556</v>
      </c>
      <c r="AJ3" s="1156"/>
      <c r="AK3" s="1157"/>
      <c r="AL3" s="1155" t="s">
        <v>583</v>
      </c>
      <c r="AM3" s="1156"/>
      <c r="AN3" s="1157"/>
      <c r="AO3" s="1155" t="s">
        <v>584</v>
      </c>
      <c r="AP3" s="1156"/>
      <c r="AQ3" s="1157"/>
      <c r="AR3" s="1155" t="s">
        <v>621</v>
      </c>
      <c r="AS3" s="1156"/>
      <c r="AT3" s="1157"/>
      <c r="AU3" s="1155" t="s">
        <v>622</v>
      </c>
      <c r="AV3" s="1156"/>
      <c r="AW3" s="1157"/>
      <c r="AX3" s="1155" t="s">
        <v>626</v>
      </c>
      <c r="AY3" s="1156"/>
      <c r="AZ3" s="1157"/>
      <c r="BA3" s="1155" t="s">
        <v>628</v>
      </c>
      <c r="BB3" s="1156"/>
      <c r="BC3" s="1157"/>
      <c r="BD3" s="1155" t="s">
        <v>650</v>
      </c>
      <c r="BE3" s="1156"/>
      <c r="BF3" s="1157"/>
      <c r="BG3" s="1155" t="s">
        <v>651</v>
      </c>
      <c r="BH3" s="1156"/>
      <c r="BI3" s="1157"/>
      <c r="BJ3" s="1155" t="s">
        <v>674</v>
      </c>
      <c r="BK3" s="1156"/>
      <c r="BL3" s="1157"/>
      <c r="BM3" s="1155" t="s">
        <v>675</v>
      </c>
      <c r="BN3" s="1156"/>
      <c r="BO3" s="1157"/>
      <c r="BP3" s="1155" t="s">
        <v>753</v>
      </c>
      <c r="BQ3" s="1156"/>
      <c r="BR3" s="1157"/>
      <c r="BS3" s="1155" t="s">
        <v>711</v>
      </c>
      <c r="BT3" s="1156"/>
      <c r="BU3" s="1157"/>
    </row>
    <row r="4" spans="1:73">
      <c r="A4" s="1082"/>
      <c r="B4" s="1082"/>
      <c r="C4" s="1170"/>
      <c r="D4" s="1170"/>
      <c r="E4" s="1170"/>
      <c r="F4" s="1170"/>
      <c r="G4" s="1170"/>
      <c r="H4" s="1170"/>
      <c r="I4" s="1170"/>
      <c r="J4" s="1173"/>
      <c r="K4" s="418" t="s">
        <v>445</v>
      </c>
      <c r="L4" s="427" t="s">
        <v>446</v>
      </c>
      <c r="M4" s="277" t="s">
        <v>10</v>
      </c>
      <c r="N4" s="418" t="s">
        <v>445</v>
      </c>
      <c r="O4" s="427" t="s">
        <v>446</v>
      </c>
      <c r="P4" s="277" t="s">
        <v>10</v>
      </c>
      <c r="Q4" s="418" t="s">
        <v>445</v>
      </c>
      <c r="R4" s="427" t="s">
        <v>446</v>
      </c>
      <c r="S4" s="277" t="s">
        <v>10</v>
      </c>
      <c r="T4" s="418" t="s">
        <v>445</v>
      </c>
      <c r="U4" s="427" t="s">
        <v>446</v>
      </c>
      <c r="V4" s="277" t="s">
        <v>10</v>
      </c>
      <c r="W4" s="418" t="s">
        <v>445</v>
      </c>
      <c r="X4" s="427" t="s">
        <v>446</v>
      </c>
      <c r="Y4" s="277" t="s">
        <v>10</v>
      </c>
      <c r="Z4" s="418" t="s">
        <v>445</v>
      </c>
      <c r="AA4" s="427" t="s">
        <v>446</v>
      </c>
      <c r="AB4" s="277" t="s">
        <v>10</v>
      </c>
      <c r="AC4" s="418" t="s">
        <v>445</v>
      </c>
      <c r="AD4" s="427" t="s">
        <v>446</v>
      </c>
      <c r="AE4" s="277" t="s">
        <v>10</v>
      </c>
      <c r="AF4" s="418" t="s">
        <v>445</v>
      </c>
      <c r="AG4" s="427" t="s">
        <v>446</v>
      </c>
      <c r="AH4" s="277" t="s">
        <v>10</v>
      </c>
      <c r="AI4" s="418" t="s">
        <v>445</v>
      </c>
      <c r="AJ4" s="427" t="s">
        <v>446</v>
      </c>
      <c r="AK4" s="277" t="s">
        <v>10</v>
      </c>
      <c r="AL4" s="771" t="s">
        <v>445</v>
      </c>
      <c r="AM4" s="772" t="s">
        <v>446</v>
      </c>
      <c r="AN4" s="757" t="s">
        <v>10</v>
      </c>
      <c r="AO4" s="815" t="s">
        <v>445</v>
      </c>
      <c r="AP4" s="816" t="s">
        <v>446</v>
      </c>
      <c r="AQ4" s="757" t="s">
        <v>10</v>
      </c>
      <c r="AR4" s="815" t="s">
        <v>445</v>
      </c>
      <c r="AS4" s="816" t="s">
        <v>446</v>
      </c>
      <c r="AT4" s="757" t="s">
        <v>10</v>
      </c>
      <c r="AU4" s="996" t="s">
        <v>445</v>
      </c>
      <c r="AV4" s="1009" t="s">
        <v>446</v>
      </c>
      <c r="AW4" s="757" t="s">
        <v>10</v>
      </c>
      <c r="AX4" s="815" t="s">
        <v>445</v>
      </c>
      <c r="AY4" s="816" t="s">
        <v>446</v>
      </c>
      <c r="AZ4" s="757" t="s">
        <v>10</v>
      </c>
      <c r="BA4" s="815" t="s">
        <v>445</v>
      </c>
      <c r="BB4" s="816" t="s">
        <v>446</v>
      </c>
      <c r="BC4" s="757" t="s">
        <v>10</v>
      </c>
      <c r="BD4" s="815" t="s">
        <v>669</v>
      </c>
      <c r="BE4" s="816" t="s">
        <v>671</v>
      </c>
      <c r="BF4" s="757" t="s">
        <v>10</v>
      </c>
      <c r="BG4" s="815" t="s">
        <v>669</v>
      </c>
      <c r="BH4" s="816" t="s">
        <v>671</v>
      </c>
      <c r="BI4" s="757" t="s">
        <v>10</v>
      </c>
      <c r="BJ4" s="815" t="s">
        <v>696</v>
      </c>
      <c r="BK4" s="816" t="s">
        <v>697</v>
      </c>
      <c r="BL4" s="757" t="s">
        <v>10</v>
      </c>
      <c r="BM4" s="815" t="s">
        <v>696</v>
      </c>
      <c r="BN4" s="816" t="s">
        <v>697</v>
      </c>
      <c r="BO4" s="757" t="s">
        <v>10</v>
      </c>
      <c r="BP4" s="815" t="s">
        <v>445</v>
      </c>
      <c r="BQ4" s="816" t="s">
        <v>754</v>
      </c>
      <c r="BR4" s="757" t="s">
        <v>10</v>
      </c>
      <c r="BS4" s="815" t="s">
        <v>755</v>
      </c>
      <c r="BT4" s="816" t="s">
        <v>754</v>
      </c>
      <c r="BU4" s="757" t="s">
        <v>10</v>
      </c>
    </row>
    <row r="5" spans="1:73">
      <c r="A5" s="8"/>
      <c r="B5" s="85" t="s">
        <v>56</v>
      </c>
      <c r="C5" s="66">
        <v>1232</v>
      </c>
      <c r="D5" s="66">
        <v>1817</v>
      </c>
      <c r="E5" s="66">
        <v>2895</v>
      </c>
      <c r="F5" s="66">
        <v>2996</v>
      </c>
      <c r="G5" s="66">
        <v>3257</v>
      </c>
      <c r="H5" s="66">
        <v>3832</v>
      </c>
      <c r="I5" s="66">
        <v>5723</v>
      </c>
      <c r="J5" s="66">
        <v>7218</v>
      </c>
      <c r="K5" s="282">
        <v>858</v>
      </c>
      <c r="L5" s="389">
        <v>229</v>
      </c>
      <c r="M5" s="475">
        <f t="shared" ref="M5:M19" si="0">ROUND(((L5/K5-1)*100), 1)</f>
        <v>-73.3</v>
      </c>
      <c r="N5" s="282">
        <f t="shared" ref="N5:O25" si="1">Q5-K5</f>
        <v>627</v>
      </c>
      <c r="O5" s="389">
        <f t="shared" si="1"/>
        <v>583</v>
      </c>
      <c r="P5" s="475">
        <f t="shared" ref="P5:P17" si="2">ROUND(((O5/N5-1)*100), 1)</f>
        <v>-7</v>
      </c>
      <c r="Q5" s="282">
        <v>1485</v>
      </c>
      <c r="R5" s="389">
        <v>812</v>
      </c>
      <c r="S5" s="475">
        <f t="shared" ref="S5:S17" si="3">ROUND(((R5/Q5-1)*100), 1)</f>
        <v>-45.3</v>
      </c>
      <c r="T5" s="282">
        <f t="shared" ref="T5:T25" si="4">W5-Q5</f>
        <v>795</v>
      </c>
      <c r="U5" s="389">
        <f t="shared" ref="U5:U25" si="5">X5-R5</f>
        <v>958</v>
      </c>
      <c r="V5" s="475">
        <f t="shared" ref="V5:V17" si="6">ROUND(((U5/T5-1)*100), 1)</f>
        <v>20.5</v>
      </c>
      <c r="W5" s="282">
        <v>2280</v>
      </c>
      <c r="X5" s="389">
        <v>1770</v>
      </c>
      <c r="Y5" s="475">
        <f t="shared" ref="Y5:Y17" si="7">ROUND(((X5/W5-1)*100), 1)</f>
        <v>-22.4</v>
      </c>
      <c r="Z5" s="282">
        <f t="shared" ref="Z5:Z25" si="8">AC5-W5</f>
        <v>653</v>
      </c>
      <c r="AA5" s="389">
        <f t="shared" ref="AA5:AA25" si="9">AD5-X5</f>
        <v>168</v>
      </c>
      <c r="AB5" s="475">
        <f t="shared" ref="AB5:AB17" si="10">ROUND(((AA5/Z5-1)*100), 1)</f>
        <v>-74.3</v>
      </c>
      <c r="AC5" s="282">
        <v>2933</v>
      </c>
      <c r="AD5" s="389">
        <v>1938</v>
      </c>
      <c r="AE5" s="475">
        <f t="shared" ref="AE5:AE17" si="11">ROUND(((AD5/AC5-1)*100), 1)</f>
        <v>-33.9</v>
      </c>
      <c r="AF5" s="282">
        <f t="shared" ref="AF5:AG25" si="12">AI5-AC5</f>
        <v>765</v>
      </c>
      <c r="AG5" s="389">
        <f t="shared" si="12"/>
        <v>163</v>
      </c>
      <c r="AH5" s="475">
        <f t="shared" ref="AH5:AH17" si="13">ROUND(((AG5/AF5-1)*100), 1)</f>
        <v>-78.7</v>
      </c>
      <c r="AI5" s="282">
        <v>3698</v>
      </c>
      <c r="AJ5" s="389">
        <v>2101</v>
      </c>
      <c r="AK5" s="475">
        <f t="shared" ref="AK5:AK17" si="14">ROUND(((AJ5/AI5-1)*100), 1)</f>
        <v>-43.2</v>
      </c>
      <c r="AL5" s="761">
        <f t="shared" ref="AL5:AL25" si="15">AO5-AI5</f>
        <v>242</v>
      </c>
      <c r="AM5" s="768">
        <f t="shared" ref="AM5:AM25" si="16">AP5-AJ5</f>
        <v>102</v>
      </c>
      <c r="AN5" s="775">
        <f t="shared" ref="AN5:AN17" si="17">ROUND(((AM5/AL5-1)*100), 1)</f>
        <v>-57.9</v>
      </c>
      <c r="AO5" s="778">
        <v>3940</v>
      </c>
      <c r="AP5" s="812">
        <v>2203</v>
      </c>
      <c r="AQ5" s="775">
        <f t="shared" ref="AQ5:AQ17" si="18">ROUND(((AP5/AO5-1)*100), 1)</f>
        <v>-44.1</v>
      </c>
      <c r="AR5" s="778">
        <f t="shared" ref="AR5:AS25" si="19">AU5-AO5</f>
        <v>774</v>
      </c>
      <c r="AS5" s="812">
        <f t="shared" si="19"/>
        <v>141</v>
      </c>
      <c r="AT5" s="775">
        <f t="shared" ref="AT5:AT17" si="20">ROUND(((AS5/AR5-1)*100), 1)</f>
        <v>-81.8</v>
      </c>
      <c r="AU5" s="1024">
        <v>4714</v>
      </c>
      <c r="AV5" s="974">
        <v>2344</v>
      </c>
      <c r="AW5" s="775">
        <f t="shared" ref="AW5:AW17" si="21">ROUND(((AV5/AU5-1)*100), 1)</f>
        <v>-50.3</v>
      </c>
      <c r="AX5" s="778">
        <f t="shared" ref="AX5:AX25" si="22">BA5-AU5</f>
        <v>395</v>
      </c>
      <c r="AY5" s="812">
        <f t="shared" ref="AY5:AY25" si="23">BB5-AV5</f>
        <v>558</v>
      </c>
      <c r="AZ5" s="775">
        <f t="shared" ref="AZ5:AZ17" si="24">ROUND(((AY5/AX5-1)*100), 1)</f>
        <v>41.3</v>
      </c>
      <c r="BA5" s="778">
        <v>5109</v>
      </c>
      <c r="BB5" s="812">
        <v>2902</v>
      </c>
      <c r="BC5" s="775">
        <f t="shared" ref="BC5:BC17" si="25">ROUND(((BB5/BA5-1)*100), 1)</f>
        <v>-43.2</v>
      </c>
      <c r="BD5" s="778">
        <f t="shared" ref="BD5:BE25" si="26">BG5-BA5</f>
        <v>364</v>
      </c>
      <c r="BE5" s="812">
        <f t="shared" si="26"/>
        <v>384</v>
      </c>
      <c r="BF5" s="775">
        <f t="shared" ref="BF5:BF16" si="27">ROUND(((BE5/BD5-1)*100), 1)</f>
        <v>5.5</v>
      </c>
      <c r="BG5" s="778">
        <v>5473</v>
      </c>
      <c r="BH5" s="812">
        <v>3286</v>
      </c>
      <c r="BI5" s="775">
        <f t="shared" ref="BI5:BI17" si="28">ROUND(((BH5/BG5-1)*100), 1)</f>
        <v>-40</v>
      </c>
      <c r="BJ5" s="778">
        <f t="shared" ref="BJ5:BK25" si="29">BM5-BG5</f>
        <v>357</v>
      </c>
      <c r="BK5" s="812">
        <f t="shared" si="29"/>
        <v>530</v>
      </c>
      <c r="BL5" s="775">
        <f t="shared" ref="BL5:BL17" si="30">ROUND(((BK5/BJ5-1)*100), 1)</f>
        <v>48.5</v>
      </c>
      <c r="BM5" s="778">
        <v>5830</v>
      </c>
      <c r="BN5" s="812">
        <v>3816</v>
      </c>
      <c r="BO5" s="775">
        <f t="shared" ref="BO5:BO17" si="31">ROUND(((BN5/BM5-1)*100), 1)</f>
        <v>-34.5</v>
      </c>
      <c r="BP5" s="778">
        <f t="shared" ref="BP5:BQ25" si="32">BS5-BM5</f>
        <v>831</v>
      </c>
      <c r="BQ5" s="812">
        <f t="shared" si="32"/>
        <v>676</v>
      </c>
      <c r="BR5" s="775">
        <f t="shared" ref="BR5:BR17" si="33">ROUND(((BQ5/BP5-1)*100), 1)</f>
        <v>-18.7</v>
      </c>
      <c r="BS5" s="778">
        <v>6661</v>
      </c>
      <c r="BT5" s="812">
        <v>4492</v>
      </c>
      <c r="BU5" s="775">
        <f t="shared" ref="BU5:BU17" si="34">ROUND(((BT5/BS5-1)*100), 1)</f>
        <v>-32.6</v>
      </c>
    </row>
    <row r="6" spans="1:73">
      <c r="A6" s="4" t="s">
        <v>121</v>
      </c>
      <c r="B6" s="43" t="s">
        <v>51</v>
      </c>
      <c r="C6" s="44">
        <v>161</v>
      </c>
      <c r="D6" s="44">
        <v>1010</v>
      </c>
      <c r="E6" s="44">
        <v>1954</v>
      </c>
      <c r="F6" s="44">
        <v>9446</v>
      </c>
      <c r="G6" s="44">
        <v>2409</v>
      </c>
      <c r="H6" s="44">
        <v>1567</v>
      </c>
      <c r="I6" s="44">
        <v>2153</v>
      </c>
      <c r="J6" s="44">
        <v>5932</v>
      </c>
      <c r="K6" s="283">
        <v>126</v>
      </c>
      <c r="L6" s="390">
        <v>484</v>
      </c>
      <c r="M6" s="242">
        <f t="shared" si="0"/>
        <v>284.10000000000002</v>
      </c>
      <c r="N6" s="283">
        <f t="shared" si="1"/>
        <v>540</v>
      </c>
      <c r="O6" s="390">
        <f t="shared" si="1"/>
        <v>791</v>
      </c>
      <c r="P6" s="242">
        <f t="shared" si="2"/>
        <v>46.5</v>
      </c>
      <c r="Q6" s="283">
        <v>666</v>
      </c>
      <c r="R6" s="390">
        <v>1275</v>
      </c>
      <c r="S6" s="242">
        <f t="shared" si="3"/>
        <v>91.4</v>
      </c>
      <c r="T6" s="283">
        <f t="shared" si="4"/>
        <v>140</v>
      </c>
      <c r="U6" s="390">
        <f t="shared" si="5"/>
        <v>1034</v>
      </c>
      <c r="V6" s="242">
        <f t="shared" si="6"/>
        <v>638.6</v>
      </c>
      <c r="W6" s="283">
        <v>806</v>
      </c>
      <c r="X6" s="390">
        <v>2309</v>
      </c>
      <c r="Y6" s="242">
        <f t="shared" si="7"/>
        <v>186.5</v>
      </c>
      <c r="Z6" s="283">
        <f t="shared" si="8"/>
        <v>88</v>
      </c>
      <c r="AA6" s="390">
        <f t="shared" si="9"/>
        <v>611</v>
      </c>
      <c r="AB6" s="242">
        <f t="shared" si="10"/>
        <v>594.29999999999995</v>
      </c>
      <c r="AC6" s="283">
        <v>894</v>
      </c>
      <c r="AD6" s="390">
        <v>2920</v>
      </c>
      <c r="AE6" s="242">
        <f t="shared" si="11"/>
        <v>226.6</v>
      </c>
      <c r="AF6" s="283">
        <f t="shared" si="12"/>
        <v>329</v>
      </c>
      <c r="AG6" s="390">
        <f t="shared" si="12"/>
        <v>394</v>
      </c>
      <c r="AH6" s="242">
        <f t="shared" si="13"/>
        <v>19.8</v>
      </c>
      <c r="AI6" s="283">
        <v>1223</v>
      </c>
      <c r="AJ6" s="390">
        <v>3314</v>
      </c>
      <c r="AK6" s="242">
        <f t="shared" si="14"/>
        <v>171</v>
      </c>
      <c r="AL6" s="762">
        <f t="shared" si="15"/>
        <v>547</v>
      </c>
      <c r="AM6" s="769">
        <f t="shared" si="16"/>
        <v>980</v>
      </c>
      <c r="AN6" s="753">
        <f t="shared" si="17"/>
        <v>79.2</v>
      </c>
      <c r="AO6" s="779">
        <v>1770</v>
      </c>
      <c r="AP6" s="819">
        <v>4294</v>
      </c>
      <c r="AQ6" s="753">
        <f t="shared" si="18"/>
        <v>142.6</v>
      </c>
      <c r="AR6" s="779">
        <f t="shared" si="19"/>
        <v>649</v>
      </c>
      <c r="AS6" s="819">
        <f t="shared" si="19"/>
        <v>1241</v>
      </c>
      <c r="AT6" s="753">
        <f t="shared" si="20"/>
        <v>91.2</v>
      </c>
      <c r="AU6" s="975">
        <v>2419</v>
      </c>
      <c r="AV6" s="970">
        <v>5535</v>
      </c>
      <c r="AW6" s="753">
        <f t="shared" si="21"/>
        <v>128.80000000000001</v>
      </c>
      <c r="AX6" s="779">
        <f t="shared" si="22"/>
        <v>451</v>
      </c>
      <c r="AY6" s="819">
        <f t="shared" si="23"/>
        <v>524</v>
      </c>
      <c r="AZ6" s="753">
        <f t="shared" si="24"/>
        <v>16.2</v>
      </c>
      <c r="BA6" s="779">
        <v>2870</v>
      </c>
      <c r="BB6" s="819">
        <v>6059</v>
      </c>
      <c r="BC6" s="753">
        <f t="shared" si="25"/>
        <v>111.1</v>
      </c>
      <c r="BD6" s="779">
        <f t="shared" si="26"/>
        <v>766</v>
      </c>
      <c r="BE6" s="819">
        <f t="shared" si="26"/>
        <v>1034</v>
      </c>
      <c r="BF6" s="753">
        <f t="shared" si="27"/>
        <v>35</v>
      </c>
      <c r="BG6" s="779">
        <v>3636</v>
      </c>
      <c r="BH6" s="819">
        <v>7093</v>
      </c>
      <c r="BI6" s="753">
        <f t="shared" si="28"/>
        <v>95.1</v>
      </c>
      <c r="BJ6" s="779">
        <f t="shared" si="29"/>
        <v>867</v>
      </c>
      <c r="BK6" s="819">
        <f t="shared" si="29"/>
        <v>706</v>
      </c>
      <c r="BL6" s="753">
        <f t="shared" si="30"/>
        <v>-18.600000000000001</v>
      </c>
      <c r="BM6" s="779">
        <v>4503</v>
      </c>
      <c r="BN6" s="819">
        <v>7799</v>
      </c>
      <c r="BO6" s="753">
        <f t="shared" si="31"/>
        <v>73.2</v>
      </c>
      <c r="BP6" s="779">
        <f t="shared" si="32"/>
        <v>811</v>
      </c>
      <c r="BQ6" s="819">
        <f t="shared" si="32"/>
        <v>963</v>
      </c>
      <c r="BR6" s="753">
        <f t="shared" si="33"/>
        <v>18.7</v>
      </c>
      <c r="BS6" s="779">
        <v>5314</v>
      </c>
      <c r="BT6" s="819">
        <v>8762</v>
      </c>
      <c r="BU6" s="753">
        <f t="shared" si="34"/>
        <v>64.900000000000006</v>
      </c>
    </row>
    <row r="7" spans="1:73">
      <c r="A7" s="4"/>
      <c r="B7" s="43" t="s">
        <v>54</v>
      </c>
      <c r="C7" s="44">
        <v>5580</v>
      </c>
      <c r="D7" s="44">
        <v>5537</v>
      </c>
      <c r="E7" s="44">
        <v>6121</v>
      </c>
      <c r="F7" s="44">
        <v>6537</v>
      </c>
      <c r="G7" s="44">
        <v>6053</v>
      </c>
      <c r="H7" s="44">
        <v>5568</v>
      </c>
      <c r="I7" s="44">
        <v>4519</v>
      </c>
      <c r="J7" s="44">
        <v>5368</v>
      </c>
      <c r="K7" s="283">
        <v>511</v>
      </c>
      <c r="L7" s="390">
        <v>418</v>
      </c>
      <c r="M7" s="242">
        <f t="shared" si="0"/>
        <v>-18.2</v>
      </c>
      <c r="N7" s="283">
        <f t="shared" si="1"/>
        <v>446</v>
      </c>
      <c r="O7" s="390">
        <f t="shared" si="1"/>
        <v>411</v>
      </c>
      <c r="P7" s="242">
        <f t="shared" si="2"/>
        <v>-7.8</v>
      </c>
      <c r="Q7" s="283">
        <v>957</v>
      </c>
      <c r="R7" s="390">
        <v>829</v>
      </c>
      <c r="S7" s="242">
        <f t="shared" si="3"/>
        <v>-13.4</v>
      </c>
      <c r="T7" s="283">
        <f t="shared" si="4"/>
        <v>442</v>
      </c>
      <c r="U7" s="390">
        <f t="shared" si="5"/>
        <v>442</v>
      </c>
      <c r="V7" s="242">
        <f t="shared" si="6"/>
        <v>0</v>
      </c>
      <c r="W7" s="283">
        <v>1399</v>
      </c>
      <c r="X7" s="390">
        <v>1271</v>
      </c>
      <c r="Y7" s="242">
        <f t="shared" si="7"/>
        <v>-9.1</v>
      </c>
      <c r="Z7" s="283">
        <f t="shared" si="8"/>
        <v>432</v>
      </c>
      <c r="AA7" s="390">
        <f t="shared" si="9"/>
        <v>410</v>
      </c>
      <c r="AB7" s="242">
        <f t="shared" si="10"/>
        <v>-5.0999999999999996</v>
      </c>
      <c r="AC7" s="283">
        <v>1831</v>
      </c>
      <c r="AD7" s="390">
        <v>1681</v>
      </c>
      <c r="AE7" s="242">
        <f t="shared" si="11"/>
        <v>-8.1999999999999993</v>
      </c>
      <c r="AF7" s="283">
        <f t="shared" si="12"/>
        <v>531</v>
      </c>
      <c r="AG7" s="390">
        <f t="shared" si="12"/>
        <v>407</v>
      </c>
      <c r="AH7" s="242">
        <f t="shared" si="13"/>
        <v>-23.4</v>
      </c>
      <c r="AI7" s="283">
        <v>2362</v>
      </c>
      <c r="AJ7" s="390">
        <v>2088</v>
      </c>
      <c r="AK7" s="242">
        <f t="shared" si="14"/>
        <v>-11.6</v>
      </c>
      <c r="AL7" s="762">
        <f t="shared" si="15"/>
        <v>454</v>
      </c>
      <c r="AM7" s="769">
        <f t="shared" si="16"/>
        <v>277</v>
      </c>
      <c r="AN7" s="753">
        <f t="shared" si="17"/>
        <v>-39</v>
      </c>
      <c r="AO7" s="779">
        <v>2816</v>
      </c>
      <c r="AP7" s="819">
        <v>2365</v>
      </c>
      <c r="AQ7" s="753">
        <f t="shared" si="18"/>
        <v>-16</v>
      </c>
      <c r="AR7" s="779">
        <f t="shared" si="19"/>
        <v>467</v>
      </c>
      <c r="AS7" s="819">
        <f t="shared" si="19"/>
        <v>297</v>
      </c>
      <c r="AT7" s="753">
        <f t="shared" si="20"/>
        <v>-36.4</v>
      </c>
      <c r="AU7" s="975">
        <v>3283</v>
      </c>
      <c r="AV7" s="970">
        <v>2662</v>
      </c>
      <c r="AW7" s="753">
        <f t="shared" si="21"/>
        <v>-18.899999999999999</v>
      </c>
      <c r="AX7" s="779">
        <f t="shared" si="22"/>
        <v>484</v>
      </c>
      <c r="AY7" s="819">
        <f t="shared" si="23"/>
        <v>314</v>
      </c>
      <c r="AZ7" s="753">
        <f t="shared" si="24"/>
        <v>-35.1</v>
      </c>
      <c r="BA7" s="779">
        <v>3767</v>
      </c>
      <c r="BB7" s="819">
        <v>2976</v>
      </c>
      <c r="BC7" s="753">
        <f t="shared" si="25"/>
        <v>-21</v>
      </c>
      <c r="BD7" s="779">
        <f t="shared" si="26"/>
        <v>412</v>
      </c>
      <c r="BE7" s="819">
        <f t="shared" si="26"/>
        <v>341</v>
      </c>
      <c r="BF7" s="753">
        <f t="shared" si="27"/>
        <v>-17.2</v>
      </c>
      <c r="BG7" s="779">
        <v>4179</v>
      </c>
      <c r="BH7" s="819">
        <v>3317</v>
      </c>
      <c r="BI7" s="753">
        <f t="shared" si="28"/>
        <v>-20.6</v>
      </c>
      <c r="BJ7" s="779">
        <f t="shared" si="29"/>
        <v>498</v>
      </c>
      <c r="BK7" s="819">
        <f t="shared" si="29"/>
        <v>319</v>
      </c>
      <c r="BL7" s="753">
        <f t="shared" si="30"/>
        <v>-35.9</v>
      </c>
      <c r="BM7" s="779">
        <v>4677</v>
      </c>
      <c r="BN7" s="819">
        <v>3636</v>
      </c>
      <c r="BO7" s="753">
        <f t="shared" si="31"/>
        <v>-22.3</v>
      </c>
      <c r="BP7" s="779">
        <f t="shared" si="32"/>
        <v>409</v>
      </c>
      <c r="BQ7" s="819">
        <f t="shared" si="32"/>
        <v>292</v>
      </c>
      <c r="BR7" s="753">
        <f t="shared" si="33"/>
        <v>-28.6</v>
      </c>
      <c r="BS7" s="779">
        <v>5086</v>
      </c>
      <c r="BT7" s="819">
        <v>3928</v>
      </c>
      <c r="BU7" s="753">
        <f t="shared" si="34"/>
        <v>-22.8</v>
      </c>
    </row>
    <row r="8" spans="1:73">
      <c r="A8" s="4"/>
      <c r="B8" s="43" t="s">
        <v>50</v>
      </c>
      <c r="C8" s="44">
        <v>3551</v>
      </c>
      <c r="D8" s="44">
        <v>2927</v>
      </c>
      <c r="E8" s="44">
        <v>3251</v>
      </c>
      <c r="F8" s="44">
        <v>5724</v>
      </c>
      <c r="G8" s="44">
        <v>6615</v>
      </c>
      <c r="H8" s="44">
        <v>6502</v>
      </c>
      <c r="I8" s="44">
        <v>5551</v>
      </c>
      <c r="J8" s="44">
        <v>5160</v>
      </c>
      <c r="K8" s="283">
        <v>353</v>
      </c>
      <c r="L8" s="390">
        <v>357</v>
      </c>
      <c r="M8" s="242">
        <f t="shared" si="0"/>
        <v>1.1000000000000001</v>
      </c>
      <c r="N8" s="283">
        <f t="shared" si="1"/>
        <v>401</v>
      </c>
      <c r="O8" s="390">
        <f t="shared" si="1"/>
        <v>332</v>
      </c>
      <c r="P8" s="242">
        <f t="shared" si="2"/>
        <v>-17.2</v>
      </c>
      <c r="Q8" s="283">
        <v>754</v>
      </c>
      <c r="R8" s="390">
        <v>689</v>
      </c>
      <c r="S8" s="242">
        <f t="shared" si="3"/>
        <v>-8.6</v>
      </c>
      <c r="T8" s="283">
        <f t="shared" si="4"/>
        <v>465</v>
      </c>
      <c r="U8" s="390">
        <f t="shared" si="5"/>
        <v>403</v>
      </c>
      <c r="V8" s="242">
        <f t="shared" si="6"/>
        <v>-13.3</v>
      </c>
      <c r="W8" s="283">
        <v>1219</v>
      </c>
      <c r="X8" s="390">
        <v>1092</v>
      </c>
      <c r="Y8" s="242">
        <f t="shared" si="7"/>
        <v>-10.4</v>
      </c>
      <c r="Z8" s="283">
        <f t="shared" si="8"/>
        <v>569</v>
      </c>
      <c r="AA8" s="390">
        <f t="shared" si="9"/>
        <v>415</v>
      </c>
      <c r="AB8" s="242">
        <f t="shared" si="10"/>
        <v>-27.1</v>
      </c>
      <c r="AC8" s="283">
        <v>1788</v>
      </c>
      <c r="AD8" s="390">
        <v>1507</v>
      </c>
      <c r="AE8" s="242">
        <f t="shared" si="11"/>
        <v>-15.7</v>
      </c>
      <c r="AF8" s="283">
        <f t="shared" si="12"/>
        <v>446</v>
      </c>
      <c r="AG8" s="390">
        <f t="shared" si="12"/>
        <v>397</v>
      </c>
      <c r="AH8" s="242">
        <f t="shared" si="13"/>
        <v>-11</v>
      </c>
      <c r="AI8" s="283">
        <v>2234</v>
      </c>
      <c r="AJ8" s="390">
        <v>1904</v>
      </c>
      <c r="AK8" s="242">
        <f t="shared" si="14"/>
        <v>-14.8</v>
      </c>
      <c r="AL8" s="762">
        <f t="shared" si="15"/>
        <v>413</v>
      </c>
      <c r="AM8" s="769">
        <f t="shared" si="16"/>
        <v>324</v>
      </c>
      <c r="AN8" s="753">
        <f t="shared" si="17"/>
        <v>-21.5</v>
      </c>
      <c r="AO8" s="779">
        <v>2647</v>
      </c>
      <c r="AP8" s="819">
        <v>2228</v>
      </c>
      <c r="AQ8" s="753">
        <f t="shared" si="18"/>
        <v>-15.8</v>
      </c>
      <c r="AR8" s="779">
        <f t="shared" si="19"/>
        <v>385</v>
      </c>
      <c r="AS8" s="819">
        <f t="shared" si="19"/>
        <v>364</v>
      </c>
      <c r="AT8" s="753">
        <f t="shared" si="20"/>
        <v>-5.5</v>
      </c>
      <c r="AU8" s="975">
        <v>3032</v>
      </c>
      <c r="AV8" s="970">
        <v>2592</v>
      </c>
      <c r="AW8" s="753">
        <f t="shared" si="21"/>
        <v>-14.5</v>
      </c>
      <c r="AX8" s="779">
        <f t="shared" si="22"/>
        <v>435</v>
      </c>
      <c r="AY8" s="819">
        <f t="shared" si="23"/>
        <v>250</v>
      </c>
      <c r="AZ8" s="753">
        <f t="shared" si="24"/>
        <v>-42.5</v>
      </c>
      <c r="BA8" s="779">
        <v>3467</v>
      </c>
      <c r="BB8" s="819">
        <v>2842</v>
      </c>
      <c r="BC8" s="753">
        <f t="shared" si="25"/>
        <v>-18</v>
      </c>
      <c r="BD8" s="779">
        <f t="shared" si="26"/>
        <v>373</v>
      </c>
      <c r="BE8" s="819">
        <f t="shared" si="26"/>
        <v>262</v>
      </c>
      <c r="BF8" s="753">
        <f t="shared" si="27"/>
        <v>-29.8</v>
      </c>
      <c r="BG8" s="779">
        <v>3840</v>
      </c>
      <c r="BH8" s="819">
        <v>3104</v>
      </c>
      <c r="BI8" s="753">
        <f t="shared" si="28"/>
        <v>-19.2</v>
      </c>
      <c r="BJ8" s="779">
        <f t="shared" si="29"/>
        <v>456</v>
      </c>
      <c r="BK8" s="819">
        <f t="shared" si="29"/>
        <v>888</v>
      </c>
      <c r="BL8" s="753">
        <f t="shared" si="30"/>
        <v>94.7</v>
      </c>
      <c r="BM8" s="779">
        <v>4296</v>
      </c>
      <c r="BN8" s="819">
        <v>3992</v>
      </c>
      <c r="BO8" s="753">
        <f t="shared" si="31"/>
        <v>-7.1</v>
      </c>
      <c r="BP8" s="779">
        <f t="shared" si="32"/>
        <v>328</v>
      </c>
      <c r="BQ8" s="819">
        <f t="shared" si="32"/>
        <v>298</v>
      </c>
      <c r="BR8" s="753">
        <f t="shared" si="33"/>
        <v>-9.1</v>
      </c>
      <c r="BS8" s="779">
        <v>4624</v>
      </c>
      <c r="BT8" s="819">
        <v>4290</v>
      </c>
      <c r="BU8" s="753">
        <f t="shared" si="34"/>
        <v>-7.2</v>
      </c>
    </row>
    <row r="9" spans="1:73">
      <c r="A9" s="4"/>
      <c r="B9" s="43" t="s">
        <v>53</v>
      </c>
      <c r="C9" s="44">
        <v>4518</v>
      </c>
      <c r="D9" s="44">
        <v>4283</v>
      </c>
      <c r="E9" s="44">
        <v>4249</v>
      </c>
      <c r="F9" s="44">
        <v>3981</v>
      </c>
      <c r="G9" s="44">
        <v>4413</v>
      </c>
      <c r="H9" s="44">
        <v>5983</v>
      </c>
      <c r="I9" s="44">
        <v>3864</v>
      </c>
      <c r="J9" s="44">
        <v>3832</v>
      </c>
      <c r="K9" s="283">
        <v>389</v>
      </c>
      <c r="L9" s="390">
        <v>503</v>
      </c>
      <c r="M9" s="242">
        <f t="shared" si="0"/>
        <v>29.3</v>
      </c>
      <c r="N9" s="283">
        <f t="shared" si="1"/>
        <v>323</v>
      </c>
      <c r="O9" s="390">
        <f t="shared" si="1"/>
        <v>318</v>
      </c>
      <c r="P9" s="242">
        <f t="shared" si="2"/>
        <v>-1.5</v>
      </c>
      <c r="Q9" s="283">
        <v>712</v>
      </c>
      <c r="R9" s="390">
        <v>821</v>
      </c>
      <c r="S9" s="242">
        <f t="shared" si="3"/>
        <v>15.3</v>
      </c>
      <c r="T9" s="283">
        <f t="shared" si="4"/>
        <v>272</v>
      </c>
      <c r="U9" s="390">
        <f t="shared" si="5"/>
        <v>331</v>
      </c>
      <c r="V9" s="242">
        <f t="shared" si="6"/>
        <v>21.7</v>
      </c>
      <c r="W9" s="283">
        <v>984</v>
      </c>
      <c r="X9" s="390">
        <v>1152</v>
      </c>
      <c r="Y9" s="242">
        <f t="shared" si="7"/>
        <v>17.100000000000001</v>
      </c>
      <c r="Z9" s="283">
        <f t="shared" si="8"/>
        <v>347</v>
      </c>
      <c r="AA9" s="390">
        <f t="shared" si="9"/>
        <v>152</v>
      </c>
      <c r="AB9" s="242">
        <f t="shared" si="10"/>
        <v>-56.2</v>
      </c>
      <c r="AC9" s="283">
        <v>1331</v>
      </c>
      <c r="AD9" s="390">
        <v>1304</v>
      </c>
      <c r="AE9" s="242">
        <f t="shared" si="11"/>
        <v>-2</v>
      </c>
      <c r="AF9" s="283">
        <f t="shared" si="12"/>
        <v>291</v>
      </c>
      <c r="AG9" s="390">
        <f t="shared" si="12"/>
        <v>157</v>
      </c>
      <c r="AH9" s="242">
        <f t="shared" si="13"/>
        <v>-46</v>
      </c>
      <c r="AI9" s="283">
        <v>1622</v>
      </c>
      <c r="AJ9" s="390">
        <v>1461</v>
      </c>
      <c r="AK9" s="242">
        <f t="shared" si="14"/>
        <v>-9.9</v>
      </c>
      <c r="AL9" s="762">
        <f t="shared" si="15"/>
        <v>253</v>
      </c>
      <c r="AM9" s="769">
        <f t="shared" si="16"/>
        <v>229</v>
      </c>
      <c r="AN9" s="753">
        <f t="shared" si="17"/>
        <v>-9.5</v>
      </c>
      <c r="AO9" s="779">
        <v>1875</v>
      </c>
      <c r="AP9" s="819">
        <v>1690</v>
      </c>
      <c r="AQ9" s="753">
        <f t="shared" si="18"/>
        <v>-9.9</v>
      </c>
      <c r="AR9" s="779">
        <f t="shared" si="19"/>
        <v>278</v>
      </c>
      <c r="AS9" s="819">
        <f t="shared" si="19"/>
        <v>316</v>
      </c>
      <c r="AT9" s="753">
        <f t="shared" si="20"/>
        <v>13.7</v>
      </c>
      <c r="AU9" s="975">
        <v>2153</v>
      </c>
      <c r="AV9" s="970">
        <v>2006</v>
      </c>
      <c r="AW9" s="753">
        <f t="shared" si="21"/>
        <v>-6.8</v>
      </c>
      <c r="AX9" s="779">
        <f t="shared" si="22"/>
        <v>270</v>
      </c>
      <c r="AY9" s="819">
        <f t="shared" si="23"/>
        <v>258</v>
      </c>
      <c r="AZ9" s="753">
        <f t="shared" si="24"/>
        <v>-4.4000000000000004</v>
      </c>
      <c r="BA9" s="779">
        <v>2423</v>
      </c>
      <c r="BB9" s="819">
        <v>2264</v>
      </c>
      <c r="BC9" s="753">
        <f t="shared" si="25"/>
        <v>-6.6</v>
      </c>
      <c r="BD9" s="779">
        <f t="shared" si="26"/>
        <v>264</v>
      </c>
      <c r="BE9" s="819">
        <f t="shared" si="26"/>
        <v>284</v>
      </c>
      <c r="BF9" s="753">
        <f t="shared" si="27"/>
        <v>7.6</v>
      </c>
      <c r="BG9" s="779">
        <v>2687</v>
      </c>
      <c r="BH9" s="819">
        <v>2548</v>
      </c>
      <c r="BI9" s="753">
        <f t="shared" si="28"/>
        <v>-5.2</v>
      </c>
      <c r="BJ9" s="779">
        <f t="shared" si="29"/>
        <v>415</v>
      </c>
      <c r="BK9" s="819">
        <f t="shared" si="29"/>
        <v>255</v>
      </c>
      <c r="BL9" s="753">
        <f t="shared" si="30"/>
        <v>-38.6</v>
      </c>
      <c r="BM9" s="779">
        <v>3102</v>
      </c>
      <c r="BN9" s="819">
        <v>2803</v>
      </c>
      <c r="BO9" s="753">
        <f t="shared" si="31"/>
        <v>-9.6</v>
      </c>
      <c r="BP9" s="779">
        <f t="shared" si="32"/>
        <v>352</v>
      </c>
      <c r="BQ9" s="819">
        <f t="shared" si="32"/>
        <v>281</v>
      </c>
      <c r="BR9" s="753">
        <f t="shared" si="33"/>
        <v>-20.2</v>
      </c>
      <c r="BS9" s="779">
        <v>3454</v>
      </c>
      <c r="BT9" s="819">
        <v>3084</v>
      </c>
      <c r="BU9" s="753">
        <f t="shared" si="34"/>
        <v>-10.7</v>
      </c>
    </row>
    <row r="10" spans="1:73">
      <c r="A10" s="4"/>
      <c r="B10" s="43" t="s">
        <v>101</v>
      </c>
      <c r="C10" s="44">
        <v>1025</v>
      </c>
      <c r="D10" s="44">
        <v>997</v>
      </c>
      <c r="E10" s="44">
        <v>1254</v>
      </c>
      <c r="F10" s="44">
        <v>1362</v>
      </c>
      <c r="G10" s="44">
        <v>3336</v>
      </c>
      <c r="H10" s="44">
        <v>3772</v>
      </c>
      <c r="I10" s="44">
        <v>3207</v>
      </c>
      <c r="J10" s="44">
        <v>2723</v>
      </c>
      <c r="K10" s="283">
        <v>316</v>
      </c>
      <c r="L10" s="390">
        <v>345</v>
      </c>
      <c r="M10" s="242">
        <f t="shared" si="0"/>
        <v>9.1999999999999993</v>
      </c>
      <c r="N10" s="283">
        <f t="shared" si="1"/>
        <v>216</v>
      </c>
      <c r="O10" s="390">
        <f t="shared" si="1"/>
        <v>349</v>
      </c>
      <c r="P10" s="242">
        <f t="shared" si="2"/>
        <v>61.6</v>
      </c>
      <c r="Q10" s="283">
        <v>532</v>
      </c>
      <c r="R10" s="390">
        <v>694</v>
      </c>
      <c r="S10" s="242">
        <f t="shared" si="3"/>
        <v>30.5</v>
      </c>
      <c r="T10" s="283">
        <f t="shared" si="4"/>
        <v>288</v>
      </c>
      <c r="U10" s="390">
        <f t="shared" si="5"/>
        <v>336</v>
      </c>
      <c r="V10" s="242">
        <f t="shared" si="6"/>
        <v>16.7</v>
      </c>
      <c r="W10" s="283">
        <v>820</v>
      </c>
      <c r="X10" s="390">
        <v>1030</v>
      </c>
      <c r="Y10" s="242">
        <f t="shared" si="7"/>
        <v>25.6</v>
      </c>
      <c r="Z10" s="283">
        <f t="shared" si="8"/>
        <v>250</v>
      </c>
      <c r="AA10" s="390">
        <f t="shared" si="9"/>
        <v>308</v>
      </c>
      <c r="AB10" s="242">
        <f t="shared" si="10"/>
        <v>23.2</v>
      </c>
      <c r="AC10" s="283">
        <v>1070</v>
      </c>
      <c r="AD10" s="390">
        <v>1338</v>
      </c>
      <c r="AE10" s="242">
        <f t="shared" si="11"/>
        <v>25</v>
      </c>
      <c r="AF10" s="283">
        <f t="shared" si="12"/>
        <v>223</v>
      </c>
      <c r="AG10" s="390">
        <f t="shared" si="12"/>
        <v>5</v>
      </c>
      <c r="AH10" s="242">
        <f t="shared" si="13"/>
        <v>-97.8</v>
      </c>
      <c r="AI10" s="283">
        <v>1293</v>
      </c>
      <c r="AJ10" s="390">
        <v>1343</v>
      </c>
      <c r="AK10" s="242">
        <f t="shared" si="14"/>
        <v>3.9</v>
      </c>
      <c r="AL10" s="762">
        <f t="shared" si="15"/>
        <v>200</v>
      </c>
      <c r="AM10" s="769">
        <f t="shared" si="16"/>
        <v>185</v>
      </c>
      <c r="AN10" s="753">
        <f t="shared" si="17"/>
        <v>-7.5</v>
      </c>
      <c r="AO10" s="779">
        <v>1493</v>
      </c>
      <c r="AP10" s="819">
        <v>1528</v>
      </c>
      <c r="AQ10" s="753">
        <f t="shared" si="18"/>
        <v>2.2999999999999998</v>
      </c>
      <c r="AR10" s="779">
        <f t="shared" si="19"/>
        <v>190</v>
      </c>
      <c r="AS10" s="819">
        <f t="shared" si="19"/>
        <v>160</v>
      </c>
      <c r="AT10" s="753">
        <f t="shared" si="20"/>
        <v>-15.8</v>
      </c>
      <c r="AU10" s="975">
        <v>1683</v>
      </c>
      <c r="AV10" s="970">
        <v>1688</v>
      </c>
      <c r="AW10" s="753">
        <f t="shared" si="21"/>
        <v>0.3</v>
      </c>
      <c r="AX10" s="779">
        <f t="shared" si="22"/>
        <v>138</v>
      </c>
      <c r="AY10" s="819">
        <f t="shared" si="23"/>
        <v>110</v>
      </c>
      <c r="AZ10" s="753">
        <f t="shared" si="24"/>
        <v>-20.3</v>
      </c>
      <c r="BA10" s="779">
        <v>1821</v>
      </c>
      <c r="BB10" s="819">
        <v>1798</v>
      </c>
      <c r="BC10" s="753">
        <f t="shared" si="25"/>
        <v>-1.3</v>
      </c>
      <c r="BD10" s="779">
        <f t="shared" si="26"/>
        <v>195</v>
      </c>
      <c r="BE10" s="819">
        <f t="shared" si="26"/>
        <v>249</v>
      </c>
      <c r="BF10" s="753">
        <f t="shared" si="27"/>
        <v>27.7</v>
      </c>
      <c r="BG10" s="779">
        <v>2016</v>
      </c>
      <c r="BH10" s="819">
        <v>2047</v>
      </c>
      <c r="BI10" s="753">
        <f t="shared" si="28"/>
        <v>1.5</v>
      </c>
      <c r="BJ10" s="779">
        <f t="shared" si="29"/>
        <v>211</v>
      </c>
      <c r="BK10" s="819">
        <f t="shared" si="29"/>
        <v>256</v>
      </c>
      <c r="BL10" s="753">
        <f t="shared" si="30"/>
        <v>21.3</v>
      </c>
      <c r="BM10" s="779">
        <v>2227</v>
      </c>
      <c r="BN10" s="819">
        <v>2303</v>
      </c>
      <c r="BO10" s="753">
        <f t="shared" si="31"/>
        <v>3.4</v>
      </c>
      <c r="BP10" s="779">
        <f t="shared" si="32"/>
        <v>209</v>
      </c>
      <c r="BQ10" s="819">
        <f t="shared" si="32"/>
        <v>211</v>
      </c>
      <c r="BR10" s="753">
        <f t="shared" si="33"/>
        <v>1</v>
      </c>
      <c r="BS10" s="779">
        <v>2436</v>
      </c>
      <c r="BT10" s="819">
        <v>2514</v>
      </c>
      <c r="BU10" s="753">
        <f t="shared" si="34"/>
        <v>3.2</v>
      </c>
    </row>
    <row r="11" spans="1:73">
      <c r="A11" s="4"/>
      <c r="B11" s="43" t="s">
        <v>52</v>
      </c>
      <c r="C11" s="44">
        <v>591</v>
      </c>
      <c r="D11" s="44">
        <v>407</v>
      </c>
      <c r="E11" s="44">
        <v>400</v>
      </c>
      <c r="F11" s="44">
        <v>1064</v>
      </c>
      <c r="G11" s="44">
        <v>1941</v>
      </c>
      <c r="H11" s="44">
        <v>1788</v>
      </c>
      <c r="I11" s="44">
        <v>2068</v>
      </c>
      <c r="J11" s="44">
        <v>2241</v>
      </c>
      <c r="K11" s="283">
        <v>251</v>
      </c>
      <c r="L11" s="390">
        <v>401</v>
      </c>
      <c r="M11" s="242">
        <f t="shared" si="0"/>
        <v>59.8</v>
      </c>
      <c r="N11" s="283">
        <f t="shared" si="1"/>
        <v>139</v>
      </c>
      <c r="O11" s="390">
        <f t="shared" si="1"/>
        <v>429</v>
      </c>
      <c r="P11" s="242">
        <f t="shared" si="2"/>
        <v>208.6</v>
      </c>
      <c r="Q11" s="283">
        <v>390</v>
      </c>
      <c r="R11" s="390">
        <v>830</v>
      </c>
      <c r="S11" s="242">
        <f t="shared" si="3"/>
        <v>112.8</v>
      </c>
      <c r="T11" s="283">
        <f t="shared" si="4"/>
        <v>163</v>
      </c>
      <c r="U11" s="390">
        <f t="shared" si="5"/>
        <v>446</v>
      </c>
      <c r="V11" s="242">
        <f t="shared" si="6"/>
        <v>173.6</v>
      </c>
      <c r="W11" s="283">
        <v>553</v>
      </c>
      <c r="X11" s="390">
        <v>1276</v>
      </c>
      <c r="Y11" s="242">
        <f t="shared" si="7"/>
        <v>130.69999999999999</v>
      </c>
      <c r="Z11" s="283">
        <f t="shared" si="8"/>
        <v>85</v>
      </c>
      <c r="AA11" s="390">
        <f t="shared" si="9"/>
        <v>328</v>
      </c>
      <c r="AB11" s="242">
        <f t="shared" si="10"/>
        <v>285.89999999999998</v>
      </c>
      <c r="AC11" s="283">
        <v>638</v>
      </c>
      <c r="AD11" s="390">
        <v>1604</v>
      </c>
      <c r="AE11" s="242">
        <f t="shared" si="11"/>
        <v>151.4</v>
      </c>
      <c r="AF11" s="283">
        <f t="shared" si="12"/>
        <v>225</v>
      </c>
      <c r="AG11" s="390">
        <f t="shared" si="12"/>
        <v>39</v>
      </c>
      <c r="AH11" s="242">
        <f t="shared" si="13"/>
        <v>-82.7</v>
      </c>
      <c r="AI11" s="283">
        <v>863</v>
      </c>
      <c r="AJ11" s="390">
        <v>1643</v>
      </c>
      <c r="AK11" s="242">
        <f t="shared" si="14"/>
        <v>90.4</v>
      </c>
      <c r="AL11" s="762">
        <f t="shared" si="15"/>
        <v>123</v>
      </c>
      <c r="AM11" s="769">
        <f t="shared" si="16"/>
        <v>35</v>
      </c>
      <c r="AN11" s="753">
        <f t="shared" si="17"/>
        <v>-71.5</v>
      </c>
      <c r="AO11" s="779">
        <v>986</v>
      </c>
      <c r="AP11" s="819">
        <v>1678</v>
      </c>
      <c r="AQ11" s="753">
        <f t="shared" si="18"/>
        <v>70.2</v>
      </c>
      <c r="AR11" s="779">
        <f t="shared" si="19"/>
        <v>146</v>
      </c>
      <c r="AS11" s="819">
        <f t="shared" si="19"/>
        <v>161</v>
      </c>
      <c r="AT11" s="753">
        <f t="shared" si="20"/>
        <v>10.3</v>
      </c>
      <c r="AU11" s="975">
        <v>1132</v>
      </c>
      <c r="AV11" s="970">
        <v>1839</v>
      </c>
      <c r="AW11" s="753">
        <f t="shared" si="21"/>
        <v>62.5</v>
      </c>
      <c r="AX11" s="779">
        <f t="shared" si="22"/>
        <v>262</v>
      </c>
      <c r="AY11" s="819">
        <f t="shared" si="23"/>
        <v>101</v>
      </c>
      <c r="AZ11" s="753">
        <f t="shared" si="24"/>
        <v>-61.5</v>
      </c>
      <c r="BA11" s="779">
        <v>1394</v>
      </c>
      <c r="BB11" s="819">
        <v>1940</v>
      </c>
      <c r="BC11" s="753">
        <f t="shared" si="25"/>
        <v>39.200000000000003</v>
      </c>
      <c r="BD11" s="779">
        <f t="shared" si="26"/>
        <v>126</v>
      </c>
      <c r="BE11" s="819">
        <f t="shared" si="26"/>
        <v>385</v>
      </c>
      <c r="BF11" s="753">
        <f t="shared" si="27"/>
        <v>205.6</v>
      </c>
      <c r="BG11" s="779">
        <v>1520</v>
      </c>
      <c r="BH11" s="819">
        <v>2325</v>
      </c>
      <c r="BI11" s="753">
        <f t="shared" si="28"/>
        <v>53</v>
      </c>
      <c r="BJ11" s="779">
        <f t="shared" si="29"/>
        <v>95</v>
      </c>
      <c r="BK11" s="819">
        <f t="shared" si="29"/>
        <v>361</v>
      </c>
      <c r="BL11" s="753">
        <f t="shared" si="30"/>
        <v>280</v>
      </c>
      <c r="BM11" s="779">
        <v>1615</v>
      </c>
      <c r="BN11" s="819">
        <v>2686</v>
      </c>
      <c r="BO11" s="753">
        <f t="shared" si="31"/>
        <v>66.3</v>
      </c>
      <c r="BP11" s="779">
        <f t="shared" si="32"/>
        <v>230</v>
      </c>
      <c r="BQ11" s="819">
        <f t="shared" si="32"/>
        <v>416</v>
      </c>
      <c r="BR11" s="753">
        <f t="shared" si="33"/>
        <v>80.900000000000006</v>
      </c>
      <c r="BS11" s="779">
        <v>1845</v>
      </c>
      <c r="BT11" s="819">
        <v>3102</v>
      </c>
      <c r="BU11" s="753">
        <f t="shared" si="34"/>
        <v>68.099999999999994</v>
      </c>
    </row>
    <row r="12" spans="1:73" s="173" customFormat="1">
      <c r="A12" s="325"/>
      <c r="B12" s="33" t="s">
        <v>322</v>
      </c>
      <c r="C12" s="340">
        <v>4</v>
      </c>
      <c r="D12" s="340">
        <v>0</v>
      </c>
      <c r="E12" s="340">
        <v>1</v>
      </c>
      <c r="F12" s="340">
        <v>3</v>
      </c>
      <c r="G12" s="340">
        <v>5</v>
      </c>
      <c r="H12" s="340">
        <v>12</v>
      </c>
      <c r="I12" s="340">
        <v>1037</v>
      </c>
      <c r="J12" s="340">
        <v>2168</v>
      </c>
      <c r="K12" s="432">
        <v>195</v>
      </c>
      <c r="L12" s="388">
        <v>118</v>
      </c>
      <c r="M12" s="328">
        <f t="shared" si="0"/>
        <v>-39.5</v>
      </c>
      <c r="N12" s="432">
        <f t="shared" si="1"/>
        <v>192</v>
      </c>
      <c r="O12" s="388">
        <f t="shared" si="1"/>
        <v>195</v>
      </c>
      <c r="P12" s="328">
        <f t="shared" si="2"/>
        <v>1.6</v>
      </c>
      <c r="Q12" s="432">
        <v>387</v>
      </c>
      <c r="R12" s="388">
        <v>313</v>
      </c>
      <c r="S12" s="328">
        <f t="shared" si="3"/>
        <v>-19.100000000000001</v>
      </c>
      <c r="T12" s="432">
        <f t="shared" si="4"/>
        <v>145</v>
      </c>
      <c r="U12" s="388">
        <f t="shared" si="5"/>
        <v>334</v>
      </c>
      <c r="V12" s="328">
        <f t="shared" si="6"/>
        <v>130.30000000000001</v>
      </c>
      <c r="W12" s="432">
        <v>532</v>
      </c>
      <c r="X12" s="388">
        <v>647</v>
      </c>
      <c r="Y12" s="328">
        <f t="shared" si="7"/>
        <v>21.6</v>
      </c>
      <c r="Z12" s="432">
        <f t="shared" si="8"/>
        <v>284</v>
      </c>
      <c r="AA12" s="388">
        <f t="shared" si="9"/>
        <v>499</v>
      </c>
      <c r="AB12" s="328">
        <f t="shared" si="10"/>
        <v>75.7</v>
      </c>
      <c r="AC12" s="432">
        <v>816</v>
      </c>
      <c r="AD12" s="388">
        <v>1146</v>
      </c>
      <c r="AE12" s="328">
        <f t="shared" si="11"/>
        <v>40.4</v>
      </c>
      <c r="AF12" s="432">
        <f t="shared" si="12"/>
        <v>195</v>
      </c>
      <c r="AG12" s="388">
        <f t="shared" si="12"/>
        <v>396</v>
      </c>
      <c r="AH12" s="328">
        <f t="shared" si="13"/>
        <v>103.1</v>
      </c>
      <c r="AI12" s="432">
        <v>1011</v>
      </c>
      <c r="AJ12" s="388">
        <v>1542</v>
      </c>
      <c r="AK12" s="328">
        <f t="shared" si="14"/>
        <v>52.5</v>
      </c>
      <c r="AL12" s="774">
        <f t="shared" si="15"/>
        <v>140</v>
      </c>
      <c r="AM12" s="767">
        <f t="shared" si="16"/>
        <v>159</v>
      </c>
      <c r="AN12" s="765">
        <f t="shared" si="17"/>
        <v>13.6</v>
      </c>
      <c r="AO12" s="777">
        <v>1151</v>
      </c>
      <c r="AP12" s="767">
        <v>1701</v>
      </c>
      <c r="AQ12" s="765">
        <f t="shared" si="18"/>
        <v>47.8</v>
      </c>
      <c r="AR12" s="777">
        <f t="shared" si="19"/>
        <v>89</v>
      </c>
      <c r="AS12" s="767">
        <f t="shared" si="19"/>
        <v>397</v>
      </c>
      <c r="AT12" s="765">
        <f t="shared" si="20"/>
        <v>346.1</v>
      </c>
      <c r="AU12" s="976">
        <v>1240</v>
      </c>
      <c r="AV12" s="978">
        <v>2098</v>
      </c>
      <c r="AW12" s="765">
        <f t="shared" si="21"/>
        <v>69.2</v>
      </c>
      <c r="AX12" s="777">
        <f t="shared" si="22"/>
        <v>233</v>
      </c>
      <c r="AY12" s="767">
        <f t="shared" si="23"/>
        <v>329</v>
      </c>
      <c r="AZ12" s="765">
        <f t="shared" si="24"/>
        <v>41.2</v>
      </c>
      <c r="BA12" s="777">
        <v>1473</v>
      </c>
      <c r="BB12" s="767">
        <v>2427</v>
      </c>
      <c r="BC12" s="765">
        <f t="shared" si="25"/>
        <v>64.8</v>
      </c>
      <c r="BD12" s="777">
        <f t="shared" si="26"/>
        <v>185</v>
      </c>
      <c r="BE12" s="767">
        <f t="shared" si="26"/>
        <v>417</v>
      </c>
      <c r="BF12" s="765">
        <f t="shared" si="27"/>
        <v>125.4</v>
      </c>
      <c r="BG12" s="777">
        <v>1658</v>
      </c>
      <c r="BH12" s="767">
        <v>2844</v>
      </c>
      <c r="BI12" s="765">
        <f t="shared" si="28"/>
        <v>71.5</v>
      </c>
      <c r="BJ12" s="777">
        <f t="shared" si="29"/>
        <v>184</v>
      </c>
      <c r="BK12" s="767">
        <f t="shared" si="29"/>
        <v>386</v>
      </c>
      <c r="BL12" s="765">
        <f t="shared" si="30"/>
        <v>109.8</v>
      </c>
      <c r="BM12" s="777">
        <v>1842</v>
      </c>
      <c r="BN12" s="767">
        <v>3230</v>
      </c>
      <c r="BO12" s="765">
        <f t="shared" si="31"/>
        <v>75.400000000000006</v>
      </c>
      <c r="BP12" s="777">
        <f t="shared" si="32"/>
        <v>156</v>
      </c>
      <c r="BQ12" s="767">
        <f t="shared" si="32"/>
        <v>448</v>
      </c>
      <c r="BR12" s="765">
        <f t="shared" si="33"/>
        <v>187.2</v>
      </c>
      <c r="BS12" s="777">
        <v>1998</v>
      </c>
      <c r="BT12" s="767">
        <v>3678</v>
      </c>
      <c r="BU12" s="765">
        <f t="shared" si="34"/>
        <v>84.1</v>
      </c>
    </row>
    <row r="13" spans="1:73">
      <c r="A13" s="4"/>
      <c r="B13" s="43" t="s">
        <v>116</v>
      </c>
      <c r="C13" s="44">
        <v>373</v>
      </c>
      <c r="D13" s="44">
        <v>36</v>
      </c>
      <c r="E13" s="44">
        <v>30</v>
      </c>
      <c r="F13" s="44">
        <v>118</v>
      </c>
      <c r="G13" s="44">
        <v>75</v>
      </c>
      <c r="H13" s="44">
        <v>267</v>
      </c>
      <c r="I13" s="44">
        <v>598</v>
      </c>
      <c r="J13" s="44">
        <v>668</v>
      </c>
      <c r="K13" s="283">
        <v>54</v>
      </c>
      <c r="L13" s="390">
        <v>38</v>
      </c>
      <c r="M13" s="242">
        <f t="shared" si="0"/>
        <v>-29.6</v>
      </c>
      <c r="N13" s="283">
        <f t="shared" si="1"/>
        <v>60</v>
      </c>
      <c r="O13" s="390">
        <f t="shared" si="1"/>
        <v>60</v>
      </c>
      <c r="P13" s="242">
        <f t="shared" si="2"/>
        <v>0</v>
      </c>
      <c r="Q13" s="283">
        <v>114</v>
      </c>
      <c r="R13" s="390">
        <v>98</v>
      </c>
      <c r="S13" s="242">
        <f t="shared" si="3"/>
        <v>-14</v>
      </c>
      <c r="T13" s="283">
        <f t="shared" si="4"/>
        <v>61</v>
      </c>
      <c r="U13" s="390">
        <f t="shared" si="5"/>
        <v>116</v>
      </c>
      <c r="V13" s="242">
        <f t="shared" si="6"/>
        <v>90.2</v>
      </c>
      <c r="W13" s="283">
        <v>175</v>
      </c>
      <c r="X13" s="390">
        <v>214</v>
      </c>
      <c r="Y13" s="242">
        <f t="shared" si="7"/>
        <v>22.3</v>
      </c>
      <c r="Z13" s="283">
        <f t="shared" si="8"/>
        <v>88</v>
      </c>
      <c r="AA13" s="390">
        <f t="shared" si="9"/>
        <v>28</v>
      </c>
      <c r="AB13" s="242">
        <f t="shared" si="10"/>
        <v>-68.2</v>
      </c>
      <c r="AC13" s="283">
        <v>263</v>
      </c>
      <c r="AD13" s="390">
        <v>242</v>
      </c>
      <c r="AE13" s="242">
        <f t="shared" si="11"/>
        <v>-8</v>
      </c>
      <c r="AF13" s="283">
        <f t="shared" si="12"/>
        <v>73</v>
      </c>
      <c r="AG13" s="390">
        <f t="shared" si="12"/>
        <v>24</v>
      </c>
      <c r="AH13" s="242">
        <f t="shared" si="13"/>
        <v>-67.099999999999994</v>
      </c>
      <c r="AI13" s="283">
        <v>336</v>
      </c>
      <c r="AJ13" s="390">
        <v>266</v>
      </c>
      <c r="AK13" s="242">
        <f t="shared" si="14"/>
        <v>-20.8</v>
      </c>
      <c r="AL13" s="762">
        <f t="shared" si="15"/>
        <v>130</v>
      </c>
      <c r="AM13" s="769">
        <f t="shared" si="16"/>
        <v>0</v>
      </c>
      <c r="AN13" s="753">
        <f t="shared" si="17"/>
        <v>-100</v>
      </c>
      <c r="AO13" s="779">
        <v>466</v>
      </c>
      <c r="AP13" s="819">
        <v>266</v>
      </c>
      <c r="AQ13" s="753">
        <f t="shared" si="18"/>
        <v>-42.9</v>
      </c>
      <c r="AR13" s="779">
        <f t="shared" si="19"/>
        <v>86</v>
      </c>
      <c r="AS13" s="819">
        <f t="shared" si="19"/>
        <v>23</v>
      </c>
      <c r="AT13" s="753">
        <f t="shared" si="20"/>
        <v>-73.3</v>
      </c>
      <c r="AU13" s="975">
        <v>552</v>
      </c>
      <c r="AV13" s="970">
        <v>289</v>
      </c>
      <c r="AW13" s="753">
        <f t="shared" si="21"/>
        <v>-47.6</v>
      </c>
      <c r="AX13" s="779">
        <f t="shared" si="22"/>
        <v>30</v>
      </c>
      <c r="AY13" s="819">
        <f t="shared" si="23"/>
        <v>5</v>
      </c>
      <c r="AZ13" s="753">
        <f t="shared" si="24"/>
        <v>-83.3</v>
      </c>
      <c r="BA13" s="779">
        <v>582</v>
      </c>
      <c r="BB13" s="819">
        <v>294</v>
      </c>
      <c r="BC13" s="753">
        <f t="shared" si="25"/>
        <v>-49.5</v>
      </c>
      <c r="BD13" s="779">
        <f t="shared" si="26"/>
        <v>19</v>
      </c>
      <c r="BE13" s="819">
        <f t="shared" si="26"/>
        <v>45</v>
      </c>
      <c r="BF13" s="753">
        <f t="shared" si="27"/>
        <v>136.80000000000001</v>
      </c>
      <c r="BG13" s="779">
        <v>601</v>
      </c>
      <c r="BH13" s="819">
        <v>339</v>
      </c>
      <c r="BI13" s="753">
        <f t="shared" si="28"/>
        <v>-43.6</v>
      </c>
      <c r="BJ13" s="779">
        <f t="shared" si="29"/>
        <v>27</v>
      </c>
      <c r="BK13" s="819">
        <f t="shared" si="29"/>
        <v>6</v>
      </c>
      <c r="BL13" s="753">
        <f t="shared" si="30"/>
        <v>-77.8</v>
      </c>
      <c r="BM13" s="779">
        <v>628</v>
      </c>
      <c r="BN13" s="819">
        <v>345</v>
      </c>
      <c r="BO13" s="753">
        <f t="shared" si="31"/>
        <v>-45.1</v>
      </c>
      <c r="BP13" s="779">
        <f t="shared" si="32"/>
        <v>23</v>
      </c>
      <c r="BQ13" s="819">
        <f t="shared" si="32"/>
        <v>20</v>
      </c>
      <c r="BR13" s="753">
        <f t="shared" si="33"/>
        <v>-13</v>
      </c>
      <c r="BS13" s="779">
        <v>651</v>
      </c>
      <c r="BT13" s="819">
        <v>365</v>
      </c>
      <c r="BU13" s="753">
        <f t="shared" si="34"/>
        <v>-43.9</v>
      </c>
    </row>
    <row r="14" spans="1:73">
      <c r="A14" s="4"/>
      <c r="B14" s="43" t="s">
        <v>100</v>
      </c>
      <c r="C14" s="44">
        <v>100</v>
      </c>
      <c r="D14" s="44">
        <v>61</v>
      </c>
      <c r="E14" s="44">
        <v>31</v>
      </c>
      <c r="F14" s="44">
        <v>510</v>
      </c>
      <c r="G14" s="44">
        <v>634</v>
      </c>
      <c r="H14" s="44">
        <v>630</v>
      </c>
      <c r="I14" s="44">
        <v>796</v>
      </c>
      <c r="J14" s="44">
        <v>651</v>
      </c>
      <c r="K14" s="283">
        <v>50</v>
      </c>
      <c r="L14" s="390">
        <v>38</v>
      </c>
      <c r="M14" s="242">
        <f t="shared" si="0"/>
        <v>-24</v>
      </c>
      <c r="N14" s="283">
        <f t="shared" si="1"/>
        <v>55</v>
      </c>
      <c r="O14" s="390">
        <f t="shared" si="1"/>
        <v>57</v>
      </c>
      <c r="P14" s="242">
        <f t="shared" si="2"/>
        <v>3.6</v>
      </c>
      <c r="Q14" s="283">
        <v>105</v>
      </c>
      <c r="R14" s="390">
        <v>95</v>
      </c>
      <c r="S14" s="242">
        <f t="shared" si="3"/>
        <v>-9.5</v>
      </c>
      <c r="T14" s="283">
        <f t="shared" si="4"/>
        <v>35</v>
      </c>
      <c r="U14" s="390">
        <f t="shared" si="5"/>
        <v>109</v>
      </c>
      <c r="V14" s="242">
        <f t="shared" si="6"/>
        <v>211.4</v>
      </c>
      <c r="W14" s="283">
        <v>140</v>
      </c>
      <c r="X14" s="390">
        <v>204</v>
      </c>
      <c r="Y14" s="242">
        <f t="shared" si="7"/>
        <v>45.7</v>
      </c>
      <c r="Z14" s="283">
        <f t="shared" si="8"/>
        <v>71</v>
      </c>
      <c r="AA14" s="390">
        <f t="shared" si="9"/>
        <v>51</v>
      </c>
      <c r="AB14" s="242">
        <f t="shared" si="10"/>
        <v>-28.2</v>
      </c>
      <c r="AC14" s="283">
        <v>211</v>
      </c>
      <c r="AD14" s="390">
        <v>255</v>
      </c>
      <c r="AE14" s="242">
        <f t="shared" si="11"/>
        <v>20.9</v>
      </c>
      <c r="AF14" s="283">
        <f t="shared" si="12"/>
        <v>49</v>
      </c>
      <c r="AG14" s="390">
        <f t="shared" si="12"/>
        <v>46</v>
      </c>
      <c r="AH14" s="242">
        <f t="shared" si="13"/>
        <v>-6.1</v>
      </c>
      <c r="AI14" s="283">
        <v>260</v>
      </c>
      <c r="AJ14" s="390">
        <v>301</v>
      </c>
      <c r="AK14" s="242">
        <f t="shared" si="14"/>
        <v>15.8</v>
      </c>
      <c r="AL14" s="762">
        <f t="shared" si="15"/>
        <v>40</v>
      </c>
      <c r="AM14" s="769">
        <f t="shared" si="16"/>
        <v>102</v>
      </c>
      <c r="AN14" s="753">
        <f t="shared" si="17"/>
        <v>155</v>
      </c>
      <c r="AO14" s="779">
        <v>300</v>
      </c>
      <c r="AP14" s="819">
        <v>403</v>
      </c>
      <c r="AQ14" s="753">
        <f t="shared" si="18"/>
        <v>34.299999999999997</v>
      </c>
      <c r="AR14" s="779">
        <f t="shared" si="19"/>
        <v>77</v>
      </c>
      <c r="AS14" s="819">
        <f t="shared" si="19"/>
        <v>71</v>
      </c>
      <c r="AT14" s="753">
        <f t="shared" si="20"/>
        <v>-7.8</v>
      </c>
      <c r="AU14" s="975">
        <v>377</v>
      </c>
      <c r="AV14" s="970">
        <v>474</v>
      </c>
      <c r="AW14" s="753">
        <f t="shared" si="21"/>
        <v>25.7</v>
      </c>
      <c r="AX14" s="779">
        <f t="shared" si="22"/>
        <v>32</v>
      </c>
      <c r="AY14" s="819">
        <f t="shared" si="23"/>
        <v>45</v>
      </c>
      <c r="AZ14" s="753">
        <f t="shared" si="24"/>
        <v>40.6</v>
      </c>
      <c r="BA14" s="779">
        <v>409</v>
      </c>
      <c r="BB14" s="819">
        <v>519</v>
      </c>
      <c r="BC14" s="753">
        <f t="shared" si="25"/>
        <v>26.9</v>
      </c>
      <c r="BD14" s="779">
        <f t="shared" si="26"/>
        <v>63</v>
      </c>
      <c r="BE14" s="819">
        <f t="shared" si="26"/>
        <v>65</v>
      </c>
      <c r="BF14" s="753">
        <f t="shared" si="27"/>
        <v>3.2</v>
      </c>
      <c r="BG14" s="779">
        <v>472</v>
      </c>
      <c r="BH14" s="819">
        <v>584</v>
      </c>
      <c r="BI14" s="753">
        <f t="shared" si="28"/>
        <v>23.7</v>
      </c>
      <c r="BJ14" s="779">
        <f t="shared" si="29"/>
        <v>46</v>
      </c>
      <c r="BK14" s="819">
        <f t="shared" si="29"/>
        <v>66</v>
      </c>
      <c r="BL14" s="753">
        <f t="shared" si="30"/>
        <v>43.5</v>
      </c>
      <c r="BM14" s="779">
        <v>518</v>
      </c>
      <c r="BN14" s="819">
        <v>650</v>
      </c>
      <c r="BO14" s="753">
        <f t="shared" si="31"/>
        <v>25.5</v>
      </c>
      <c r="BP14" s="779">
        <f t="shared" si="32"/>
        <v>71</v>
      </c>
      <c r="BQ14" s="819">
        <f t="shared" si="32"/>
        <v>65</v>
      </c>
      <c r="BR14" s="753">
        <f t="shared" si="33"/>
        <v>-8.5</v>
      </c>
      <c r="BS14" s="779">
        <v>589</v>
      </c>
      <c r="BT14" s="819">
        <v>715</v>
      </c>
      <c r="BU14" s="753">
        <f t="shared" si="34"/>
        <v>21.4</v>
      </c>
    </row>
    <row r="15" spans="1:73">
      <c r="A15" s="4"/>
      <c r="B15" s="43" t="s">
        <v>59</v>
      </c>
      <c r="C15" s="44">
        <v>1150</v>
      </c>
      <c r="D15" s="44">
        <v>768</v>
      </c>
      <c r="E15" s="44">
        <v>800</v>
      </c>
      <c r="F15" s="44">
        <v>587</v>
      </c>
      <c r="G15" s="44">
        <v>422</v>
      </c>
      <c r="H15" s="44">
        <v>524</v>
      </c>
      <c r="I15" s="44">
        <v>413</v>
      </c>
      <c r="J15" s="44">
        <v>489</v>
      </c>
      <c r="K15" s="283">
        <v>54</v>
      </c>
      <c r="L15" s="390">
        <v>26</v>
      </c>
      <c r="M15" s="242">
        <f t="shared" si="0"/>
        <v>-51.9</v>
      </c>
      <c r="N15" s="283">
        <f t="shared" si="1"/>
        <v>28</v>
      </c>
      <c r="O15" s="390">
        <f t="shared" si="1"/>
        <v>14</v>
      </c>
      <c r="P15" s="242">
        <f t="shared" si="2"/>
        <v>-50</v>
      </c>
      <c r="Q15" s="283">
        <v>82</v>
      </c>
      <c r="R15" s="390">
        <v>40</v>
      </c>
      <c r="S15" s="242">
        <f t="shared" si="3"/>
        <v>-51.2</v>
      </c>
      <c r="T15" s="283">
        <f t="shared" si="4"/>
        <v>52</v>
      </c>
      <c r="U15" s="390">
        <f t="shared" si="5"/>
        <v>38</v>
      </c>
      <c r="V15" s="242">
        <f t="shared" si="6"/>
        <v>-26.9</v>
      </c>
      <c r="W15" s="283">
        <v>134</v>
      </c>
      <c r="X15" s="390">
        <v>78</v>
      </c>
      <c r="Y15" s="242">
        <f t="shared" si="7"/>
        <v>-41.8</v>
      </c>
      <c r="Z15" s="283">
        <f t="shared" si="8"/>
        <v>66</v>
      </c>
      <c r="AA15" s="390">
        <f t="shared" si="9"/>
        <v>29</v>
      </c>
      <c r="AB15" s="242">
        <f t="shared" si="10"/>
        <v>-56.1</v>
      </c>
      <c r="AC15" s="283">
        <v>200</v>
      </c>
      <c r="AD15" s="390">
        <v>107</v>
      </c>
      <c r="AE15" s="242">
        <f t="shared" si="11"/>
        <v>-46.5</v>
      </c>
      <c r="AF15" s="283">
        <f t="shared" si="12"/>
        <v>31</v>
      </c>
      <c r="AG15" s="390">
        <f t="shared" si="12"/>
        <v>10</v>
      </c>
      <c r="AH15" s="242">
        <f t="shared" si="13"/>
        <v>-67.7</v>
      </c>
      <c r="AI15" s="283">
        <v>231</v>
      </c>
      <c r="AJ15" s="390">
        <v>117</v>
      </c>
      <c r="AK15" s="242">
        <f t="shared" si="14"/>
        <v>-49.4</v>
      </c>
      <c r="AL15" s="762">
        <f t="shared" si="15"/>
        <v>26</v>
      </c>
      <c r="AM15" s="769">
        <f t="shared" si="16"/>
        <v>27</v>
      </c>
      <c r="AN15" s="753">
        <f t="shared" si="17"/>
        <v>3.8</v>
      </c>
      <c r="AO15" s="779">
        <v>257</v>
      </c>
      <c r="AP15" s="819">
        <v>144</v>
      </c>
      <c r="AQ15" s="753">
        <f t="shared" si="18"/>
        <v>-44</v>
      </c>
      <c r="AR15" s="779">
        <f t="shared" si="19"/>
        <v>35</v>
      </c>
      <c r="AS15" s="819">
        <f t="shared" si="19"/>
        <v>31</v>
      </c>
      <c r="AT15" s="753">
        <f t="shared" si="20"/>
        <v>-11.4</v>
      </c>
      <c r="AU15" s="975">
        <v>292</v>
      </c>
      <c r="AV15" s="970">
        <v>175</v>
      </c>
      <c r="AW15" s="753">
        <f t="shared" si="21"/>
        <v>-40.1</v>
      </c>
      <c r="AX15" s="779">
        <f t="shared" si="22"/>
        <v>30</v>
      </c>
      <c r="AY15" s="819">
        <f t="shared" si="23"/>
        <v>35</v>
      </c>
      <c r="AZ15" s="753">
        <f t="shared" si="24"/>
        <v>16.7</v>
      </c>
      <c r="BA15" s="779">
        <v>322</v>
      </c>
      <c r="BB15" s="819">
        <v>210</v>
      </c>
      <c r="BC15" s="753">
        <f t="shared" si="25"/>
        <v>-34.799999999999997</v>
      </c>
      <c r="BD15" s="779">
        <f t="shared" si="26"/>
        <v>54</v>
      </c>
      <c r="BE15" s="819">
        <f t="shared" si="26"/>
        <v>43</v>
      </c>
      <c r="BF15" s="753">
        <f t="shared" si="27"/>
        <v>-20.399999999999999</v>
      </c>
      <c r="BG15" s="779">
        <v>376</v>
      </c>
      <c r="BH15" s="819">
        <v>253</v>
      </c>
      <c r="BI15" s="753">
        <f t="shared" si="28"/>
        <v>-32.700000000000003</v>
      </c>
      <c r="BJ15" s="779">
        <f t="shared" si="29"/>
        <v>50</v>
      </c>
      <c r="BK15" s="819">
        <f t="shared" si="29"/>
        <v>17</v>
      </c>
      <c r="BL15" s="753">
        <f t="shared" si="30"/>
        <v>-66</v>
      </c>
      <c r="BM15" s="779">
        <v>426</v>
      </c>
      <c r="BN15" s="819">
        <v>270</v>
      </c>
      <c r="BO15" s="753">
        <f t="shared" si="31"/>
        <v>-36.6</v>
      </c>
      <c r="BP15" s="779">
        <f t="shared" si="32"/>
        <v>28</v>
      </c>
      <c r="BQ15" s="819">
        <f t="shared" si="32"/>
        <v>67</v>
      </c>
      <c r="BR15" s="753">
        <f t="shared" si="33"/>
        <v>139.30000000000001</v>
      </c>
      <c r="BS15" s="779">
        <v>454</v>
      </c>
      <c r="BT15" s="819">
        <v>337</v>
      </c>
      <c r="BU15" s="753">
        <f t="shared" si="34"/>
        <v>-25.8</v>
      </c>
    </row>
    <row r="16" spans="1:73">
      <c r="A16" s="4"/>
      <c r="B16" s="43" t="s">
        <v>130</v>
      </c>
      <c r="C16" s="44">
        <v>144</v>
      </c>
      <c r="D16" s="44">
        <v>138</v>
      </c>
      <c r="E16" s="44">
        <v>142</v>
      </c>
      <c r="F16" s="44">
        <v>96</v>
      </c>
      <c r="G16" s="44">
        <v>138</v>
      </c>
      <c r="H16" s="44">
        <v>98</v>
      </c>
      <c r="I16" s="44">
        <v>219</v>
      </c>
      <c r="J16" s="44">
        <v>330</v>
      </c>
      <c r="K16" s="283">
        <v>18</v>
      </c>
      <c r="L16" s="390">
        <v>4</v>
      </c>
      <c r="M16" s="242">
        <f t="shared" si="0"/>
        <v>-77.8</v>
      </c>
      <c r="N16" s="283">
        <f t="shared" si="1"/>
        <v>33</v>
      </c>
      <c r="O16" s="390">
        <f t="shared" si="1"/>
        <v>35</v>
      </c>
      <c r="P16" s="242">
        <f t="shared" si="2"/>
        <v>6.1</v>
      </c>
      <c r="Q16" s="283">
        <v>51</v>
      </c>
      <c r="R16" s="390">
        <v>39</v>
      </c>
      <c r="S16" s="242">
        <f t="shared" si="3"/>
        <v>-23.5</v>
      </c>
      <c r="T16" s="283">
        <f t="shared" si="4"/>
        <v>11</v>
      </c>
      <c r="U16" s="390">
        <f t="shared" si="5"/>
        <v>9</v>
      </c>
      <c r="V16" s="242">
        <f t="shared" si="6"/>
        <v>-18.2</v>
      </c>
      <c r="W16" s="283">
        <v>62</v>
      </c>
      <c r="X16" s="390">
        <v>48</v>
      </c>
      <c r="Y16" s="242">
        <f t="shared" si="7"/>
        <v>-22.6</v>
      </c>
      <c r="Z16" s="283">
        <f t="shared" si="8"/>
        <v>11</v>
      </c>
      <c r="AA16" s="390">
        <f t="shared" si="9"/>
        <v>12</v>
      </c>
      <c r="AB16" s="242">
        <f t="shared" si="10"/>
        <v>9.1</v>
      </c>
      <c r="AC16" s="283">
        <v>73</v>
      </c>
      <c r="AD16" s="390">
        <v>60</v>
      </c>
      <c r="AE16" s="242">
        <f t="shared" si="11"/>
        <v>-17.8</v>
      </c>
      <c r="AF16" s="283">
        <f t="shared" si="12"/>
        <v>74</v>
      </c>
      <c r="AG16" s="390">
        <f t="shared" si="12"/>
        <v>8</v>
      </c>
      <c r="AH16" s="242">
        <f t="shared" si="13"/>
        <v>-89.2</v>
      </c>
      <c r="AI16" s="283">
        <v>147</v>
      </c>
      <c r="AJ16" s="390">
        <v>68</v>
      </c>
      <c r="AK16" s="242">
        <f t="shared" si="14"/>
        <v>-53.7</v>
      </c>
      <c r="AL16" s="762">
        <f t="shared" si="15"/>
        <v>28</v>
      </c>
      <c r="AM16" s="769">
        <f t="shared" si="16"/>
        <v>4</v>
      </c>
      <c r="AN16" s="753">
        <f t="shared" si="17"/>
        <v>-85.7</v>
      </c>
      <c r="AO16" s="779">
        <v>175</v>
      </c>
      <c r="AP16" s="819">
        <v>72</v>
      </c>
      <c r="AQ16" s="753">
        <f t="shared" si="18"/>
        <v>-58.9</v>
      </c>
      <c r="AR16" s="779">
        <f t="shared" si="19"/>
        <v>51</v>
      </c>
      <c r="AS16" s="819">
        <f t="shared" si="19"/>
        <v>0</v>
      </c>
      <c r="AT16" s="753">
        <f t="shared" si="20"/>
        <v>-100</v>
      </c>
      <c r="AU16" s="975">
        <v>226</v>
      </c>
      <c r="AV16" s="970">
        <v>72</v>
      </c>
      <c r="AW16" s="753">
        <f t="shared" si="21"/>
        <v>-68.099999999999994</v>
      </c>
      <c r="AX16" s="779">
        <f t="shared" si="22"/>
        <v>2</v>
      </c>
      <c r="AY16" s="819">
        <f t="shared" si="23"/>
        <v>0</v>
      </c>
      <c r="AZ16" s="753">
        <f t="shared" si="24"/>
        <v>-100</v>
      </c>
      <c r="BA16" s="779">
        <v>228</v>
      </c>
      <c r="BB16" s="819">
        <v>72</v>
      </c>
      <c r="BC16" s="753">
        <f t="shared" si="25"/>
        <v>-68.400000000000006</v>
      </c>
      <c r="BD16" s="779">
        <f t="shared" si="26"/>
        <v>8</v>
      </c>
      <c r="BE16" s="819">
        <f t="shared" si="26"/>
        <v>5</v>
      </c>
      <c r="BF16" s="753">
        <f t="shared" si="27"/>
        <v>-37.5</v>
      </c>
      <c r="BG16" s="779">
        <v>236</v>
      </c>
      <c r="BH16" s="819">
        <v>77</v>
      </c>
      <c r="BI16" s="753">
        <f t="shared" si="28"/>
        <v>-67.400000000000006</v>
      </c>
      <c r="BJ16" s="779">
        <f t="shared" si="29"/>
        <v>31</v>
      </c>
      <c r="BK16" s="819">
        <f t="shared" si="29"/>
        <v>2</v>
      </c>
      <c r="BL16" s="753">
        <f t="shared" si="30"/>
        <v>-93.5</v>
      </c>
      <c r="BM16" s="779">
        <v>267</v>
      </c>
      <c r="BN16" s="819">
        <v>79</v>
      </c>
      <c r="BO16" s="753">
        <f t="shared" si="31"/>
        <v>-70.400000000000006</v>
      </c>
      <c r="BP16" s="779">
        <f t="shared" si="32"/>
        <v>52</v>
      </c>
      <c r="BQ16" s="819">
        <f t="shared" si="32"/>
        <v>0</v>
      </c>
      <c r="BR16" s="753">
        <f t="shared" si="33"/>
        <v>-100</v>
      </c>
      <c r="BS16" s="779">
        <v>319</v>
      </c>
      <c r="BT16" s="819">
        <v>79</v>
      </c>
      <c r="BU16" s="753">
        <f t="shared" si="34"/>
        <v>-75.2</v>
      </c>
    </row>
    <row r="17" spans="1:73">
      <c r="A17" s="4"/>
      <c r="B17" s="43" t="s">
        <v>239</v>
      </c>
      <c r="C17" s="44">
        <v>25</v>
      </c>
      <c r="D17" s="44">
        <v>19</v>
      </c>
      <c r="E17" s="44">
        <v>67</v>
      </c>
      <c r="F17" s="44">
        <v>84</v>
      </c>
      <c r="G17" s="44">
        <v>399</v>
      </c>
      <c r="H17" s="44">
        <v>629</v>
      </c>
      <c r="I17" s="44">
        <v>42</v>
      </c>
      <c r="J17" s="44">
        <v>308</v>
      </c>
      <c r="K17" s="283">
        <v>0</v>
      </c>
      <c r="L17" s="390">
        <v>0</v>
      </c>
      <c r="M17" s="177">
        <v>0</v>
      </c>
      <c r="N17" s="283">
        <f t="shared" si="1"/>
        <v>4</v>
      </c>
      <c r="O17" s="390">
        <f t="shared" si="1"/>
        <v>0</v>
      </c>
      <c r="P17" s="242">
        <f t="shared" si="2"/>
        <v>-100</v>
      </c>
      <c r="Q17" s="283">
        <v>4</v>
      </c>
      <c r="R17" s="390">
        <v>0</v>
      </c>
      <c r="S17" s="242">
        <f t="shared" si="3"/>
        <v>-100</v>
      </c>
      <c r="T17" s="283">
        <f t="shared" si="4"/>
        <v>3</v>
      </c>
      <c r="U17" s="390">
        <f t="shared" si="5"/>
        <v>1</v>
      </c>
      <c r="V17" s="242">
        <f t="shared" si="6"/>
        <v>-66.7</v>
      </c>
      <c r="W17" s="283">
        <v>7</v>
      </c>
      <c r="X17" s="390">
        <v>1</v>
      </c>
      <c r="Y17" s="242">
        <f t="shared" si="7"/>
        <v>-85.7</v>
      </c>
      <c r="Z17" s="283">
        <f t="shared" si="8"/>
        <v>3</v>
      </c>
      <c r="AA17" s="390">
        <f t="shared" si="9"/>
        <v>1</v>
      </c>
      <c r="AB17" s="242">
        <f t="shared" si="10"/>
        <v>-66.7</v>
      </c>
      <c r="AC17" s="283">
        <v>10</v>
      </c>
      <c r="AD17" s="390">
        <v>2</v>
      </c>
      <c r="AE17" s="242">
        <f t="shared" si="11"/>
        <v>-80</v>
      </c>
      <c r="AF17" s="283">
        <f t="shared" si="12"/>
        <v>4</v>
      </c>
      <c r="AG17" s="390">
        <f t="shared" si="12"/>
        <v>2</v>
      </c>
      <c r="AH17" s="242">
        <f t="shared" si="13"/>
        <v>-50</v>
      </c>
      <c r="AI17" s="283">
        <v>14</v>
      </c>
      <c r="AJ17" s="390">
        <v>4</v>
      </c>
      <c r="AK17" s="242">
        <f t="shared" si="14"/>
        <v>-71.400000000000006</v>
      </c>
      <c r="AL17" s="762">
        <f t="shared" si="15"/>
        <v>2</v>
      </c>
      <c r="AM17" s="769">
        <f t="shared" si="16"/>
        <v>0</v>
      </c>
      <c r="AN17" s="753">
        <f t="shared" si="17"/>
        <v>-100</v>
      </c>
      <c r="AO17" s="779">
        <v>16</v>
      </c>
      <c r="AP17" s="819">
        <v>4</v>
      </c>
      <c r="AQ17" s="753">
        <f t="shared" si="18"/>
        <v>-75</v>
      </c>
      <c r="AR17" s="779">
        <f t="shared" si="19"/>
        <v>1</v>
      </c>
      <c r="AS17" s="819">
        <f t="shared" si="19"/>
        <v>0</v>
      </c>
      <c r="AT17" s="753">
        <f t="shared" si="20"/>
        <v>-100</v>
      </c>
      <c r="AU17" s="975">
        <v>17</v>
      </c>
      <c r="AV17" s="970">
        <v>4</v>
      </c>
      <c r="AW17" s="753">
        <f t="shared" si="21"/>
        <v>-76.5</v>
      </c>
      <c r="AX17" s="779">
        <f t="shared" si="22"/>
        <v>72</v>
      </c>
      <c r="AY17" s="819">
        <f t="shared" si="23"/>
        <v>1</v>
      </c>
      <c r="AZ17" s="753">
        <f t="shared" si="24"/>
        <v>-98.6</v>
      </c>
      <c r="BA17" s="779">
        <v>89</v>
      </c>
      <c r="BB17" s="819">
        <v>5</v>
      </c>
      <c r="BC17" s="753">
        <f t="shared" si="25"/>
        <v>-94.4</v>
      </c>
      <c r="BD17" s="779">
        <f t="shared" si="26"/>
        <v>0</v>
      </c>
      <c r="BE17" s="819">
        <f t="shared" si="26"/>
        <v>1</v>
      </c>
      <c r="BF17" s="751">
        <v>0</v>
      </c>
      <c r="BG17" s="779">
        <v>89</v>
      </c>
      <c r="BH17" s="819">
        <v>6</v>
      </c>
      <c r="BI17" s="753">
        <f t="shared" si="28"/>
        <v>-93.3</v>
      </c>
      <c r="BJ17" s="779">
        <f t="shared" si="29"/>
        <v>219</v>
      </c>
      <c r="BK17" s="819">
        <f t="shared" si="29"/>
        <v>2</v>
      </c>
      <c r="BL17" s="753">
        <f t="shared" si="30"/>
        <v>-99.1</v>
      </c>
      <c r="BM17" s="779">
        <v>308</v>
      </c>
      <c r="BN17" s="819">
        <v>8</v>
      </c>
      <c r="BO17" s="753">
        <f t="shared" si="31"/>
        <v>-97.4</v>
      </c>
      <c r="BP17" s="779">
        <f t="shared" si="32"/>
        <v>0</v>
      </c>
      <c r="BQ17" s="819">
        <f t="shared" si="32"/>
        <v>1</v>
      </c>
      <c r="BR17" s="799">
        <v>0</v>
      </c>
      <c r="BS17" s="779">
        <v>308</v>
      </c>
      <c r="BT17" s="819">
        <v>9</v>
      </c>
      <c r="BU17" s="753">
        <f t="shared" si="34"/>
        <v>-97.1</v>
      </c>
    </row>
    <row r="18" spans="1:73" s="173" customFormat="1">
      <c r="A18" s="325"/>
      <c r="B18" s="33" t="s">
        <v>65</v>
      </c>
      <c r="C18" s="340">
        <v>662</v>
      </c>
      <c r="D18" s="340">
        <v>9</v>
      </c>
      <c r="E18" s="340">
        <v>246</v>
      </c>
      <c r="F18" s="340">
        <v>592</v>
      </c>
      <c r="G18" s="340">
        <v>281</v>
      </c>
      <c r="H18" s="340">
        <v>14</v>
      </c>
      <c r="I18" s="340">
        <v>164</v>
      </c>
      <c r="J18" s="340">
        <v>278</v>
      </c>
      <c r="K18" s="432">
        <v>17</v>
      </c>
      <c r="L18" s="388">
        <v>30</v>
      </c>
      <c r="M18" s="328">
        <f t="shared" si="0"/>
        <v>76.5</v>
      </c>
      <c r="N18" s="432">
        <f t="shared" si="1"/>
        <v>10</v>
      </c>
      <c r="O18" s="388">
        <f t="shared" si="1"/>
        <v>19</v>
      </c>
      <c r="P18" s="328">
        <f>ROUND(((O18/N18-1)*100), 1)</f>
        <v>90</v>
      </c>
      <c r="Q18" s="432">
        <v>27</v>
      </c>
      <c r="R18" s="388">
        <v>49</v>
      </c>
      <c r="S18" s="328">
        <f>ROUND(((R18/Q18-1)*100), 1)</f>
        <v>81.5</v>
      </c>
      <c r="T18" s="432">
        <f t="shared" si="4"/>
        <v>6</v>
      </c>
      <c r="U18" s="388">
        <f t="shared" si="5"/>
        <v>57</v>
      </c>
      <c r="V18" s="328">
        <f>ROUND(((U18/T18-1)*100), 1)</f>
        <v>850</v>
      </c>
      <c r="W18" s="432">
        <v>33</v>
      </c>
      <c r="X18" s="388">
        <v>106</v>
      </c>
      <c r="Y18" s="328">
        <f>ROUND(((X18/W18-1)*100), 1)</f>
        <v>221.2</v>
      </c>
      <c r="Z18" s="432">
        <f t="shared" si="8"/>
        <v>10</v>
      </c>
      <c r="AA18" s="388">
        <f t="shared" si="9"/>
        <v>4</v>
      </c>
      <c r="AB18" s="328">
        <f>ROUND(((AA18/Z18-1)*100), 1)</f>
        <v>-60</v>
      </c>
      <c r="AC18" s="432">
        <v>43</v>
      </c>
      <c r="AD18" s="388">
        <v>110</v>
      </c>
      <c r="AE18" s="328">
        <f>ROUND(((AD18/AC18-1)*100), 1)</f>
        <v>155.80000000000001</v>
      </c>
      <c r="AF18" s="432">
        <f t="shared" si="12"/>
        <v>20</v>
      </c>
      <c r="AG18" s="388">
        <f t="shared" si="12"/>
        <v>5</v>
      </c>
      <c r="AH18" s="328">
        <f>ROUND(((AG18/AF18-1)*100), 1)</f>
        <v>-75</v>
      </c>
      <c r="AI18" s="432">
        <v>63</v>
      </c>
      <c r="AJ18" s="388">
        <v>115</v>
      </c>
      <c r="AK18" s="328">
        <f>ROUND(((AJ18/AI18-1)*100), 1)</f>
        <v>82.5</v>
      </c>
      <c r="AL18" s="774">
        <f t="shared" si="15"/>
        <v>22</v>
      </c>
      <c r="AM18" s="767">
        <f t="shared" si="16"/>
        <v>4</v>
      </c>
      <c r="AN18" s="765">
        <f>ROUND(((AM18/AL18-1)*100), 1)</f>
        <v>-81.8</v>
      </c>
      <c r="AO18" s="777">
        <v>85</v>
      </c>
      <c r="AP18" s="767">
        <v>119</v>
      </c>
      <c r="AQ18" s="765">
        <f>ROUND(((AP18/AO18-1)*100), 1)</f>
        <v>40</v>
      </c>
      <c r="AR18" s="777">
        <f t="shared" si="19"/>
        <v>24</v>
      </c>
      <c r="AS18" s="767">
        <f t="shared" si="19"/>
        <v>1</v>
      </c>
      <c r="AT18" s="765">
        <f>ROUND(((AS18/AR18-1)*100), 1)</f>
        <v>-95.8</v>
      </c>
      <c r="AU18" s="976">
        <v>109</v>
      </c>
      <c r="AV18" s="978">
        <v>120</v>
      </c>
      <c r="AW18" s="765">
        <f>ROUND(((AV18/AU18-1)*100), 1)</f>
        <v>10.1</v>
      </c>
      <c r="AX18" s="777">
        <f t="shared" si="22"/>
        <v>26</v>
      </c>
      <c r="AY18" s="767">
        <f t="shared" si="23"/>
        <v>16</v>
      </c>
      <c r="AZ18" s="765">
        <f>ROUND(((AY18/AX18-1)*100), 1)</f>
        <v>-38.5</v>
      </c>
      <c r="BA18" s="777">
        <v>135</v>
      </c>
      <c r="BB18" s="767">
        <v>136</v>
      </c>
      <c r="BC18" s="765">
        <f>ROUND(((BB18/BA18-1)*100), 1)</f>
        <v>0.7</v>
      </c>
      <c r="BD18" s="777">
        <f t="shared" si="26"/>
        <v>32</v>
      </c>
      <c r="BE18" s="767">
        <f t="shared" si="26"/>
        <v>6</v>
      </c>
      <c r="BF18" s="765">
        <f>ROUND(((BE18/BD18-1)*100), 1)</f>
        <v>-81.3</v>
      </c>
      <c r="BG18" s="777">
        <v>167</v>
      </c>
      <c r="BH18" s="767">
        <v>142</v>
      </c>
      <c r="BI18" s="765">
        <f>ROUND(((BH18/BG18-1)*100), 1)</f>
        <v>-15</v>
      </c>
      <c r="BJ18" s="777">
        <f t="shared" si="29"/>
        <v>19</v>
      </c>
      <c r="BK18" s="767">
        <f t="shared" si="29"/>
        <v>61</v>
      </c>
      <c r="BL18" s="765">
        <f>ROUND(((BK18/BJ18-1)*100), 1)</f>
        <v>221.1</v>
      </c>
      <c r="BM18" s="777">
        <v>186</v>
      </c>
      <c r="BN18" s="767">
        <v>203</v>
      </c>
      <c r="BO18" s="765">
        <f>ROUND(((BN18/BM18-1)*100), 1)</f>
        <v>9.1</v>
      </c>
      <c r="BP18" s="777">
        <f t="shared" si="32"/>
        <v>30</v>
      </c>
      <c r="BQ18" s="767">
        <f t="shared" si="32"/>
        <v>49</v>
      </c>
      <c r="BR18" s="765">
        <f>ROUND(((BQ18/BP18-1)*100), 1)</f>
        <v>63.3</v>
      </c>
      <c r="BS18" s="777">
        <v>216</v>
      </c>
      <c r="BT18" s="767">
        <v>252</v>
      </c>
      <c r="BU18" s="765">
        <f>ROUND(((BT18/BS18-1)*100), 1)</f>
        <v>16.7</v>
      </c>
    </row>
    <row r="19" spans="1:73" s="173" customFormat="1">
      <c r="A19" s="325"/>
      <c r="B19" s="33" t="s">
        <v>477</v>
      </c>
      <c r="C19" s="340">
        <v>27</v>
      </c>
      <c r="D19" s="340">
        <v>10</v>
      </c>
      <c r="E19" s="340">
        <v>43</v>
      </c>
      <c r="F19" s="340">
        <v>63</v>
      </c>
      <c r="G19" s="340">
        <v>15</v>
      </c>
      <c r="H19" s="340">
        <v>154</v>
      </c>
      <c r="I19" s="340">
        <v>143</v>
      </c>
      <c r="J19" s="340">
        <v>254</v>
      </c>
      <c r="K19" s="432">
        <v>31</v>
      </c>
      <c r="L19" s="388">
        <v>49</v>
      </c>
      <c r="M19" s="328">
        <f t="shared" si="0"/>
        <v>58.1</v>
      </c>
      <c r="N19" s="432">
        <f t="shared" si="1"/>
        <v>17</v>
      </c>
      <c r="O19" s="388">
        <f t="shared" si="1"/>
        <v>75</v>
      </c>
      <c r="P19" s="328">
        <f>ROUND(((O19/N19-1)*100), 1)</f>
        <v>341.2</v>
      </c>
      <c r="Q19" s="432">
        <v>48</v>
      </c>
      <c r="R19" s="388">
        <v>124</v>
      </c>
      <c r="S19" s="328">
        <f>ROUND(((R19/Q19-1)*100), 1)</f>
        <v>158.30000000000001</v>
      </c>
      <c r="T19" s="432">
        <f t="shared" si="4"/>
        <v>9</v>
      </c>
      <c r="U19" s="388">
        <f t="shared" si="5"/>
        <v>51</v>
      </c>
      <c r="V19" s="328">
        <f>ROUND(((U19/T19-1)*100), 1)</f>
        <v>466.7</v>
      </c>
      <c r="W19" s="432">
        <v>57</v>
      </c>
      <c r="X19" s="388">
        <v>175</v>
      </c>
      <c r="Y19" s="328">
        <f>ROUND(((X19/W19-1)*100), 1)</f>
        <v>207</v>
      </c>
      <c r="Z19" s="432">
        <f t="shared" si="8"/>
        <v>21</v>
      </c>
      <c r="AA19" s="388">
        <f t="shared" si="9"/>
        <v>9</v>
      </c>
      <c r="AB19" s="328">
        <f>ROUND(((AA19/Z19-1)*100), 1)</f>
        <v>-57.1</v>
      </c>
      <c r="AC19" s="432">
        <v>78</v>
      </c>
      <c r="AD19" s="388">
        <v>184</v>
      </c>
      <c r="AE19" s="328">
        <f>ROUND(((AD19/AC19-1)*100), 1)</f>
        <v>135.9</v>
      </c>
      <c r="AF19" s="432">
        <f t="shared" si="12"/>
        <v>20</v>
      </c>
      <c r="AG19" s="388">
        <f t="shared" si="12"/>
        <v>0</v>
      </c>
      <c r="AH19" s="328">
        <f>ROUND(((AG19/AF19-1)*100), 1)</f>
        <v>-100</v>
      </c>
      <c r="AI19" s="432">
        <v>98</v>
      </c>
      <c r="AJ19" s="388">
        <v>184</v>
      </c>
      <c r="AK19" s="328">
        <f>ROUND(((AJ19/AI19-1)*100), 1)</f>
        <v>87.8</v>
      </c>
      <c r="AL19" s="774">
        <f t="shared" si="15"/>
        <v>1</v>
      </c>
      <c r="AM19" s="767">
        <f t="shared" si="16"/>
        <v>9</v>
      </c>
      <c r="AN19" s="765">
        <f>ROUND(((AM19/AL19-1)*100), 1)</f>
        <v>800</v>
      </c>
      <c r="AO19" s="777">
        <v>99</v>
      </c>
      <c r="AP19" s="767">
        <v>193</v>
      </c>
      <c r="AQ19" s="765">
        <f>ROUND(((AP19/AO19-1)*100), 1)</f>
        <v>94.9</v>
      </c>
      <c r="AR19" s="777">
        <f t="shared" si="19"/>
        <v>22</v>
      </c>
      <c r="AS19" s="767">
        <f t="shared" si="19"/>
        <v>52</v>
      </c>
      <c r="AT19" s="765">
        <f>ROUND(((AS19/AR19-1)*100), 1)</f>
        <v>136.4</v>
      </c>
      <c r="AU19" s="976">
        <v>121</v>
      </c>
      <c r="AV19" s="978">
        <v>245</v>
      </c>
      <c r="AW19" s="765">
        <f>ROUND(((AV19/AU19-1)*100), 1)</f>
        <v>102.5</v>
      </c>
      <c r="AX19" s="777">
        <f t="shared" si="22"/>
        <v>25</v>
      </c>
      <c r="AY19" s="767">
        <f t="shared" si="23"/>
        <v>66</v>
      </c>
      <c r="AZ19" s="765">
        <f>ROUND(((AY19/AX19-1)*100), 1)</f>
        <v>164</v>
      </c>
      <c r="BA19" s="777">
        <v>146</v>
      </c>
      <c r="BB19" s="767">
        <v>311</v>
      </c>
      <c r="BC19" s="765">
        <f>ROUND(((BB19/BA19-1)*100), 1)</f>
        <v>113</v>
      </c>
      <c r="BD19" s="777">
        <f t="shared" si="26"/>
        <v>18</v>
      </c>
      <c r="BE19" s="767">
        <f t="shared" si="26"/>
        <v>25</v>
      </c>
      <c r="BF19" s="765">
        <f>ROUND(((BE19/BD19-1)*100), 1)</f>
        <v>38.9</v>
      </c>
      <c r="BG19" s="777">
        <v>164</v>
      </c>
      <c r="BH19" s="767">
        <v>336</v>
      </c>
      <c r="BI19" s="765">
        <f>ROUND(((BH19/BG19-1)*100), 1)</f>
        <v>104.9</v>
      </c>
      <c r="BJ19" s="777">
        <f t="shared" si="29"/>
        <v>23</v>
      </c>
      <c r="BK19" s="767">
        <f t="shared" si="29"/>
        <v>57</v>
      </c>
      <c r="BL19" s="765">
        <f>ROUND(((BK19/BJ19-1)*100), 1)</f>
        <v>147.80000000000001</v>
      </c>
      <c r="BM19" s="777">
        <v>187</v>
      </c>
      <c r="BN19" s="767">
        <v>393</v>
      </c>
      <c r="BO19" s="765">
        <f>ROUND(((BN19/BM19-1)*100), 1)</f>
        <v>110.2</v>
      </c>
      <c r="BP19" s="777">
        <f t="shared" si="32"/>
        <v>27</v>
      </c>
      <c r="BQ19" s="767">
        <f t="shared" si="32"/>
        <v>67</v>
      </c>
      <c r="BR19" s="765">
        <f>ROUND(((BQ19/BP19-1)*100), 1)</f>
        <v>148.1</v>
      </c>
      <c r="BS19" s="777">
        <v>214</v>
      </c>
      <c r="BT19" s="767">
        <v>460</v>
      </c>
      <c r="BU19" s="765">
        <f>ROUND(((BT19/BS19-1)*100), 1)</f>
        <v>115</v>
      </c>
    </row>
    <row r="20" spans="1:73">
      <c r="A20" s="4"/>
      <c r="B20" s="43" t="s">
        <v>145</v>
      </c>
      <c r="C20" s="44">
        <v>4</v>
      </c>
      <c r="D20" s="44">
        <v>78</v>
      </c>
      <c r="E20" s="44">
        <v>155</v>
      </c>
      <c r="F20" s="44">
        <v>0</v>
      </c>
      <c r="G20" s="44">
        <v>132</v>
      </c>
      <c r="H20" s="44">
        <v>3</v>
      </c>
      <c r="I20" s="44">
        <v>25</v>
      </c>
      <c r="J20" s="44">
        <v>232</v>
      </c>
      <c r="K20" s="432">
        <v>0</v>
      </c>
      <c r="L20" s="388">
        <v>0</v>
      </c>
      <c r="M20" s="177">
        <v>0</v>
      </c>
      <c r="N20" s="432">
        <f t="shared" si="1"/>
        <v>0</v>
      </c>
      <c r="O20" s="388">
        <f t="shared" si="1"/>
        <v>168</v>
      </c>
      <c r="P20" s="177">
        <v>0</v>
      </c>
      <c r="Q20" s="432">
        <v>0</v>
      </c>
      <c r="R20" s="388">
        <v>168</v>
      </c>
      <c r="S20" s="177">
        <v>0</v>
      </c>
      <c r="T20" s="432">
        <f t="shared" si="4"/>
        <v>0</v>
      </c>
      <c r="U20" s="388">
        <f t="shared" si="5"/>
        <v>0</v>
      </c>
      <c r="V20" s="177">
        <v>0</v>
      </c>
      <c r="W20" s="432">
        <v>0</v>
      </c>
      <c r="X20" s="388">
        <v>168</v>
      </c>
      <c r="Y20" s="177">
        <v>0</v>
      </c>
      <c r="Z20" s="432">
        <f t="shared" si="8"/>
        <v>0</v>
      </c>
      <c r="AA20" s="388">
        <f t="shared" si="9"/>
        <v>0</v>
      </c>
      <c r="AB20" s="521">
        <v>0</v>
      </c>
      <c r="AC20" s="432">
        <v>0</v>
      </c>
      <c r="AD20" s="388">
        <v>168</v>
      </c>
      <c r="AE20" s="521">
        <v>0</v>
      </c>
      <c r="AF20" s="432">
        <f t="shared" si="12"/>
        <v>0</v>
      </c>
      <c r="AG20" s="388">
        <f t="shared" si="12"/>
        <v>0</v>
      </c>
      <c r="AH20" s="521">
        <v>0</v>
      </c>
      <c r="AI20" s="432">
        <v>0</v>
      </c>
      <c r="AJ20" s="388">
        <v>168</v>
      </c>
      <c r="AK20" s="521">
        <v>0</v>
      </c>
      <c r="AL20" s="774">
        <f t="shared" si="15"/>
        <v>0</v>
      </c>
      <c r="AM20" s="767">
        <f t="shared" si="16"/>
        <v>0</v>
      </c>
      <c r="AN20" s="749">
        <v>0</v>
      </c>
      <c r="AO20" s="777">
        <v>0</v>
      </c>
      <c r="AP20" s="767">
        <v>168</v>
      </c>
      <c r="AQ20" s="749">
        <v>0</v>
      </c>
      <c r="AR20" s="777">
        <f t="shared" si="19"/>
        <v>0</v>
      </c>
      <c r="AS20" s="767">
        <f t="shared" si="19"/>
        <v>0</v>
      </c>
      <c r="AT20" s="799">
        <v>0</v>
      </c>
      <c r="AU20" s="976">
        <v>0</v>
      </c>
      <c r="AV20" s="978">
        <v>168</v>
      </c>
      <c r="AW20" s="799">
        <v>0</v>
      </c>
      <c r="AX20" s="777">
        <f t="shared" si="22"/>
        <v>0</v>
      </c>
      <c r="AY20" s="767">
        <f t="shared" si="23"/>
        <v>0</v>
      </c>
      <c r="AZ20" s="799">
        <v>0</v>
      </c>
      <c r="BA20" s="777">
        <v>0</v>
      </c>
      <c r="BB20" s="767">
        <v>168</v>
      </c>
      <c r="BC20" s="799">
        <v>0</v>
      </c>
      <c r="BD20" s="777">
        <f t="shared" si="26"/>
        <v>0</v>
      </c>
      <c r="BE20" s="767">
        <f t="shared" si="26"/>
        <v>0</v>
      </c>
      <c r="BF20" s="799">
        <v>0</v>
      </c>
      <c r="BG20" s="777">
        <v>0</v>
      </c>
      <c r="BH20" s="767">
        <v>168</v>
      </c>
      <c r="BI20" s="799">
        <v>0</v>
      </c>
      <c r="BJ20" s="777">
        <f t="shared" si="29"/>
        <v>0</v>
      </c>
      <c r="BK20" s="767">
        <f t="shared" si="29"/>
        <v>0</v>
      </c>
      <c r="BL20" s="799">
        <v>0</v>
      </c>
      <c r="BM20" s="777">
        <v>0</v>
      </c>
      <c r="BN20" s="767">
        <v>168</v>
      </c>
      <c r="BO20" s="799">
        <v>0</v>
      </c>
      <c r="BP20" s="777">
        <f t="shared" si="32"/>
        <v>0</v>
      </c>
      <c r="BQ20" s="767">
        <f t="shared" si="32"/>
        <v>0</v>
      </c>
      <c r="BR20" s="799">
        <v>0</v>
      </c>
      <c r="BS20" s="777">
        <v>0</v>
      </c>
      <c r="BT20" s="767">
        <v>168</v>
      </c>
      <c r="BU20" s="799">
        <v>0</v>
      </c>
    </row>
    <row r="21" spans="1:73">
      <c r="A21" s="4"/>
      <c r="B21" s="43" t="s">
        <v>106</v>
      </c>
      <c r="C21" s="44">
        <v>550</v>
      </c>
      <c r="D21" s="44">
        <v>618</v>
      </c>
      <c r="E21" s="44">
        <v>624</v>
      </c>
      <c r="F21" s="44">
        <v>329</v>
      </c>
      <c r="G21" s="44">
        <v>79</v>
      </c>
      <c r="H21" s="44">
        <v>196</v>
      </c>
      <c r="I21" s="44">
        <v>162</v>
      </c>
      <c r="J21" s="44">
        <v>219</v>
      </c>
      <c r="K21" s="283">
        <v>15</v>
      </c>
      <c r="L21" s="390">
        <v>1</v>
      </c>
      <c r="M21" s="242">
        <f t="shared" ref="M21:M32" si="35">ROUND(((L21/K21-1)*100), 1)</f>
        <v>-93.3</v>
      </c>
      <c r="N21" s="283">
        <f t="shared" si="1"/>
        <v>17</v>
      </c>
      <c r="O21" s="390">
        <f t="shared" si="1"/>
        <v>19</v>
      </c>
      <c r="P21" s="242">
        <f t="shared" ref="P21:P32" si="36">ROUND(((O21/N21-1)*100), 1)</f>
        <v>11.8</v>
      </c>
      <c r="Q21" s="283">
        <v>32</v>
      </c>
      <c r="R21" s="390">
        <v>20</v>
      </c>
      <c r="S21" s="242">
        <f t="shared" ref="S21:S32" si="37">ROUND(((R21/Q21-1)*100), 1)</f>
        <v>-37.5</v>
      </c>
      <c r="T21" s="283">
        <f t="shared" si="4"/>
        <v>7</v>
      </c>
      <c r="U21" s="390">
        <f t="shared" si="5"/>
        <v>7</v>
      </c>
      <c r="V21" s="242">
        <f t="shared" ref="V21:V32" si="38">ROUND(((U21/T21-1)*100), 1)</f>
        <v>0</v>
      </c>
      <c r="W21" s="283">
        <v>39</v>
      </c>
      <c r="X21" s="390">
        <v>27</v>
      </c>
      <c r="Y21" s="242">
        <f t="shared" ref="Y21:Y32" si="39">ROUND(((X21/W21-1)*100), 1)</f>
        <v>-30.8</v>
      </c>
      <c r="Z21" s="283">
        <f t="shared" si="8"/>
        <v>15</v>
      </c>
      <c r="AA21" s="390">
        <f t="shared" si="9"/>
        <v>27</v>
      </c>
      <c r="AB21" s="242">
        <f t="shared" ref="AB21:AB25" si="40">ROUND(((AA21/Z21-1)*100), 1)</f>
        <v>80</v>
      </c>
      <c r="AC21" s="283">
        <v>54</v>
      </c>
      <c r="AD21" s="390">
        <v>54</v>
      </c>
      <c r="AE21" s="242">
        <f t="shared" ref="AE21:AE32" si="41">ROUND(((AD21/AC21-1)*100), 1)</f>
        <v>0</v>
      </c>
      <c r="AF21" s="283">
        <f t="shared" si="12"/>
        <v>12</v>
      </c>
      <c r="AG21" s="390">
        <f t="shared" si="12"/>
        <v>2</v>
      </c>
      <c r="AH21" s="242">
        <f t="shared" ref="AH21:AH35" si="42">ROUND(((AG21/AF21-1)*100), 1)</f>
        <v>-83.3</v>
      </c>
      <c r="AI21" s="283">
        <v>66</v>
      </c>
      <c r="AJ21" s="390">
        <v>56</v>
      </c>
      <c r="AK21" s="242">
        <f t="shared" ref="AK21:AK33" si="43">ROUND(((AJ21/AI21-1)*100), 1)</f>
        <v>-15.2</v>
      </c>
      <c r="AL21" s="762">
        <f t="shared" si="15"/>
        <v>6</v>
      </c>
      <c r="AM21" s="769">
        <f t="shared" si="16"/>
        <v>16</v>
      </c>
      <c r="AN21" s="753">
        <f t="shared" ref="AN21:AN34" si="44">ROUND(((AM21/AL21-1)*100), 1)</f>
        <v>166.7</v>
      </c>
      <c r="AO21" s="779">
        <v>72</v>
      </c>
      <c r="AP21" s="819">
        <v>72</v>
      </c>
      <c r="AQ21" s="753">
        <f t="shared" ref="AQ21:AQ33" si="45">ROUND(((AP21/AO21-1)*100), 1)</f>
        <v>0</v>
      </c>
      <c r="AR21" s="779">
        <f t="shared" si="19"/>
        <v>16</v>
      </c>
      <c r="AS21" s="819">
        <f t="shared" si="19"/>
        <v>3</v>
      </c>
      <c r="AT21" s="753">
        <f t="shared" ref="AT21:AT36" si="46">ROUND(((AS21/AR21-1)*100), 1)</f>
        <v>-81.3</v>
      </c>
      <c r="AU21" s="975">
        <v>88</v>
      </c>
      <c r="AV21" s="970">
        <v>75</v>
      </c>
      <c r="AW21" s="753">
        <f t="shared" ref="AW21:AW47" si="47">ROUND(((AV21/AU21-1)*100), 1)</f>
        <v>-14.8</v>
      </c>
      <c r="AX21" s="779">
        <f t="shared" si="22"/>
        <v>10</v>
      </c>
      <c r="AY21" s="819">
        <f t="shared" si="23"/>
        <v>15</v>
      </c>
      <c r="AZ21" s="753">
        <f t="shared" ref="AZ21:AZ25" si="48">ROUND(((AY21/AX21-1)*100), 1)</f>
        <v>50</v>
      </c>
      <c r="BA21" s="779">
        <v>98</v>
      </c>
      <c r="BB21" s="819">
        <v>90</v>
      </c>
      <c r="BC21" s="753">
        <f t="shared" ref="BC21:BC47" si="49">ROUND(((BB21/BA21-1)*100), 1)</f>
        <v>-8.1999999999999993</v>
      </c>
      <c r="BD21" s="779">
        <f t="shared" si="26"/>
        <v>19</v>
      </c>
      <c r="BE21" s="819">
        <f t="shared" si="26"/>
        <v>7</v>
      </c>
      <c r="BF21" s="753">
        <f t="shared" ref="BF21:BF36" si="50">ROUND(((BE21/BD21-1)*100), 1)</f>
        <v>-63.2</v>
      </c>
      <c r="BG21" s="779">
        <v>117</v>
      </c>
      <c r="BH21" s="819">
        <v>97</v>
      </c>
      <c r="BI21" s="753">
        <f t="shared" ref="BI21:BI47" si="51">ROUND(((BH21/BG21-1)*100), 1)</f>
        <v>-17.100000000000001</v>
      </c>
      <c r="BJ21" s="779">
        <f t="shared" si="29"/>
        <v>46</v>
      </c>
      <c r="BK21" s="819">
        <f t="shared" si="29"/>
        <v>5</v>
      </c>
      <c r="BL21" s="753">
        <f t="shared" ref="BL21:BL32" si="52">ROUND(((BK21/BJ21-1)*100), 1)</f>
        <v>-89.1</v>
      </c>
      <c r="BM21" s="779">
        <v>163</v>
      </c>
      <c r="BN21" s="819">
        <v>102</v>
      </c>
      <c r="BO21" s="753">
        <f t="shared" ref="BO21:BO47" si="53">ROUND(((BN21/BM21-1)*100), 1)</f>
        <v>-37.4</v>
      </c>
      <c r="BP21" s="779">
        <f t="shared" si="32"/>
        <v>19</v>
      </c>
      <c r="BQ21" s="819">
        <f t="shared" si="32"/>
        <v>29</v>
      </c>
      <c r="BR21" s="753">
        <f t="shared" ref="BR21:BR33" si="54">ROUND(((BQ21/BP21-1)*100), 1)</f>
        <v>52.6</v>
      </c>
      <c r="BS21" s="779">
        <v>182</v>
      </c>
      <c r="BT21" s="819">
        <v>131</v>
      </c>
      <c r="BU21" s="753">
        <f t="shared" ref="BU21:BU47" si="55">ROUND(((BT21/BS21-1)*100), 1)</f>
        <v>-28</v>
      </c>
    </row>
    <row r="22" spans="1:73">
      <c r="A22" s="4"/>
      <c r="B22" s="43" t="s">
        <v>61</v>
      </c>
      <c r="C22" s="44">
        <v>165</v>
      </c>
      <c r="D22" s="44">
        <v>175</v>
      </c>
      <c r="E22" s="44">
        <v>242</v>
      </c>
      <c r="F22" s="44">
        <v>173</v>
      </c>
      <c r="G22" s="44">
        <v>220</v>
      </c>
      <c r="H22" s="44">
        <v>181</v>
      </c>
      <c r="I22" s="44">
        <v>219</v>
      </c>
      <c r="J22" s="44">
        <v>205</v>
      </c>
      <c r="K22" s="283">
        <v>22</v>
      </c>
      <c r="L22" s="390">
        <v>9</v>
      </c>
      <c r="M22" s="242">
        <f t="shared" si="35"/>
        <v>-59.1</v>
      </c>
      <c r="N22" s="283">
        <f t="shared" si="1"/>
        <v>1</v>
      </c>
      <c r="O22" s="390">
        <f t="shared" si="1"/>
        <v>25</v>
      </c>
      <c r="P22" s="242">
        <f t="shared" si="36"/>
        <v>2400</v>
      </c>
      <c r="Q22" s="283">
        <v>23</v>
      </c>
      <c r="R22" s="390">
        <v>34</v>
      </c>
      <c r="S22" s="242">
        <f t="shared" si="37"/>
        <v>47.8</v>
      </c>
      <c r="T22" s="283">
        <f t="shared" si="4"/>
        <v>2</v>
      </c>
      <c r="U22" s="390">
        <f t="shared" si="5"/>
        <v>39</v>
      </c>
      <c r="V22" s="242">
        <f t="shared" si="38"/>
        <v>1850</v>
      </c>
      <c r="W22" s="283">
        <v>25</v>
      </c>
      <c r="X22" s="390">
        <v>73</v>
      </c>
      <c r="Y22" s="242">
        <f t="shared" si="39"/>
        <v>192</v>
      </c>
      <c r="Z22" s="283">
        <f t="shared" si="8"/>
        <v>14</v>
      </c>
      <c r="AA22" s="390">
        <f t="shared" si="9"/>
        <v>32</v>
      </c>
      <c r="AB22" s="242">
        <f t="shared" si="40"/>
        <v>128.6</v>
      </c>
      <c r="AC22" s="283">
        <v>39</v>
      </c>
      <c r="AD22" s="390">
        <v>105</v>
      </c>
      <c r="AE22" s="242">
        <f t="shared" si="41"/>
        <v>169.2</v>
      </c>
      <c r="AF22" s="283">
        <f t="shared" si="12"/>
        <v>14</v>
      </c>
      <c r="AG22" s="390">
        <f t="shared" si="12"/>
        <v>40</v>
      </c>
      <c r="AH22" s="242">
        <f t="shared" si="42"/>
        <v>185.7</v>
      </c>
      <c r="AI22" s="283">
        <v>53</v>
      </c>
      <c r="AJ22" s="390">
        <v>145</v>
      </c>
      <c r="AK22" s="242">
        <f t="shared" si="43"/>
        <v>173.6</v>
      </c>
      <c r="AL22" s="762">
        <f t="shared" si="15"/>
        <v>23</v>
      </c>
      <c r="AM22" s="769">
        <f t="shared" si="16"/>
        <v>16</v>
      </c>
      <c r="AN22" s="753">
        <f t="shared" si="44"/>
        <v>-30.4</v>
      </c>
      <c r="AO22" s="779">
        <v>76</v>
      </c>
      <c r="AP22" s="819">
        <v>161</v>
      </c>
      <c r="AQ22" s="753">
        <f t="shared" si="45"/>
        <v>111.8</v>
      </c>
      <c r="AR22" s="779">
        <f t="shared" si="19"/>
        <v>25</v>
      </c>
      <c r="AS22" s="819">
        <f t="shared" si="19"/>
        <v>22</v>
      </c>
      <c r="AT22" s="753">
        <f t="shared" si="46"/>
        <v>-12</v>
      </c>
      <c r="AU22" s="975">
        <v>101</v>
      </c>
      <c r="AV22" s="970">
        <v>183</v>
      </c>
      <c r="AW22" s="753">
        <f t="shared" si="47"/>
        <v>81.2</v>
      </c>
      <c r="AX22" s="779">
        <f t="shared" si="22"/>
        <v>22</v>
      </c>
      <c r="AY22" s="819">
        <f t="shared" si="23"/>
        <v>0</v>
      </c>
      <c r="AZ22" s="753">
        <f t="shared" si="48"/>
        <v>-100</v>
      </c>
      <c r="BA22" s="779">
        <v>123</v>
      </c>
      <c r="BB22" s="819">
        <v>183</v>
      </c>
      <c r="BC22" s="753">
        <f t="shared" si="49"/>
        <v>48.8</v>
      </c>
      <c r="BD22" s="779">
        <f t="shared" si="26"/>
        <v>0</v>
      </c>
      <c r="BE22" s="819">
        <f t="shared" si="26"/>
        <v>45</v>
      </c>
      <c r="BF22" s="751">
        <v>0</v>
      </c>
      <c r="BG22" s="779">
        <v>123</v>
      </c>
      <c r="BH22" s="819">
        <v>228</v>
      </c>
      <c r="BI22" s="753">
        <f t="shared" si="51"/>
        <v>85.4</v>
      </c>
      <c r="BJ22" s="779">
        <f t="shared" si="29"/>
        <v>29</v>
      </c>
      <c r="BK22" s="819">
        <f t="shared" si="29"/>
        <v>80</v>
      </c>
      <c r="BL22" s="753">
        <f t="shared" si="52"/>
        <v>175.9</v>
      </c>
      <c r="BM22" s="779">
        <v>152</v>
      </c>
      <c r="BN22" s="819">
        <v>308</v>
      </c>
      <c r="BO22" s="753">
        <f t="shared" si="53"/>
        <v>102.6</v>
      </c>
      <c r="BP22" s="779">
        <f t="shared" si="32"/>
        <v>39</v>
      </c>
      <c r="BQ22" s="819">
        <f t="shared" si="32"/>
        <v>13</v>
      </c>
      <c r="BR22" s="753">
        <f t="shared" si="54"/>
        <v>-66.7</v>
      </c>
      <c r="BS22" s="779">
        <v>191</v>
      </c>
      <c r="BT22" s="819">
        <v>321</v>
      </c>
      <c r="BU22" s="753">
        <f t="shared" si="55"/>
        <v>68.099999999999994</v>
      </c>
    </row>
    <row r="23" spans="1:73" s="173" customFormat="1">
      <c r="A23" s="325"/>
      <c r="B23" s="891" t="s">
        <v>219</v>
      </c>
      <c r="C23" s="340">
        <v>151</v>
      </c>
      <c r="D23" s="340">
        <v>192</v>
      </c>
      <c r="E23" s="340">
        <v>160</v>
      </c>
      <c r="F23" s="340">
        <v>219</v>
      </c>
      <c r="G23" s="340">
        <v>222</v>
      </c>
      <c r="H23" s="340">
        <v>231</v>
      </c>
      <c r="I23" s="340">
        <v>135</v>
      </c>
      <c r="J23" s="340">
        <v>155</v>
      </c>
      <c r="K23" s="777">
        <v>24</v>
      </c>
      <c r="L23" s="767">
        <v>0</v>
      </c>
      <c r="M23" s="765">
        <f t="shared" si="35"/>
        <v>-100</v>
      </c>
      <c r="N23" s="777">
        <f t="shared" si="1"/>
        <v>0</v>
      </c>
      <c r="O23" s="767">
        <f t="shared" si="1"/>
        <v>10</v>
      </c>
      <c r="P23" s="737">
        <v>0</v>
      </c>
      <c r="Q23" s="777">
        <v>24</v>
      </c>
      <c r="R23" s="767">
        <v>10</v>
      </c>
      <c r="S23" s="765">
        <f t="shared" si="37"/>
        <v>-58.3</v>
      </c>
      <c r="T23" s="777">
        <f t="shared" si="4"/>
        <v>22</v>
      </c>
      <c r="U23" s="767">
        <f t="shared" si="5"/>
        <v>13</v>
      </c>
      <c r="V23" s="765">
        <f t="shared" si="38"/>
        <v>-40.9</v>
      </c>
      <c r="W23" s="777">
        <v>46</v>
      </c>
      <c r="X23" s="767">
        <v>23</v>
      </c>
      <c r="Y23" s="765">
        <f t="shared" si="39"/>
        <v>-50</v>
      </c>
      <c r="Z23" s="777">
        <f t="shared" si="8"/>
        <v>0</v>
      </c>
      <c r="AA23" s="767">
        <f t="shared" si="9"/>
        <v>3</v>
      </c>
      <c r="AB23" s="1037">
        <v>0</v>
      </c>
      <c r="AC23" s="777">
        <v>46</v>
      </c>
      <c r="AD23" s="767">
        <v>26</v>
      </c>
      <c r="AE23" s="765">
        <f t="shared" si="41"/>
        <v>-43.5</v>
      </c>
      <c r="AF23" s="777">
        <f t="shared" si="12"/>
        <v>22</v>
      </c>
      <c r="AG23" s="767">
        <f t="shared" si="12"/>
        <v>12</v>
      </c>
      <c r="AH23" s="765">
        <f t="shared" si="42"/>
        <v>-45.5</v>
      </c>
      <c r="AI23" s="777">
        <v>68</v>
      </c>
      <c r="AJ23" s="767">
        <v>38</v>
      </c>
      <c r="AK23" s="765">
        <f t="shared" si="43"/>
        <v>-44.1</v>
      </c>
      <c r="AL23" s="777">
        <f t="shared" si="15"/>
        <v>20</v>
      </c>
      <c r="AM23" s="767">
        <f t="shared" si="16"/>
        <v>34</v>
      </c>
      <c r="AN23" s="765">
        <f t="shared" si="44"/>
        <v>70</v>
      </c>
      <c r="AO23" s="777">
        <v>88</v>
      </c>
      <c r="AP23" s="767">
        <v>72</v>
      </c>
      <c r="AQ23" s="765">
        <f t="shared" si="45"/>
        <v>-18.2</v>
      </c>
      <c r="AR23" s="777">
        <f t="shared" si="19"/>
        <v>21</v>
      </c>
      <c r="AS23" s="767">
        <f t="shared" si="19"/>
        <v>42</v>
      </c>
      <c r="AT23" s="765">
        <f t="shared" si="46"/>
        <v>100</v>
      </c>
      <c r="AU23" s="976">
        <v>109</v>
      </c>
      <c r="AV23" s="978">
        <v>114</v>
      </c>
      <c r="AW23" s="765">
        <f t="shared" si="47"/>
        <v>4.5999999999999996</v>
      </c>
      <c r="AX23" s="777">
        <f t="shared" si="22"/>
        <v>2</v>
      </c>
      <c r="AY23" s="767">
        <f t="shared" si="23"/>
        <v>0</v>
      </c>
      <c r="AZ23" s="765">
        <f t="shared" si="48"/>
        <v>-100</v>
      </c>
      <c r="BA23" s="777">
        <v>111</v>
      </c>
      <c r="BB23" s="767">
        <v>114</v>
      </c>
      <c r="BC23" s="765">
        <f t="shared" si="49"/>
        <v>2.7</v>
      </c>
      <c r="BD23" s="777">
        <f t="shared" si="26"/>
        <v>23</v>
      </c>
      <c r="BE23" s="767">
        <f t="shared" si="26"/>
        <v>0</v>
      </c>
      <c r="BF23" s="765">
        <f t="shared" si="50"/>
        <v>-100</v>
      </c>
      <c r="BG23" s="777">
        <v>134</v>
      </c>
      <c r="BH23" s="767">
        <v>114</v>
      </c>
      <c r="BI23" s="765">
        <f t="shared" si="51"/>
        <v>-14.9</v>
      </c>
      <c r="BJ23" s="777">
        <f t="shared" si="29"/>
        <v>20</v>
      </c>
      <c r="BK23" s="767">
        <f t="shared" si="29"/>
        <v>-8</v>
      </c>
      <c r="BL23" s="765">
        <f t="shared" si="52"/>
        <v>-140</v>
      </c>
      <c r="BM23" s="777">
        <v>154</v>
      </c>
      <c r="BN23" s="767">
        <v>106</v>
      </c>
      <c r="BO23" s="765">
        <f t="shared" si="53"/>
        <v>-31.2</v>
      </c>
      <c r="BP23" s="777">
        <f t="shared" si="32"/>
        <v>0</v>
      </c>
      <c r="BQ23" s="767">
        <f t="shared" si="32"/>
        <v>0</v>
      </c>
      <c r="BR23" s="799">
        <v>0</v>
      </c>
      <c r="BS23" s="777">
        <v>154</v>
      </c>
      <c r="BT23" s="767">
        <v>106</v>
      </c>
      <c r="BU23" s="765">
        <f t="shared" si="55"/>
        <v>-31.2</v>
      </c>
    </row>
    <row r="24" spans="1:73">
      <c r="A24" s="4"/>
      <c r="B24" s="43" t="s">
        <v>105</v>
      </c>
      <c r="C24" s="44">
        <v>30</v>
      </c>
      <c r="D24" s="44">
        <v>115</v>
      </c>
      <c r="E24" s="44">
        <v>178</v>
      </c>
      <c r="F24" s="44">
        <v>132</v>
      </c>
      <c r="G24" s="44">
        <v>748</v>
      </c>
      <c r="H24" s="44">
        <v>360</v>
      </c>
      <c r="I24" s="44">
        <v>180</v>
      </c>
      <c r="J24" s="44">
        <v>84</v>
      </c>
      <c r="K24" s="283">
        <v>4</v>
      </c>
      <c r="L24" s="390">
        <v>1</v>
      </c>
      <c r="M24" s="242">
        <f t="shared" si="35"/>
        <v>-75</v>
      </c>
      <c r="N24" s="283">
        <f t="shared" si="1"/>
        <v>6</v>
      </c>
      <c r="O24" s="390">
        <f t="shared" si="1"/>
        <v>5</v>
      </c>
      <c r="P24" s="242">
        <f t="shared" si="36"/>
        <v>-16.7</v>
      </c>
      <c r="Q24" s="283">
        <v>10</v>
      </c>
      <c r="R24" s="390">
        <v>6</v>
      </c>
      <c r="S24" s="242">
        <f t="shared" si="37"/>
        <v>-40</v>
      </c>
      <c r="T24" s="283">
        <f t="shared" si="4"/>
        <v>1</v>
      </c>
      <c r="U24" s="390">
        <f t="shared" si="5"/>
        <v>5</v>
      </c>
      <c r="V24" s="242">
        <f t="shared" si="38"/>
        <v>400</v>
      </c>
      <c r="W24" s="283">
        <v>11</v>
      </c>
      <c r="X24" s="390">
        <v>11</v>
      </c>
      <c r="Y24" s="242">
        <f t="shared" si="39"/>
        <v>0</v>
      </c>
      <c r="Z24" s="283">
        <f t="shared" si="8"/>
        <v>7</v>
      </c>
      <c r="AA24" s="390">
        <f t="shared" si="9"/>
        <v>3</v>
      </c>
      <c r="AB24" s="242">
        <f t="shared" si="40"/>
        <v>-57.1</v>
      </c>
      <c r="AC24" s="283">
        <v>18</v>
      </c>
      <c r="AD24" s="390">
        <v>14</v>
      </c>
      <c r="AE24" s="242">
        <f t="shared" si="41"/>
        <v>-22.2</v>
      </c>
      <c r="AF24" s="283">
        <f t="shared" si="12"/>
        <v>7</v>
      </c>
      <c r="AG24" s="390">
        <f t="shared" si="12"/>
        <v>6</v>
      </c>
      <c r="AH24" s="242">
        <f t="shared" si="42"/>
        <v>-14.3</v>
      </c>
      <c r="AI24" s="283">
        <v>25</v>
      </c>
      <c r="AJ24" s="390">
        <v>20</v>
      </c>
      <c r="AK24" s="242">
        <f t="shared" si="43"/>
        <v>-20</v>
      </c>
      <c r="AL24" s="762">
        <f t="shared" si="15"/>
        <v>6</v>
      </c>
      <c r="AM24" s="769">
        <f t="shared" si="16"/>
        <v>4</v>
      </c>
      <c r="AN24" s="753">
        <f t="shared" si="44"/>
        <v>-33.299999999999997</v>
      </c>
      <c r="AO24" s="779">
        <v>31</v>
      </c>
      <c r="AP24" s="819">
        <v>24</v>
      </c>
      <c r="AQ24" s="753">
        <f t="shared" si="45"/>
        <v>-22.6</v>
      </c>
      <c r="AR24" s="779">
        <f t="shared" si="19"/>
        <v>8</v>
      </c>
      <c r="AS24" s="819">
        <f t="shared" si="19"/>
        <v>6</v>
      </c>
      <c r="AT24" s="753">
        <f t="shared" si="46"/>
        <v>-25</v>
      </c>
      <c r="AU24" s="975">
        <v>39</v>
      </c>
      <c r="AV24" s="970">
        <v>30</v>
      </c>
      <c r="AW24" s="753">
        <f t="shared" si="47"/>
        <v>-23.1</v>
      </c>
      <c r="AX24" s="779">
        <f t="shared" si="22"/>
        <v>12</v>
      </c>
      <c r="AY24" s="819">
        <f t="shared" si="23"/>
        <v>12</v>
      </c>
      <c r="AZ24" s="753">
        <f t="shared" si="48"/>
        <v>0</v>
      </c>
      <c r="BA24" s="779">
        <v>51</v>
      </c>
      <c r="BB24" s="819">
        <v>42</v>
      </c>
      <c r="BC24" s="753">
        <f t="shared" si="49"/>
        <v>-17.600000000000001</v>
      </c>
      <c r="BD24" s="779">
        <f t="shared" si="26"/>
        <v>5</v>
      </c>
      <c r="BE24" s="819">
        <f t="shared" si="26"/>
        <v>9</v>
      </c>
      <c r="BF24" s="753">
        <f t="shared" si="50"/>
        <v>80</v>
      </c>
      <c r="BG24" s="779">
        <v>56</v>
      </c>
      <c r="BH24" s="819">
        <v>51</v>
      </c>
      <c r="BI24" s="753">
        <f t="shared" si="51"/>
        <v>-8.9</v>
      </c>
      <c r="BJ24" s="779">
        <f t="shared" si="29"/>
        <v>12</v>
      </c>
      <c r="BK24" s="819">
        <f t="shared" si="29"/>
        <v>4</v>
      </c>
      <c r="BL24" s="753">
        <f t="shared" si="52"/>
        <v>-66.7</v>
      </c>
      <c r="BM24" s="779">
        <v>68</v>
      </c>
      <c r="BN24" s="819">
        <v>55</v>
      </c>
      <c r="BO24" s="753">
        <f t="shared" si="53"/>
        <v>-19.100000000000001</v>
      </c>
      <c r="BP24" s="779">
        <f t="shared" si="32"/>
        <v>11</v>
      </c>
      <c r="BQ24" s="819">
        <f t="shared" si="32"/>
        <v>3</v>
      </c>
      <c r="BR24" s="753">
        <f t="shared" si="54"/>
        <v>-72.7</v>
      </c>
      <c r="BS24" s="779">
        <v>79</v>
      </c>
      <c r="BT24" s="819">
        <v>58</v>
      </c>
      <c r="BU24" s="753">
        <f t="shared" si="55"/>
        <v>-26.6</v>
      </c>
    </row>
    <row r="25" spans="1:73">
      <c r="A25" s="4"/>
      <c r="B25" s="43" t="s">
        <v>126</v>
      </c>
      <c r="C25" s="44">
        <v>2</v>
      </c>
      <c r="D25" s="44">
        <v>0</v>
      </c>
      <c r="E25" s="44">
        <v>0</v>
      </c>
      <c r="F25" s="44">
        <v>9</v>
      </c>
      <c r="G25" s="44">
        <v>145</v>
      </c>
      <c r="H25" s="44">
        <v>23</v>
      </c>
      <c r="I25" s="44">
        <v>37</v>
      </c>
      <c r="J25" s="44">
        <v>12</v>
      </c>
      <c r="K25" s="283">
        <v>1</v>
      </c>
      <c r="L25" s="390">
        <v>2</v>
      </c>
      <c r="M25" s="242">
        <f t="shared" si="35"/>
        <v>100</v>
      </c>
      <c r="N25" s="283">
        <f t="shared" si="1"/>
        <v>1</v>
      </c>
      <c r="O25" s="390">
        <f t="shared" si="1"/>
        <v>0</v>
      </c>
      <c r="P25" s="242">
        <f t="shared" si="36"/>
        <v>-100</v>
      </c>
      <c r="Q25" s="283">
        <v>2</v>
      </c>
      <c r="R25" s="390">
        <v>2</v>
      </c>
      <c r="S25" s="242">
        <f t="shared" si="37"/>
        <v>0</v>
      </c>
      <c r="T25" s="283">
        <f t="shared" si="4"/>
        <v>0</v>
      </c>
      <c r="U25" s="390">
        <f t="shared" si="5"/>
        <v>3</v>
      </c>
      <c r="V25" s="523">
        <v>0</v>
      </c>
      <c r="W25" s="283">
        <v>2</v>
      </c>
      <c r="X25" s="390">
        <v>5</v>
      </c>
      <c r="Y25" s="242">
        <f t="shared" si="39"/>
        <v>150</v>
      </c>
      <c r="Z25" s="283">
        <f t="shared" si="8"/>
        <v>1</v>
      </c>
      <c r="AA25" s="390">
        <f t="shared" si="9"/>
        <v>0</v>
      </c>
      <c r="AB25" s="242">
        <f t="shared" si="40"/>
        <v>-100</v>
      </c>
      <c r="AC25" s="283">
        <v>3</v>
      </c>
      <c r="AD25" s="390">
        <v>5</v>
      </c>
      <c r="AE25" s="242">
        <f t="shared" si="41"/>
        <v>66.7</v>
      </c>
      <c r="AF25" s="283">
        <f t="shared" si="12"/>
        <v>2</v>
      </c>
      <c r="AG25" s="390">
        <f t="shared" si="12"/>
        <v>0</v>
      </c>
      <c r="AH25" s="242">
        <f t="shared" si="42"/>
        <v>-100</v>
      </c>
      <c r="AI25" s="283">
        <v>5</v>
      </c>
      <c r="AJ25" s="390">
        <v>5</v>
      </c>
      <c r="AK25" s="242">
        <f t="shared" si="43"/>
        <v>0</v>
      </c>
      <c r="AL25" s="762">
        <f t="shared" si="15"/>
        <v>3</v>
      </c>
      <c r="AM25" s="769">
        <f t="shared" si="16"/>
        <v>0</v>
      </c>
      <c r="AN25" s="753">
        <f t="shared" si="44"/>
        <v>-100</v>
      </c>
      <c r="AO25" s="779">
        <v>8</v>
      </c>
      <c r="AP25" s="819">
        <v>5</v>
      </c>
      <c r="AQ25" s="753">
        <f t="shared" si="45"/>
        <v>-37.5</v>
      </c>
      <c r="AR25" s="779">
        <f t="shared" si="19"/>
        <v>0</v>
      </c>
      <c r="AS25" s="819">
        <f t="shared" si="19"/>
        <v>1</v>
      </c>
      <c r="AT25" s="799">
        <v>0</v>
      </c>
      <c r="AU25" s="975">
        <v>8</v>
      </c>
      <c r="AV25" s="970">
        <v>6</v>
      </c>
      <c r="AW25" s="753">
        <f t="shared" si="47"/>
        <v>-25</v>
      </c>
      <c r="AX25" s="779">
        <f t="shared" si="22"/>
        <v>2</v>
      </c>
      <c r="AY25" s="819">
        <f t="shared" si="23"/>
        <v>0</v>
      </c>
      <c r="AZ25" s="753">
        <f t="shared" si="48"/>
        <v>-100</v>
      </c>
      <c r="BA25" s="779">
        <v>10</v>
      </c>
      <c r="BB25" s="819">
        <v>6</v>
      </c>
      <c r="BC25" s="753">
        <f t="shared" si="49"/>
        <v>-40</v>
      </c>
      <c r="BD25" s="779">
        <f t="shared" si="26"/>
        <v>0</v>
      </c>
      <c r="BE25" s="819">
        <f t="shared" si="26"/>
        <v>0</v>
      </c>
      <c r="BF25" s="751">
        <v>0</v>
      </c>
      <c r="BG25" s="779">
        <v>10</v>
      </c>
      <c r="BH25" s="819">
        <v>6</v>
      </c>
      <c r="BI25" s="753">
        <f t="shared" si="51"/>
        <v>-40</v>
      </c>
      <c r="BJ25" s="779">
        <f t="shared" si="29"/>
        <v>2</v>
      </c>
      <c r="BK25" s="819">
        <f t="shared" si="29"/>
        <v>2</v>
      </c>
      <c r="BL25" s="753">
        <f t="shared" si="52"/>
        <v>0</v>
      </c>
      <c r="BM25" s="779">
        <v>12</v>
      </c>
      <c r="BN25" s="819">
        <v>8</v>
      </c>
      <c r="BO25" s="753">
        <f t="shared" si="53"/>
        <v>-33.299999999999997</v>
      </c>
      <c r="BP25" s="779">
        <f t="shared" si="32"/>
        <v>0</v>
      </c>
      <c r="BQ25" s="819">
        <f t="shared" si="32"/>
        <v>2</v>
      </c>
      <c r="BR25" s="799">
        <v>0</v>
      </c>
      <c r="BS25" s="779">
        <v>12</v>
      </c>
      <c r="BT25" s="819">
        <v>10</v>
      </c>
      <c r="BU25" s="753">
        <f t="shared" si="55"/>
        <v>-16.7</v>
      </c>
    </row>
    <row r="26" spans="1:73">
      <c r="A26" s="4"/>
      <c r="B26" s="43" t="s">
        <v>24</v>
      </c>
      <c r="C26" s="44">
        <f t="shared" ref="C26:L26" si="56">C27-SUM(C5:C25)</f>
        <v>654</v>
      </c>
      <c r="D26" s="44">
        <f t="shared" si="56"/>
        <v>688</v>
      </c>
      <c r="E26" s="44">
        <f t="shared" si="56"/>
        <v>893</v>
      </c>
      <c r="F26" s="44">
        <f t="shared" si="56"/>
        <v>806</v>
      </c>
      <c r="G26" s="44">
        <f t="shared" si="56"/>
        <v>819</v>
      </c>
      <c r="H26" s="44">
        <f t="shared" si="56"/>
        <v>876</v>
      </c>
      <c r="I26" s="44">
        <f t="shared" si="56"/>
        <v>830</v>
      </c>
      <c r="J26" s="44">
        <f t="shared" si="56"/>
        <v>745</v>
      </c>
      <c r="K26" s="383">
        <f t="shared" si="56"/>
        <v>93</v>
      </c>
      <c r="L26" s="383">
        <f t="shared" si="56"/>
        <v>38</v>
      </c>
      <c r="M26" s="242">
        <f t="shared" si="35"/>
        <v>-59.1</v>
      </c>
      <c r="N26" s="383">
        <f>N27-SUM(N5:N25)</f>
        <v>24</v>
      </c>
      <c r="O26" s="383">
        <f>O27-SUM(O5:O25)</f>
        <v>65</v>
      </c>
      <c r="P26" s="242">
        <f t="shared" si="36"/>
        <v>170.8</v>
      </c>
      <c r="Q26" s="383">
        <f>Q27-SUM(Q5:Q25)</f>
        <v>117</v>
      </c>
      <c r="R26" s="383">
        <f>R27-SUM(R5:R25)</f>
        <v>103</v>
      </c>
      <c r="S26" s="242">
        <f t="shared" si="37"/>
        <v>-12</v>
      </c>
      <c r="T26" s="383">
        <f>T27-SUM(T5:T25)</f>
        <v>76</v>
      </c>
      <c r="U26" s="383">
        <f>U27-SUM(U5:U25)</f>
        <v>46</v>
      </c>
      <c r="V26" s="242">
        <f t="shared" si="38"/>
        <v>-39.5</v>
      </c>
      <c r="W26" s="383">
        <f>W27-SUM(W5:W25)</f>
        <v>193</v>
      </c>
      <c r="X26" s="383">
        <f>X27-SUM(X5:X25)</f>
        <v>149</v>
      </c>
      <c r="Y26" s="242">
        <f t="shared" si="39"/>
        <v>-22.8</v>
      </c>
      <c r="Z26" s="527">
        <f>Z27-SUM(Z5:Z25)</f>
        <v>49</v>
      </c>
      <c r="AA26" s="527">
        <f>AA27-SUM(AA5:AA25)</f>
        <v>44</v>
      </c>
      <c r="AB26" s="242">
        <f t="shared" ref="AB26:AB32" si="57">ROUND(((AA26/Z26-1)*100), 1)</f>
        <v>-10.199999999999999</v>
      </c>
      <c r="AC26" s="527">
        <f>AC27-SUM(AC5:AC25)</f>
        <v>242</v>
      </c>
      <c r="AD26" s="527">
        <f>AD27-SUM(AD5:AD25)</f>
        <v>193</v>
      </c>
      <c r="AE26" s="242">
        <f t="shared" si="41"/>
        <v>-20.2</v>
      </c>
      <c r="AF26" s="527">
        <f>AF27-SUM(AF5:AF25)</f>
        <v>66</v>
      </c>
      <c r="AG26" s="527">
        <f>AG27-SUM(AG5:AG25)</f>
        <v>34</v>
      </c>
      <c r="AH26" s="242">
        <f t="shared" si="42"/>
        <v>-48.5</v>
      </c>
      <c r="AI26" s="527">
        <f>AI27-SUM(AI5:AI25)</f>
        <v>308</v>
      </c>
      <c r="AJ26" s="527">
        <f>AJ27-SUM(AJ5:AJ25)</f>
        <v>227</v>
      </c>
      <c r="AK26" s="242">
        <f t="shared" si="43"/>
        <v>-26.3</v>
      </c>
      <c r="AL26" s="766">
        <f>AL27-SUM(AL5:AL25)</f>
        <v>50</v>
      </c>
      <c r="AM26" s="766">
        <f>AM27-SUM(AM5:AM25)</f>
        <v>23</v>
      </c>
      <c r="AN26" s="753">
        <f t="shared" si="44"/>
        <v>-54</v>
      </c>
      <c r="AO26" s="817">
        <f>AO27-SUM(AO5:AO25)</f>
        <v>358</v>
      </c>
      <c r="AP26" s="817">
        <f>AP27-SUM(AP5:AP25)</f>
        <v>250</v>
      </c>
      <c r="AQ26" s="753">
        <f t="shared" si="45"/>
        <v>-30.2</v>
      </c>
      <c r="AR26" s="817">
        <f>AR27-SUM(AR5:AR25)</f>
        <v>93</v>
      </c>
      <c r="AS26" s="817">
        <f>AS27-SUM(AS5:AS25)</f>
        <v>47</v>
      </c>
      <c r="AT26" s="753">
        <f t="shared" si="46"/>
        <v>-49.5</v>
      </c>
      <c r="AU26" s="969">
        <f>AU27-SUM(AU5:AU25)</f>
        <v>451</v>
      </c>
      <c r="AV26" s="969">
        <f>AV27-SUM(AV5:AV25)</f>
        <v>297</v>
      </c>
      <c r="AW26" s="753">
        <f t="shared" si="47"/>
        <v>-34.1</v>
      </c>
      <c r="AX26" s="817">
        <f>AX27-SUM(AX5:AX25)</f>
        <v>34</v>
      </c>
      <c r="AY26" s="817">
        <f>AY27-SUM(AY5:AY25)</f>
        <v>28</v>
      </c>
      <c r="AZ26" s="753">
        <f t="shared" ref="AZ26:AZ36" si="58">ROUND(((AY26/AX26-1)*100), 1)</f>
        <v>-17.600000000000001</v>
      </c>
      <c r="BA26" s="817">
        <f>BA27-SUM(BA5:BA25)</f>
        <v>485</v>
      </c>
      <c r="BB26" s="817">
        <f>BB27-SUM(BB5:BB25)</f>
        <v>325</v>
      </c>
      <c r="BC26" s="753">
        <f t="shared" si="49"/>
        <v>-33</v>
      </c>
      <c r="BD26" s="817">
        <f>BD27-SUM(BD5:BD25)</f>
        <v>59</v>
      </c>
      <c r="BE26" s="817">
        <f>BE27-SUM(BE5:BE25)</f>
        <v>53</v>
      </c>
      <c r="BF26" s="753">
        <f t="shared" si="50"/>
        <v>-10.199999999999999</v>
      </c>
      <c r="BG26" s="817">
        <f>BG27-SUM(BG5:BG25)</f>
        <v>544</v>
      </c>
      <c r="BH26" s="817">
        <f>BH27-SUM(BH5:BH25)</f>
        <v>378</v>
      </c>
      <c r="BI26" s="753">
        <f t="shared" si="51"/>
        <v>-30.5</v>
      </c>
      <c r="BJ26" s="817">
        <f>BJ27-SUM(BJ5:BJ25)</f>
        <v>50</v>
      </c>
      <c r="BK26" s="817">
        <f>BK27-SUM(BK5:BK25)</f>
        <v>77</v>
      </c>
      <c r="BL26" s="753">
        <f t="shared" si="52"/>
        <v>54</v>
      </c>
      <c r="BM26" s="817">
        <f>BM27-SUM(BM5:BM25)</f>
        <v>594</v>
      </c>
      <c r="BN26" s="817">
        <f>BN27-SUM(BN5:BN25)</f>
        <v>455</v>
      </c>
      <c r="BO26" s="753">
        <f t="shared" si="53"/>
        <v>-23.4</v>
      </c>
      <c r="BP26" s="817">
        <f>BP27-SUM(BP5:BP25)</f>
        <v>91</v>
      </c>
      <c r="BQ26" s="817">
        <f>BQ27-SUM(BQ5:BQ25)</f>
        <v>42</v>
      </c>
      <c r="BR26" s="753">
        <f t="shared" si="54"/>
        <v>-53.8</v>
      </c>
      <c r="BS26" s="817">
        <f>BS27-SUM(BS5:BS25)</f>
        <v>685</v>
      </c>
      <c r="BT26" s="817">
        <f>BT27-SUM(BT5:BT25)</f>
        <v>497</v>
      </c>
      <c r="BU26" s="753">
        <f t="shared" si="55"/>
        <v>-27.4</v>
      </c>
    </row>
    <row r="27" spans="1:73">
      <c r="A27" s="9"/>
      <c r="B27" s="67" t="s">
        <v>108</v>
      </c>
      <c r="C27" s="46">
        <v>20699</v>
      </c>
      <c r="D27" s="46">
        <v>19885</v>
      </c>
      <c r="E27" s="46">
        <v>23736</v>
      </c>
      <c r="F27" s="46">
        <v>34831</v>
      </c>
      <c r="G27" s="46">
        <v>32358</v>
      </c>
      <c r="H27" s="46">
        <v>33210</v>
      </c>
      <c r="I27" s="46">
        <v>32085</v>
      </c>
      <c r="J27" s="46">
        <v>39272</v>
      </c>
      <c r="K27" s="281">
        <v>3382</v>
      </c>
      <c r="L27" s="295">
        <v>3091</v>
      </c>
      <c r="M27" s="243">
        <f t="shared" si="35"/>
        <v>-8.6</v>
      </c>
      <c r="N27" s="281">
        <f t="shared" ref="N27:O45" si="59">Q27-K27</f>
        <v>3140</v>
      </c>
      <c r="O27" s="295">
        <f t="shared" si="59"/>
        <v>3960</v>
      </c>
      <c r="P27" s="243">
        <f t="shared" si="36"/>
        <v>26.1</v>
      </c>
      <c r="Q27" s="281">
        <v>6522</v>
      </c>
      <c r="R27" s="295">
        <v>7051</v>
      </c>
      <c r="S27" s="243">
        <f t="shared" si="37"/>
        <v>8.1</v>
      </c>
      <c r="T27" s="281">
        <f t="shared" ref="T27:T45" si="60">W27-Q27</f>
        <v>2995</v>
      </c>
      <c r="U27" s="295">
        <f t="shared" ref="U27:U45" si="61">X27-R27</f>
        <v>4778</v>
      </c>
      <c r="V27" s="243">
        <f t="shared" si="38"/>
        <v>59.5</v>
      </c>
      <c r="W27" s="281">
        <v>9517</v>
      </c>
      <c r="X27" s="295">
        <v>11829</v>
      </c>
      <c r="Y27" s="243">
        <f t="shared" si="39"/>
        <v>24.3</v>
      </c>
      <c r="Z27" s="281">
        <f t="shared" ref="Z27:Z45" si="62">AC27-W27</f>
        <v>3064</v>
      </c>
      <c r="AA27" s="295">
        <f t="shared" ref="AA27:AA45" si="63">AD27-X27</f>
        <v>3134</v>
      </c>
      <c r="AB27" s="243">
        <f t="shared" si="57"/>
        <v>2.2999999999999998</v>
      </c>
      <c r="AC27" s="281">
        <v>12581</v>
      </c>
      <c r="AD27" s="295">
        <v>14963</v>
      </c>
      <c r="AE27" s="243">
        <f t="shared" si="41"/>
        <v>18.899999999999999</v>
      </c>
      <c r="AF27" s="281">
        <f t="shared" ref="AF27:AG45" si="64">AI27-AC27</f>
        <v>3399</v>
      </c>
      <c r="AG27" s="295">
        <f t="shared" si="64"/>
        <v>2147</v>
      </c>
      <c r="AH27" s="243">
        <f t="shared" si="42"/>
        <v>-36.799999999999997</v>
      </c>
      <c r="AI27" s="281">
        <v>15980</v>
      </c>
      <c r="AJ27" s="295">
        <v>17110</v>
      </c>
      <c r="AK27" s="243">
        <f t="shared" si="43"/>
        <v>7.1</v>
      </c>
      <c r="AL27" s="760">
        <f t="shared" ref="AL27:AL45" si="65">AO27-AI27</f>
        <v>2729</v>
      </c>
      <c r="AM27" s="763">
        <f t="shared" ref="AM27:AM45" si="66">AP27-AJ27</f>
        <v>2530</v>
      </c>
      <c r="AN27" s="754">
        <f t="shared" si="44"/>
        <v>-7.3</v>
      </c>
      <c r="AO27" s="760">
        <v>18709</v>
      </c>
      <c r="AP27" s="808">
        <v>19640</v>
      </c>
      <c r="AQ27" s="754">
        <f t="shared" si="45"/>
        <v>5</v>
      </c>
      <c r="AR27" s="760">
        <f t="shared" ref="AR27:AS45" si="67">AU27-AO27</f>
        <v>3437</v>
      </c>
      <c r="AS27" s="808">
        <f t="shared" si="67"/>
        <v>3376</v>
      </c>
      <c r="AT27" s="754">
        <f t="shared" si="46"/>
        <v>-1.8</v>
      </c>
      <c r="AU27" s="986">
        <v>22146</v>
      </c>
      <c r="AV27" s="972">
        <v>23016</v>
      </c>
      <c r="AW27" s="754">
        <f t="shared" si="47"/>
        <v>3.9</v>
      </c>
      <c r="AX27" s="760">
        <f t="shared" ref="AX27:AX45" si="68">BA27-AU27</f>
        <v>2967</v>
      </c>
      <c r="AY27" s="808">
        <f t="shared" ref="AY27:AY45" si="69">BB27-AV27</f>
        <v>2667</v>
      </c>
      <c r="AZ27" s="754">
        <f t="shared" si="58"/>
        <v>-10.1</v>
      </c>
      <c r="BA27" s="760">
        <v>25113</v>
      </c>
      <c r="BB27" s="808">
        <v>25683</v>
      </c>
      <c r="BC27" s="754">
        <f t="shared" si="49"/>
        <v>2.2999999999999998</v>
      </c>
      <c r="BD27" s="760">
        <f t="shared" ref="BD27:BE45" si="70">BG27-BA27</f>
        <v>2985</v>
      </c>
      <c r="BE27" s="808">
        <f t="shared" si="70"/>
        <v>3660</v>
      </c>
      <c r="BF27" s="754">
        <f t="shared" si="50"/>
        <v>22.6</v>
      </c>
      <c r="BG27" s="760">
        <v>28098</v>
      </c>
      <c r="BH27" s="808">
        <v>29343</v>
      </c>
      <c r="BI27" s="754">
        <f t="shared" si="51"/>
        <v>4.4000000000000004</v>
      </c>
      <c r="BJ27" s="760">
        <f t="shared" ref="BJ27:BK45" si="71">BM27-BG27</f>
        <v>3657</v>
      </c>
      <c r="BK27" s="808">
        <f t="shared" si="71"/>
        <v>4072</v>
      </c>
      <c r="BL27" s="754">
        <f t="shared" si="52"/>
        <v>11.3</v>
      </c>
      <c r="BM27" s="760">
        <v>31755</v>
      </c>
      <c r="BN27" s="808">
        <v>33415</v>
      </c>
      <c r="BO27" s="754">
        <f t="shared" si="53"/>
        <v>5.2</v>
      </c>
      <c r="BP27" s="760">
        <f t="shared" ref="BP27:BQ45" si="72">BS27-BM27</f>
        <v>3717</v>
      </c>
      <c r="BQ27" s="808">
        <f t="shared" si="72"/>
        <v>3943</v>
      </c>
      <c r="BR27" s="754">
        <f t="shared" si="54"/>
        <v>6.1</v>
      </c>
      <c r="BS27" s="760">
        <v>35472</v>
      </c>
      <c r="BT27" s="808">
        <v>37358</v>
      </c>
      <c r="BU27" s="754">
        <f t="shared" si="55"/>
        <v>5.3</v>
      </c>
    </row>
    <row r="28" spans="1:73">
      <c r="A28" s="4"/>
      <c r="B28" s="43" t="s">
        <v>98</v>
      </c>
      <c r="C28" s="44">
        <v>5060</v>
      </c>
      <c r="D28" s="44">
        <v>3403</v>
      </c>
      <c r="E28" s="44">
        <v>1111</v>
      </c>
      <c r="F28" s="44">
        <v>497</v>
      </c>
      <c r="G28" s="44">
        <v>142</v>
      </c>
      <c r="H28" s="44">
        <v>3946</v>
      </c>
      <c r="I28" s="44">
        <v>9147</v>
      </c>
      <c r="J28" s="44">
        <v>11844</v>
      </c>
      <c r="K28" s="283">
        <v>1139</v>
      </c>
      <c r="L28" s="390">
        <v>722</v>
      </c>
      <c r="M28" s="242">
        <f t="shared" si="35"/>
        <v>-36.6</v>
      </c>
      <c r="N28" s="283">
        <f t="shared" si="59"/>
        <v>843</v>
      </c>
      <c r="O28" s="390">
        <f t="shared" si="59"/>
        <v>687</v>
      </c>
      <c r="P28" s="242">
        <f t="shared" si="36"/>
        <v>-18.5</v>
      </c>
      <c r="Q28" s="283">
        <v>1982</v>
      </c>
      <c r="R28" s="390">
        <v>1409</v>
      </c>
      <c r="S28" s="242">
        <f t="shared" si="37"/>
        <v>-28.9</v>
      </c>
      <c r="T28" s="283">
        <f t="shared" si="60"/>
        <v>1163</v>
      </c>
      <c r="U28" s="390">
        <f t="shared" si="61"/>
        <v>752</v>
      </c>
      <c r="V28" s="242">
        <f t="shared" si="38"/>
        <v>-35.299999999999997</v>
      </c>
      <c r="W28" s="283">
        <v>3145</v>
      </c>
      <c r="X28" s="390">
        <v>2161</v>
      </c>
      <c r="Y28" s="242">
        <f t="shared" si="39"/>
        <v>-31.3</v>
      </c>
      <c r="Z28" s="283">
        <f t="shared" si="62"/>
        <v>1017</v>
      </c>
      <c r="AA28" s="390">
        <f t="shared" si="63"/>
        <v>774</v>
      </c>
      <c r="AB28" s="242">
        <f t="shared" si="57"/>
        <v>-23.9</v>
      </c>
      <c r="AC28" s="283">
        <v>4162</v>
      </c>
      <c r="AD28" s="390">
        <v>2935</v>
      </c>
      <c r="AE28" s="242">
        <f t="shared" si="41"/>
        <v>-29.5</v>
      </c>
      <c r="AF28" s="283">
        <f t="shared" si="64"/>
        <v>1122</v>
      </c>
      <c r="AG28" s="390">
        <f t="shared" si="64"/>
        <v>848</v>
      </c>
      <c r="AH28" s="242">
        <f t="shared" si="42"/>
        <v>-24.4</v>
      </c>
      <c r="AI28" s="283">
        <v>5284</v>
      </c>
      <c r="AJ28" s="390">
        <v>3783</v>
      </c>
      <c r="AK28" s="242">
        <f t="shared" si="43"/>
        <v>-28.4</v>
      </c>
      <c r="AL28" s="762">
        <f t="shared" si="65"/>
        <v>1403</v>
      </c>
      <c r="AM28" s="769">
        <f t="shared" si="66"/>
        <v>926</v>
      </c>
      <c r="AN28" s="753">
        <f t="shared" si="44"/>
        <v>-34</v>
      </c>
      <c r="AO28" s="779">
        <v>6687</v>
      </c>
      <c r="AP28" s="819">
        <v>4709</v>
      </c>
      <c r="AQ28" s="753">
        <f t="shared" si="45"/>
        <v>-29.6</v>
      </c>
      <c r="AR28" s="779">
        <f t="shared" si="67"/>
        <v>1218</v>
      </c>
      <c r="AS28" s="819">
        <f t="shared" si="67"/>
        <v>847</v>
      </c>
      <c r="AT28" s="753">
        <f t="shared" si="46"/>
        <v>-30.5</v>
      </c>
      <c r="AU28" s="975">
        <v>7905</v>
      </c>
      <c r="AV28" s="970">
        <v>5556</v>
      </c>
      <c r="AW28" s="753">
        <f t="shared" si="47"/>
        <v>-29.7</v>
      </c>
      <c r="AX28" s="779">
        <f t="shared" si="68"/>
        <v>1041</v>
      </c>
      <c r="AY28" s="819">
        <f t="shared" si="69"/>
        <v>713</v>
      </c>
      <c r="AZ28" s="753">
        <f t="shared" si="58"/>
        <v>-31.5</v>
      </c>
      <c r="BA28" s="779">
        <v>8946</v>
      </c>
      <c r="BB28" s="819">
        <v>6269</v>
      </c>
      <c r="BC28" s="753">
        <f t="shared" si="49"/>
        <v>-29.9</v>
      </c>
      <c r="BD28" s="779">
        <f t="shared" si="70"/>
        <v>818</v>
      </c>
      <c r="BE28" s="819">
        <f t="shared" si="70"/>
        <v>565</v>
      </c>
      <c r="BF28" s="753">
        <f t="shared" si="50"/>
        <v>-30.9</v>
      </c>
      <c r="BG28" s="779">
        <v>9764</v>
      </c>
      <c r="BH28" s="819">
        <v>6834</v>
      </c>
      <c r="BI28" s="753">
        <f t="shared" si="51"/>
        <v>-30</v>
      </c>
      <c r="BJ28" s="779">
        <f t="shared" si="71"/>
        <v>732</v>
      </c>
      <c r="BK28" s="819">
        <f t="shared" si="71"/>
        <v>648</v>
      </c>
      <c r="BL28" s="753">
        <f t="shared" si="52"/>
        <v>-11.5</v>
      </c>
      <c r="BM28" s="779">
        <v>10496</v>
      </c>
      <c r="BN28" s="819">
        <v>7482</v>
      </c>
      <c r="BO28" s="753">
        <f t="shared" si="53"/>
        <v>-28.7</v>
      </c>
      <c r="BP28" s="779">
        <f t="shared" si="72"/>
        <v>642</v>
      </c>
      <c r="BQ28" s="819">
        <f t="shared" si="72"/>
        <v>629</v>
      </c>
      <c r="BR28" s="753">
        <f t="shared" si="54"/>
        <v>-2</v>
      </c>
      <c r="BS28" s="779">
        <v>11138</v>
      </c>
      <c r="BT28" s="819">
        <v>8111</v>
      </c>
      <c r="BU28" s="753">
        <f t="shared" si="55"/>
        <v>-27.2</v>
      </c>
    </row>
    <row r="29" spans="1:73">
      <c r="A29" s="4" t="s">
        <v>110</v>
      </c>
      <c r="B29" s="43" t="s">
        <v>96</v>
      </c>
      <c r="C29" s="44">
        <v>2450</v>
      </c>
      <c r="D29" s="44">
        <v>1744</v>
      </c>
      <c r="E29" s="44">
        <v>1279</v>
      </c>
      <c r="F29" s="44">
        <v>1878</v>
      </c>
      <c r="G29" s="44">
        <v>3419</v>
      </c>
      <c r="H29" s="44">
        <v>6312</v>
      </c>
      <c r="I29" s="44">
        <v>8341</v>
      </c>
      <c r="J29" s="44">
        <v>8462</v>
      </c>
      <c r="K29" s="283">
        <v>816</v>
      </c>
      <c r="L29" s="390">
        <v>989</v>
      </c>
      <c r="M29" s="242">
        <f t="shared" si="35"/>
        <v>21.2</v>
      </c>
      <c r="N29" s="283">
        <f t="shared" si="59"/>
        <v>312</v>
      </c>
      <c r="O29" s="390">
        <f t="shared" si="59"/>
        <v>259</v>
      </c>
      <c r="P29" s="242">
        <f t="shared" si="36"/>
        <v>-17</v>
      </c>
      <c r="Q29" s="283">
        <v>1128</v>
      </c>
      <c r="R29" s="390">
        <v>1248</v>
      </c>
      <c r="S29" s="242">
        <f t="shared" si="37"/>
        <v>10.6</v>
      </c>
      <c r="T29" s="283">
        <f t="shared" si="60"/>
        <v>619</v>
      </c>
      <c r="U29" s="390">
        <f t="shared" si="61"/>
        <v>605</v>
      </c>
      <c r="V29" s="242">
        <f t="shared" si="38"/>
        <v>-2.2999999999999998</v>
      </c>
      <c r="W29" s="283">
        <v>1747</v>
      </c>
      <c r="X29" s="390">
        <v>1853</v>
      </c>
      <c r="Y29" s="242">
        <f t="shared" si="39"/>
        <v>6.1</v>
      </c>
      <c r="Z29" s="283">
        <f t="shared" si="62"/>
        <v>675</v>
      </c>
      <c r="AA29" s="390">
        <f t="shared" si="63"/>
        <v>1173</v>
      </c>
      <c r="AB29" s="242">
        <f t="shared" si="57"/>
        <v>73.8</v>
      </c>
      <c r="AC29" s="283">
        <v>2422</v>
      </c>
      <c r="AD29" s="390">
        <v>3026</v>
      </c>
      <c r="AE29" s="242">
        <f t="shared" si="41"/>
        <v>24.9</v>
      </c>
      <c r="AF29" s="283">
        <f t="shared" si="64"/>
        <v>649</v>
      </c>
      <c r="AG29" s="390">
        <f t="shared" si="64"/>
        <v>474</v>
      </c>
      <c r="AH29" s="242">
        <f t="shared" si="42"/>
        <v>-27</v>
      </c>
      <c r="AI29" s="283">
        <v>3071</v>
      </c>
      <c r="AJ29" s="390">
        <v>3500</v>
      </c>
      <c r="AK29" s="242">
        <f t="shared" si="43"/>
        <v>14</v>
      </c>
      <c r="AL29" s="762">
        <f t="shared" si="65"/>
        <v>572</v>
      </c>
      <c r="AM29" s="769">
        <f t="shared" si="66"/>
        <v>718</v>
      </c>
      <c r="AN29" s="753">
        <f t="shared" si="44"/>
        <v>25.5</v>
      </c>
      <c r="AO29" s="779">
        <v>3643</v>
      </c>
      <c r="AP29" s="819">
        <v>4218</v>
      </c>
      <c r="AQ29" s="753">
        <f t="shared" si="45"/>
        <v>15.8</v>
      </c>
      <c r="AR29" s="779">
        <f t="shared" si="67"/>
        <v>725</v>
      </c>
      <c r="AS29" s="819">
        <f t="shared" si="67"/>
        <v>539</v>
      </c>
      <c r="AT29" s="753">
        <f t="shared" si="46"/>
        <v>-25.7</v>
      </c>
      <c r="AU29" s="975">
        <v>4368</v>
      </c>
      <c r="AV29" s="970">
        <v>4757</v>
      </c>
      <c r="AW29" s="753">
        <f t="shared" si="47"/>
        <v>8.9</v>
      </c>
      <c r="AX29" s="779">
        <f t="shared" si="68"/>
        <v>558</v>
      </c>
      <c r="AY29" s="819">
        <f t="shared" si="69"/>
        <v>395</v>
      </c>
      <c r="AZ29" s="753">
        <f t="shared" si="58"/>
        <v>-29.2</v>
      </c>
      <c r="BA29" s="779">
        <v>4926</v>
      </c>
      <c r="BB29" s="819">
        <v>5152</v>
      </c>
      <c r="BC29" s="753">
        <f t="shared" si="49"/>
        <v>4.5999999999999996</v>
      </c>
      <c r="BD29" s="779">
        <f t="shared" si="70"/>
        <v>745</v>
      </c>
      <c r="BE29" s="819">
        <f t="shared" si="70"/>
        <v>605</v>
      </c>
      <c r="BF29" s="753">
        <f t="shared" si="50"/>
        <v>-18.8</v>
      </c>
      <c r="BG29" s="779">
        <v>5671</v>
      </c>
      <c r="BH29" s="819">
        <v>5757</v>
      </c>
      <c r="BI29" s="753">
        <f t="shared" si="51"/>
        <v>1.5</v>
      </c>
      <c r="BJ29" s="779">
        <f t="shared" si="71"/>
        <v>868</v>
      </c>
      <c r="BK29" s="819">
        <f t="shared" si="71"/>
        <v>399</v>
      </c>
      <c r="BL29" s="753">
        <f t="shared" si="52"/>
        <v>-54</v>
      </c>
      <c r="BM29" s="779">
        <v>6539</v>
      </c>
      <c r="BN29" s="819">
        <v>6156</v>
      </c>
      <c r="BO29" s="753">
        <f t="shared" si="53"/>
        <v>-5.9</v>
      </c>
      <c r="BP29" s="779">
        <f t="shared" si="72"/>
        <v>1060</v>
      </c>
      <c r="BQ29" s="819">
        <f t="shared" si="72"/>
        <v>638</v>
      </c>
      <c r="BR29" s="753">
        <f t="shared" si="54"/>
        <v>-39.799999999999997</v>
      </c>
      <c r="BS29" s="779">
        <v>7599</v>
      </c>
      <c r="BT29" s="819">
        <v>6794</v>
      </c>
      <c r="BU29" s="753">
        <f t="shared" si="55"/>
        <v>-10.6</v>
      </c>
    </row>
    <row r="30" spans="1:73">
      <c r="A30" s="4"/>
      <c r="B30" s="43" t="s">
        <v>113</v>
      </c>
      <c r="C30" s="44">
        <v>3015</v>
      </c>
      <c r="D30" s="44">
        <v>3702</v>
      </c>
      <c r="E30" s="44">
        <v>3167</v>
      </c>
      <c r="F30" s="44">
        <v>3444</v>
      </c>
      <c r="G30" s="44">
        <v>3676</v>
      </c>
      <c r="H30" s="44">
        <v>4266</v>
      </c>
      <c r="I30" s="44">
        <v>4143</v>
      </c>
      <c r="J30" s="44">
        <v>4571</v>
      </c>
      <c r="K30" s="283">
        <v>492</v>
      </c>
      <c r="L30" s="390">
        <v>261</v>
      </c>
      <c r="M30" s="242">
        <f t="shared" si="35"/>
        <v>-47</v>
      </c>
      <c r="N30" s="283">
        <f t="shared" si="59"/>
        <v>408</v>
      </c>
      <c r="O30" s="390">
        <f t="shared" si="59"/>
        <v>301</v>
      </c>
      <c r="P30" s="242">
        <f t="shared" si="36"/>
        <v>-26.2</v>
      </c>
      <c r="Q30" s="283">
        <v>900</v>
      </c>
      <c r="R30" s="390">
        <v>562</v>
      </c>
      <c r="S30" s="242">
        <f t="shared" si="37"/>
        <v>-37.6</v>
      </c>
      <c r="T30" s="283">
        <f t="shared" si="60"/>
        <v>469</v>
      </c>
      <c r="U30" s="390">
        <f t="shared" si="61"/>
        <v>406</v>
      </c>
      <c r="V30" s="242">
        <f t="shared" si="38"/>
        <v>-13.4</v>
      </c>
      <c r="W30" s="283">
        <v>1369</v>
      </c>
      <c r="X30" s="390">
        <v>968</v>
      </c>
      <c r="Y30" s="242">
        <f t="shared" si="39"/>
        <v>-29.3</v>
      </c>
      <c r="Z30" s="283">
        <f t="shared" si="62"/>
        <v>402</v>
      </c>
      <c r="AA30" s="390">
        <f t="shared" si="63"/>
        <v>279</v>
      </c>
      <c r="AB30" s="242">
        <f t="shared" si="57"/>
        <v>-30.6</v>
      </c>
      <c r="AC30" s="283">
        <v>1771</v>
      </c>
      <c r="AD30" s="390">
        <v>1247</v>
      </c>
      <c r="AE30" s="242">
        <f t="shared" si="41"/>
        <v>-29.6</v>
      </c>
      <c r="AF30" s="283">
        <f t="shared" si="64"/>
        <v>406</v>
      </c>
      <c r="AG30" s="390">
        <f t="shared" si="64"/>
        <v>278</v>
      </c>
      <c r="AH30" s="242">
        <f t="shared" si="42"/>
        <v>-31.5</v>
      </c>
      <c r="AI30" s="283">
        <v>2177</v>
      </c>
      <c r="AJ30" s="390">
        <v>1525</v>
      </c>
      <c r="AK30" s="242">
        <f t="shared" si="43"/>
        <v>-29.9</v>
      </c>
      <c r="AL30" s="762">
        <f t="shared" si="65"/>
        <v>457</v>
      </c>
      <c r="AM30" s="769">
        <f t="shared" si="66"/>
        <v>184</v>
      </c>
      <c r="AN30" s="753">
        <f t="shared" si="44"/>
        <v>-59.7</v>
      </c>
      <c r="AO30" s="779">
        <v>2634</v>
      </c>
      <c r="AP30" s="819">
        <v>1709</v>
      </c>
      <c r="AQ30" s="753">
        <f t="shared" si="45"/>
        <v>-35.1</v>
      </c>
      <c r="AR30" s="779">
        <f t="shared" si="67"/>
        <v>353</v>
      </c>
      <c r="AS30" s="819">
        <f t="shared" si="67"/>
        <v>324</v>
      </c>
      <c r="AT30" s="753">
        <f t="shared" si="46"/>
        <v>-8.1999999999999993</v>
      </c>
      <c r="AU30" s="975">
        <v>2987</v>
      </c>
      <c r="AV30" s="970">
        <v>2033</v>
      </c>
      <c r="AW30" s="753">
        <f t="shared" si="47"/>
        <v>-31.9</v>
      </c>
      <c r="AX30" s="779">
        <f t="shared" si="68"/>
        <v>431</v>
      </c>
      <c r="AY30" s="819">
        <f t="shared" si="69"/>
        <v>177</v>
      </c>
      <c r="AZ30" s="753">
        <f t="shared" si="58"/>
        <v>-58.9</v>
      </c>
      <c r="BA30" s="779">
        <v>3418</v>
      </c>
      <c r="BB30" s="819">
        <v>2210</v>
      </c>
      <c r="BC30" s="753">
        <f t="shared" si="49"/>
        <v>-35.299999999999997</v>
      </c>
      <c r="BD30" s="779">
        <f t="shared" si="70"/>
        <v>229</v>
      </c>
      <c r="BE30" s="819">
        <f t="shared" si="70"/>
        <v>392</v>
      </c>
      <c r="BF30" s="753">
        <f t="shared" si="50"/>
        <v>71.2</v>
      </c>
      <c r="BG30" s="779">
        <v>3647</v>
      </c>
      <c r="BH30" s="819">
        <v>2602</v>
      </c>
      <c r="BI30" s="753">
        <f t="shared" si="51"/>
        <v>-28.7</v>
      </c>
      <c r="BJ30" s="779">
        <f t="shared" si="71"/>
        <v>332</v>
      </c>
      <c r="BK30" s="819">
        <f t="shared" si="71"/>
        <v>121</v>
      </c>
      <c r="BL30" s="753">
        <f t="shared" si="52"/>
        <v>-63.6</v>
      </c>
      <c r="BM30" s="779">
        <v>3979</v>
      </c>
      <c r="BN30" s="819">
        <v>2723</v>
      </c>
      <c r="BO30" s="753">
        <f t="shared" si="53"/>
        <v>-31.6</v>
      </c>
      <c r="BP30" s="779">
        <f t="shared" si="72"/>
        <v>346</v>
      </c>
      <c r="BQ30" s="819">
        <f t="shared" si="72"/>
        <v>319</v>
      </c>
      <c r="BR30" s="753">
        <f t="shared" si="54"/>
        <v>-7.8</v>
      </c>
      <c r="BS30" s="779">
        <v>4325</v>
      </c>
      <c r="BT30" s="819">
        <v>3042</v>
      </c>
      <c r="BU30" s="753">
        <f t="shared" si="55"/>
        <v>-29.7</v>
      </c>
    </row>
    <row r="31" spans="1:73">
      <c r="A31" s="4"/>
      <c r="B31" s="43" t="s">
        <v>116</v>
      </c>
      <c r="C31" s="44">
        <v>98</v>
      </c>
      <c r="D31" s="44">
        <v>190</v>
      </c>
      <c r="E31" s="44">
        <v>470</v>
      </c>
      <c r="F31" s="44">
        <v>1489</v>
      </c>
      <c r="G31" s="44">
        <v>1273</v>
      </c>
      <c r="H31" s="44">
        <v>1492</v>
      </c>
      <c r="I31" s="44">
        <v>1594</v>
      </c>
      <c r="J31" s="44">
        <v>1710</v>
      </c>
      <c r="K31" s="283">
        <v>166</v>
      </c>
      <c r="L31" s="390">
        <v>123</v>
      </c>
      <c r="M31" s="242">
        <f t="shared" si="35"/>
        <v>-25.9</v>
      </c>
      <c r="N31" s="283">
        <f t="shared" si="59"/>
        <v>108</v>
      </c>
      <c r="O31" s="390">
        <f t="shared" si="59"/>
        <v>107</v>
      </c>
      <c r="P31" s="242">
        <f t="shared" si="36"/>
        <v>-0.9</v>
      </c>
      <c r="Q31" s="283">
        <v>274</v>
      </c>
      <c r="R31" s="390">
        <v>230</v>
      </c>
      <c r="S31" s="242">
        <f t="shared" si="37"/>
        <v>-16.100000000000001</v>
      </c>
      <c r="T31" s="283">
        <f t="shared" si="60"/>
        <v>120</v>
      </c>
      <c r="U31" s="390">
        <f t="shared" si="61"/>
        <v>183</v>
      </c>
      <c r="V31" s="242">
        <f t="shared" si="38"/>
        <v>52.5</v>
      </c>
      <c r="W31" s="283">
        <v>394</v>
      </c>
      <c r="X31" s="390">
        <v>413</v>
      </c>
      <c r="Y31" s="242">
        <f t="shared" si="39"/>
        <v>4.8</v>
      </c>
      <c r="Z31" s="283">
        <f t="shared" si="62"/>
        <v>213</v>
      </c>
      <c r="AA31" s="390">
        <f t="shared" si="63"/>
        <v>19</v>
      </c>
      <c r="AB31" s="242">
        <f t="shared" si="57"/>
        <v>-91.1</v>
      </c>
      <c r="AC31" s="283">
        <v>607</v>
      </c>
      <c r="AD31" s="390">
        <v>432</v>
      </c>
      <c r="AE31" s="242">
        <f t="shared" si="41"/>
        <v>-28.8</v>
      </c>
      <c r="AF31" s="283">
        <f t="shared" si="64"/>
        <v>142</v>
      </c>
      <c r="AG31" s="390">
        <f t="shared" si="64"/>
        <v>255</v>
      </c>
      <c r="AH31" s="242">
        <f t="shared" si="42"/>
        <v>79.599999999999994</v>
      </c>
      <c r="AI31" s="283">
        <v>749</v>
      </c>
      <c r="AJ31" s="390">
        <v>687</v>
      </c>
      <c r="AK31" s="242">
        <f t="shared" si="43"/>
        <v>-8.3000000000000007</v>
      </c>
      <c r="AL31" s="762">
        <f t="shared" si="65"/>
        <v>157</v>
      </c>
      <c r="AM31" s="769">
        <f t="shared" si="66"/>
        <v>122</v>
      </c>
      <c r="AN31" s="753">
        <f t="shared" si="44"/>
        <v>-22.3</v>
      </c>
      <c r="AO31" s="779">
        <v>906</v>
      </c>
      <c r="AP31" s="819">
        <v>809</v>
      </c>
      <c r="AQ31" s="753">
        <f t="shared" si="45"/>
        <v>-10.7</v>
      </c>
      <c r="AR31" s="779">
        <f t="shared" si="67"/>
        <v>171</v>
      </c>
      <c r="AS31" s="819">
        <f t="shared" si="67"/>
        <v>139</v>
      </c>
      <c r="AT31" s="753">
        <f t="shared" si="46"/>
        <v>-18.7</v>
      </c>
      <c r="AU31" s="975">
        <v>1077</v>
      </c>
      <c r="AV31" s="970">
        <v>948</v>
      </c>
      <c r="AW31" s="753">
        <f t="shared" si="47"/>
        <v>-12</v>
      </c>
      <c r="AX31" s="779">
        <f t="shared" si="68"/>
        <v>169</v>
      </c>
      <c r="AY31" s="819">
        <f t="shared" si="69"/>
        <v>4</v>
      </c>
      <c r="AZ31" s="753">
        <f t="shared" si="58"/>
        <v>-97.6</v>
      </c>
      <c r="BA31" s="779">
        <v>1246</v>
      </c>
      <c r="BB31" s="819">
        <v>952</v>
      </c>
      <c r="BC31" s="753">
        <f t="shared" si="49"/>
        <v>-23.6</v>
      </c>
      <c r="BD31" s="779">
        <f t="shared" si="70"/>
        <v>144</v>
      </c>
      <c r="BE31" s="819">
        <f t="shared" si="70"/>
        <v>228</v>
      </c>
      <c r="BF31" s="753">
        <f t="shared" si="50"/>
        <v>58.3</v>
      </c>
      <c r="BG31" s="779">
        <v>1390</v>
      </c>
      <c r="BH31" s="819">
        <v>1180</v>
      </c>
      <c r="BI31" s="753">
        <f t="shared" si="51"/>
        <v>-15.1</v>
      </c>
      <c r="BJ31" s="779">
        <f t="shared" si="71"/>
        <v>16</v>
      </c>
      <c r="BK31" s="819">
        <f t="shared" si="71"/>
        <v>128</v>
      </c>
      <c r="BL31" s="753">
        <f t="shared" si="52"/>
        <v>700</v>
      </c>
      <c r="BM31" s="779">
        <v>1406</v>
      </c>
      <c r="BN31" s="819">
        <v>1308</v>
      </c>
      <c r="BO31" s="753">
        <f t="shared" si="53"/>
        <v>-7</v>
      </c>
      <c r="BP31" s="779">
        <f t="shared" si="72"/>
        <v>172</v>
      </c>
      <c r="BQ31" s="819">
        <f t="shared" si="72"/>
        <v>51</v>
      </c>
      <c r="BR31" s="753">
        <f t="shared" si="54"/>
        <v>-70.3</v>
      </c>
      <c r="BS31" s="779">
        <v>1578</v>
      </c>
      <c r="BT31" s="819">
        <v>1359</v>
      </c>
      <c r="BU31" s="753">
        <f t="shared" si="55"/>
        <v>-13.9</v>
      </c>
    </row>
    <row r="32" spans="1:73">
      <c r="A32" s="4"/>
      <c r="B32" s="43" t="s">
        <v>86</v>
      </c>
      <c r="C32" s="44">
        <v>339</v>
      </c>
      <c r="D32" s="44">
        <v>606</v>
      </c>
      <c r="E32" s="44">
        <v>434</v>
      </c>
      <c r="F32" s="44">
        <v>908</v>
      </c>
      <c r="G32" s="44">
        <v>405</v>
      </c>
      <c r="H32" s="44">
        <v>311</v>
      </c>
      <c r="I32" s="44">
        <v>381</v>
      </c>
      <c r="J32" s="44">
        <v>406</v>
      </c>
      <c r="K32" s="283">
        <v>29</v>
      </c>
      <c r="L32" s="390">
        <v>40</v>
      </c>
      <c r="M32" s="242">
        <f t="shared" si="35"/>
        <v>37.9</v>
      </c>
      <c r="N32" s="283">
        <f t="shared" si="59"/>
        <v>58</v>
      </c>
      <c r="O32" s="390">
        <f t="shared" si="59"/>
        <v>62</v>
      </c>
      <c r="P32" s="242">
        <f t="shared" si="36"/>
        <v>6.9</v>
      </c>
      <c r="Q32" s="283">
        <v>87</v>
      </c>
      <c r="R32" s="390">
        <v>102</v>
      </c>
      <c r="S32" s="242">
        <f t="shared" si="37"/>
        <v>17.2</v>
      </c>
      <c r="T32" s="283">
        <f t="shared" si="60"/>
        <v>46</v>
      </c>
      <c r="U32" s="390">
        <f t="shared" si="61"/>
        <v>26</v>
      </c>
      <c r="V32" s="242">
        <f t="shared" si="38"/>
        <v>-43.5</v>
      </c>
      <c r="W32" s="283">
        <v>133</v>
      </c>
      <c r="X32" s="390">
        <v>128</v>
      </c>
      <c r="Y32" s="242">
        <f t="shared" si="39"/>
        <v>-3.8</v>
      </c>
      <c r="Z32" s="283">
        <f t="shared" si="62"/>
        <v>27</v>
      </c>
      <c r="AA32" s="390">
        <f t="shared" si="63"/>
        <v>22</v>
      </c>
      <c r="AB32" s="242">
        <f t="shared" si="57"/>
        <v>-18.5</v>
      </c>
      <c r="AC32" s="283">
        <v>160</v>
      </c>
      <c r="AD32" s="390">
        <v>150</v>
      </c>
      <c r="AE32" s="242">
        <f t="shared" si="41"/>
        <v>-6.3</v>
      </c>
      <c r="AF32" s="283">
        <f t="shared" si="64"/>
        <v>41</v>
      </c>
      <c r="AG32" s="390">
        <f t="shared" si="64"/>
        <v>15</v>
      </c>
      <c r="AH32" s="242">
        <f t="shared" si="42"/>
        <v>-63.4</v>
      </c>
      <c r="AI32" s="283">
        <v>201</v>
      </c>
      <c r="AJ32" s="390">
        <v>165</v>
      </c>
      <c r="AK32" s="242">
        <f t="shared" si="43"/>
        <v>-17.899999999999999</v>
      </c>
      <c r="AL32" s="762">
        <f t="shared" si="65"/>
        <v>31</v>
      </c>
      <c r="AM32" s="769">
        <f t="shared" si="66"/>
        <v>54</v>
      </c>
      <c r="AN32" s="753">
        <f t="shared" si="44"/>
        <v>74.2</v>
      </c>
      <c r="AO32" s="779">
        <v>232</v>
      </c>
      <c r="AP32" s="819">
        <v>219</v>
      </c>
      <c r="AQ32" s="753">
        <f t="shared" si="45"/>
        <v>-5.6</v>
      </c>
      <c r="AR32" s="779">
        <f t="shared" si="67"/>
        <v>1</v>
      </c>
      <c r="AS32" s="819">
        <f t="shared" si="67"/>
        <v>27</v>
      </c>
      <c r="AT32" s="753">
        <f t="shared" si="46"/>
        <v>2600</v>
      </c>
      <c r="AU32" s="975">
        <v>233</v>
      </c>
      <c r="AV32" s="970">
        <v>246</v>
      </c>
      <c r="AW32" s="753">
        <f t="shared" si="47"/>
        <v>5.6</v>
      </c>
      <c r="AX32" s="779">
        <f t="shared" si="68"/>
        <v>12</v>
      </c>
      <c r="AY32" s="819">
        <f t="shared" si="69"/>
        <v>47</v>
      </c>
      <c r="AZ32" s="753">
        <f t="shared" si="58"/>
        <v>291.7</v>
      </c>
      <c r="BA32" s="779">
        <v>245</v>
      </c>
      <c r="BB32" s="819">
        <v>293</v>
      </c>
      <c r="BC32" s="753">
        <f t="shared" si="49"/>
        <v>19.600000000000001</v>
      </c>
      <c r="BD32" s="779">
        <f t="shared" si="70"/>
        <v>5</v>
      </c>
      <c r="BE32" s="819">
        <f t="shared" si="70"/>
        <v>26</v>
      </c>
      <c r="BF32" s="753">
        <f t="shared" si="50"/>
        <v>420</v>
      </c>
      <c r="BG32" s="779">
        <v>250</v>
      </c>
      <c r="BH32" s="819">
        <v>319</v>
      </c>
      <c r="BI32" s="753">
        <f t="shared" si="51"/>
        <v>27.6</v>
      </c>
      <c r="BJ32" s="779">
        <f t="shared" si="71"/>
        <v>67</v>
      </c>
      <c r="BK32" s="819">
        <f t="shared" si="71"/>
        <v>55</v>
      </c>
      <c r="BL32" s="753">
        <f t="shared" si="52"/>
        <v>-17.899999999999999</v>
      </c>
      <c r="BM32" s="779">
        <v>317</v>
      </c>
      <c r="BN32" s="819">
        <v>374</v>
      </c>
      <c r="BO32" s="753">
        <f t="shared" si="53"/>
        <v>18</v>
      </c>
      <c r="BP32" s="779">
        <f t="shared" si="72"/>
        <v>61</v>
      </c>
      <c r="BQ32" s="819">
        <f t="shared" si="72"/>
        <v>48</v>
      </c>
      <c r="BR32" s="753">
        <f t="shared" si="54"/>
        <v>-21.3</v>
      </c>
      <c r="BS32" s="779">
        <v>378</v>
      </c>
      <c r="BT32" s="819">
        <v>422</v>
      </c>
      <c r="BU32" s="753">
        <f t="shared" si="55"/>
        <v>11.6</v>
      </c>
    </row>
    <row r="33" spans="1:73">
      <c r="A33" s="4"/>
      <c r="B33" s="43" t="s">
        <v>56</v>
      </c>
      <c r="C33" s="44">
        <v>557</v>
      </c>
      <c r="D33" s="44">
        <v>690</v>
      </c>
      <c r="E33" s="44">
        <v>2385</v>
      </c>
      <c r="F33" s="44">
        <v>1374</v>
      </c>
      <c r="G33" s="44">
        <v>1543</v>
      </c>
      <c r="H33" s="44">
        <v>276</v>
      </c>
      <c r="I33" s="44">
        <v>653</v>
      </c>
      <c r="J33" s="44">
        <v>344</v>
      </c>
      <c r="K33" s="283">
        <v>0</v>
      </c>
      <c r="L33" s="390">
        <v>0</v>
      </c>
      <c r="M33" s="177">
        <v>0</v>
      </c>
      <c r="N33" s="283">
        <f t="shared" si="59"/>
        <v>0</v>
      </c>
      <c r="O33" s="390">
        <f t="shared" si="59"/>
        <v>0</v>
      </c>
      <c r="P33" s="177">
        <v>0</v>
      </c>
      <c r="Q33" s="283">
        <v>0</v>
      </c>
      <c r="R33" s="390">
        <v>0</v>
      </c>
      <c r="S33" s="177">
        <v>0</v>
      </c>
      <c r="T33" s="283">
        <f t="shared" si="60"/>
        <v>0</v>
      </c>
      <c r="U33" s="390">
        <f t="shared" si="61"/>
        <v>55</v>
      </c>
      <c r="V33" s="177">
        <v>0</v>
      </c>
      <c r="W33" s="283">
        <v>0</v>
      </c>
      <c r="X33" s="390">
        <v>55</v>
      </c>
      <c r="Y33" s="177">
        <v>0</v>
      </c>
      <c r="Z33" s="283">
        <f t="shared" si="62"/>
        <v>0</v>
      </c>
      <c r="AA33" s="390">
        <f t="shared" si="63"/>
        <v>0</v>
      </c>
      <c r="AB33" s="521">
        <v>0</v>
      </c>
      <c r="AC33" s="283">
        <v>0</v>
      </c>
      <c r="AD33" s="390">
        <v>55</v>
      </c>
      <c r="AE33" s="521">
        <v>0</v>
      </c>
      <c r="AF33" s="283">
        <f t="shared" si="64"/>
        <v>52</v>
      </c>
      <c r="AG33" s="390">
        <f t="shared" si="64"/>
        <v>9</v>
      </c>
      <c r="AH33" s="242">
        <f t="shared" si="42"/>
        <v>-82.7</v>
      </c>
      <c r="AI33" s="283">
        <v>52</v>
      </c>
      <c r="AJ33" s="390">
        <v>64</v>
      </c>
      <c r="AK33" s="242">
        <f t="shared" si="43"/>
        <v>23.1</v>
      </c>
      <c r="AL33" s="762">
        <f t="shared" si="65"/>
        <v>61</v>
      </c>
      <c r="AM33" s="769">
        <f t="shared" si="66"/>
        <v>30</v>
      </c>
      <c r="AN33" s="753">
        <f t="shared" si="44"/>
        <v>-50.8</v>
      </c>
      <c r="AO33" s="779">
        <v>113</v>
      </c>
      <c r="AP33" s="819">
        <v>94</v>
      </c>
      <c r="AQ33" s="753">
        <f t="shared" si="45"/>
        <v>-16.8</v>
      </c>
      <c r="AR33" s="779">
        <f t="shared" si="67"/>
        <v>120</v>
      </c>
      <c r="AS33" s="819">
        <f t="shared" si="67"/>
        <v>0</v>
      </c>
      <c r="AT33" s="753">
        <f t="shared" si="46"/>
        <v>-100</v>
      </c>
      <c r="AU33" s="975">
        <v>233</v>
      </c>
      <c r="AV33" s="970">
        <v>94</v>
      </c>
      <c r="AW33" s="753">
        <f t="shared" si="47"/>
        <v>-59.7</v>
      </c>
      <c r="AX33" s="779">
        <f t="shared" si="68"/>
        <v>48</v>
      </c>
      <c r="AY33" s="819">
        <f t="shared" si="69"/>
        <v>32</v>
      </c>
      <c r="AZ33" s="753">
        <f t="shared" si="58"/>
        <v>-33.299999999999997</v>
      </c>
      <c r="BA33" s="779">
        <v>281</v>
      </c>
      <c r="BB33" s="819">
        <v>126</v>
      </c>
      <c r="BC33" s="753">
        <f t="shared" si="49"/>
        <v>-55.2</v>
      </c>
      <c r="BD33" s="779">
        <f t="shared" si="70"/>
        <v>0</v>
      </c>
      <c r="BE33" s="819">
        <f t="shared" si="70"/>
        <v>0</v>
      </c>
      <c r="BF33" s="751">
        <v>0</v>
      </c>
      <c r="BG33" s="779">
        <v>281</v>
      </c>
      <c r="BH33" s="819">
        <v>126</v>
      </c>
      <c r="BI33" s="753">
        <f t="shared" si="51"/>
        <v>-55.2</v>
      </c>
      <c r="BJ33" s="779">
        <f t="shared" si="71"/>
        <v>0</v>
      </c>
      <c r="BK33" s="819">
        <f t="shared" si="71"/>
        <v>0</v>
      </c>
      <c r="BL33" s="751">
        <v>0</v>
      </c>
      <c r="BM33" s="779">
        <v>281</v>
      </c>
      <c r="BN33" s="819">
        <v>126</v>
      </c>
      <c r="BO33" s="753">
        <f t="shared" si="53"/>
        <v>-55.2</v>
      </c>
      <c r="BP33" s="779">
        <f t="shared" si="72"/>
        <v>45</v>
      </c>
      <c r="BQ33" s="819">
        <f t="shared" si="72"/>
        <v>0</v>
      </c>
      <c r="BR33" s="705">
        <f t="shared" si="54"/>
        <v>-100</v>
      </c>
      <c r="BS33" s="779">
        <v>326</v>
      </c>
      <c r="BT33" s="819">
        <v>126</v>
      </c>
      <c r="BU33" s="753">
        <f t="shared" si="55"/>
        <v>-61.3</v>
      </c>
    </row>
    <row r="34" spans="1:73">
      <c r="A34" s="4"/>
      <c r="B34" s="43" t="s">
        <v>54</v>
      </c>
      <c r="C34" s="44">
        <v>184</v>
      </c>
      <c r="D34" s="44">
        <v>642</v>
      </c>
      <c r="E34" s="44">
        <v>511</v>
      </c>
      <c r="F34" s="44">
        <v>260</v>
      </c>
      <c r="G34" s="44">
        <v>574</v>
      </c>
      <c r="H34" s="44">
        <v>517</v>
      </c>
      <c r="I34" s="44">
        <v>472</v>
      </c>
      <c r="J34" s="44">
        <v>205</v>
      </c>
      <c r="K34" s="283">
        <v>22</v>
      </c>
      <c r="L34" s="390">
        <v>39</v>
      </c>
      <c r="M34" s="242">
        <f>ROUND(((L34/K34-1)*100), 1)</f>
        <v>77.3</v>
      </c>
      <c r="N34" s="283">
        <f t="shared" si="59"/>
        <v>11</v>
      </c>
      <c r="O34" s="390">
        <f t="shared" si="59"/>
        <v>25</v>
      </c>
      <c r="P34" s="242">
        <f>ROUND(((O34/N34-1)*100), 1)</f>
        <v>127.3</v>
      </c>
      <c r="Q34" s="283">
        <v>33</v>
      </c>
      <c r="R34" s="390">
        <v>64</v>
      </c>
      <c r="S34" s="242">
        <f>ROUND(((R34/Q34-1)*100), 1)</f>
        <v>93.9</v>
      </c>
      <c r="T34" s="283">
        <f t="shared" si="60"/>
        <v>11</v>
      </c>
      <c r="U34" s="390">
        <f t="shared" si="61"/>
        <v>183</v>
      </c>
      <c r="V34" s="242">
        <f>ROUND(((U34/T34-1)*100), 1)</f>
        <v>1563.6</v>
      </c>
      <c r="W34" s="283">
        <v>44</v>
      </c>
      <c r="X34" s="390">
        <v>247</v>
      </c>
      <c r="Y34" s="242">
        <f>ROUND(((X34/W34-1)*100), 1)</f>
        <v>461.4</v>
      </c>
      <c r="Z34" s="283">
        <f t="shared" si="62"/>
        <v>21</v>
      </c>
      <c r="AA34" s="390">
        <f t="shared" si="63"/>
        <v>54</v>
      </c>
      <c r="AB34" s="242">
        <f>ROUND(((AA34/Z34-1)*100), 1)</f>
        <v>157.1</v>
      </c>
      <c r="AC34" s="283">
        <v>65</v>
      </c>
      <c r="AD34" s="390">
        <v>301</v>
      </c>
      <c r="AE34" s="242">
        <f>ROUND(((AD34/AC34-1)*100), 1)</f>
        <v>363.1</v>
      </c>
      <c r="AF34" s="283">
        <f t="shared" si="64"/>
        <v>0</v>
      </c>
      <c r="AG34" s="390">
        <f t="shared" si="64"/>
        <v>25</v>
      </c>
      <c r="AH34" s="521">
        <v>0</v>
      </c>
      <c r="AI34" s="283">
        <v>65</v>
      </c>
      <c r="AJ34" s="390">
        <v>326</v>
      </c>
      <c r="AK34" s="242">
        <f>ROUND(((AJ34/AI34-1)*100), 1)</f>
        <v>401.5</v>
      </c>
      <c r="AL34" s="762">
        <f t="shared" si="65"/>
        <v>32</v>
      </c>
      <c r="AM34" s="769">
        <f t="shared" si="66"/>
        <v>78</v>
      </c>
      <c r="AN34" s="753">
        <f t="shared" si="44"/>
        <v>143.80000000000001</v>
      </c>
      <c r="AO34" s="779">
        <v>97</v>
      </c>
      <c r="AP34" s="819">
        <v>404</v>
      </c>
      <c r="AQ34" s="753">
        <f>ROUND(((AP34/AO34-1)*100), 1)</f>
        <v>316.5</v>
      </c>
      <c r="AR34" s="779">
        <f t="shared" si="67"/>
        <v>11</v>
      </c>
      <c r="AS34" s="819">
        <f t="shared" si="67"/>
        <v>38</v>
      </c>
      <c r="AT34" s="753">
        <f t="shared" si="46"/>
        <v>245.5</v>
      </c>
      <c r="AU34" s="975">
        <v>108</v>
      </c>
      <c r="AV34" s="970">
        <v>442</v>
      </c>
      <c r="AW34" s="753">
        <f t="shared" si="47"/>
        <v>309.3</v>
      </c>
      <c r="AX34" s="779">
        <f t="shared" si="68"/>
        <v>28</v>
      </c>
      <c r="AY34" s="819">
        <f t="shared" si="69"/>
        <v>160</v>
      </c>
      <c r="AZ34" s="753">
        <f t="shared" si="58"/>
        <v>471.4</v>
      </c>
      <c r="BA34" s="779">
        <v>136</v>
      </c>
      <c r="BB34" s="819">
        <v>602</v>
      </c>
      <c r="BC34" s="753">
        <f t="shared" si="49"/>
        <v>342.6</v>
      </c>
      <c r="BD34" s="779">
        <f t="shared" si="70"/>
        <v>12</v>
      </c>
      <c r="BE34" s="767">
        <f t="shared" si="70"/>
        <v>59</v>
      </c>
      <c r="BF34" s="753">
        <f t="shared" si="50"/>
        <v>391.7</v>
      </c>
      <c r="BG34" s="779">
        <v>148</v>
      </c>
      <c r="BH34" s="819">
        <v>661</v>
      </c>
      <c r="BI34" s="753">
        <f t="shared" si="51"/>
        <v>346.6</v>
      </c>
      <c r="BJ34" s="779">
        <f t="shared" si="71"/>
        <v>22</v>
      </c>
      <c r="BK34" s="767">
        <f t="shared" si="71"/>
        <v>62</v>
      </c>
      <c r="BL34" s="753">
        <f t="shared" ref="BL34" si="73">ROUND(((BK34/BJ34-1)*100), 1)</f>
        <v>181.8</v>
      </c>
      <c r="BM34" s="779">
        <v>170</v>
      </c>
      <c r="BN34" s="819">
        <v>723</v>
      </c>
      <c r="BO34" s="753">
        <f t="shared" si="53"/>
        <v>325.3</v>
      </c>
      <c r="BP34" s="779">
        <f t="shared" si="72"/>
        <v>14</v>
      </c>
      <c r="BQ34" s="767">
        <f t="shared" si="72"/>
        <v>76</v>
      </c>
      <c r="BR34" s="753">
        <f>ROUND(((BQ34/BP34-1)*100), 1)</f>
        <v>442.9</v>
      </c>
      <c r="BS34" s="779">
        <v>184</v>
      </c>
      <c r="BT34" s="819">
        <v>799</v>
      </c>
      <c r="BU34" s="753">
        <f t="shared" si="55"/>
        <v>334.2</v>
      </c>
    </row>
    <row r="35" spans="1:73" s="173" customFormat="1">
      <c r="A35" s="325"/>
      <c r="B35" s="33" t="s">
        <v>478</v>
      </c>
      <c r="C35" s="340">
        <v>0</v>
      </c>
      <c r="D35" s="340">
        <v>2</v>
      </c>
      <c r="E35" s="340">
        <v>2</v>
      </c>
      <c r="F35" s="340">
        <v>41</v>
      </c>
      <c r="G35" s="340">
        <v>45</v>
      </c>
      <c r="H35" s="340">
        <v>30</v>
      </c>
      <c r="I35" s="340">
        <v>107</v>
      </c>
      <c r="J35" s="340">
        <v>147</v>
      </c>
      <c r="K35" s="432">
        <v>20</v>
      </c>
      <c r="L35" s="388">
        <v>20</v>
      </c>
      <c r="M35" s="177">
        <v>0</v>
      </c>
      <c r="N35" s="432">
        <f t="shared" si="59"/>
        <v>0</v>
      </c>
      <c r="O35" s="388">
        <f t="shared" si="59"/>
        <v>0</v>
      </c>
      <c r="P35" s="177">
        <v>0</v>
      </c>
      <c r="Q35" s="283">
        <v>20</v>
      </c>
      <c r="R35" s="390">
        <v>20</v>
      </c>
      <c r="S35" s="242">
        <f>ROUND(((R35/Q35-1)*100), 1)</f>
        <v>0</v>
      </c>
      <c r="T35" s="432">
        <f t="shared" si="60"/>
        <v>0</v>
      </c>
      <c r="U35" s="388">
        <f t="shared" si="61"/>
        <v>20</v>
      </c>
      <c r="V35" s="177">
        <v>0</v>
      </c>
      <c r="W35" s="283">
        <v>20</v>
      </c>
      <c r="X35" s="390">
        <v>40</v>
      </c>
      <c r="Y35" s="242">
        <f>ROUND(((X35/W35-1)*100), 1)</f>
        <v>100</v>
      </c>
      <c r="Z35" s="432">
        <f t="shared" si="62"/>
        <v>0</v>
      </c>
      <c r="AA35" s="388">
        <f t="shared" si="63"/>
        <v>2</v>
      </c>
      <c r="AB35" s="521">
        <v>0</v>
      </c>
      <c r="AC35" s="283">
        <v>20</v>
      </c>
      <c r="AD35" s="390">
        <v>42</v>
      </c>
      <c r="AE35" s="242">
        <f>ROUND(((AD35/AC35-1)*100), 1)</f>
        <v>110</v>
      </c>
      <c r="AF35" s="432">
        <f t="shared" si="64"/>
        <v>40</v>
      </c>
      <c r="AG35" s="388">
        <f t="shared" si="64"/>
        <v>0</v>
      </c>
      <c r="AH35" s="242">
        <f t="shared" si="42"/>
        <v>-100</v>
      </c>
      <c r="AI35" s="283">
        <v>60</v>
      </c>
      <c r="AJ35" s="390">
        <v>42</v>
      </c>
      <c r="AK35" s="242">
        <f>ROUND(((AJ35/AI35-1)*100), 1)</f>
        <v>-30</v>
      </c>
      <c r="AL35" s="774">
        <f t="shared" si="65"/>
        <v>0</v>
      </c>
      <c r="AM35" s="767">
        <f t="shared" si="66"/>
        <v>42</v>
      </c>
      <c r="AN35" s="799">
        <v>0</v>
      </c>
      <c r="AO35" s="779">
        <v>60</v>
      </c>
      <c r="AP35" s="819">
        <v>84</v>
      </c>
      <c r="AQ35" s="753">
        <f>ROUND(((AP35/AO35-1)*100), 1)</f>
        <v>40</v>
      </c>
      <c r="AR35" s="777">
        <f t="shared" si="67"/>
        <v>21</v>
      </c>
      <c r="AS35" s="767">
        <f t="shared" si="67"/>
        <v>0</v>
      </c>
      <c r="AT35" s="753">
        <f t="shared" si="46"/>
        <v>-100</v>
      </c>
      <c r="AU35" s="975">
        <v>81</v>
      </c>
      <c r="AV35" s="970">
        <v>84</v>
      </c>
      <c r="AW35" s="753">
        <f t="shared" si="47"/>
        <v>3.7</v>
      </c>
      <c r="AX35" s="777">
        <f t="shared" si="68"/>
        <v>20</v>
      </c>
      <c r="AY35" s="767">
        <f t="shared" si="69"/>
        <v>0</v>
      </c>
      <c r="AZ35" s="753">
        <f t="shared" si="58"/>
        <v>-100</v>
      </c>
      <c r="BA35" s="779">
        <v>101</v>
      </c>
      <c r="BB35" s="819">
        <v>84</v>
      </c>
      <c r="BC35" s="753">
        <f t="shared" si="49"/>
        <v>-16.8</v>
      </c>
      <c r="BD35" s="777">
        <f t="shared" si="70"/>
        <v>0</v>
      </c>
      <c r="BE35" s="767">
        <f t="shared" si="70"/>
        <v>0</v>
      </c>
      <c r="BF35" s="751">
        <v>0</v>
      </c>
      <c r="BG35" s="779">
        <v>101</v>
      </c>
      <c r="BH35" s="819">
        <v>84</v>
      </c>
      <c r="BI35" s="753">
        <f t="shared" si="51"/>
        <v>-16.8</v>
      </c>
      <c r="BJ35" s="777">
        <f t="shared" si="71"/>
        <v>0</v>
      </c>
      <c r="BK35" s="767">
        <f t="shared" si="71"/>
        <v>40</v>
      </c>
      <c r="BL35" s="751">
        <v>0</v>
      </c>
      <c r="BM35" s="779">
        <v>101</v>
      </c>
      <c r="BN35" s="819">
        <v>124</v>
      </c>
      <c r="BO35" s="753">
        <f t="shared" si="53"/>
        <v>22.8</v>
      </c>
      <c r="BP35" s="777">
        <f t="shared" si="72"/>
        <v>20</v>
      </c>
      <c r="BQ35" s="767">
        <f t="shared" si="72"/>
        <v>0</v>
      </c>
      <c r="BR35" s="705">
        <f t="shared" ref="BR35" si="74">ROUND(((BQ35/BP35-1)*100), 1)</f>
        <v>-100</v>
      </c>
      <c r="BS35" s="779">
        <v>121</v>
      </c>
      <c r="BT35" s="819">
        <v>124</v>
      </c>
      <c r="BU35" s="753">
        <f t="shared" si="55"/>
        <v>2.5</v>
      </c>
    </row>
    <row r="36" spans="1:73">
      <c r="A36" s="4"/>
      <c r="B36" s="43" t="s">
        <v>128</v>
      </c>
      <c r="C36" s="44">
        <v>292</v>
      </c>
      <c r="D36" s="44">
        <v>277</v>
      </c>
      <c r="E36" s="44">
        <v>313</v>
      </c>
      <c r="F36" s="44">
        <v>113</v>
      </c>
      <c r="G36" s="44">
        <v>58</v>
      </c>
      <c r="H36" s="44">
        <v>33</v>
      </c>
      <c r="I36" s="44">
        <v>34</v>
      </c>
      <c r="J36" s="44">
        <v>77</v>
      </c>
      <c r="K36" s="283">
        <v>3</v>
      </c>
      <c r="L36" s="390">
        <v>0</v>
      </c>
      <c r="M36" s="242">
        <f>ROUND(((L36/K36-1)*100), 1)</f>
        <v>-100</v>
      </c>
      <c r="N36" s="283">
        <f t="shared" si="59"/>
        <v>0</v>
      </c>
      <c r="O36" s="390">
        <f t="shared" si="59"/>
        <v>9</v>
      </c>
      <c r="P36" s="523">
        <v>0</v>
      </c>
      <c r="Q36" s="283">
        <v>3</v>
      </c>
      <c r="R36" s="390">
        <v>9</v>
      </c>
      <c r="S36" s="242">
        <f>ROUND(((R36/Q36-1)*100), 1)</f>
        <v>200</v>
      </c>
      <c r="T36" s="283">
        <f t="shared" si="60"/>
        <v>4</v>
      </c>
      <c r="U36" s="390">
        <f t="shared" si="61"/>
        <v>7</v>
      </c>
      <c r="V36" s="242">
        <f>ROUND(((U36/T36-1)*100), 1)</f>
        <v>75</v>
      </c>
      <c r="W36" s="283">
        <v>7</v>
      </c>
      <c r="X36" s="390">
        <v>16</v>
      </c>
      <c r="Y36" s="242">
        <f>ROUND(((X36/W36-1)*100), 1)</f>
        <v>128.6</v>
      </c>
      <c r="Z36" s="283">
        <f t="shared" si="62"/>
        <v>12</v>
      </c>
      <c r="AA36" s="390">
        <f t="shared" si="63"/>
        <v>1</v>
      </c>
      <c r="AB36" s="242">
        <f>ROUND(((AA36/Z36-1)*100), 1)</f>
        <v>-91.7</v>
      </c>
      <c r="AC36" s="283">
        <v>19</v>
      </c>
      <c r="AD36" s="390">
        <v>17</v>
      </c>
      <c r="AE36" s="242">
        <f>ROUND(((AD36/AC36-1)*100), 1)</f>
        <v>-10.5</v>
      </c>
      <c r="AF36" s="283">
        <f t="shared" si="64"/>
        <v>5</v>
      </c>
      <c r="AG36" s="390">
        <f t="shared" si="64"/>
        <v>1</v>
      </c>
      <c r="AH36" s="242">
        <f>ROUND(((AG36/AF36-1)*100), 1)</f>
        <v>-80</v>
      </c>
      <c r="AI36" s="283">
        <v>24</v>
      </c>
      <c r="AJ36" s="390">
        <v>18</v>
      </c>
      <c r="AK36" s="242">
        <f>ROUND(((AJ36/AI36-1)*100), 1)</f>
        <v>-25</v>
      </c>
      <c r="AL36" s="762">
        <f t="shared" si="65"/>
        <v>0</v>
      </c>
      <c r="AM36" s="769">
        <f t="shared" si="66"/>
        <v>1</v>
      </c>
      <c r="AN36" s="799">
        <v>0</v>
      </c>
      <c r="AO36" s="779">
        <v>24</v>
      </c>
      <c r="AP36" s="819">
        <v>19</v>
      </c>
      <c r="AQ36" s="753">
        <f>ROUND(((AP36/AO36-1)*100), 1)</f>
        <v>-20.8</v>
      </c>
      <c r="AR36" s="779">
        <f t="shared" si="67"/>
        <v>6</v>
      </c>
      <c r="AS36" s="819">
        <f t="shared" si="67"/>
        <v>4</v>
      </c>
      <c r="AT36" s="753">
        <f t="shared" si="46"/>
        <v>-33.299999999999997</v>
      </c>
      <c r="AU36" s="975">
        <v>30</v>
      </c>
      <c r="AV36" s="970">
        <v>23</v>
      </c>
      <c r="AW36" s="753">
        <f t="shared" si="47"/>
        <v>-23.3</v>
      </c>
      <c r="AX36" s="779">
        <f t="shared" si="68"/>
        <v>13</v>
      </c>
      <c r="AY36" s="819">
        <f t="shared" si="69"/>
        <v>7</v>
      </c>
      <c r="AZ36" s="753">
        <f t="shared" si="58"/>
        <v>-46.2</v>
      </c>
      <c r="BA36" s="779">
        <v>43</v>
      </c>
      <c r="BB36" s="819">
        <v>30</v>
      </c>
      <c r="BC36" s="753">
        <f t="shared" si="49"/>
        <v>-30.2</v>
      </c>
      <c r="BD36" s="779">
        <f t="shared" si="70"/>
        <v>8</v>
      </c>
      <c r="BE36" s="767">
        <f t="shared" si="70"/>
        <v>1</v>
      </c>
      <c r="BF36" s="753">
        <f t="shared" si="50"/>
        <v>-87.5</v>
      </c>
      <c r="BG36" s="779">
        <v>51</v>
      </c>
      <c r="BH36" s="819">
        <v>31</v>
      </c>
      <c r="BI36" s="753">
        <f t="shared" si="51"/>
        <v>-39.200000000000003</v>
      </c>
      <c r="BJ36" s="779">
        <f t="shared" si="71"/>
        <v>1</v>
      </c>
      <c r="BK36" s="767">
        <f t="shared" si="71"/>
        <v>5</v>
      </c>
      <c r="BL36" s="753">
        <f t="shared" ref="BL36" si="75">ROUND(((BK36/BJ36-1)*100), 1)</f>
        <v>400</v>
      </c>
      <c r="BM36" s="779">
        <v>52</v>
      </c>
      <c r="BN36" s="819">
        <v>36</v>
      </c>
      <c r="BO36" s="753">
        <f t="shared" si="53"/>
        <v>-30.8</v>
      </c>
      <c r="BP36" s="779">
        <f t="shared" si="72"/>
        <v>15</v>
      </c>
      <c r="BQ36" s="767">
        <f t="shared" si="72"/>
        <v>0</v>
      </c>
      <c r="BR36" s="753">
        <f>ROUND(((BQ36/BP36-1)*100), 1)</f>
        <v>-100</v>
      </c>
      <c r="BS36" s="779">
        <v>67</v>
      </c>
      <c r="BT36" s="819">
        <v>36</v>
      </c>
      <c r="BU36" s="753">
        <f t="shared" si="55"/>
        <v>-46.3</v>
      </c>
    </row>
    <row r="37" spans="1:73">
      <c r="A37" s="4"/>
      <c r="B37" s="43" t="s">
        <v>100</v>
      </c>
      <c r="C37" s="44">
        <v>199</v>
      </c>
      <c r="D37" s="44">
        <v>93</v>
      </c>
      <c r="E37" s="44">
        <v>146</v>
      </c>
      <c r="F37" s="44">
        <v>43</v>
      </c>
      <c r="G37" s="44">
        <v>94</v>
      </c>
      <c r="H37" s="44">
        <v>61</v>
      </c>
      <c r="I37" s="44">
        <v>72</v>
      </c>
      <c r="J37" s="44">
        <v>74</v>
      </c>
      <c r="K37" s="283">
        <v>4</v>
      </c>
      <c r="L37" s="390">
        <v>4</v>
      </c>
      <c r="M37" s="177">
        <v>0</v>
      </c>
      <c r="N37" s="283">
        <f t="shared" si="59"/>
        <v>6</v>
      </c>
      <c r="O37" s="390">
        <f t="shared" si="59"/>
        <v>7</v>
      </c>
      <c r="P37" s="242">
        <f>ROUND(((O37/N37-1)*100), 1)</f>
        <v>16.7</v>
      </c>
      <c r="Q37" s="283">
        <v>10</v>
      </c>
      <c r="R37" s="390">
        <v>11</v>
      </c>
      <c r="S37" s="242">
        <f>ROUND(((R37/Q37-1)*100), 1)</f>
        <v>10</v>
      </c>
      <c r="T37" s="283">
        <f t="shared" si="60"/>
        <v>4</v>
      </c>
      <c r="U37" s="390">
        <f t="shared" si="61"/>
        <v>7</v>
      </c>
      <c r="V37" s="242">
        <f>ROUND(((U37/T37-1)*100), 1)</f>
        <v>75</v>
      </c>
      <c r="W37" s="283">
        <v>14</v>
      </c>
      <c r="X37" s="390">
        <v>18</v>
      </c>
      <c r="Y37" s="242">
        <f>ROUND(((X37/W37-1)*100), 1)</f>
        <v>28.6</v>
      </c>
      <c r="Z37" s="283">
        <f t="shared" si="62"/>
        <v>0</v>
      </c>
      <c r="AA37" s="390">
        <f t="shared" si="63"/>
        <v>9</v>
      </c>
      <c r="AB37" s="521">
        <v>0</v>
      </c>
      <c r="AC37" s="283">
        <v>14</v>
      </c>
      <c r="AD37" s="390">
        <v>27</v>
      </c>
      <c r="AE37" s="242">
        <f>ROUND(((AD37/AC37-1)*100), 1)</f>
        <v>92.9</v>
      </c>
      <c r="AF37" s="283">
        <f t="shared" si="64"/>
        <v>12</v>
      </c>
      <c r="AG37" s="390">
        <f t="shared" si="64"/>
        <v>10</v>
      </c>
      <c r="AH37" s="242">
        <f>ROUND(((AG37/AF37-1)*100), 1)</f>
        <v>-16.7</v>
      </c>
      <c r="AI37" s="283">
        <v>26</v>
      </c>
      <c r="AJ37" s="390">
        <v>37</v>
      </c>
      <c r="AK37" s="242">
        <f>ROUND(((AJ37/AI37-1)*100), 1)</f>
        <v>42.3</v>
      </c>
      <c r="AL37" s="762">
        <f t="shared" si="65"/>
        <v>8</v>
      </c>
      <c r="AM37" s="769">
        <f t="shared" si="66"/>
        <v>10</v>
      </c>
      <c r="AN37" s="753">
        <f>ROUND(((AM37/AL37-1)*100), 1)</f>
        <v>25</v>
      </c>
      <c r="AO37" s="779">
        <v>34</v>
      </c>
      <c r="AP37" s="819">
        <v>47</v>
      </c>
      <c r="AQ37" s="753">
        <f>ROUND(((AP37/AO37-1)*100), 1)</f>
        <v>38.200000000000003</v>
      </c>
      <c r="AR37" s="779">
        <f t="shared" si="67"/>
        <v>7</v>
      </c>
      <c r="AS37" s="819">
        <f t="shared" si="67"/>
        <v>9</v>
      </c>
      <c r="AT37" s="753">
        <f>ROUND(((AS37/AR37-1)*100), 1)</f>
        <v>28.6</v>
      </c>
      <c r="AU37" s="975">
        <v>41</v>
      </c>
      <c r="AV37" s="970">
        <v>56</v>
      </c>
      <c r="AW37" s="753">
        <f t="shared" si="47"/>
        <v>36.6</v>
      </c>
      <c r="AX37" s="779">
        <f t="shared" si="68"/>
        <v>9</v>
      </c>
      <c r="AY37" s="819">
        <f t="shared" si="69"/>
        <v>7</v>
      </c>
      <c r="AZ37" s="753">
        <f>ROUND(((AY37/AX37-1)*100), 1)</f>
        <v>-22.2</v>
      </c>
      <c r="BA37" s="779">
        <v>50</v>
      </c>
      <c r="BB37" s="819">
        <v>63</v>
      </c>
      <c r="BC37" s="753">
        <f t="shared" si="49"/>
        <v>26</v>
      </c>
      <c r="BD37" s="779">
        <f t="shared" si="70"/>
        <v>6</v>
      </c>
      <c r="BE37" s="767">
        <f t="shared" si="70"/>
        <v>5</v>
      </c>
      <c r="BF37" s="753">
        <f>ROUND(((BE37/BD37-1)*100), 1)</f>
        <v>-16.7</v>
      </c>
      <c r="BG37" s="779">
        <v>56</v>
      </c>
      <c r="BH37" s="819">
        <v>68</v>
      </c>
      <c r="BI37" s="753">
        <f t="shared" si="51"/>
        <v>21.4</v>
      </c>
      <c r="BJ37" s="779">
        <f t="shared" si="71"/>
        <v>5</v>
      </c>
      <c r="BK37" s="767">
        <f t="shared" si="71"/>
        <v>6</v>
      </c>
      <c r="BL37" s="753">
        <f>ROUND(((BK37/BJ37-1)*100), 1)</f>
        <v>20</v>
      </c>
      <c r="BM37" s="779">
        <v>61</v>
      </c>
      <c r="BN37" s="819">
        <v>74</v>
      </c>
      <c r="BO37" s="753">
        <f t="shared" si="53"/>
        <v>21.3</v>
      </c>
      <c r="BP37" s="779">
        <f t="shared" si="72"/>
        <v>7</v>
      </c>
      <c r="BQ37" s="767">
        <f t="shared" si="72"/>
        <v>7</v>
      </c>
      <c r="BR37" s="753">
        <f>ROUND(((BQ37/BP37-1)*100), 1)</f>
        <v>0</v>
      </c>
      <c r="BS37" s="779">
        <v>68</v>
      </c>
      <c r="BT37" s="819">
        <v>81</v>
      </c>
      <c r="BU37" s="753">
        <f t="shared" si="55"/>
        <v>19.100000000000001</v>
      </c>
    </row>
    <row r="38" spans="1:73">
      <c r="A38" s="4"/>
      <c r="B38" s="43" t="s">
        <v>71</v>
      </c>
      <c r="C38" s="44">
        <v>9</v>
      </c>
      <c r="D38" s="44">
        <v>105</v>
      </c>
      <c r="E38" s="44">
        <v>87</v>
      </c>
      <c r="F38" s="44">
        <v>101</v>
      </c>
      <c r="G38" s="44">
        <v>103</v>
      </c>
      <c r="H38" s="44">
        <v>125</v>
      </c>
      <c r="I38" s="44">
        <v>31</v>
      </c>
      <c r="J38" s="44">
        <v>32</v>
      </c>
      <c r="K38" s="283">
        <v>2</v>
      </c>
      <c r="L38" s="390">
        <v>9</v>
      </c>
      <c r="M38" s="242">
        <f>ROUND(((L38/K38-1)*100), 1)</f>
        <v>350</v>
      </c>
      <c r="N38" s="283">
        <f t="shared" si="59"/>
        <v>1</v>
      </c>
      <c r="O38" s="390">
        <f t="shared" si="59"/>
        <v>0</v>
      </c>
      <c r="P38" s="242">
        <f>ROUND(((O38/N38-1)*100), 1)</f>
        <v>-100</v>
      </c>
      <c r="Q38" s="283">
        <v>3</v>
      </c>
      <c r="R38" s="390">
        <v>9</v>
      </c>
      <c r="S38" s="242">
        <f>ROUND(((R38/Q38-1)*100), 1)</f>
        <v>200</v>
      </c>
      <c r="T38" s="283">
        <f t="shared" si="60"/>
        <v>2</v>
      </c>
      <c r="U38" s="390">
        <f t="shared" si="61"/>
        <v>0</v>
      </c>
      <c r="V38" s="242">
        <f>ROUND(((U38/T38-1)*100), 1)</f>
        <v>-100</v>
      </c>
      <c r="W38" s="283">
        <v>5</v>
      </c>
      <c r="X38" s="390">
        <v>9</v>
      </c>
      <c r="Y38" s="242">
        <f>ROUND(((X38/W38-1)*100), 1)</f>
        <v>80</v>
      </c>
      <c r="Z38" s="283">
        <f t="shared" si="62"/>
        <v>1</v>
      </c>
      <c r="AA38" s="390">
        <f t="shared" si="63"/>
        <v>5</v>
      </c>
      <c r="AB38" s="242">
        <f>ROUND(((AA38/Z38-1)*100), 1)</f>
        <v>400</v>
      </c>
      <c r="AC38" s="283">
        <v>6</v>
      </c>
      <c r="AD38" s="390">
        <v>14</v>
      </c>
      <c r="AE38" s="242">
        <f>ROUND(((AD38/AC38-1)*100), 1)</f>
        <v>133.30000000000001</v>
      </c>
      <c r="AF38" s="283">
        <f t="shared" si="64"/>
        <v>9</v>
      </c>
      <c r="AG38" s="390">
        <f t="shared" si="64"/>
        <v>0</v>
      </c>
      <c r="AH38" s="242">
        <f>ROUND(((AG38/AF38-1)*100), 1)</f>
        <v>-100</v>
      </c>
      <c r="AI38" s="283">
        <v>15</v>
      </c>
      <c r="AJ38" s="390">
        <v>14</v>
      </c>
      <c r="AK38" s="242">
        <f>ROUND(((AJ38/AI38-1)*100), 1)</f>
        <v>-6.7</v>
      </c>
      <c r="AL38" s="762">
        <f t="shared" si="65"/>
        <v>1</v>
      </c>
      <c r="AM38" s="769">
        <f t="shared" si="66"/>
        <v>7</v>
      </c>
      <c r="AN38" s="753">
        <f>ROUND(((AM38/AL38-1)*100), 1)</f>
        <v>600</v>
      </c>
      <c r="AO38" s="779">
        <v>16</v>
      </c>
      <c r="AP38" s="819">
        <v>21</v>
      </c>
      <c r="AQ38" s="753">
        <f>ROUND(((AP38/AO38-1)*100), 1)</f>
        <v>31.3</v>
      </c>
      <c r="AR38" s="779">
        <f t="shared" si="67"/>
        <v>10</v>
      </c>
      <c r="AS38" s="819">
        <f t="shared" si="67"/>
        <v>5</v>
      </c>
      <c r="AT38" s="753">
        <f>ROUND(((AS38/AR38-1)*100), 1)</f>
        <v>-50</v>
      </c>
      <c r="AU38" s="975">
        <v>26</v>
      </c>
      <c r="AV38" s="970">
        <v>26</v>
      </c>
      <c r="AW38" s="753">
        <f t="shared" si="47"/>
        <v>0</v>
      </c>
      <c r="AX38" s="779">
        <f t="shared" si="68"/>
        <v>5</v>
      </c>
      <c r="AY38" s="819">
        <f t="shared" si="69"/>
        <v>5</v>
      </c>
      <c r="AZ38" s="753">
        <f>ROUND(((AY38/AX38-1)*100), 1)</f>
        <v>0</v>
      </c>
      <c r="BA38" s="779">
        <v>31</v>
      </c>
      <c r="BB38" s="819">
        <v>31</v>
      </c>
      <c r="BC38" s="753">
        <f t="shared" si="49"/>
        <v>0</v>
      </c>
      <c r="BD38" s="779">
        <f t="shared" si="70"/>
        <v>0</v>
      </c>
      <c r="BE38" s="767">
        <f t="shared" si="70"/>
        <v>0</v>
      </c>
      <c r="BF38" s="751">
        <v>0</v>
      </c>
      <c r="BG38" s="779">
        <v>31</v>
      </c>
      <c r="BH38" s="819">
        <v>31</v>
      </c>
      <c r="BI38" s="753">
        <f t="shared" si="51"/>
        <v>0</v>
      </c>
      <c r="BJ38" s="779">
        <f t="shared" si="71"/>
        <v>0</v>
      </c>
      <c r="BK38" s="767">
        <f t="shared" si="71"/>
        <v>0</v>
      </c>
      <c r="BL38" s="751">
        <v>0</v>
      </c>
      <c r="BM38" s="779">
        <v>31</v>
      </c>
      <c r="BN38" s="819">
        <v>31</v>
      </c>
      <c r="BO38" s="753">
        <f t="shared" si="53"/>
        <v>0</v>
      </c>
      <c r="BP38" s="779">
        <f t="shared" si="72"/>
        <v>0</v>
      </c>
      <c r="BQ38" s="767">
        <f t="shared" si="72"/>
        <v>0</v>
      </c>
      <c r="BR38" s="751">
        <v>0</v>
      </c>
      <c r="BS38" s="779">
        <v>31</v>
      </c>
      <c r="BT38" s="819">
        <v>31</v>
      </c>
      <c r="BU38" s="753">
        <f t="shared" si="55"/>
        <v>0</v>
      </c>
    </row>
    <row r="39" spans="1:73">
      <c r="A39" s="4"/>
      <c r="B39" s="43" t="s">
        <v>122</v>
      </c>
      <c r="C39" s="44">
        <v>7</v>
      </c>
      <c r="D39" s="44">
        <v>16</v>
      </c>
      <c r="E39" s="44">
        <v>34</v>
      </c>
      <c r="F39" s="44">
        <v>66</v>
      </c>
      <c r="G39" s="44">
        <v>55</v>
      </c>
      <c r="H39" s="44">
        <v>30</v>
      </c>
      <c r="I39" s="44">
        <v>27</v>
      </c>
      <c r="J39" s="44">
        <v>25</v>
      </c>
      <c r="K39" s="283">
        <v>0</v>
      </c>
      <c r="L39" s="390">
        <v>0</v>
      </c>
      <c r="M39" s="177">
        <v>0</v>
      </c>
      <c r="N39" s="283">
        <f t="shared" si="59"/>
        <v>0</v>
      </c>
      <c r="O39" s="390">
        <f t="shared" si="59"/>
        <v>6</v>
      </c>
      <c r="P39" s="177">
        <v>0</v>
      </c>
      <c r="Q39" s="283">
        <v>0</v>
      </c>
      <c r="R39" s="390">
        <v>6</v>
      </c>
      <c r="S39" s="177">
        <v>0</v>
      </c>
      <c r="T39" s="283">
        <f t="shared" si="60"/>
        <v>0</v>
      </c>
      <c r="U39" s="390">
        <f t="shared" si="61"/>
        <v>40</v>
      </c>
      <c r="V39" s="177">
        <v>0</v>
      </c>
      <c r="W39" s="283">
        <v>0</v>
      </c>
      <c r="X39" s="390">
        <v>46</v>
      </c>
      <c r="Y39" s="177">
        <v>0</v>
      </c>
      <c r="Z39" s="283">
        <f t="shared" si="62"/>
        <v>0</v>
      </c>
      <c r="AA39" s="390">
        <f t="shared" si="63"/>
        <v>0</v>
      </c>
      <c r="AB39" s="521">
        <v>0</v>
      </c>
      <c r="AC39" s="283">
        <v>0</v>
      </c>
      <c r="AD39" s="390">
        <v>46</v>
      </c>
      <c r="AE39" s="521">
        <v>0</v>
      </c>
      <c r="AF39" s="283">
        <f t="shared" si="64"/>
        <v>1</v>
      </c>
      <c r="AG39" s="390">
        <f t="shared" si="64"/>
        <v>21</v>
      </c>
      <c r="AH39" s="242">
        <f t="shared" ref="AH39" si="76">ROUND(((AG39/AF39-1)*100), 1)</f>
        <v>2000</v>
      </c>
      <c r="AI39" s="283">
        <v>1</v>
      </c>
      <c r="AJ39" s="390">
        <v>67</v>
      </c>
      <c r="AK39" s="242">
        <f t="shared" ref="AK39" si="77">ROUND(((AJ39/AI39-1)*100), 1)</f>
        <v>6600</v>
      </c>
      <c r="AL39" s="762">
        <f t="shared" si="65"/>
        <v>3</v>
      </c>
      <c r="AM39" s="769">
        <f t="shared" si="66"/>
        <v>0</v>
      </c>
      <c r="AN39" s="753">
        <f t="shared" ref="AN39" si="78">ROUND(((AM39/AL39-1)*100), 1)</f>
        <v>-100</v>
      </c>
      <c r="AO39" s="779">
        <v>4</v>
      </c>
      <c r="AP39" s="819">
        <v>67</v>
      </c>
      <c r="AQ39" s="753">
        <f t="shared" ref="AQ39" si="79">ROUND(((AP39/AO39-1)*100), 1)</f>
        <v>1575</v>
      </c>
      <c r="AR39" s="779">
        <f t="shared" si="67"/>
        <v>1</v>
      </c>
      <c r="AS39" s="819">
        <f t="shared" si="67"/>
        <v>3</v>
      </c>
      <c r="AT39" s="753">
        <f>ROUND(((AS39/AR39-1)*100), 1)</f>
        <v>200</v>
      </c>
      <c r="AU39" s="975">
        <v>5</v>
      </c>
      <c r="AV39" s="970">
        <v>70</v>
      </c>
      <c r="AW39" s="753">
        <f t="shared" si="47"/>
        <v>1300</v>
      </c>
      <c r="AX39" s="779">
        <f t="shared" si="68"/>
        <v>0</v>
      </c>
      <c r="AY39" s="819">
        <f t="shared" si="69"/>
        <v>0</v>
      </c>
      <c r="AZ39" s="799">
        <v>0</v>
      </c>
      <c r="BA39" s="779">
        <v>5</v>
      </c>
      <c r="BB39" s="819">
        <v>70</v>
      </c>
      <c r="BC39" s="753">
        <f t="shared" si="49"/>
        <v>1300</v>
      </c>
      <c r="BD39" s="779">
        <f t="shared" si="70"/>
        <v>0</v>
      </c>
      <c r="BE39" s="767">
        <f t="shared" si="70"/>
        <v>0</v>
      </c>
      <c r="BF39" s="799">
        <v>0</v>
      </c>
      <c r="BG39" s="779">
        <v>5</v>
      </c>
      <c r="BH39" s="819">
        <v>70</v>
      </c>
      <c r="BI39" s="753">
        <f t="shared" si="51"/>
        <v>1300</v>
      </c>
      <c r="BJ39" s="779">
        <f t="shared" si="71"/>
        <v>0</v>
      </c>
      <c r="BK39" s="767">
        <f t="shared" si="71"/>
        <v>0</v>
      </c>
      <c r="BL39" s="799">
        <v>0</v>
      </c>
      <c r="BM39" s="779">
        <v>5</v>
      </c>
      <c r="BN39" s="819">
        <v>70</v>
      </c>
      <c r="BO39" s="753">
        <f t="shared" si="53"/>
        <v>1300</v>
      </c>
      <c r="BP39" s="779">
        <f t="shared" si="72"/>
        <v>0</v>
      </c>
      <c r="BQ39" s="767">
        <f t="shared" si="72"/>
        <v>20</v>
      </c>
      <c r="BR39" s="799">
        <v>0</v>
      </c>
      <c r="BS39" s="779">
        <v>5</v>
      </c>
      <c r="BT39" s="819">
        <v>90</v>
      </c>
      <c r="BU39" s="753">
        <f t="shared" si="55"/>
        <v>1700</v>
      </c>
    </row>
    <row r="40" spans="1:73">
      <c r="A40" s="4"/>
      <c r="B40" s="43" t="s">
        <v>247</v>
      </c>
      <c r="C40" s="44">
        <v>1</v>
      </c>
      <c r="D40" s="44">
        <v>35</v>
      </c>
      <c r="E40" s="44">
        <v>55</v>
      </c>
      <c r="F40" s="44">
        <v>76</v>
      </c>
      <c r="G40" s="44">
        <v>61</v>
      </c>
      <c r="H40" s="44">
        <v>47</v>
      </c>
      <c r="I40" s="44">
        <v>30</v>
      </c>
      <c r="J40" s="44">
        <v>24</v>
      </c>
      <c r="K40" s="283">
        <v>0</v>
      </c>
      <c r="L40" s="390">
        <v>3</v>
      </c>
      <c r="M40" s="177">
        <v>0</v>
      </c>
      <c r="N40" s="283">
        <f t="shared" si="59"/>
        <v>2</v>
      </c>
      <c r="O40" s="390">
        <f t="shared" si="59"/>
        <v>2</v>
      </c>
      <c r="P40" s="242">
        <f>ROUND(((O40/N40-1)*100), 1)</f>
        <v>0</v>
      </c>
      <c r="Q40" s="283">
        <v>2</v>
      </c>
      <c r="R40" s="390">
        <v>5</v>
      </c>
      <c r="S40" s="242">
        <f>ROUND(((R40/Q40-1)*100), 1)</f>
        <v>150</v>
      </c>
      <c r="T40" s="283">
        <f t="shared" si="60"/>
        <v>1</v>
      </c>
      <c r="U40" s="390">
        <f t="shared" si="61"/>
        <v>0</v>
      </c>
      <c r="V40" s="242">
        <f>ROUND(((U40/T40-1)*100), 1)</f>
        <v>-100</v>
      </c>
      <c r="W40" s="283">
        <v>3</v>
      </c>
      <c r="X40" s="390">
        <v>5</v>
      </c>
      <c r="Y40" s="242">
        <f>ROUND(((X40/W40-1)*100), 1)</f>
        <v>66.7</v>
      </c>
      <c r="Z40" s="283">
        <f t="shared" si="62"/>
        <v>0</v>
      </c>
      <c r="AA40" s="390">
        <f t="shared" si="63"/>
        <v>1</v>
      </c>
      <c r="AB40" s="521">
        <v>0</v>
      </c>
      <c r="AC40" s="283">
        <v>3</v>
      </c>
      <c r="AD40" s="390">
        <v>6</v>
      </c>
      <c r="AE40" s="242">
        <f>ROUND(((AD40/AC40-1)*100), 1)</f>
        <v>100</v>
      </c>
      <c r="AF40" s="283">
        <f t="shared" si="64"/>
        <v>1</v>
      </c>
      <c r="AG40" s="390">
        <f t="shared" si="64"/>
        <v>1</v>
      </c>
      <c r="AH40" s="242">
        <f>ROUND(((AG40/AF40-1)*100), 1)</f>
        <v>0</v>
      </c>
      <c r="AI40" s="283">
        <v>4</v>
      </c>
      <c r="AJ40" s="390">
        <v>7</v>
      </c>
      <c r="AK40" s="242">
        <f>ROUND(((AJ40/AI40-1)*100), 1)</f>
        <v>75</v>
      </c>
      <c r="AL40" s="762">
        <f t="shared" si="65"/>
        <v>0</v>
      </c>
      <c r="AM40" s="769">
        <f t="shared" si="66"/>
        <v>2</v>
      </c>
      <c r="AN40" s="799">
        <v>0</v>
      </c>
      <c r="AO40" s="779">
        <v>4</v>
      </c>
      <c r="AP40" s="819">
        <v>9</v>
      </c>
      <c r="AQ40" s="753">
        <f>ROUND(((AP40/AO40-1)*100), 1)</f>
        <v>125</v>
      </c>
      <c r="AR40" s="779">
        <f t="shared" si="67"/>
        <v>2</v>
      </c>
      <c r="AS40" s="819">
        <f t="shared" si="67"/>
        <v>2</v>
      </c>
      <c r="AT40" s="753">
        <f t="shared" ref="AT40" si="80">ROUND(((AS40/AR40-1)*100), 1)</f>
        <v>0</v>
      </c>
      <c r="AU40" s="975">
        <v>6</v>
      </c>
      <c r="AV40" s="970">
        <v>11</v>
      </c>
      <c r="AW40" s="753">
        <f t="shared" si="47"/>
        <v>83.3</v>
      </c>
      <c r="AX40" s="779">
        <f t="shared" si="68"/>
        <v>11</v>
      </c>
      <c r="AY40" s="819">
        <f t="shared" si="69"/>
        <v>32</v>
      </c>
      <c r="AZ40" s="753">
        <f t="shared" ref="AZ40" si="81">ROUND(((AY40/AX40-1)*100), 1)</f>
        <v>190.9</v>
      </c>
      <c r="BA40" s="779">
        <v>17</v>
      </c>
      <c r="BB40" s="819">
        <v>43</v>
      </c>
      <c r="BC40" s="753">
        <f t="shared" si="49"/>
        <v>152.9</v>
      </c>
      <c r="BD40" s="779">
        <f t="shared" si="70"/>
        <v>2</v>
      </c>
      <c r="BE40" s="767">
        <f t="shared" si="70"/>
        <v>6</v>
      </c>
      <c r="BF40" s="753">
        <f t="shared" ref="BF40" si="82">ROUND(((BE40/BD40-1)*100), 1)</f>
        <v>200</v>
      </c>
      <c r="BG40" s="779">
        <v>19</v>
      </c>
      <c r="BH40" s="819">
        <v>49</v>
      </c>
      <c r="BI40" s="753">
        <f t="shared" si="51"/>
        <v>157.9</v>
      </c>
      <c r="BJ40" s="779">
        <f t="shared" si="71"/>
        <v>2</v>
      </c>
      <c r="BK40" s="767">
        <f t="shared" si="71"/>
        <v>23</v>
      </c>
      <c r="BL40" s="753">
        <f t="shared" ref="BL40:BL41" si="83">ROUND(((BK40/BJ40-1)*100), 1)</f>
        <v>1050</v>
      </c>
      <c r="BM40" s="779">
        <v>21</v>
      </c>
      <c r="BN40" s="819">
        <v>72</v>
      </c>
      <c r="BO40" s="753">
        <f t="shared" si="53"/>
        <v>242.9</v>
      </c>
      <c r="BP40" s="779">
        <f t="shared" si="72"/>
        <v>2</v>
      </c>
      <c r="BQ40" s="767">
        <f t="shared" si="72"/>
        <v>1</v>
      </c>
      <c r="BR40" s="753">
        <f>ROUND(((BQ40/BP40-1)*100), 1)</f>
        <v>-50</v>
      </c>
      <c r="BS40" s="779">
        <v>23</v>
      </c>
      <c r="BT40" s="819">
        <v>73</v>
      </c>
      <c r="BU40" s="753">
        <f t="shared" si="55"/>
        <v>217.4</v>
      </c>
    </row>
    <row r="41" spans="1:73">
      <c r="A41" s="4"/>
      <c r="B41" s="43" t="s">
        <v>72</v>
      </c>
      <c r="C41" s="44">
        <v>10</v>
      </c>
      <c r="D41" s="44">
        <v>7</v>
      </c>
      <c r="E41" s="44">
        <v>46</v>
      </c>
      <c r="F41" s="44">
        <v>15</v>
      </c>
      <c r="G41" s="44">
        <v>20</v>
      </c>
      <c r="H41" s="44">
        <v>16</v>
      </c>
      <c r="I41" s="44">
        <v>27</v>
      </c>
      <c r="J41" s="44">
        <v>17</v>
      </c>
      <c r="K41" s="283">
        <v>0</v>
      </c>
      <c r="L41" s="390">
        <v>0</v>
      </c>
      <c r="M41" s="177">
        <v>0</v>
      </c>
      <c r="N41" s="283">
        <f t="shared" si="59"/>
        <v>0</v>
      </c>
      <c r="O41" s="390">
        <f t="shared" si="59"/>
        <v>1</v>
      </c>
      <c r="P41" s="177">
        <v>0</v>
      </c>
      <c r="Q41" s="283">
        <v>0</v>
      </c>
      <c r="R41" s="390">
        <v>1</v>
      </c>
      <c r="S41" s="177">
        <v>0</v>
      </c>
      <c r="T41" s="283">
        <f t="shared" si="60"/>
        <v>2</v>
      </c>
      <c r="U41" s="390">
        <f t="shared" si="61"/>
        <v>0</v>
      </c>
      <c r="V41" s="242">
        <f>ROUND(((U41/T41-1)*100), 1)</f>
        <v>-100</v>
      </c>
      <c r="W41" s="283">
        <v>2</v>
      </c>
      <c r="X41" s="390">
        <v>1</v>
      </c>
      <c r="Y41" s="242">
        <f>ROUND(((X41/W41-1)*100), 1)</f>
        <v>-50</v>
      </c>
      <c r="Z41" s="283">
        <f t="shared" si="62"/>
        <v>0</v>
      </c>
      <c r="AA41" s="390">
        <f t="shared" si="63"/>
        <v>4</v>
      </c>
      <c r="AB41" s="521">
        <v>0</v>
      </c>
      <c r="AC41" s="283">
        <v>2</v>
      </c>
      <c r="AD41" s="390">
        <v>5</v>
      </c>
      <c r="AE41" s="242">
        <f>ROUND(((AD41/AC41-1)*100), 1)</f>
        <v>150</v>
      </c>
      <c r="AF41" s="283">
        <f t="shared" si="64"/>
        <v>9</v>
      </c>
      <c r="AG41" s="390">
        <f t="shared" si="64"/>
        <v>4</v>
      </c>
      <c r="AH41" s="242">
        <f>ROUND(((AG41/AF41-1)*100), 1)</f>
        <v>-55.6</v>
      </c>
      <c r="AI41" s="283">
        <v>11</v>
      </c>
      <c r="AJ41" s="390">
        <v>9</v>
      </c>
      <c r="AK41" s="242">
        <f>ROUND(((AJ41/AI41-1)*100), 1)</f>
        <v>-18.2</v>
      </c>
      <c r="AL41" s="762">
        <f t="shared" si="65"/>
        <v>2</v>
      </c>
      <c r="AM41" s="769">
        <f t="shared" si="66"/>
        <v>0</v>
      </c>
      <c r="AN41" s="753">
        <f>ROUND(((AM41/AL41-1)*100), 1)</f>
        <v>-100</v>
      </c>
      <c r="AO41" s="779">
        <v>13</v>
      </c>
      <c r="AP41" s="819">
        <v>9</v>
      </c>
      <c r="AQ41" s="753">
        <f>ROUND(((AP41/AO41-1)*100), 1)</f>
        <v>-30.8</v>
      </c>
      <c r="AR41" s="779">
        <f t="shared" si="67"/>
        <v>0</v>
      </c>
      <c r="AS41" s="819">
        <f t="shared" si="67"/>
        <v>6</v>
      </c>
      <c r="AT41" s="799">
        <v>0</v>
      </c>
      <c r="AU41" s="975">
        <v>13</v>
      </c>
      <c r="AV41" s="970">
        <v>15</v>
      </c>
      <c r="AW41" s="753">
        <f t="shared" si="47"/>
        <v>15.4</v>
      </c>
      <c r="AX41" s="779">
        <f t="shared" si="68"/>
        <v>0</v>
      </c>
      <c r="AY41" s="819">
        <f t="shared" si="69"/>
        <v>5</v>
      </c>
      <c r="AZ41" s="799">
        <v>0</v>
      </c>
      <c r="BA41" s="779">
        <v>13</v>
      </c>
      <c r="BB41" s="819">
        <v>20</v>
      </c>
      <c r="BC41" s="753">
        <f t="shared" si="49"/>
        <v>53.8</v>
      </c>
      <c r="BD41" s="779">
        <f t="shared" si="70"/>
        <v>0</v>
      </c>
      <c r="BE41" s="767">
        <f t="shared" si="70"/>
        <v>0</v>
      </c>
      <c r="BF41" s="799">
        <v>0</v>
      </c>
      <c r="BG41" s="779">
        <v>13</v>
      </c>
      <c r="BH41" s="819">
        <v>20</v>
      </c>
      <c r="BI41" s="753">
        <f t="shared" si="51"/>
        <v>53.8</v>
      </c>
      <c r="BJ41" s="779">
        <f t="shared" si="71"/>
        <v>4</v>
      </c>
      <c r="BK41" s="767">
        <f t="shared" si="71"/>
        <v>2</v>
      </c>
      <c r="BL41" s="753">
        <f t="shared" si="83"/>
        <v>-50</v>
      </c>
      <c r="BM41" s="779">
        <v>17</v>
      </c>
      <c r="BN41" s="819">
        <v>22</v>
      </c>
      <c r="BO41" s="753">
        <f t="shared" si="53"/>
        <v>29.4</v>
      </c>
      <c r="BP41" s="779">
        <f t="shared" si="72"/>
        <v>0</v>
      </c>
      <c r="BQ41" s="767">
        <f t="shared" si="72"/>
        <v>5</v>
      </c>
      <c r="BR41" s="799">
        <v>0</v>
      </c>
      <c r="BS41" s="779">
        <v>17</v>
      </c>
      <c r="BT41" s="819">
        <v>27</v>
      </c>
      <c r="BU41" s="753">
        <f t="shared" si="55"/>
        <v>58.8</v>
      </c>
    </row>
    <row r="42" spans="1:73">
      <c r="A42" s="4"/>
      <c r="B42" s="43" t="s">
        <v>73</v>
      </c>
      <c r="C42" s="44">
        <v>130</v>
      </c>
      <c r="D42" s="44">
        <v>247</v>
      </c>
      <c r="E42" s="44">
        <v>330</v>
      </c>
      <c r="F42" s="44">
        <v>193</v>
      </c>
      <c r="G42" s="44">
        <v>45</v>
      </c>
      <c r="H42" s="44">
        <v>136</v>
      </c>
      <c r="I42" s="44">
        <v>68</v>
      </c>
      <c r="J42" s="44">
        <v>11</v>
      </c>
      <c r="K42" s="283">
        <v>0</v>
      </c>
      <c r="L42" s="390">
        <v>0</v>
      </c>
      <c r="M42" s="177">
        <v>0</v>
      </c>
      <c r="N42" s="283">
        <f t="shared" si="59"/>
        <v>1</v>
      </c>
      <c r="O42" s="390">
        <f t="shared" si="59"/>
        <v>0</v>
      </c>
      <c r="P42" s="242">
        <f>ROUND(((O42/N42-1)*100), 1)</f>
        <v>-100</v>
      </c>
      <c r="Q42" s="283">
        <v>1</v>
      </c>
      <c r="R42" s="390">
        <v>0</v>
      </c>
      <c r="S42" s="242">
        <f>ROUND(((R42/Q42-1)*100), 1)</f>
        <v>-100</v>
      </c>
      <c r="T42" s="283">
        <f t="shared" si="60"/>
        <v>0</v>
      </c>
      <c r="U42" s="390">
        <f t="shared" si="61"/>
        <v>5</v>
      </c>
      <c r="V42" s="523">
        <v>0</v>
      </c>
      <c r="W42" s="283">
        <v>1</v>
      </c>
      <c r="X42" s="390">
        <v>5</v>
      </c>
      <c r="Y42" s="242">
        <f>ROUND(((X42/W42-1)*100), 1)</f>
        <v>400</v>
      </c>
      <c r="Z42" s="283">
        <f t="shared" si="62"/>
        <v>5</v>
      </c>
      <c r="AA42" s="390">
        <f t="shared" si="63"/>
        <v>0</v>
      </c>
      <c r="AB42" s="242">
        <f t="shared" ref="AB42:AB43" si="84">ROUND(((AA42/Z42-1)*100), 1)</f>
        <v>-100</v>
      </c>
      <c r="AC42" s="283">
        <v>6</v>
      </c>
      <c r="AD42" s="390">
        <v>5</v>
      </c>
      <c r="AE42" s="242">
        <f>ROUND(((AD42/AC42-1)*100), 1)</f>
        <v>-16.7</v>
      </c>
      <c r="AF42" s="283">
        <f t="shared" si="64"/>
        <v>1</v>
      </c>
      <c r="AG42" s="390">
        <f t="shared" si="64"/>
        <v>0</v>
      </c>
      <c r="AH42" s="242">
        <f t="shared" ref="AH42" si="85">ROUND(((AG42/AF42-1)*100), 1)</f>
        <v>-100</v>
      </c>
      <c r="AI42" s="283">
        <v>7</v>
      </c>
      <c r="AJ42" s="390">
        <v>5</v>
      </c>
      <c r="AK42" s="242">
        <f>ROUND(((AJ42/AI42-1)*100), 1)</f>
        <v>-28.6</v>
      </c>
      <c r="AL42" s="762">
        <f t="shared" si="65"/>
        <v>0</v>
      </c>
      <c r="AM42" s="769">
        <f t="shared" si="66"/>
        <v>1</v>
      </c>
      <c r="AN42" s="799">
        <v>0</v>
      </c>
      <c r="AO42" s="779">
        <v>7</v>
      </c>
      <c r="AP42" s="819">
        <v>6</v>
      </c>
      <c r="AQ42" s="753">
        <f>ROUND(((AP42/AO42-1)*100), 1)</f>
        <v>-14.3</v>
      </c>
      <c r="AR42" s="779">
        <f t="shared" si="67"/>
        <v>4</v>
      </c>
      <c r="AS42" s="819">
        <f t="shared" si="67"/>
        <v>1</v>
      </c>
      <c r="AT42" s="753">
        <f t="shared" ref="AT42" si="86">ROUND(((AS42/AR42-1)*100), 1)</f>
        <v>-75</v>
      </c>
      <c r="AU42" s="975">
        <v>11</v>
      </c>
      <c r="AV42" s="970">
        <v>7</v>
      </c>
      <c r="AW42" s="753">
        <f t="shared" si="47"/>
        <v>-36.4</v>
      </c>
      <c r="AX42" s="779">
        <f t="shared" si="68"/>
        <v>0</v>
      </c>
      <c r="AY42" s="819">
        <f t="shared" si="69"/>
        <v>1</v>
      </c>
      <c r="AZ42" s="799">
        <v>0</v>
      </c>
      <c r="BA42" s="779">
        <v>11</v>
      </c>
      <c r="BB42" s="819">
        <v>8</v>
      </c>
      <c r="BC42" s="753">
        <f t="shared" si="49"/>
        <v>-27.3</v>
      </c>
      <c r="BD42" s="779">
        <f t="shared" si="70"/>
        <v>0</v>
      </c>
      <c r="BE42" s="767">
        <f t="shared" si="70"/>
        <v>8</v>
      </c>
      <c r="BF42" s="799">
        <v>0</v>
      </c>
      <c r="BG42" s="779">
        <v>11</v>
      </c>
      <c r="BH42" s="819">
        <v>16</v>
      </c>
      <c r="BI42" s="753">
        <f t="shared" si="51"/>
        <v>45.5</v>
      </c>
      <c r="BJ42" s="779">
        <f t="shared" si="71"/>
        <v>0</v>
      </c>
      <c r="BK42" s="767">
        <f t="shared" si="71"/>
        <v>0</v>
      </c>
      <c r="BL42" s="799">
        <v>0</v>
      </c>
      <c r="BM42" s="779">
        <v>11</v>
      </c>
      <c r="BN42" s="819">
        <v>16</v>
      </c>
      <c r="BO42" s="753">
        <f t="shared" si="53"/>
        <v>45.5</v>
      </c>
      <c r="BP42" s="779">
        <f t="shared" si="72"/>
        <v>0</v>
      </c>
      <c r="BQ42" s="767">
        <f t="shared" si="72"/>
        <v>0</v>
      </c>
      <c r="BR42" s="799">
        <v>0</v>
      </c>
      <c r="BS42" s="779">
        <v>11</v>
      </c>
      <c r="BT42" s="819">
        <v>16</v>
      </c>
      <c r="BU42" s="753">
        <f t="shared" si="55"/>
        <v>45.5</v>
      </c>
    </row>
    <row r="43" spans="1:73">
      <c r="A43" s="4"/>
      <c r="B43" s="43" t="s">
        <v>248</v>
      </c>
      <c r="C43" s="44">
        <v>8</v>
      </c>
      <c r="D43" s="44">
        <v>18</v>
      </c>
      <c r="E43" s="44">
        <v>17</v>
      </c>
      <c r="F43" s="44">
        <v>10</v>
      </c>
      <c r="G43" s="44">
        <v>26</v>
      </c>
      <c r="H43" s="44">
        <v>5</v>
      </c>
      <c r="I43" s="44">
        <v>18</v>
      </c>
      <c r="J43" s="44">
        <v>9</v>
      </c>
      <c r="K43" s="283">
        <v>2</v>
      </c>
      <c r="L43" s="390">
        <v>0</v>
      </c>
      <c r="M43" s="242">
        <f>ROUND(((L43/K43-1)*100), 1)</f>
        <v>-100</v>
      </c>
      <c r="N43" s="283">
        <f t="shared" si="59"/>
        <v>0</v>
      </c>
      <c r="O43" s="390">
        <f t="shared" si="59"/>
        <v>0</v>
      </c>
      <c r="P43" s="523">
        <v>0</v>
      </c>
      <c r="Q43" s="283">
        <v>2</v>
      </c>
      <c r="R43" s="390">
        <v>0</v>
      </c>
      <c r="S43" s="242">
        <f>ROUND(((R43/Q43-1)*100), 1)</f>
        <v>-100</v>
      </c>
      <c r="T43" s="283">
        <f t="shared" si="60"/>
        <v>0</v>
      </c>
      <c r="U43" s="390">
        <f t="shared" si="61"/>
        <v>0</v>
      </c>
      <c r="V43" s="523">
        <v>0</v>
      </c>
      <c r="W43" s="283">
        <v>2</v>
      </c>
      <c r="X43" s="390">
        <v>0</v>
      </c>
      <c r="Y43" s="242">
        <f>ROUND(((X43/W43-1)*100), 1)</f>
        <v>-100</v>
      </c>
      <c r="Z43" s="283">
        <f t="shared" si="62"/>
        <v>1</v>
      </c>
      <c r="AA43" s="390">
        <f t="shared" si="63"/>
        <v>0</v>
      </c>
      <c r="AB43" s="242">
        <f t="shared" si="84"/>
        <v>-100</v>
      </c>
      <c r="AC43" s="283">
        <v>3</v>
      </c>
      <c r="AD43" s="390">
        <v>0</v>
      </c>
      <c r="AE43" s="242">
        <f>ROUND(((AD43/AC43-1)*100), 1)</f>
        <v>-100</v>
      </c>
      <c r="AF43" s="283">
        <f t="shared" si="64"/>
        <v>0</v>
      </c>
      <c r="AG43" s="390">
        <f t="shared" si="64"/>
        <v>0</v>
      </c>
      <c r="AH43" s="521">
        <v>0</v>
      </c>
      <c r="AI43" s="283">
        <v>3</v>
      </c>
      <c r="AJ43" s="390">
        <v>0</v>
      </c>
      <c r="AK43" s="242">
        <f>ROUND(((AJ43/AI43-1)*100), 1)</f>
        <v>-100</v>
      </c>
      <c r="AL43" s="762">
        <f t="shared" si="65"/>
        <v>1</v>
      </c>
      <c r="AM43" s="769">
        <f t="shared" si="66"/>
        <v>1</v>
      </c>
      <c r="AN43" s="753">
        <f t="shared" ref="AN43" si="87">ROUND(((AM43/AL43-1)*100), 1)</f>
        <v>0</v>
      </c>
      <c r="AO43" s="779">
        <v>4</v>
      </c>
      <c r="AP43" s="819">
        <v>1</v>
      </c>
      <c r="AQ43" s="753">
        <f>ROUND(((AP43/AO43-1)*100), 1)</f>
        <v>-75</v>
      </c>
      <c r="AR43" s="779">
        <f t="shared" si="67"/>
        <v>2</v>
      </c>
      <c r="AS43" s="819">
        <f t="shared" si="67"/>
        <v>0</v>
      </c>
      <c r="AT43" s="753">
        <f>ROUND(((AS43/AR43-1)*100), 1)</f>
        <v>-100</v>
      </c>
      <c r="AU43" s="975">
        <v>6</v>
      </c>
      <c r="AV43" s="970">
        <v>1</v>
      </c>
      <c r="AW43" s="753">
        <f t="shared" si="47"/>
        <v>-83.3</v>
      </c>
      <c r="AX43" s="779">
        <f t="shared" si="68"/>
        <v>0</v>
      </c>
      <c r="AY43" s="819">
        <f t="shared" si="69"/>
        <v>0</v>
      </c>
      <c r="AZ43" s="799">
        <v>0</v>
      </c>
      <c r="BA43" s="779">
        <v>6</v>
      </c>
      <c r="BB43" s="819">
        <v>1</v>
      </c>
      <c r="BC43" s="753">
        <f t="shared" si="49"/>
        <v>-83.3</v>
      </c>
      <c r="BD43" s="779">
        <f t="shared" si="70"/>
        <v>1</v>
      </c>
      <c r="BE43" s="767">
        <f t="shared" si="70"/>
        <v>0</v>
      </c>
      <c r="BF43" s="753">
        <f t="shared" ref="BF43" si="88">ROUND(((BE43/BD43-1)*100), 1)</f>
        <v>-100</v>
      </c>
      <c r="BG43" s="779">
        <v>7</v>
      </c>
      <c r="BH43" s="819">
        <v>1</v>
      </c>
      <c r="BI43" s="753">
        <f t="shared" si="51"/>
        <v>-85.7</v>
      </c>
      <c r="BJ43" s="779">
        <f t="shared" si="71"/>
        <v>1</v>
      </c>
      <c r="BK43" s="767">
        <f t="shared" si="71"/>
        <v>1</v>
      </c>
      <c r="BL43" s="753">
        <f t="shared" ref="BL43" si="89">ROUND(((BK43/BJ43-1)*100), 1)</f>
        <v>0</v>
      </c>
      <c r="BM43" s="779">
        <v>8</v>
      </c>
      <c r="BN43" s="819">
        <v>2</v>
      </c>
      <c r="BO43" s="753">
        <f t="shared" si="53"/>
        <v>-75</v>
      </c>
      <c r="BP43" s="779">
        <f t="shared" si="72"/>
        <v>1</v>
      </c>
      <c r="BQ43" s="767">
        <f t="shared" si="72"/>
        <v>0</v>
      </c>
      <c r="BR43" s="753">
        <f>ROUND(((BQ43/BP43-1)*100), 1)</f>
        <v>-100</v>
      </c>
      <c r="BS43" s="779">
        <v>9</v>
      </c>
      <c r="BT43" s="819">
        <v>2</v>
      </c>
      <c r="BU43" s="753">
        <f t="shared" si="55"/>
        <v>-77.8</v>
      </c>
    </row>
    <row r="44" spans="1:73">
      <c r="A44" s="4"/>
      <c r="B44" s="43" t="s">
        <v>231</v>
      </c>
      <c r="C44" s="44">
        <v>1</v>
      </c>
      <c r="D44" s="44">
        <v>1</v>
      </c>
      <c r="E44" s="44">
        <v>3</v>
      </c>
      <c r="F44" s="44">
        <v>5</v>
      </c>
      <c r="G44" s="44">
        <v>25</v>
      </c>
      <c r="H44" s="44">
        <v>18</v>
      </c>
      <c r="I44" s="44">
        <v>17</v>
      </c>
      <c r="J44" s="44">
        <v>4</v>
      </c>
      <c r="K44" s="283">
        <v>1</v>
      </c>
      <c r="L44" s="390">
        <v>1</v>
      </c>
      <c r="M44" s="177">
        <v>0</v>
      </c>
      <c r="N44" s="283">
        <f t="shared" si="59"/>
        <v>1</v>
      </c>
      <c r="O44" s="390">
        <f t="shared" si="59"/>
        <v>1</v>
      </c>
      <c r="P44" s="242">
        <f>ROUND(((O44/N44-1)*100), 1)</f>
        <v>0</v>
      </c>
      <c r="Q44" s="283">
        <v>2</v>
      </c>
      <c r="R44" s="390">
        <v>2</v>
      </c>
      <c r="S44" s="242">
        <f>ROUND(((R44/Q44-1)*100), 1)</f>
        <v>0</v>
      </c>
      <c r="T44" s="283">
        <f t="shared" si="60"/>
        <v>1</v>
      </c>
      <c r="U44" s="390">
        <f t="shared" si="61"/>
        <v>0</v>
      </c>
      <c r="V44" s="242">
        <f>ROUND(((U44/T44-1)*100), 1)</f>
        <v>-100</v>
      </c>
      <c r="W44" s="283">
        <v>3</v>
      </c>
      <c r="X44" s="390">
        <v>2</v>
      </c>
      <c r="Y44" s="242">
        <f>ROUND(((X44/W44-1)*100), 1)</f>
        <v>-33.299999999999997</v>
      </c>
      <c r="Z44" s="283">
        <f t="shared" si="62"/>
        <v>0</v>
      </c>
      <c r="AA44" s="390">
        <f t="shared" si="63"/>
        <v>0</v>
      </c>
      <c r="AB44" s="521">
        <v>0</v>
      </c>
      <c r="AC44" s="283">
        <v>3</v>
      </c>
      <c r="AD44" s="390">
        <v>2</v>
      </c>
      <c r="AE44" s="242">
        <f>ROUND(((AD44/AC44-1)*100), 1)</f>
        <v>-33.299999999999997</v>
      </c>
      <c r="AF44" s="283">
        <f t="shared" si="64"/>
        <v>0</v>
      </c>
      <c r="AG44" s="390">
        <f t="shared" si="64"/>
        <v>0</v>
      </c>
      <c r="AH44" s="521">
        <v>0</v>
      </c>
      <c r="AI44" s="283">
        <v>3</v>
      </c>
      <c r="AJ44" s="390">
        <v>2</v>
      </c>
      <c r="AK44" s="242">
        <f>ROUND(((AJ44/AI44-1)*100), 1)</f>
        <v>-33.299999999999997</v>
      </c>
      <c r="AL44" s="762">
        <f t="shared" si="65"/>
        <v>0</v>
      </c>
      <c r="AM44" s="769">
        <f t="shared" si="66"/>
        <v>0</v>
      </c>
      <c r="AN44" s="749">
        <v>0</v>
      </c>
      <c r="AO44" s="779">
        <v>3</v>
      </c>
      <c r="AP44" s="819">
        <v>2</v>
      </c>
      <c r="AQ44" s="753">
        <f>ROUND(((AP44/AO44-1)*100), 1)</f>
        <v>-33.299999999999997</v>
      </c>
      <c r="AR44" s="779">
        <f t="shared" si="67"/>
        <v>1</v>
      </c>
      <c r="AS44" s="819">
        <f t="shared" si="67"/>
        <v>1</v>
      </c>
      <c r="AT44" s="753">
        <f t="shared" ref="AT44" si="90">ROUND(((AS44/AR44-1)*100), 1)</f>
        <v>0</v>
      </c>
      <c r="AU44" s="975">
        <v>4</v>
      </c>
      <c r="AV44" s="970">
        <v>3</v>
      </c>
      <c r="AW44" s="753">
        <f t="shared" si="47"/>
        <v>-25</v>
      </c>
      <c r="AX44" s="779">
        <f t="shared" si="68"/>
        <v>0</v>
      </c>
      <c r="AY44" s="819">
        <f t="shared" si="69"/>
        <v>0</v>
      </c>
      <c r="AZ44" s="799">
        <v>0</v>
      </c>
      <c r="BA44" s="779">
        <v>4</v>
      </c>
      <c r="BB44" s="819">
        <v>3</v>
      </c>
      <c r="BC44" s="753">
        <f t="shared" si="49"/>
        <v>-25</v>
      </c>
      <c r="BD44" s="779">
        <f t="shared" si="70"/>
        <v>0</v>
      </c>
      <c r="BE44" s="767">
        <f t="shared" si="70"/>
        <v>0</v>
      </c>
      <c r="BF44" s="799">
        <v>0</v>
      </c>
      <c r="BG44" s="779">
        <v>4</v>
      </c>
      <c r="BH44" s="819">
        <v>3</v>
      </c>
      <c r="BI44" s="753">
        <f t="shared" si="51"/>
        <v>-25</v>
      </c>
      <c r="BJ44" s="779">
        <f t="shared" si="71"/>
        <v>0</v>
      </c>
      <c r="BK44" s="767">
        <f t="shared" si="71"/>
        <v>0</v>
      </c>
      <c r="BL44" s="799">
        <v>0</v>
      </c>
      <c r="BM44" s="779">
        <v>4</v>
      </c>
      <c r="BN44" s="819">
        <v>3</v>
      </c>
      <c r="BO44" s="753">
        <f t="shared" si="53"/>
        <v>-25</v>
      </c>
      <c r="BP44" s="779">
        <f t="shared" si="72"/>
        <v>0</v>
      </c>
      <c r="BQ44" s="767">
        <f t="shared" si="72"/>
        <v>0</v>
      </c>
      <c r="BR44" s="799">
        <v>0</v>
      </c>
      <c r="BS44" s="779">
        <v>4</v>
      </c>
      <c r="BT44" s="819">
        <v>3</v>
      </c>
      <c r="BU44" s="753">
        <f t="shared" si="55"/>
        <v>-25</v>
      </c>
    </row>
    <row r="45" spans="1:73">
      <c r="A45" s="4"/>
      <c r="B45" s="43" t="s">
        <v>211</v>
      </c>
      <c r="C45" s="44">
        <v>29</v>
      </c>
      <c r="D45" s="44">
        <v>122</v>
      </c>
      <c r="E45" s="44">
        <v>192</v>
      </c>
      <c r="F45" s="44">
        <v>69</v>
      </c>
      <c r="G45" s="44">
        <v>22</v>
      </c>
      <c r="H45" s="44">
        <v>8</v>
      </c>
      <c r="I45" s="44">
        <v>13</v>
      </c>
      <c r="J45" s="44">
        <v>4</v>
      </c>
      <c r="K45" s="283">
        <v>0</v>
      </c>
      <c r="L45" s="390">
        <v>1</v>
      </c>
      <c r="M45" s="177">
        <v>0</v>
      </c>
      <c r="N45" s="283">
        <f t="shared" si="59"/>
        <v>0</v>
      </c>
      <c r="O45" s="390">
        <f t="shared" si="59"/>
        <v>0</v>
      </c>
      <c r="P45" s="177">
        <v>0</v>
      </c>
      <c r="Q45" s="283">
        <v>0</v>
      </c>
      <c r="R45" s="390">
        <v>1</v>
      </c>
      <c r="S45" s="177">
        <v>0</v>
      </c>
      <c r="T45" s="283">
        <f t="shared" si="60"/>
        <v>0</v>
      </c>
      <c r="U45" s="390">
        <f t="shared" si="61"/>
        <v>2</v>
      </c>
      <c r="V45" s="177">
        <v>0</v>
      </c>
      <c r="W45" s="283">
        <v>0</v>
      </c>
      <c r="X45" s="390">
        <v>3</v>
      </c>
      <c r="Y45" s="177">
        <v>0</v>
      </c>
      <c r="Z45" s="283">
        <f t="shared" si="62"/>
        <v>1</v>
      </c>
      <c r="AA45" s="390">
        <f t="shared" si="63"/>
        <v>1</v>
      </c>
      <c r="AB45" s="242">
        <f t="shared" ref="AB45" si="91">ROUND(((AA45/Z45-1)*100), 1)</f>
        <v>0</v>
      </c>
      <c r="AC45" s="283">
        <v>1</v>
      </c>
      <c r="AD45" s="390">
        <v>4</v>
      </c>
      <c r="AE45" s="242">
        <f t="shared" ref="AE45" si="92">ROUND(((AD45/AC45-1)*100), 1)</f>
        <v>300</v>
      </c>
      <c r="AF45" s="283">
        <f t="shared" si="64"/>
        <v>1</v>
      </c>
      <c r="AG45" s="390">
        <f t="shared" si="64"/>
        <v>4</v>
      </c>
      <c r="AH45" s="242">
        <f t="shared" ref="AH45" si="93">ROUND(((AG45/AF45-1)*100), 1)</f>
        <v>300</v>
      </c>
      <c r="AI45" s="283">
        <v>2</v>
      </c>
      <c r="AJ45" s="390">
        <v>8</v>
      </c>
      <c r="AK45" s="242">
        <f t="shared" ref="AK45" si="94">ROUND(((AJ45/AI45-1)*100), 1)</f>
        <v>300</v>
      </c>
      <c r="AL45" s="762">
        <f t="shared" si="65"/>
        <v>0</v>
      </c>
      <c r="AM45" s="769">
        <f t="shared" si="66"/>
        <v>1</v>
      </c>
      <c r="AN45" s="799">
        <v>0</v>
      </c>
      <c r="AO45" s="779">
        <v>2</v>
      </c>
      <c r="AP45" s="819">
        <v>9</v>
      </c>
      <c r="AQ45" s="753">
        <f t="shared" ref="AQ45" si="95">ROUND(((AP45/AO45-1)*100), 1)</f>
        <v>350</v>
      </c>
      <c r="AR45" s="779">
        <f t="shared" si="67"/>
        <v>0</v>
      </c>
      <c r="AS45" s="819">
        <f t="shared" si="67"/>
        <v>0</v>
      </c>
      <c r="AT45" s="799">
        <v>0</v>
      </c>
      <c r="AU45" s="975">
        <v>2</v>
      </c>
      <c r="AV45" s="970">
        <v>9</v>
      </c>
      <c r="AW45" s="753">
        <f t="shared" si="47"/>
        <v>350</v>
      </c>
      <c r="AX45" s="779">
        <f t="shared" si="68"/>
        <v>0</v>
      </c>
      <c r="AY45" s="819">
        <f t="shared" si="69"/>
        <v>0</v>
      </c>
      <c r="AZ45" s="799">
        <v>0</v>
      </c>
      <c r="BA45" s="779">
        <v>2</v>
      </c>
      <c r="BB45" s="819">
        <v>9</v>
      </c>
      <c r="BC45" s="753">
        <f t="shared" si="49"/>
        <v>350</v>
      </c>
      <c r="BD45" s="779">
        <f t="shared" si="70"/>
        <v>0</v>
      </c>
      <c r="BE45" s="767">
        <f t="shared" si="70"/>
        <v>1</v>
      </c>
      <c r="BF45" s="799">
        <v>0</v>
      </c>
      <c r="BG45" s="779">
        <v>2</v>
      </c>
      <c r="BH45" s="819">
        <v>10</v>
      </c>
      <c r="BI45" s="753">
        <f t="shared" si="51"/>
        <v>400</v>
      </c>
      <c r="BJ45" s="779">
        <f t="shared" si="71"/>
        <v>0</v>
      </c>
      <c r="BK45" s="767">
        <f t="shared" si="71"/>
        <v>0</v>
      </c>
      <c r="BL45" s="799">
        <v>0</v>
      </c>
      <c r="BM45" s="779">
        <v>2</v>
      </c>
      <c r="BN45" s="819">
        <v>10</v>
      </c>
      <c r="BO45" s="753">
        <f t="shared" si="53"/>
        <v>400</v>
      </c>
      <c r="BP45" s="779">
        <f t="shared" si="72"/>
        <v>0</v>
      </c>
      <c r="BQ45" s="767">
        <f t="shared" si="72"/>
        <v>0</v>
      </c>
      <c r="BR45" s="799">
        <v>0</v>
      </c>
      <c r="BS45" s="779">
        <v>2</v>
      </c>
      <c r="BT45" s="819">
        <v>10</v>
      </c>
      <c r="BU45" s="753">
        <f t="shared" si="55"/>
        <v>400</v>
      </c>
    </row>
    <row r="46" spans="1:73">
      <c r="A46" s="4"/>
      <c r="B46" s="43" t="s">
        <v>24</v>
      </c>
      <c r="C46" s="44">
        <f t="shared" ref="C46:L46" si="96">C47-SUM(C28:C45)</f>
        <v>101</v>
      </c>
      <c r="D46" s="44">
        <f t="shared" si="96"/>
        <v>49</v>
      </c>
      <c r="E46" s="44">
        <f t="shared" si="96"/>
        <v>2738</v>
      </c>
      <c r="F46" s="44">
        <f t="shared" si="96"/>
        <v>1957</v>
      </c>
      <c r="G46" s="44">
        <f t="shared" si="96"/>
        <v>360</v>
      </c>
      <c r="H46" s="44">
        <f t="shared" si="96"/>
        <v>284</v>
      </c>
      <c r="I46" s="44">
        <f t="shared" si="96"/>
        <v>85</v>
      </c>
      <c r="J46" s="44">
        <f t="shared" si="96"/>
        <v>163</v>
      </c>
      <c r="K46" s="383">
        <f t="shared" si="96"/>
        <v>6</v>
      </c>
      <c r="L46" s="390">
        <f t="shared" si="96"/>
        <v>9</v>
      </c>
      <c r="M46" s="242">
        <f>ROUND(((L46/K46-1)*100), 1)</f>
        <v>50</v>
      </c>
      <c r="N46" s="383">
        <f>N47-SUM(N28:N45)</f>
        <v>17</v>
      </c>
      <c r="O46" s="390">
        <f>O47-SUM(O28:O45)</f>
        <v>33</v>
      </c>
      <c r="P46" s="242">
        <f>ROUND(((O46/N46-1)*100), 1)</f>
        <v>94.1</v>
      </c>
      <c r="Q46" s="383">
        <f>Q47-SUM(Q28:Q45)</f>
        <v>23</v>
      </c>
      <c r="R46" s="390">
        <f>R47-SUM(R28:R45)</f>
        <v>42</v>
      </c>
      <c r="S46" s="242">
        <f>ROUND(((R46/Q46-1)*100), 1)</f>
        <v>82.6</v>
      </c>
      <c r="T46" s="383">
        <f>T47-SUM(T28:T45)</f>
        <v>0</v>
      </c>
      <c r="U46" s="390">
        <f>U47-SUM(U28:U45)</f>
        <v>8</v>
      </c>
      <c r="V46" s="242" t="e">
        <f>ROUND(((U46/T46-1)*100), 1)</f>
        <v>#DIV/0!</v>
      </c>
      <c r="W46" s="383">
        <f>W47-SUM(W28:W45)</f>
        <v>23</v>
      </c>
      <c r="X46" s="390">
        <f>X47-SUM(X28:X45)</f>
        <v>50</v>
      </c>
      <c r="Y46" s="242">
        <f>ROUND(((X46/W46-1)*100), 1)</f>
        <v>117.4</v>
      </c>
      <c r="Z46" s="527">
        <f>Z47-SUM(Z28:Z45)</f>
        <v>3</v>
      </c>
      <c r="AA46" s="390">
        <f>AA47-SUM(AA28:AA45)</f>
        <v>31</v>
      </c>
      <c r="AB46" s="242">
        <f>ROUND(((AA46/Z46-1)*100), 1)</f>
        <v>933.3</v>
      </c>
      <c r="AC46" s="527">
        <f>AC47-SUM(AC28:AC45)</f>
        <v>26</v>
      </c>
      <c r="AD46" s="390">
        <f>AD47-SUM(AD28:AD45)</f>
        <v>81</v>
      </c>
      <c r="AE46" s="242">
        <f>ROUND(((AD46/AC46-1)*100), 1)</f>
        <v>211.5</v>
      </c>
      <c r="AF46" s="527">
        <f>AF47-SUM(AF28:AF45)</f>
        <v>13</v>
      </c>
      <c r="AG46" s="390">
        <f>AG47-SUM(AG28:AG45)</f>
        <v>26</v>
      </c>
      <c r="AH46" s="242">
        <f>ROUND(((AG46/AF46-1)*100), 1)</f>
        <v>100</v>
      </c>
      <c r="AI46" s="527">
        <f>AI47-SUM(AI28:AI45)</f>
        <v>39</v>
      </c>
      <c r="AJ46" s="390">
        <f>AJ47-SUM(AJ28:AJ45)</f>
        <v>107</v>
      </c>
      <c r="AK46" s="242">
        <f>ROUND(((AJ46/AI46-1)*100), 1)</f>
        <v>174.4</v>
      </c>
      <c r="AL46" s="766">
        <f>AL47-SUM(AL28:AL45)</f>
        <v>6</v>
      </c>
      <c r="AM46" s="769">
        <f>AM47-SUM(AM28:AM45)</f>
        <v>11</v>
      </c>
      <c r="AN46" s="753">
        <f>ROUND(((AM46/AL46-1)*100), 1)</f>
        <v>83.3</v>
      </c>
      <c r="AO46" s="817">
        <f>AO47-SUM(AO28:AO45)</f>
        <v>45</v>
      </c>
      <c r="AP46" s="819">
        <f>AP47-SUM(AP28:AP45)</f>
        <v>118</v>
      </c>
      <c r="AQ46" s="753">
        <f>ROUND(((AP46/AO46-1)*100), 1)</f>
        <v>162.19999999999999</v>
      </c>
      <c r="AR46" s="817">
        <f>AR47-SUM(AR28:AR45)</f>
        <v>33</v>
      </c>
      <c r="AS46" s="819">
        <f>AS47-SUM(AS28:AS45)</f>
        <v>15</v>
      </c>
      <c r="AT46" s="753">
        <f>ROUND(((AS46/AR46-1)*100), 1)</f>
        <v>-54.5</v>
      </c>
      <c r="AU46" s="969">
        <f>AU47-SUM(AU28:AU45)</f>
        <v>78</v>
      </c>
      <c r="AV46" s="970">
        <f>AV47-SUM(AV28:AV45)</f>
        <v>133</v>
      </c>
      <c r="AW46" s="753">
        <f t="shared" si="47"/>
        <v>70.5</v>
      </c>
      <c r="AX46" s="817">
        <f>AX47-SUM(AX28:AX45)</f>
        <v>6</v>
      </c>
      <c r="AY46" s="819">
        <f>AY47-SUM(AY28:AY45)</f>
        <v>12</v>
      </c>
      <c r="AZ46" s="753">
        <f>ROUND(((AY46/AX46-1)*100), 1)</f>
        <v>100</v>
      </c>
      <c r="BA46" s="817">
        <f>BA47-SUM(BA28:BA45)</f>
        <v>84</v>
      </c>
      <c r="BB46" s="819">
        <f>BB47-SUM(BB28:BB45)</f>
        <v>145</v>
      </c>
      <c r="BC46" s="753">
        <f t="shared" si="49"/>
        <v>72.599999999999994</v>
      </c>
      <c r="BD46" s="817">
        <f>BD47-SUM(BD28:BD45)</f>
        <v>16</v>
      </c>
      <c r="BE46" s="819">
        <f>BE47-SUM(BE28:BE45)</f>
        <v>26</v>
      </c>
      <c r="BF46" s="753">
        <f>ROUND(((BE46/BD46-1)*100), 1)</f>
        <v>62.5</v>
      </c>
      <c r="BG46" s="817">
        <f>BG47-SUM(BG28:BG45)</f>
        <v>100</v>
      </c>
      <c r="BH46" s="819">
        <f>BH47-SUM(BH28:BH45)</f>
        <v>171</v>
      </c>
      <c r="BI46" s="753">
        <f t="shared" si="51"/>
        <v>71</v>
      </c>
      <c r="BJ46" s="817">
        <f>BJ47-SUM(BJ28:BJ45)</f>
        <v>13</v>
      </c>
      <c r="BK46" s="819">
        <f>BK47-SUM(BK28:BK45)</f>
        <v>16</v>
      </c>
      <c r="BL46" s="753">
        <f>ROUND(((BK46/BJ46-1)*100), 1)</f>
        <v>23.1</v>
      </c>
      <c r="BM46" s="817">
        <f>BM47-SUM(BM28:BM45)</f>
        <v>113</v>
      </c>
      <c r="BN46" s="819">
        <f>BN47-SUM(BN28:BN45)</f>
        <v>187</v>
      </c>
      <c r="BO46" s="753">
        <f t="shared" si="53"/>
        <v>65.5</v>
      </c>
      <c r="BP46" s="817">
        <f>BP47-SUM(BP28:BP45)</f>
        <v>25</v>
      </c>
      <c r="BQ46" s="819">
        <f>BQ47-SUM(BQ28:BQ45)</f>
        <v>8</v>
      </c>
      <c r="BR46" s="753">
        <f>ROUND(((BQ46/BP46-1)*100), 1)</f>
        <v>-68</v>
      </c>
      <c r="BS46" s="817">
        <f>BS47-SUM(BS28:BS45)</f>
        <v>138</v>
      </c>
      <c r="BT46" s="819">
        <f>BT47-SUM(BT28:BT45)</f>
        <v>195</v>
      </c>
      <c r="BU46" s="753">
        <f t="shared" si="55"/>
        <v>41.3</v>
      </c>
    </row>
    <row r="47" spans="1:73">
      <c r="A47" s="9"/>
      <c r="B47" s="67" t="s">
        <v>108</v>
      </c>
      <c r="C47" s="46">
        <v>12490</v>
      </c>
      <c r="D47" s="46">
        <v>11949</v>
      </c>
      <c r="E47" s="46">
        <v>13320</v>
      </c>
      <c r="F47" s="46">
        <v>12539</v>
      </c>
      <c r="G47" s="46">
        <v>11946</v>
      </c>
      <c r="H47" s="46">
        <v>17913</v>
      </c>
      <c r="I47" s="46">
        <v>25260</v>
      </c>
      <c r="J47" s="46">
        <v>28129</v>
      </c>
      <c r="K47" s="281">
        <v>2702</v>
      </c>
      <c r="L47" s="295">
        <v>2221</v>
      </c>
      <c r="M47" s="243">
        <f>ROUND(((L47/K47-1)*100), 1)</f>
        <v>-17.8</v>
      </c>
      <c r="N47" s="281">
        <f>Q47-K47</f>
        <v>1768</v>
      </c>
      <c r="O47" s="295">
        <f>R47-L47</f>
        <v>1500</v>
      </c>
      <c r="P47" s="243">
        <f>ROUND(((O47/N47-1)*100), 1)</f>
        <v>-15.2</v>
      </c>
      <c r="Q47" s="281">
        <v>4470</v>
      </c>
      <c r="R47" s="295">
        <v>3721</v>
      </c>
      <c r="S47" s="243">
        <f>ROUND(((R47/Q47-1)*100), 1)</f>
        <v>-16.8</v>
      </c>
      <c r="T47" s="281">
        <f>W47-Q47</f>
        <v>2442</v>
      </c>
      <c r="U47" s="295">
        <f>X47-R47</f>
        <v>2299</v>
      </c>
      <c r="V47" s="243">
        <f>ROUND(((U47/T47-1)*100), 1)</f>
        <v>-5.9</v>
      </c>
      <c r="W47" s="281">
        <v>6912</v>
      </c>
      <c r="X47" s="295">
        <v>6020</v>
      </c>
      <c r="Y47" s="243">
        <f>ROUND(((X47/W47-1)*100), 1)</f>
        <v>-12.9</v>
      </c>
      <c r="Z47" s="281">
        <f>AC47-W47</f>
        <v>2378</v>
      </c>
      <c r="AA47" s="295">
        <f>AD47-X47</f>
        <v>2375</v>
      </c>
      <c r="AB47" s="243">
        <f>ROUND(((AA47/Z47-1)*100), 1)</f>
        <v>-0.1</v>
      </c>
      <c r="AC47" s="281">
        <v>9290</v>
      </c>
      <c r="AD47" s="295">
        <v>8395</v>
      </c>
      <c r="AE47" s="243">
        <f>ROUND(((AD47/AC47-1)*100), 1)</f>
        <v>-9.6</v>
      </c>
      <c r="AF47" s="281">
        <f>AI47-AC47</f>
        <v>2504</v>
      </c>
      <c r="AG47" s="295">
        <f>AJ47-AD47</f>
        <v>1971</v>
      </c>
      <c r="AH47" s="243">
        <f>ROUND(((AG47/AF47-1)*100), 1)</f>
        <v>-21.3</v>
      </c>
      <c r="AI47" s="281">
        <v>11794</v>
      </c>
      <c r="AJ47" s="295">
        <v>10366</v>
      </c>
      <c r="AK47" s="243">
        <f>ROUND(((AJ47/AI47-1)*100), 1)</f>
        <v>-12.1</v>
      </c>
      <c r="AL47" s="760">
        <f>AO47-AI47</f>
        <v>2734</v>
      </c>
      <c r="AM47" s="763">
        <f>AP47-AJ47</f>
        <v>2188</v>
      </c>
      <c r="AN47" s="754">
        <f>ROUND(((AM47/AL47-1)*100), 1)</f>
        <v>-20</v>
      </c>
      <c r="AO47" s="760">
        <v>14528</v>
      </c>
      <c r="AP47" s="808">
        <v>12554</v>
      </c>
      <c r="AQ47" s="754">
        <f>ROUND(((AP47/AO47-1)*100), 1)</f>
        <v>-13.6</v>
      </c>
      <c r="AR47" s="760">
        <f>AU47-AO47</f>
        <v>2686</v>
      </c>
      <c r="AS47" s="808">
        <f>AV47-AP47</f>
        <v>1960</v>
      </c>
      <c r="AT47" s="754">
        <f>ROUND(((AS47/AR47-1)*100), 1)</f>
        <v>-27</v>
      </c>
      <c r="AU47" s="986">
        <v>17214</v>
      </c>
      <c r="AV47" s="972">
        <v>14514</v>
      </c>
      <c r="AW47" s="754">
        <f t="shared" si="47"/>
        <v>-15.7</v>
      </c>
      <c r="AX47" s="760">
        <f>BA47-AU47</f>
        <v>2351</v>
      </c>
      <c r="AY47" s="808">
        <f>BB47-AV47</f>
        <v>1597</v>
      </c>
      <c r="AZ47" s="754">
        <f>ROUND(((AY47/AX47-1)*100), 1)</f>
        <v>-32.1</v>
      </c>
      <c r="BA47" s="760">
        <v>19565</v>
      </c>
      <c r="BB47" s="808">
        <v>16111</v>
      </c>
      <c r="BC47" s="754">
        <f t="shared" si="49"/>
        <v>-17.7</v>
      </c>
      <c r="BD47" s="760">
        <f>BG47-BA47</f>
        <v>1986</v>
      </c>
      <c r="BE47" s="808">
        <f>BH47-BB47</f>
        <v>1922</v>
      </c>
      <c r="BF47" s="754">
        <f>ROUND(((BE47/BD47-1)*100), 1)</f>
        <v>-3.2</v>
      </c>
      <c r="BG47" s="760">
        <v>21551</v>
      </c>
      <c r="BH47" s="808">
        <v>18033</v>
      </c>
      <c r="BI47" s="754">
        <f t="shared" si="51"/>
        <v>-16.3</v>
      </c>
      <c r="BJ47" s="760">
        <f>BM47-BG47</f>
        <v>2063</v>
      </c>
      <c r="BK47" s="808">
        <f>BN47-BH47</f>
        <v>1506</v>
      </c>
      <c r="BL47" s="754">
        <f>ROUND(((BK47/BJ47-1)*100), 1)</f>
        <v>-27</v>
      </c>
      <c r="BM47" s="760">
        <v>23614</v>
      </c>
      <c r="BN47" s="808">
        <v>19539</v>
      </c>
      <c r="BO47" s="754">
        <f t="shared" si="53"/>
        <v>-17.3</v>
      </c>
      <c r="BP47" s="760">
        <f>BS47-BM47</f>
        <v>2410</v>
      </c>
      <c r="BQ47" s="808">
        <f>BT47-BN47</f>
        <v>1802</v>
      </c>
      <c r="BR47" s="754">
        <f>ROUND(((BQ47/BP47-1)*100), 1)</f>
        <v>-25.2</v>
      </c>
      <c r="BS47" s="760">
        <v>26024</v>
      </c>
      <c r="BT47" s="808">
        <v>21341</v>
      </c>
      <c r="BU47" s="754">
        <f t="shared" si="55"/>
        <v>-18</v>
      </c>
    </row>
    <row r="48" spans="1:73">
      <c r="A48" s="112" t="s">
        <v>249</v>
      </c>
      <c r="M48" s="273"/>
    </row>
    <row r="49" spans="1:73" ht="10.5" customHeight="1">
      <c r="M49" s="273"/>
    </row>
    <row r="50" spans="1:73">
      <c r="A50" s="81" t="s">
        <v>250</v>
      </c>
      <c r="B50" s="84"/>
      <c r="C50" s="83"/>
      <c r="D50" s="83"/>
      <c r="E50" s="83"/>
      <c r="F50" s="83"/>
      <c r="G50" s="83"/>
      <c r="J50" s="280" t="s">
        <v>251</v>
      </c>
      <c r="K50" s="280"/>
      <c r="L50" s="280"/>
      <c r="M50" s="278"/>
      <c r="N50" s="280"/>
      <c r="O50" s="280"/>
      <c r="P50" s="278"/>
      <c r="Q50" s="280"/>
      <c r="R50" s="280"/>
      <c r="S50" s="278"/>
      <c r="T50" s="280"/>
      <c r="U50" s="280"/>
      <c r="V50" s="278"/>
      <c r="W50" s="280"/>
      <c r="X50" s="280"/>
      <c r="Y50" s="278"/>
      <c r="Z50" s="280"/>
      <c r="AA50" s="280"/>
      <c r="AB50" s="278"/>
      <c r="AC50" s="280"/>
      <c r="AD50" s="280"/>
      <c r="AE50" s="278"/>
      <c r="AF50" s="280"/>
      <c r="AG50" s="280"/>
      <c r="AH50" s="278"/>
      <c r="AI50" s="280"/>
      <c r="AJ50" s="280"/>
      <c r="AK50" s="278"/>
      <c r="AL50" s="747"/>
      <c r="AM50" s="747"/>
      <c r="AN50" s="759"/>
      <c r="AO50" s="747"/>
      <c r="AP50" s="747"/>
      <c r="AQ50" s="759"/>
      <c r="AR50" s="747"/>
      <c r="AS50" s="747"/>
      <c r="AT50" s="759"/>
      <c r="AU50" s="962"/>
      <c r="AV50" s="962"/>
      <c r="AW50" s="759"/>
      <c r="AX50" s="747"/>
      <c r="AY50" s="747"/>
      <c r="AZ50" s="759"/>
      <c r="BA50" s="747"/>
      <c r="BB50" s="747"/>
      <c r="BC50" s="759"/>
      <c r="BD50" s="747"/>
      <c r="BE50" s="747"/>
      <c r="BF50" s="759"/>
      <c r="BG50" s="747"/>
      <c r="BH50" s="747"/>
      <c r="BI50" s="759"/>
      <c r="BJ50" s="747"/>
      <c r="BK50" s="747"/>
      <c r="BL50" s="759"/>
      <c r="BM50" s="747"/>
      <c r="BN50" s="747"/>
      <c r="BO50" s="759"/>
      <c r="BP50" s="747"/>
      <c r="BQ50" s="747"/>
      <c r="BR50" s="759"/>
      <c r="BS50" s="747"/>
      <c r="BT50" s="747"/>
      <c r="BU50" s="759"/>
    </row>
    <row r="51" spans="1:73">
      <c r="B51" s="30"/>
      <c r="C51" s="75"/>
      <c r="D51" s="75"/>
      <c r="E51" s="75"/>
      <c r="F51" s="75"/>
      <c r="G51" s="75"/>
      <c r="H51" s="75"/>
      <c r="I51" s="279"/>
      <c r="J51" s="279"/>
      <c r="K51" s="279"/>
      <c r="L51" s="279"/>
      <c r="M51" s="274" t="s">
        <v>94</v>
      </c>
      <c r="N51" s="279"/>
      <c r="O51" s="279"/>
      <c r="P51" s="274"/>
      <c r="Q51" s="279"/>
      <c r="R51" s="279"/>
      <c r="S51" s="274" t="s">
        <v>94</v>
      </c>
      <c r="T51" s="279"/>
      <c r="U51" s="279"/>
      <c r="V51" s="274"/>
      <c r="W51" s="279"/>
      <c r="X51" s="279"/>
      <c r="Y51" s="274" t="s">
        <v>94</v>
      </c>
      <c r="Z51" s="279"/>
      <c r="AA51" s="279"/>
      <c r="AB51" s="274"/>
      <c r="AC51" s="279"/>
      <c r="AD51" s="279"/>
      <c r="AE51" s="274" t="s">
        <v>94</v>
      </c>
      <c r="AF51" s="279"/>
      <c r="AG51" s="279"/>
      <c r="AH51" s="274"/>
      <c r="AI51" s="279"/>
      <c r="AJ51" s="279"/>
      <c r="AK51" s="274" t="s">
        <v>94</v>
      </c>
      <c r="AL51" s="746"/>
      <c r="AM51" s="746"/>
      <c r="AN51" s="755"/>
      <c r="AO51" s="746"/>
      <c r="AP51" s="746"/>
      <c r="AQ51" s="755" t="s">
        <v>94</v>
      </c>
      <c r="AR51" s="746"/>
      <c r="AS51" s="746"/>
      <c r="AT51" s="755"/>
      <c r="AU51" s="961"/>
      <c r="AV51" s="961"/>
      <c r="AW51" s="755" t="s">
        <v>94</v>
      </c>
      <c r="AX51" s="746"/>
      <c r="AY51" s="746"/>
      <c r="AZ51" s="755"/>
      <c r="BA51" s="746"/>
      <c r="BB51" s="746"/>
      <c r="BC51" s="755" t="s">
        <v>94</v>
      </c>
      <c r="BD51" s="746"/>
      <c r="BE51" s="746"/>
      <c r="BF51" s="755"/>
      <c r="BG51" s="746"/>
      <c r="BH51" s="746"/>
      <c r="BI51" s="755" t="s">
        <v>94</v>
      </c>
      <c r="BJ51" s="746"/>
      <c r="BK51" s="746"/>
      <c r="BL51" s="755"/>
      <c r="BM51" s="746"/>
      <c r="BN51" s="746"/>
      <c r="BO51" s="755" t="s">
        <v>94</v>
      </c>
      <c r="BP51" s="746"/>
      <c r="BQ51" s="746"/>
      <c r="BR51" s="755"/>
      <c r="BS51" s="746"/>
      <c r="BT51" s="746"/>
      <c r="BU51" s="755" t="s">
        <v>94</v>
      </c>
    </row>
    <row r="52" spans="1:73">
      <c r="A52" s="1082" t="s">
        <v>95</v>
      </c>
      <c r="B52" s="1082"/>
      <c r="C52" s="1170" t="s">
        <v>3</v>
      </c>
      <c r="D52" s="1170" t="s">
        <v>4</v>
      </c>
      <c r="E52" s="1170" t="s">
        <v>5</v>
      </c>
      <c r="F52" s="1170" t="s">
        <v>6</v>
      </c>
      <c r="G52" s="1170" t="s">
        <v>7</v>
      </c>
      <c r="H52" s="1170" t="s">
        <v>81</v>
      </c>
      <c r="I52" s="1170" t="s">
        <v>83</v>
      </c>
      <c r="J52" s="1172" t="s">
        <v>315</v>
      </c>
      <c r="K52" s="1180" t="s">
        <v>40</v>
      </c>
      <c r="L52" s="1115"/>
      <c r="M52" s="1082"/>
      <c r="N52" s="1155" t="s">
        <v>505</v>
      </c>
      <c r="O52" s="1156"/>
      <c r="P52" s="1157"/>
      <c r="Q52" s="1155" t="s">
        <v>506</v>
      </c>
      <c r="R52" s="1156"/>
      <c r="S52" s="1157"/>
      <c r="T52" s="1155" t="s">
        <v>513</v>
      </c>
      <c r="U52" s="1156"/>
      <c r="V52" s="1157"/>
      <c r="W52" s="1155" t="s">
        <v>514</v>
      </c>
      <c r="X52" s="1156"/>
      <c r="Y52" s="1157"/>
      <c r="Z52" s="1155" t="s">
        <v>531</v>
      </c>
      <c r="AA52" s="1156"/>
      <c r="AB52" s="1157"/>
      <c r="AC52" s="1155" t="s">
        <v>533</v>
      </c>
      <c r="AD52" s="1156"/>
      <c r="AE52" s="1157"/>
      <c r="AF52" s="1155" t="s">
        <v>555</v>
      </c>
      <c r="AG52" s="1156"/>
      <c r="AH52" s="1157"/>
      <c r="AI52" s="1155" t="s">
        <v>556</v>
      </c>
      <c r="AJ52" s="1156"/>
      <c r="AK52" s="1157"/>
      <c r="AL52" s="1155" t="s">
        <v>583</v>
      </c>
      <c r="AM52" s="1156"/>
      <c r="AN52" s="1157"/>
      <c r="AO52" s="1155" t="s">
        <v>584</v>
      </c>
      <c r="AP52" s="1156"/>
      <c r="AQ52" s="1157"/>
      <c r="AR52" s="1155" t="s">
        <v>621</v>
      </c>
      <c r="AS52" s="1156"/>
      <c r="AT52" s="1157"/>
      <c r="AU52" s="1155" t="s">
        <v>622</v>
      </c>
      <c r="AV52" s="1156"/>
      <c r="AW52" s="1157"/>
      <c r="AX52" s="1155" t="s">
        <v>626</v>
      </c>
      <c r="AY52" s="1156"/>
      <c r="AZ52" s="1157"/>
      <c r="BA52" s="1155" t="s">
        <v>628</v>
      </c>
      <c r="BB52" s="1156"/>
      <c r="BC52" s="1157"/>
      <c r="BD52" s="1155" t="s">
        <v>650</v>
      </c>
      <c r="BE52" s="1156"/>
      <c r="BF52" s="1157"/>
      <c r="BG52" s="1155" t="s">
        <v>651</v>
      </c>
      <c r="BH52" s="1156"/>
      <c r="BI52" s="1157"/>
      <c r="BJ52" s="1155" t="s">
        <v>676</v>
      </c>
      <c r="BK52" s="1156"/>
      <c r="BL52" s="1157"/>
      <c r="BM52" s="1155" t="s">
        <v>675</v>
      </c>
      <c r="BN52" s="1156"/>
      <c r="BO52" s="1157"/>
      <c r="BP52" s="1155" t="s">
        <v>712</v>
      </c>
      <c r="BQ52" s="1156"/>
      <c r="BR52" s="1157"/>
      <c r="BS52" s="1155" t="s">
        <v>711</v>
      </c>
      <c r="BT52" s="1156"/>
      <c r="BU52" s="1157"/>
    </row>
    <row r="53" spans="1:73">
      <c r="A53" s="1082"/>
      <c r="B53" s="1082"/>
      <c r="C53" s="1170"/>
      <c r="D53" s="1170"/>
      <c r="E53" s="1170"/>
      <c r="F53" s="1170"/>
      <c r="G53" s="1170"/>
      <c r="H53" s="1170"/>
      <c r="I53" s="1170"/>
      <c r="J53" s="1173"/>
      <c r="K53" s="418" t="s">
        <v>445</v>
      </c>
      <c r="L53" s="427" t="s">
        <v>446</v>
      </c>
      <c r="M53" s="277" t="s">
        <v>10</v>
      </c>
      <c r="N53" s="418" t="s">
        <v>445</v>
      </c>
      <c r="O53" s="427" t="s">
        <v>446</v>
      </c>
      <c r="P53" s="277" t="s">
        <v>10</v>
      </c>
      <c r="Q53" s="418" t="s">
        <v>445</v>
      </c>
      <c r="R53" s="427" t="s">
        <v>446</v>
      </c>
      <c r="S53" s="277" t="s">
        <v>10</v>
      </c>
      <c r="T53" s="418" t="s">
        <v>445</v>
      </c>
      <c r="U53" s="427" t="s">
        <v>446</v>
      </c>
      <c r="V53" s="277" t="s">
        <v>10</v>
      </c>
      <c r="W53" s="418" t="s">
        <v>445</v>
      </c>
      <c r="X53" s="427" t="s">
        <v>446</v>
      </c>
      <c r="Y53" s="277" t="s">
        <v>10</v>
      </c>
      <c r="Z53" s="418" t="s">
        <v>445</v>
      </c>
      <c r="AA53" s="427" t="s">
        <v>446</v>
      </c>
      <c r="AB53" s="277" t="s">
        <v>10</v>
      </c>
      <c r="AC53" s="418" t="s">
        <v>445</v>
      </c>
      <c r="AD53" s="427" t="s">
        <v>446</v>
      </c>
      <c r="AE53" s="277" t="s">
        <v>10</v>
      </c>
      <c r="AF53" s="418" t="s">
        <v>445</v>
      </c>
      <c r="AG53" s="427" t="s">
        <v>446</v>
      </c>
      <c r="AH53" s="277" t="s">
        <v>10</v>
      </c>
      <c r="AI53" s="418" t="s">
        <v>445</v>
      </c>
      <c r="AJ53" s="427" t="s">
        <v>446</v>
      </c>
      <c r="AK53" s="277" t="s">
        <v>10</v>
      </c>
      <c r="AL53" s="771" t="s">
        <v>445</v>
      </c>
      <c r="AM53" s="772" t="s">
        <v>446</v>
      </c>
      <c r="AN53" s="757" t="s">
        <v>10</v>
      </c>
      <c r="AO53" s="815" t="s">
        <v>445</v>
      </c>
      <c r="AP53" s="816" t="s">
        <v>446</v>
      </c>
      <c r="AQ53" s="757" t="s">
        <v>10</v>
      </c>
      <c r="AR53" s="815" t="s">
        <v>445</v>
      </c>
      <c r="AS53" s="816" t="s">
        <v>446</v>
      </c>
      <c r="AT53" s="757" t="s">
        <v>10</v>
      </c>
      <c r="AU53" s="996" t="s">
        <v>445</v>
      </c>
      <c r="AV53" s="1009" t="s">
        <v>446</v>
      </c>
      <c r="AW53" s="757" t="s">
        <v>10</v>
      </c>
      <c r="AX53" s="815" t="s">
        <v>445</v>
      </c>
      <c r="AY53" s="816" t="s">
        <v>446</v>
      </c>
      <c r="AZ53" s="757" t="s">
        <v>10</v>
      </c>
      <c r="BA53" s="815" t="s">
        <v>445</v>
      </c>
      <c r="BB53" s="816" t="s">
        <v>446</v>
      </c>
      <c r="BC53" s="757" t="s">
        <v>10</v>
      </c>
      <c r="BD53" s="815" t="s">
        <v>669</v>
      </c>
      <c r="BE53" s="816" t="s">
        <v>671</v>
      </c>
      <c r="BF53" s="757" t="s">
        <v>10</v>
      </c>
      <c r="BG53" s="815" t="s">
        <v>669</v>
      </c>
      <c r="BH53" s="816" t="s">
        <v>671</v>
      </c>
      <c r="BI53" s="757" t="s">
        <v>10</v>
      </c>
      <c r="BJ53" s="815" t="s">
        <v>698</v>
      </c>
      <c r="BK53" s="816" t="s">
        <v>697</v>
      </c>
      <c r="BL53" s="757" t="s">
        <v>10</v>
      </c>
      <c r="BM53" s="815" t="s">
        <v>696</v>
      </c>
      <c r="BN53" s="816" t="s">
        <v>697</v>
      </c>
      <c r="BO53" s="757" t="s">
        <v>10</v>
      </c>
      <c r="BP53" s="815" t="s">
        <v>445</v>
      </c>
      <c r="BQ53" s="816" t="s">
        <v>446</v>
      </c>
      <c r="BR53" s="757" t="s">
        <v>10</v>
      </c>
      <c r="BS53" s="815" t="s">
        <v>445</v>
      </c>
      <c r="BT53" s="816" t="s">
        <v>446</v>
      </c>
      <c r="BU53" s="757" t="s">
        <v>10</v>
      </c>
    </row>
    <row r="54" spans="1:73">
      <c r="A54" s="8"/>
      <c r="B54" s="85" t="s">
        <v>113</v>
      </c>
      <c r="C54" s="66">
        <v>6849</v>
      </c>
      <c r="D54" s="66">
        <v>1617</v>
      </c>
      <c r="E54" s="66">
        <v>1980</v>
      </c>
      <c r="F54" s="66">
        <v>2508</v>
      </c>
      <c r="G54" s="66">
        <v>3599</v>
      </c>
      <c r="H54" s="66">
        <v>701</v>
      </c>
      <c r="I54" s="66">
        <v>1351</v>
      </c>
      <c r="J54" s="66">
        <v>2026</v>
      </c>
      <c r="K54" s="282">
        <v>100</v>
      </c>
      <c r="L54" s="389">
        <v>277</v>
      </c>
      <c r="M54" s="475">
        <f t="shared" ref="M54:M65" si="97">ROUND(((L54/K54-1)*100), 1)</f>
        <v>177</v>
      </c>
      <c r="N54" s="282">
        <f t="shared" ref="N54:N69" si="98">Q54-K54</f>
        <v>99</v>
      </c>
      <c r="O54" s="389">
        <f t="shared" ref="O54:O69" si="99">R54-L54</f>
        <v>161</v>
      </c>
      <c r="P54" s="475">
        <f t="shared" ref="P54:P64" si="100">ROUND(((O54/N54-1)*100), 1)</f>
        <v>62.6</v>
      </c>
      <c r="Q54" s="282">
        <v>199</v>
      </c>
      <c r="R54" s="389">
        <v>438</v>
      </c>
      <c r="S54" s="475">
        <f t="shared" ref="S54:S65" si="101">ROUND(((R54/Q54-1)*100), 1)</f>
        <v>120.1</v>
      </c>
      <c r="T54" s="282">
        <f t="shared" ref="T54:T69" si="102">W54-Q54</f>
        <v>239</v>
      </c>
      <c r="U54" s="389">
        <f t="shared" ref="U54:U69" si="103">X54-R54</f>
        <v>1</v>
      </c>
      <c r="V54" s="475">
        <f t="shared" ref="V54:V63" si="104">ROUND(((U54/T54-1)*100), 1)</f>
        <v>-99.6</v>
      </c>
      <c r="W54" s="282">
        <v>438</v>
      </c>
      <c r="X54" s="389">
        <v>439</v>
      </c>
      <c r="Y54" s="475">
        <f t="shared" ref="Y54:Y65" si="105">ROUND(((X54/W54-1)*100), 1)</f>
        <v>0.2</v>
      </c>
      <c r="Z54" s="282">
        <f t="shared" ref="Z54:Z69" si="106">AC54-W54</f>
        <v>260</v>
      </c>
      <c r="AA54" s="389">
        <f t="shared" ref="AA54:AA69" si="107">AD54-X54</f>
        <v>0</v>
      </c>
      <c r="AB54" s="475">
        <f t="shared" ref="AB54:AB57" si="108">ROUND(((AA54/Z54-1)*100), 1)</f>
        <v>-100</v>
      </c>
      <c r="AC54" s="282">
        <v>698</v>
      </c>
      <c r="AD54" s="389">
        <v>439</v>
      </c>
      <c r="AE54" s="475">
        <f t="shared" ref="AE54:AE65" si="109">ROUND(((AD54/AC54-1)*100), 1)</f>
        <v>-37.1</v>
      </c>
      <c r="AF54" s="282">
        <f t="shared" ref="AF54:AG69" si="110">AI54-AC54</f>
        <v>160</v>
      </c>
      <c r="AG54" s="389">
        <f t="shared" si="110"/>
        <v>0</v>
      </c>
      <c r="AH54" s="475">
        <f t="shared" ref="AH54:AH64" si="111">ROUND(((AG54/AF54-1)*100), 1)</f>
        <v>-100</v>
      </c>
      <c r="AI54" s="282">
        <v>858</v>
      </c>
      <c r="AJ54" s="389">
        <v>439</v>
      </c>
      <c r="AK54" s="475">
        <f t="shared" ref="AK54:AK65" si="112">ROUND(((AJ54/AI54-1)*100), 1)</f>
        <v>-48.8</v>
      </c>
      <c r="AL54" s="761">
        <f t="shared" ref="AL54:AL69" si="113">AO54-AI54</f>
        <v>162</v>
      </c>
      <c r="AM54" s="768">
        <f t="shared" ref="AM54:AM69" si="114">AP54-AJ54</f>
        <v>0</v>
      </c>
      <c r="AN54" s="775">
        <f t="shared" ref="AN54:AN59" si="115">ROUND(((AM54/AL54-1)*100), 1)</f>
        <v>-100</v>
      </c>
      <c r="AO54" s="778">
        <v>1020</v>
      </c>
      <c r="AP54" s="812">
        <v>439</v>
      </c>
      <c r="AQ54" s="775">
        <f t="shared" ref="AQ54:AQ65" si="116">ROUND(((AP54/AO54-1)*100), 1)</f>
        <v>-57</v>
      </c>
      <c r="AR54" s="778">
        <f t="shared" ref="AR54:AS69" si="117">AU54-AO54</f>
        <v>241</v>
      </c>
      <c r="AS54" s="812">
        <f t="shared" si="117"/>
        <v>1</v>
      </c>
      <c r="AT54" s="775">
        <f t="shared" ref="AT54:AT59" si="118">ROUND(((AS54/AR54-1)*100), 1)</f>
        <v>-99.6</v>
      </c>
      <c r="AU54" s="1024">
        <v>1261</v>
      </c>
      <c r="AV54" s="974">
        <v>440</v>
      </c>
      <c r="AW54" s="775">
        <f t="shared" ref="AW54:AW65" si="119">ROUND(((AV54/AU54-1)*100), 1)</f>
        <v>-65.099999999999994</v>
      </c>
      <c r="AX54" s="778">
        <f t="shared" ref="AX54:AX69" si="120">BA54-AU54</f>
        <v>122</v>
      </c>
      <c r="AY54" s="812">
        <f t="shared" ref="AY54:AY69" si="121">BB54-AV54</f>
        <v>0</v>
      </c>
      <c r="AZ54" s="775">
        <f t="shared" ref="AZ54:AZ56" si="122">ROUND(((AY54/AX54-1)*100), 1)</f>
        <v>-100</v>
      </c>
      <c r="BA54" s="778">
        <v>1383</v>
      </c>
      <c r="BB54" s="812">
        <v>440</v>
      </c>
      <c r="BC54" s="775">
        <f t="shared" ref="BC54:BC65" si="123">ROUND(((BB54/BA54-1)*100), 1)</f>
        <v>-68.2</v>
      </c>
      <c r="BD54" s="778">
        <f t="shared" ref="BD54:BE69" si="124">BG54-BA54</f>
        <v>162</v>
      </c>
      <c r="BE54" s="812">
        <f t="shared" si="124"/>
        <v>1</v>
      </c>
      <c r="BF54" s="775">
        <f t="shared" ref="BF54:BF56" si="125">ROUND(((BE54/BD54-1)*100), 1)</f>
        <v>-99.4</v>
      </c>
      <c r="BG54" s="778">
        <v>1545</v>
      </c>
      <c r="BH54" s="812">
        <v>441</v>
      </c>
      <c r="BI54" s="775">
        <f t="shared" ref="BI54:BI65" si="126">ROUND(((BH54/BG54-1)*100), 1)</f>
        <v>-71.5</v>
      </c>
      <c r="BJ54" s="778">
        <f t="shared" ref="BJ54:BK69" si="127">BM54-BG54</f>
        <v>180</v>
      </c>
      <c r="BK54" s="812">
        <f t="shared" si="127"/>
        <v>0</v>
      </c>
      <c r="BL54" s="775">
        <f t="shared" ref="BL54:BL56" si="128">ROUND(((BK54/BJ54-1)*100), 1)</f>
        <v>-100</v>
      </c>
      <c r="BM54" s="778">
        <v>1725</v>
      </c>
      <c r="BN54" s="812">
        <v>441</v>
      </c>
      <c r="BO54" s="775">
        <f t="shared" ref="BO54:BO66" si="129">ROUND(((BN54/BM54-1)*100), 1)</f>
        <v>-74.400000000000006</v>
      </c>
      <c r="BP54" s="778">
        <f t="shared" ref="BP54:BQ69" si="130">BS54-BM54</f>
        <v>62</v>
      </c>
      <c r="BQ54" s="812">
        <f t="shared" si="130"/>
        <v>0</v>
      </c>
      <c r="BR54" s="775">
        <f t="shared" ref="BR54:BR65" si="131">ROUND(((BQ54/BP54-1)*100), 1)</f>
        <v>-100</v>
      </c>
      <c r="BS54" s="778">
        <v>1787</v>
      </c>
      <c r="BT54" s="812">
        <v>441</v>
      </c>
      <c r="BU54" s="775">
        <f t="shared" ref="BU54:BU66" si="132">ROUND(((BT54/BS54-1)*100), 1)</f>
        <v>-75.3</v>
      </c>
    </row>
    <row r="55" spans="1:73">
      <c r="A55" s="4" t="s">
        <v>121</v>
      </c>
      <c r="B55" s="43" t="s">
        <v>101</v>
      </c>
      <c r="C55" s="44">
        <v>1225</v>
      </c>
      <c r="D55" s="44">
        <v>1433</v>
      </c>
      <c r="E55" s="44">
        <v>1568</v>
      </c>
      <c r="F55" s="44">
        <v>754</v>
      </c>
      <c r="G55" s="44">
        <v>1258</v>
      </c>
      <c r="H55" s="44">
        <v>1337</v>
      </c>
      <c r="I55" s="44">
        <v>1121</v>
      </c>
      <c r="J55" s="44">
        <v>1413</v>
      </c>
      <c r="K55" s="283">
        <v>83</v>
      </c>
      <c r="L55" s="390">
        <v>97</v>
      </c>
      <c r="M55" s="242">
        <f t="shared" si="97"/>
        <v>16.899999999999999</v>
      </c>
      <c r="N55" s="283">
        <f t="shared" si="98"/>
        <v>94</v>
      </c>
      <c r="O55" s="390">
        <f t="shared" si="99"/>
        <v>114</v>
      </c>
      <c r="P55" s="242">
        <f t="shared" si="100"/>
        <v>21.3</v>
      </c>
      <c r="Q55" s="283">
        <v>177</v>
      </c>
      <c r="R55" s="390">
        <v>211</v>
      </c>
      <c r="S55" s="242">
        <f t="shared" si="101"/>
        <v>19.2</v>
      </c>
      <c r="T55" s="283">
        <f t="shared" si="102"/>
        <v>155</v>
      </c>
      <c r="U55" s="390">
        <f t="shared" si="103"/>
        <v>96</v>
      </c>
      <c r="V55" s="242">
        <f t="shared" si="104"/>
        <v>-38.1</v>
      </c>
      <c r="W55" s="283">
        <v>332</v>
      </c>
      <c r="X55" s="390">
        <v>307</v>
      </c>
      <c r="Y55" s="242">
        <f t="shared" si="105"/>
        <v>-7.5</v>
      </c>
      <c r="Z55" s="283">
        <f t="shared" si="106"/>
        <v>112</v>
      </c>
      <c r="AA55" s="390">
        <f t="shared" si="107"/>
        <v>40</v>
      </c>
      <c r="AB55" s="242">
        <f t="shared" si="108"/>
        <v>-64.3</v>
      </c>
      <c r="AC55" s="283">
        <v>444</v>
      </c>
      <c r="AD55" s="390">
        <v>347</v>
      </c>
      <c r="AE55" s="242">
        <f t="shared" si="109"/>
        <v>-21.8</v>
      </c>
      <c r="AF55" s="283">
        <f t="shared" si="110"/>
        <v>122</v>
      </c>
      <c r="AG55" s="390">
        <f t="shared" si="110"/>
        <v>2</v>
      </c>
      <c r="AH55" s="242">
        <f t="shared" si="111"/>
        <v>-98.4</v>
      </c>
      <c r="AI55" s="283">
        <v>566</v>
      </c>
      <c r="AJ55" s="390">
        <v>349</v>
      </c>
      <c r="AK55" s="242">
        <f t="shared" si="112"/>
        <v>-38.299999999999997</v>
      </c>
      <c r="AL55" s="762">
        <f t="shared" si="113"/>
        <v>151</v>
      </c>
      <c r="AM55" s="769">
        <f t="shared" si="114"/>
        <v>40</v>
      </c>
      <c r="AN55" s="753">
        <f t="shared" si="115"/>
        <v>-73.5</v>
      </c>
      <c r="AO55" s="779">
        <v>717</v>
      </c>
      <c r="AP55" s="819">
        <v>389</v>
      </c>
      <c r="AQ55" s="753">
        <f t="shared" si="116"/>
        <v>-45.7</v>
      </c>
      <c r="AR55" s="779">
        <f t="shared" si="117"/>
        <v>134</v>
      </c>
      <c r="AS55" s="819">
        <f t="shared" si="117"/>
        <v>21</v>
      </c>
      <c r="AT55" s="753">
        <f t="shared" si="118"/>
        <v>-84.3</v>
      </c>
      <c r="AU55" s="975">
        <v>851</v>
      </c>
      <c r="AV55" s="970">
        <v>410</v>
      </c>
      <c r="AW55" s="753">
        <f t="shared" si="119"/>
        <v>-51.8</v>
      </c>
      <c r="AX55" s="779">
        <f t="shared" si="120"/>
        <v>98</v>
      </c>
      <c r="AY55" s="819">
        <f t="shared" si="121"/>
        <v>68</v>
      </c>
      <c r="AZ55" s="753">
        <f t="shared" si="122"/>
        <v>-30.6</v>
      </c>
      <c r="BA55" s="779">
        <v>949</v>
      </c>
      <c r="BB55" s="819">
        <v>478</v>
      </c>
      <c r="BC55" s="753">
        <f t="shared" si="123"/>
        <v>-49.6</v>
      </c>
      <c r="BD55" s="779">
        <f t="shared" si="124"/>
        <v>191</v>
      </c>
      <c r="BE55" s="819">
        <f t="shared" si="124"/>
        <v>113</v>
      </c>
      <c r="BF55" s="753">
        <f t="shared" si="125"/>
        <v>-40.799999999999997</v>
      </c>
      <c r="BG55" s="779">
        <v>1140</v>
      </c>
      <c r="BH55" s="819">
        <v>591</v>
      </c>
      <c r="BI55" s="753">
        <f t="shared" si="126"/>
        <v>-48.2</v>
      </c>
      <c r="BJ55" s="779">
        <f t="shared" si="127"/>
        <v>62</v>
      </c>
      <c r="BK55" s="819">
        <f t="shared" si="127"/>
        <v>152</v>
      </c>
      <c r="BL55" s="753">
        <f t="shared" si="128"/>
        <v>145.19999999999999</v>
      </c>
      <c r="BM55" s="779">
        <v>1202</v>
      </c>
      <c r="BN55" s="819">
        <v>743</v>
      </c>
      <c r="BO55" s="753">
        <f t="shared" si="129"/>
        <v>-38.200000000000003</v>
      </c>
      <c r="BP55" s="779">
        <f t="shared" si="130"/>
        <v>96</v>
      </c>
      <c r="BQ55" s="819">
        <f t="shared" si="130"/>
        <v>151</v>
      </c>
      <c r="BR55" s="753">
        <f t="shared" si="131"/>
        <v>57.3</v>
      </c>
      <c r="BS55" s="779">
        <v>1298</v>
      </c>
      <c r="BT55" s="819">
        <v>894</v>
      </c>
      <c r="BU55" s="753">
        <f t="shared" si="132"/>
        <v>-31.1</v>
      </c>
    </row>
    <row r="56" spans="1:73">
      <c r="A56" s="4"/>
      <c r="B56" s="43" t="s">
        <v>50</v>
      </c>
      <c r="C56" s="44">
        <v>1312</v>
      </c>
      <c r="D56" s="44">
        <v>1083</v>
      </c>
      <c r="E56" s="44">
        <v>1159</v>
      </c>
      <c r="F56" s="44">
        <v>1576</v>
      </c>
      <c r="G56" s="44">
        <v>1530</v>
      </c>
      <c r="H56" s="44">
        <v>1444</v>
      </c>
      <c r="I56" s="44">
        <v>1548</v>
      </c>
      <c r="J56" s="44">
        <v>1190</v>
      </c>
      <c r="K56" s="283">
        <v>137</v>
      </c>
      <c r="L56" s="390">
        <v>119</v>
      </c>
      <c r="M56" s="242">
        <f t="shared" si="97"/>
        <v>-13.1</v>
      </c>
      <c r="N56" s="283">
        <f t="shared" si="98"/>
        <v>77</v>
      </c>
      <c r="O56" s="390">
        <f t="shared" si="99"/>
        <v>45</v>
      </c>
      <c r="P56" s="242">
        <f t="shared" si="100"/>
        <v>-41.6</v>
      </c>
      <c r="Q56" s="283">
        <v>214</v>
      </c>
      <c r="R56" s="390">
        <v>164</v>
      </c>
      <c r="S56" s="242">
        <f t="shared" si="101"/>
        <v>-23.4</v>
      </c>
      <c r="T56" s="283">
        <f t="shared" si="102"/>
        <v>68</v>
      </c>
      <c r="U56" s="390">
        <f t="shared" si="103"/>
        <v>75</v>
      </c>
      <c r="V56" s="242">
        <f t="shared" si="104"/>
        <v>10.3</v>
      </c>
      <c r="W56" s="283">
        <v>282</v>
      </c>
      <c r="X56" s="390">
        <v>239</v>
      </c>
      <c r="Y56" s="242">
        <f t="shared" si="105"/>
        <v>-15.2</v>
      </c>
      <c r="Z56" s="283">
        <f t="shared" si="106"/>
        <v>80</v>
      </c>
      <c r="AA56" s="390">
        <f t="shared" si="107"/>
        <v>168</v>
      </c>
      <c r="AB56" s="242">
        <f t="shared" si="108"/>
        <v>110</v>
      </c>
      <c r="AC56" s="283">
        <v>362</v>
      </c>
      <c r="AD56" s="390">
        <v>407</v>
      </c>
      <c r="AE56" s="242">
        <f t="shared" si="109"/>
        <v>12.4</v>
      </c>
      <c r="AF56" s="283">
        <f t="shared" si="110"/>
        <v>121</v>
      </c>
      <c r="AG56" s="390">
        <f t="shared" si="110"/>
        <v>150</v>
      </c>
      <c r="AH56" s="242">
        <f t="shared" si="111"/>
        <v>24</v>
      </c>
      <c r="AI56" s="283">
        <v>483</v>
      </c>
      <c r="AJ56" s="390">
        <v>557</v>
      </c>
      <c r="AK56" s="242">
        <f t="shared" si="112"/>
        <v>15.3</v>
      </c>
      <c r="AL56" s="762">
        <f t="shared" si="113"/>
        <v>93</v>
      </c>
      <c r="AM56" s="769">
        <f t="shared" si="114"/>
        <v>73</v>
      </c>
      <c r="AN56" s="753">
        <f t="shared" si="115"/>
        <v>-21.5</v>
      </c>
      <c r="AO56" s="779">
        <v>576</v>
      </c>
      <c r="AP56" s="819">
        <v>630</v>
      </c>
      <c r="AQ56" s="753">
        <f t="shared" si="116"/>
        <v>9.4</v>
      </c>
      <c r="AR56" s="779">
        <f t="shared" si="117"/>
        <v>118</v>
      </c>
      <c r="AS56" s="819">
        <f t="shared" si="117"/>
        <v>67</v>
      </c>
      <c r="AT56" s="753">
        <f t="shared" si="118"/>
        <v>-43.2</v>
      </c>
      <c r="AU56" s="975">
        <v>694</v>
      </c>
      <c r="AV56" s="970">
        <v>697</v>
      </c>
      <c r="AW56" s="753">
        <f t="shared" si="119"/>
        <v>0.4</v>
      </c>
      <c r="AX56" s="779">
        <f t="shared" si="120"/>
        <v>118</v>
      </c>
      <c r="AY56" s="819">
        <f t="shared" si="121"/>
        <v>94</v>
      </c>
      <c r="AZ56" s="753">
        <f t="shared" si="122"/>
        <v>-20.3</v>
      </c>
      <c r="BA56" s="779">
        <v>812</v>
      </c>
      <c r="BB56" s="819">
        <v>791</v>
      </c>
      <c r="BC56" s="753">
        <f t="shared" si="123"/>
        <v>-2.6</v>
      </c>
      <c r="BD56" s="779">
        <f t="shared" si="124"/>
        <v>129</v>
      </c>
      <c r="BE56" s="819">
        <f t="shared" si="124"/>
        <v>94</v>
      </c>
      <c r="BF56" s="753">
        <f t="shared" si="125"/>
        <v>-27.1</v>
      </c>
      <c r="BG56" s="779">
        <v>941</v>
      </c>
      <c r="BH56" s="819">
        <v>885</v>
      </c>
      <c r="BI56" s="753">
        <f t="shared" si="126"/>
        <v>-6</v>
      </c>
      <c r="BJ56" s="779">
        <f t="shared" si="127"/>
        <v>75</v>
      </c>
      <c r="BK56" s="819">
        <f t="shared" si="127"/>
        <v>104</v>
      </c>
      <c r="BL56" s="753">
        <f t="shared" si="128"/>
        <v>38.700000000000003</v>
      </c>
      <c r="BM56" s="779">
        <v>1016</v>
      </c>
      <c r="BN56" s="819">
        <v>989</v>
      </c>
      <c r="BO56" s="753">
        <f t="shared" si="129"/>
        <v>-2.7</v>
      </c>
      <c r="BP56" s="779">
        <f t="shared" si="130"/>
        <v>75</v>
      </c>
      <c r="BQ56" s="819">
        <f t="shared" si="130"/>
        <v>98</v>
      </c>
      <c r="BR56" s="753">
        <f t="shared" si="131"/>
        <v>30.7</v>
      </c>
      <c r="BS56" s="779">
        <v>1091</v>
      </c>
      <c r="BT56" s="819">
        <v>1087</v>
      </c>
      <c r="BU56" s="753">
        <f t="shared" si="132"/>
        <v>-0.4</v>
      </c>
    </row>
    <row r="57" spans="1:73">
      <c r="A57" s="4"/>
      <c r="B57" s="43" t="s">
        <v>59</v>
      </c>
      <c r="C57" s="44">
        <v>118</v>
      </c>
      <c r="D57" s="44">
        <v>237</v>
      </c>
      <c r="E57" s="44">
        <v>163</v>
      </c>
      <c r="F57" s="44">
        <v>80</v>
      </c>
      <c r="G57" s="44">
        <v>585</v>
      </c>
      <c r="H57" s="44">
        <v>194</v>
      </c>
      <c r="I57" s="44">
        <v>322</v>
      </c>
      <c r="J57" s="44">
        <v>426</v>
      </c>
      <c r="K57" s="283">
        <v>42</v>
      </c>
      <c r="L57" s="390">
        <v>139</v>
      </c>
      <c r="M57" s="242">
        <f t="shared" si="97"/>
        <v>231</v>
      </c>
      <c r="N57" s="283">
        <f t="shared" si="98"/>
        <v>0</v>
      </c>
      <c r="O57" s="390">
        <f t="shared" si="99"/>
        <v>79</v>
      </c>
      <c r="P57" s="523">
        <v>0</v>
      </c>
      <c r="Q57" s="283">
        <v>42</v>
      </c>
      <c r="R57" s="390">
        <v>218</v>
      </c>
      <c r="S57" s="242">
        <f t="shared" si="101"/>
        <v>419</v>
      </c>
      <c r="T57" s="283">
        <f t="shared" si="102"/>
        <v>0</v>
      </c>
      <c r="U57" s="390">
        <f t="shared" si="103"/>
        <v>104</v>
      </c>
      <c r="V57" s="523">
        <v>0</v>
      </c>
      <c r="W57" s="283">
        <v>42</v>
      </c>
      <c r="X57" s="390">
        <v>322</v>
      </c>
      <c r="Y57" s="242">
        <f t="shared" si="105"/>
        <v>666.7</v>
      </c>
      <c r="Z57" s="283">
        <f t="shared" si="106"/>
        <v>20</v>
      </c>
      <c r="AA57" s="390">
        <f t="shared" si="107"/>
        <v>119</v>
      </c>
      <c r="AB57" s="242">
        <f t="shared" si="108"/>
        <v>495</v>
      </c>
      <c r="AC57" s="283">
        <v>62</v>
      </c>
      <c r="AD57" s="390">
        <v>441</v>
      </c>
      <c r="AE57" s="242">
        <f t="shared" si="109"/>
        <v>611.29999999999995</v>
      </c>
      <c r="AF57" s="283">
        <f t="shared" si="110"/>
        <v>180</v>
      </c>
      <c r="AG57" s="390">
        <f t="shared" si="110"/>
        <v>81</v>
      </c>
      <c r="AH57" s="242">
        <f t="shared" si="111"/>
        <v>-55</v>
      </c>
      <c r="AI57" s="283">
        <v>242</v>
      </c>
      <c r="AJ57" s="390">
        <v>522</v>
      </c>
      <c r="AK57" s="242">
        <f t="shared" si="112"/>
        <v>115.7</v>
      </c>
      <c r="AL57" s="762">
        <f t="shared" si="113"/>
        <v>22</v>
      </c>
      <c r="AM57" s="769">
        <f t="shared" si="114"/>
        <v>23</v>
      </c>
      <c r="AN57" s="753">
        <f t="shared" si="115"/>
        <v>4.5</v>
      </c>
      <c r="AO57" s="779">
        <v>264</v>
      </c>
      <c r="AP57" s="819">
        <v>545</v>
      </c>
      <c r="AQ57" s="753">
        <f t="shared" si="116"/>
        <v>106.4</v>
      </c>
      <c r="AR57" s="779">
        <f t="shared" si="117"/>
        <v>0</v>
      </c>
      <c r="AS57" s="819">
        <f t="shared" si="117"/>
        <v>96</v>
      </c>
      <c r="AT57" s="799">
        <v>0</v>
      </c>
      <c r="AU57" s="975">
        <v>264</v>
      </c>
      <c r="AV57" s="970">
        <v>641</v>
      </c>
      <c r="AW57" s="753">
        <f t="shared" si="119"/>
        <v>142.80000000000001</v>
      </c>
      <c r="AX57" s="779">
        <f t="shared" si="120"/>
        <v>44</v>
      </c>
      <c r="AY57" s="819">
        <f t="shared" si="121"/>
        <v>64</v>
      </c>
      <c r="AZ57" s="753">
        <f>ROUND(((AY57/AX57-1)*100), 1)</f>
        <v>45.5</v>
      </c>
      <c r="BA57" s="779">
        <v>308</v>
      </c>
      <c r="BB57" s="819">
        <v>705</v>
      </c>
      <c r="BC57" s="753">
        <f t="shared" si="123"/>
        <v>128.9</v>
      </c>
      <c r="BD57" s="779">
        <f t="shared" si="124"/>
        <v>59</v>
      </c>
      <c r="BE57" s="819">
        <f t="shared" si="124"/>
        <v>91</v>
      </c>
      <c r="BF57" s="753">
        <f>ROUND(((BE57/BD57-1)*100), 1)</f>
        <v>54.2</v>
      </c>
      <c r="BG57" s="779">
        <v>367</v>
      </c>
      <c r="BH57" s="819">
        <v>796</v>
      </c>
      <c r="BI57" s="753">
        <f t="shared" si="126"/>
        <v>116.9</v>
      </c>
      <c r="BJ57" s="779">
        <f t="shared" si="127"/>
        <v>40</v>
      </c>
      <c r="BK57" s="819">
        <f t="shared" si="127"/>
        <v>20</v>
      </c>
      <c r="BL57" s="753">
        <f>ROUND(((BK57/BJ57-1)*100), 1)</f>
        <v>-50</v>
      </c>
      <c r="BM57" s="779">
        <v>407</v>
      </c>
      <c r="BN57" s="819">
        <v>816</v>
      </c>
      <c r="BO57" s="753">
        <f t="shared" si="129"/>
        <v>100.5</v>
      </c>
      <c r="BP57" s="779">
        <f t="shared" si="130"/>
        <v>0</v>
      </c>
      <c r="BQ57" s="819">
        <f t="shared" si="130"/>
        <v>0</v>
      </c>
      <c r="BR57" s="799">
        <v>0</v>
      </c>
      <c r="BS57" s="779">
        <v>407</v>
      </c>
      <c r="BT57" s="819">
        <v>816</v>
      </c>
      <c r="BU57" s="753">
        <f t="shared" si="132"/>
        <v>100.5</v>
      </c>
    </row>
    <row r="58" spans="1:73">
      <c r="A58" s="4"/>
      <c r="B58" s="43" t="s">
        <v>51</v>
      </c>
      <c r="C58" s="44">
        <v>397</v>
      </c>
      <c r="D58" s="44">
        <v>389</v>
      </c>
      <c r="E58" s="44">
        <v>1524</v>
      </c>
      <c r="F58" s="44">
        <v>1318</v>
      </c>
      <c r="G58" s="44">
        <v>827</v>
      </c>
      <c r="H58" s="44">
        <v>179</v>
      </c>
      <c r="I58" s="44">
        <v>216</v>
      </c>
      <c r="J58" s="44">
        <v>377</v>
      </c>
      <c r="K58" s="283">
        <v>8</v>
      </c>
      <c r="L58" s="390">
        <v>55</v>
      </c>
      <c r="M58" s="242">
        <f t="shared" si="97"/>
        <v>587.5</v>
      </c>
      <c r="N58" s="283">
        <f t="shared" si="98"/>
        <v>70</v>
      </c>
      <c r="O58" s="390">
        <f t="shared" si="99"/>
        <v>51</v>
      </c>
      <c r="P58" s="242">
        <f t="shared" si="100"/>
        <v>-27.1</v>
      </c>
      <c r="Q58" s="283">
        <v>78</v>
      </c>
      <c r="R58" s="390">
        <v>106</v>
      </c>
      <c r="S58" s="242">
        <f t="shared" si="101"/>
        <v>35.9</v>
      </c>
      <c r="T58" s="283">
        <f t="shared" si="102"/>
        <v>8</v>
      </c>
      <c r="U58" s="390">
        <f t="shared" si="103"/>
        <v>41</v>
      </c>
      <c r="V58" s="242">
        <f t="shared" si="104"/>
        <v>412.5</v>
      </c>
      <c r="W58" s="283">
        <v>86</v>
      </c>
      <c r="X58" s="390">
        <v>147</v>
      </c>
      <c r="Y58" s="242">
        <f t="shared" si="105"/>
        <v>70.900000000000006</v>
      </c>
      <c r="Z58" s="283">
        <f t="shared" si="106"/>
        <v>19</v>
      </c>
      <c r="AA58" s="390">
        <f t="shared" si="107"/>
        <v>73</v>
      </c>
      <c r="AB58" s="242">
        <f t="shared" ref="AB58:AB62" si="133">ROUND(((AA58/Z58-1)*100), 1)</f>
        <v>284.2</v>
      </c>
      <c r="AC58" s="283">
        <v>105</v>
      </c>
      <c r="AD58" s="390">
        <v>220</v>
      </c>
      <c r="AE58" s="242">
        <f t="shared" si="109"/>
        <v>109.5</v>
      </c>
      <c r="AF58" s="283">
        <f t="shared" si="110"/>
        <v>25</v>
      </c>
      <c r="AG58" s="390">
        <f t="shared" si="110"/>
        <v>1</v>
      </c>
      <c r="AH58" s="242">
        <f t="shared" si="111"/>
        <v>-96</v>
      </c>
      <c r="AI58" s="283">
        <v>130</v>
      </c>
      <c r="AJ58" s="390">
        <v>221</v>
      </c>
      <c r="AK58" s="242">
        <f t="shared" si="112"/>
        <v>70</v>
      </c>
      <c r="AL58" s="762">
        <f t="shared" si="113"/>
        <v>67</v>
      </c>
      <c r="AM58" s="769">
        <f t="shared" si="114"/>
        <v>14</v>
      </c>
      <c r="AN58" s="753">
        <f t="shared" si="115"/>
        <v>-79.099999999999994</v>
      </c>
      <c r="AO58" s="779">
        <v>197</v>
      </c>
      <c r="AP58" s="819">
        <v>235</v>
      </c>
      <c r="AQ58" s="753">
        <f t="shared" si="116"/>
        <v>19.3</v>
      </c>
      <c r="AR58" s="779">
        <f t="shared" si="117"/>
        <v>9</v>
      </c>
      <c r="AS58" s="819">
        <f t="shared" si="117"/>
        <v>11</v>
      </c>
      <c r="AT58" s="753">
        <f t="shared" si="118"/>
        <v>22.2</v>
      </c>
      <c r="AU58" s="975">
        <v>206</v>
      </c>
      <c r="AV58" s="970">
        <v>246</v>
      </c>
      <c r="AW58" s="753">
        <f t="shared" si="119"/>
        <v>19.399999999999999</v>
      </c>
      <c r="AX58" s="779">
        <f t="shared" si="120"/>
        <v>35</v>
      </c>
      <c r="AY58" s="819">
        <f t="shared" si="121"/>
        <v>6</v>
      </c>
      <c r="AZ58" s="753">
        <f t="shared" ref="AZ58:AZ59" si="134">ROUND(((AY58/AX58-1)*100), 1)</f>
        <v>-82.9</v>
      </c>
      <c r="BA58" s="779">
        <v>241</v>
      </c>
      <c r="BB58" s="819">
        <v>252</v>
      </c>
      <c r="BC58" s="753">
        <f t="shared" si="123"/>
        <v>4.5999999999999996</v>
      </c>
      <c r="BD58" s="779">
        <f t="shared" si="124"/>
        <v>6</v>
      </c>
      <c r="BE58" s="819">
        <f t="shared" si="124"/>
        <v>28</v>
      </c>
      <c r="BF58" s="753">
        <f t="shared" ref="BF58:BF59" si="135">ROUND(((BE58/BD58-1)*100), 1)</f>
        <v>366.7</v>
      </c>
      <c r="BG58" s="779">
        <v>247</v>
      </c>
      <c r="BH58" s="819">
        <v>280</v>
      </c>
      <c r="BI58" s="753">
        <f t="shared" si="126"/>
        <v>13.4</v>
      </c>
      <c r="BJ58" s="779">
        <f t="shared" si="127"/>
        <v>32</v>
      </c>
      <c r="BK58" s="819">
        <f t="shared" si="127"/>
        <v>144</v>
      </c>
      <c r="BL58" s="753">
        <f t="shared" ref="BL58:BL62" si="136">ROUND(((BK58/BJ58-1)*100), 1)</f>
        <v>350</v>
      </c>
      <c r="BM58" s="779">
        <v>279</v>
      </c>
      <c r="BN58" s="819">
        <v>424</v>
      </c>
      <c r="BO58" s="753">
        <f t="shared" si="129"/>
        <v>52</v>
      </c>
      <c r="BP58" s="779">
        <f t="shared" si="130"/>
        <v>89</v>
      </c>
      <c r="BQ58" s="819">
        <f t="shared" si="130"/>
        <v>9</v>
      </c>
      <c r="BR58" s="753">
        <f t="shared" si="131"/>
        <v>-89.9</v>
      </c>
      <c r="BS58" s="779">
        <v>368</v>
      </c>
      <c r="BT58" s="819">
        <v>433</v>
      </c>
      <c r="BU58" s="753">
        <f t="shared" si="132"/>
        <v>17.7</v>
      </c>
    </row>
    <row r="59" spans="1:73">
      <c r="A59" s="4"/>
      <c r="B59" s="43" t="s">
        <v>56</v>
      </c>
      <c r="C59" s="44">
        <v>346</v>
      </c>
      <c r="D59" s="44">
        <v>340</v>
      </c>
      <c r="E59" s="44">
        <v>405</v>
      </c>
      <c r="F59" s="44">
        <v>442</v>
      </c>
      <c r="G59" s="44">
        <v>308</v>
      </c>
      <c r="H59" s="44">
        <v>345</v>
      </c>
      <c r="I59" s="44">
        <v>501</v>
      </c>
      <c r="J59" s="44">
        <v>336</v>
      </c>
      <c r="K59" s="283">
        <v>34</v>
      </c>
      <c r="L59" s="390">
        <v>37</v>
      </c>
      <c r="M59" s="242">
        <f t="shared" si="97"/>
        <v>8.8000000000000007</v>
      </c>
      <c r="N59" s="283">
        <f t="shared" si="98"/>
        <v>29</v>
      </c>
      <c r="O59" s="390">
        <f t="shared" si="99"/>
        <v>46</v>
      </c>
      <c r="P59" s="242">
        <f t="shared" si="100"/>
        <v>58.6</v>
      </c>
      <c r="Q59" s="283">
        <v>63</v>
      </c>
      <c r="R59" s="390">
        <v>83</v>
      </c>
      <c r="S59" s="242">
        <f t="shared" si="101"/>
        <v>31.7</v>
      </c>
      <c r="T59" s="283">
        <f t="shared" si="102"/>
        <v>16</v>
      </c>
      <c r="U59" s="390">
        <f t="shared" si="103"/>
        <v>71</v>
      </c>
      <c r="V59" s="242">
        <f t="shared" si="104"/>
        <v>343.8</v>
      </c>
      <c r="W59" s="283">
        <v>79</v>
      </c>
      <c r="X59" s="390">
        <v>154</v>
      </c>
      <c r="Y59" s="242">
        <f t="shared" si="105"/>
        <v>94.9</v>
      </c>
      <c r="Z59" s="283">
        <f t="shared" si="106"/>
        <v>27</v>
      </c>
      <c r="AA59" s="390">
        <f t="shared" si="107"/>
        <v>31</v>
      </c>
      <c r="AB59" s="242">
        <f t="shared" si="133"/>
        <v>14.8</v>
      </c>
      <c r="AC59" s="283">
        <v>106</v>
      </c>
      <c r="AD59" s="390">
        <v>185</v>
      </c>
      <c r="AE59" s="242">
        <f t="shared" si="109"/>
        <v>74.5</v>
      </c>
      <c r="AF59" s="283">
        <f t="shared" si="110"/>
        <v>18</v>
      </c>
      <c r="AG59" s="390">
        <f t="shared" si="110"/>
        <v>4</v>
      </c>
      <c r="AH59" s="242">
        <f t="shared" si="111"/>
        <v>-77.8</v>
      </c>
      <c r="AI59" s="283">
        <v>124</v>
      </c>
      <c r="AJ59" s="390">
        <v>189</v>
      </c>
      <c r="AK59" s="242">
        <f t="shared" si="112"/>
        <v>52.4</v>
      </c>
      <c r="AL59" s="762">
        <f t="shared" si="113"/>
        <v>30</v>
      </c>
      <c r="AM59" s="769">
        <f t="shared" si="114"/>
        <v>43</v>
      </c>
      <c r="AN59" s="753">
        <f t="shared" si="115"/>
        <v>43.3</v>
      </c>
      <c r="AO59" s="779">
        <v>154</v>
      </c>
      <c r="AP59" s="819">
        <v>232</v>
      </c>
      <c r="AQ59" s="753">
        <f t="shared" si="116"/>
        <v>50.6</v>
      </c>
      <c r="AR59" s="779">
        <f t="shared" si="117"/>
        <v>26</v>
      </c>
      <c r="AS59" s="819">
        <f t="shared" si="117"/>
        <v>47</v>
      </c>
      <c r="AT59" s="753">
        <f t="shared" si="118"/>
        <v>80.8</v>
      </c>
      <c r="AU59" s="975">
        <v>180</v>
      </c>
      <c r="AV59" s="970">
        <v>279</v>
      </c>
      <c r="AW59" s="753">
        <f t="shared" si="119"/>
        <v>55</v>
      </c>
      <c r="AX59" s="779">
        <f t="shared" si="120"/>
        <v>36</v>
      </c>
      <c r="AY59" s="819">
        <f t="shared" si="121"/>
        <v>17</v>
      </c>
      <c r="AZ59" s="753">
        <f t="shared" si="134"/>
        <v>-52.8</v>
      </c>
      <c r="BA59" s="779">
        <v>216</v>
      </c>
      <c r="BB59" s="819">
        <v>296</v>
      </c>
      <c r="BC59" s="753">
        <f t="shared" si="123"/>
        <v>37</v>
      </c>
      <c r="BD59" s="779">
        <f t="shared" si="124"/>
        <v>27</v>
      </c>
      <c r="BE59" s="819">
        <f t="shared" si="124"/>
        <v>19</v>
      </c>
      <c r="BF59" s="753">
        <f t="shared" si="135"/>
        <v>-29.6</v>
      </c>
      <c r="BG59" s="779">
        <v>243</v>
      </c>
      <c r="BH59" s="819">
        <v>315</v>
      </c>
      <c r="BI59" s="753">
        <f t="shared" si="126"/>
        <v>29.6</v>
      </c>
      <c r="BJ59" s="779">
        <f t="shared" si="127"/>
        <v>25</v>
      </c>
      <c r="BK59" s="819">
        <f t="shared" si="127"/>
        <v>39</v>
      </c>
      <c r="BL59" s="753">
        <f t="shared" si="136"/>
        <v>56</v>
      </c>
      <c r="BM59" s="779">
        <v>268</v>
      </c>
      <c r="BN59" s="819">
        <v>354</v>
      </c>
      <c r="BO59" s="753">
        <f t="shared" si="129"/>
        <v>32.1</v>
      </c>
      <c r="BP59" s="779">
        <f t="shared" si="130"/>
        <v>24</v>
      </c>
      <c r="BQ59" s="819">
        <f t="shared" si="130"/>
        <v>33</v>
      </c>
      <c r="BR59" s="753">
        <f t="shared" si="131"/>
        <v>37.5</v>
      </c>
      <c r="BS59" s="779">
        <v>292</v>
      </c>
      <c r="BT59" s="819">
        <v>387</v>
      </c>
      <c r="BU59" s="753">
        <f t="shared" si="132"/>
        <v>32.5</v>
      </c>
    </row>
    <row r="60" spans="1:73">
      <c r="A60" s="4"/>
      <c r="B60" s="43" t="s">
        <v>112</v>
      </c>
      <c r="C60" s="44">
        <v>0</v>
      </c>
      <c r="D60" s="44">
        <v>1</v>
      </c>
      <c r="E60" s="44">
        <v>1</v>
      </c>
      <c r="F60" s="44">
        <v>84</v>
      </c>
      <c r="G60" s="44">
        <v>81</v>
      </c>
      <c r="H60" s="44">
        <v>319</v>
      </c>
      <c r="I60" s="44">
        <v>495</v>
      </c>
      <c r="J60" s="44">
        <v>333</v>
      </c>
      <c r="K60" s="283">
        <v>38</v>
      </c>
      <c r="L60" s="390">
        <v>0</v>
      </c>
      <c r="M60" s="242">
        <f t="shared" si="97"/>
        <v>-100</v>
      </c>
      <c r="N60" s="283">
        <f t="shared" si="98"/>
        <v>58</v>
      </c>
      <c r="O60" s="390">
        <f t="shared" si="99"/>
        <v>0</v>
      </c>
      <c r="P60" s="242">
        <f t="shared" si="100"/>
        <v>-100</v>
      </c>
      <c r="Q60" s="283">
        <v>96</v>
      </c>
      <c r="R60" s="390">
        <v>0</v>
      </c>
      <c r="S60" s="242">
        <f t="shared" si="101"/>
        <v>-100</v>
      </c>
      <c r="T60" s="283">
        <f t="shared" si="102"/>
        <v>38</v>
      </c>
      <c r="U60" s="390">
        <f t="shared" si="103"/>
        <v>0</v>
      </c>
      <c r="V60" s="242">
        <f t="shared" si="104"/>
        <v>-100</v>
      </c>
      <c r="W60" s="283">
        <v>134</v>
      </c>
      <c r="X60" s="390">
        <v>0</v>
      </c>
      <c r="Y60" s="242">
        <f t="shared" si="105"/>
        <v>-100</v>
      </c>
      <c r="Z60" s="283">
        <f t="shared" si="106"/>
        <v>58</v>
      </c>
      <c r="AA60" s="390">
        <f t="shared" si="107"/>
        <v>1</v>
      </c>
      <c r="AB60" s="242">
        <f t="shared" si="133"/>
        <v>-98.3</v>
      </c>
      <c r="AC60" s="283">
        <v>192</v>
      </c>
      <c r="AD60" s="390">
        <v>1</v>
      </c>
      <c r="AE60" s="242">
        <f t="shared" si="109"/>
        <v>-99.5</v>
      </c>
      <c r="AF60" s="283">
        <f t="shared" si="110"/>
        <v>79</v>
      </c>
      <c r="AG60" s="390">
        <f t="shared" si="110"/>
        <v>0</v>
      </c>
      <c r="AH60" s="242">
        <f t="shared" si="111"/>
        <v>-100</v>
      </c>
      <c r="AI60" s="283">
        <v>271</v>
      </c>
      <c r="AJ60" s="390">
        <v>1</v>
      </c>
      <c r="AK60" s="242">
        <f t="shared" si="112"/>
        <v>-99.6</v>
      </c>
      <c r="AL60" s="762">
        <f t="shared" si="113"/>
        <v>0</v>
      </c>
      <c r="AM60" s="769">
        <f t="shared" si="114"/>
        <v>0</v>
      </c>
      <c r="AN60" s="799">
        <v>0</v>
      </c>
      <c r="AO60" s="779">
        <v>271</v>
      </c>
      <c r="AP60" s="819">
        <v>1</v>
      </c>
      <c r="AQ60" s="753">
        <f t="shared" si="116"/>
        <v>-99.6</v>
      </c>
      <c r="AR60" s="779">
        <f t="shared" si="117"/>
        <v>0</v>
      </c>
      <c r="AS60" s="819">
        <f t="shared" si="117"/>
        <v>0</v>
      </c>
      <c r="AT60" s="799">
        <v>0</v>
      </c>
      <c r="AU60" s="975">
        <v>271</v>
      </c>
      <c r="AV60" s="970">
        <v>1</v>
      </c>
      <c r="AW60" s="753">
        <f t="shared" si="119"/>
        <v>-99.6</v>
      </c>
      <c r="AX60" s="779">
        <f t="shared" si="120"/>
        <v>21</v>
      </c>
      <c r="AY60" s="819">
        <f t="shared" si="121"/>
        <v>0</v>
      </c>
      <c r="AZ60" s="753">
        <f>ROUND(((AY60/AX60-1)*100), 1)</f>
        <v>-100</v>
      </c>
      <c r="BA60" s="779">
        <v>292</v>
      </c>
      <c r="BB60" s="819">
        <v>1</v>
      </c>
      <c r="BC60" s="753">
        <f t="shared" si="123"/>
        <v>-99.7</v>
      </c>
      <c r="BD60" s="779">
        <f t="shared" si="124"/>
        <v>0</v>
      </c>
      <c r="BE60" s="819">
        <f t="shared" si="124"/>
        <v>0</v>
      </c>
      <c r="BF60" s="751">
        <v>0</v>
      </c>
      <c r="BG60" s="779">
        <v>292</v>
      </c>
      <c r="BH60" s="819">
        <v>1</v>
      </c>
      <c r="BI60" s="753">
        <f t="shared" si="126"/>
        <v>-99.7</v>
      </c>
      <c r="BJ60" s="779">
        <f t="shared" si="127"/>
        <v>20</v>
      </c>
      <c r="BK60" s="819">
        <f t="shared" si="127"/>
        <v>0</v>
      </c>
      <c r="BL60" s="753">
        <f t="shared" si="136"/>
        <v>-100</v>
      </c>
      <c r="BM60" s="779">
        <v>312</v>
      </c>
      <c r="BN60" s="819">
        <v>1</v>
      </c>
      <c r="BO60" s="753">
        <f t="shared" si="129"/>
        <v>-99.7</v>
      </c>
      <c r="BP60" s="779">
        <f t="shared" si="130"/>
        <v>21</v>
      </c>
      <c r="BQ60" s="819">
        <f t="shared" si="130"/>
        <v>0</v>
      </c>
      <c r="BR60" s="753">
        <f t="shared" si="131"/>
        <v>-100</v>
      </c>
      <c r="BS60" s="779">
        <v>333</v>
      </c>
      <c r="BT60" s="819">
        <v>1</v>
      </c>
      <c r="BU60" s="753">
        <f t="shared" si="132"/>
        <v>-99.7</v>
      </c>
    </row>
    <row r="61" spans="1:73">
      <c r="A61" s="4"/>
      <c r="B61" s="43" t="s">
        <v>243</v>
      </c>
      <c r="C61" s="44">
        <v>1</v>
      </c>
      <c r="D61" s="44">
        <v>0</v>
      </c>
      <c r="E61" s="44">
        <v>0</v>
      </c>
      <c r="F61" s="44">
        <v>0</v>
      </c>
      <c r="G61" s="44">
        <v>238</v>
      </c>
      <c r="H61" s="44">
        <v>176</v>
      </c>
      <c r="I61" s="44">
        <v>294</v>
      </c>
      <c r="J61" s="44">
        <v>80</v>
      </c>
      <c r="K61" s="283">
        <v>20</v>
      </c>
      <c r="L61" s="390">
        <v>0</v>
      </c>
      <c r="M61" s="242">
        <f t="shared" si="97"/>
        <v>-100</v>
      </c>
      <c r="N61" s="283">
        <f t="shared" si="98"/>
        <v>0</v>
      </c>
      <c r="O61" s="390">
        <f t="shared" si="99"/>
        <v>20</v>
      </c>
      <c r="P61" s="523">
        <v>0</v>
      </c>
      <c r="Q61" s="283">
        <v>20</v>
      </c>
      <c r="R61" s="390">
        <v>20</v>
      </c>
      <c r="S61" s="242">
        <f t="shared" si="101"/>
        <v>0</v>
      </c>
      <c r="T61" s="283">
        <f t="shared" si="102"/>
        <v>20</v>
      </c>
      <c r="U61" s="390">
        <f t="shared" si="103"/>
        <v>0</v>
      </c>
      <c r="V61" s="242">
        <f t="shared" si="104"/>
        <v>-100</v>
      </c>
      <c r="W61" s="283">
        <v>40</v>
      </c>
      <c r="X61" s="390">
        <v>20</v>
      </c>
      <c r="Y61" s="242">
        <f t="shared" si="105"/>
        <v>-50</v>
      </c>
      <c r="Z61" s="283">
        <f t="shared" si="106"/>
        <v>0</v>
      </c>
      <c r="AA61" s="390">
        <f t="shared" si="107"/>
        <v>0</v>
      </c>
      <c r="AB61" s="521">
        <v>0</v>
      </c>
      <c r="AC61" s="283">
        <v>40</v>
      </c>
      <c r="AD61" s="390">
        <v>20</v>
      </c>
      <c r="AE61" s="242">
        <f t="shared" si="109"/>
        <v>-50</v>
      </c>
      <c r="AF61" s="283">
        <f t="shared" si="110"/>
        <v>0</v>
      </c>
      <c r="AG61" s="390">
        <f t="shared" si="110"/>
        <v>20</v>
      </c>
      <c r="AH61" s="521">
        <v>0</v>
      </c>
      <c r="AI61" s="283">
        <v>40</v>
      </c>
      <c r="AJ61" s="390">
        <v>40</v>
      </c>
      <c r="AK61" s="242">
        <f t="shared" si="112"/>
        <v>0</v>
      </c>
      <c r="AL61" s="762">
        <f t="shared" si="113"/>
        <v>0</v>
      </c>
      <c r="AM61" s="769">
        <f t="shared" si="114"/>
        <v>0</v>
      </c>
      <c r="AN61" s="799">
        <v>0</v>
      </c>
      <c r="AO61" s="779">
        <v>40</v>
      </c>
      <c r="AP61" s="819">
        <v>40</v>
      </c>
      <c r="AQ61" s="753">
        <f t="shared" si="116"/>
        <v>0</v>
      </c>
      <c r="AR61" s="779">
        <f t="shared" si="117"/>
        <v>20</v>
      </c>
      <c r="AS61" s="819">
        <f t="shared" si="117"/>
        <v>0</v>
      </c>
      <c r="AT61" s="753">
        <f t="shared" ref="AT61:AT62" si="137">ROUND(((AS61/AR61-1)*100), 1)</f>
        <v>-100</v>
      </c>
      <c r="AU61" s="975">
        <v>60</v>
      </c>
      <c r="AV61" s="970">
        <v>40</v>
      </c>
      <c r="AW61" s="753">
        <f t="shared" si="119"/>
        <v>-33.299999999999997</v>
      </c>
      <c r="AX61" s="779">
        <f t="shared" si="120"/>
        <v>0</v>
      </c>
      <c r="AY61" s="819">
        <f t="shared" si="121"/>
        <v>0</v>
      </c>
      <c r="AZ61" s="799">
        <v>0</v>
      </c>
      <c r="BA61" s="779">
        <v>60</v>
      </c>
      <c r="BB61" s="819">
        <v>40</v>
      </c>
      <c r="BC61" s="753">
        <f t="shared" si="123"/>
        <v>-33.299999999999997</v>
      </c>
      <c r="BD61" s="779">
        <f t="shared" si="124"/>
        <v>0</v>
      </c>
      <c r="BE61" s="819">
        <f t="shared" si="124"/>
        <v>0</v>
      </c>
      <c r="BF61" s="799">
        <v>0</v>
      </c>
      <c r="BG61" s="779">
        <v>60</v>
      </c>
      <c r="BH61" s="819">
        <v>40</v>
      </c>
      <c r="BI61" s="753">
        <f t="shared" si="126"/>
        <v>-33.299999999999997</v>
      </c>
      <c r="BJ61" s="779">
        <f t="shared" si="127"/>
        <v>20</v>
      </c>
      <c r="BK61" s="819">
        <f t="shared" si="127"/>
        <v>0</v>
      </c>
      <c r="BL61" s="753">
        <f t="shared" si="136"/>
        <v>-100</v>
      </c>
      <c r="BM61" s="779">
        <v>80</v>
      </c>
      <c r="BN61" s="819">
        <v>40</v>
      </c>
      <c r="BO61" s="753">
        <f t="shared" si="129"/>
        <v>-50</v>
      </c>
      <c r="BP61" s="779">
        <f t="shared" si="130"/>
        <v>0</v>
      </c>
      <c r="BQ61" s="819">
        <f t="shared" si="130"/>
        <v>0</v>
      </c>
      <c r="BR61" s="799">
        <v>0</v>
      </c>
      <c r="BS61" s="779">
        <v>80</v>
      </c>
      <c r="BT61" s="819">
        <v>40</v>
      </c>
      <c r="BU61" s="753">
        <f t="shared" si="132"/>
        <v>-50</v>
      </c>
    </row>
    <row r="62" spans="1:73">
      <c r="A62" s="4"/>
      <c r="B62" s="43" t="s">
        <v>52</v>
      </c>
      <c r="C62" s="44">
        <v>84</v>
      </c>
      <c r="D62" s="44">
        <v>25</v>
      </c>
      <c r="E62" s="44">
        <v>20</v>
      </c>
      <c r="F62" s="44">
        <v>115</v>
      </c>
      <c r="G62" s="44">
        <v>248</v>
      </c>
      <c r="H62" s="44">
        <v>1065</v>
      </c>
      <c r="I62" s="44">
        <v>376</v>
      </c>
      <c r="J62" s="44">
        <v>64</v>
      </c>
      <c r="K62" s="283">
        <v>61</v>
      </c>
      <c r="L62" s="390">
        <v>0</v>
      </c>
      <c r="M62" s="242">
        <f t="shared" si="97"/>
        <v>-100</v>
      </c>
      <c r="N62" s="283">
        <f t="shared" si="98"/>
        <v>0</v>
      </c>
      <c r="O62" s="390">
        <f t="shared" si="99"/>
        <v>19</v>
      </c>
      <c r="P62" s="523">
        <v>0</v>
      </c>
      <c r="Q62" s="283">
        <v>61</v>
      </c>
      <c r="R62" s="390">
        <v>19</v>
      </c>
      <c r="S62" s="242">
        <f t="shared" si="101"/>
        <v>-68.900000000000006</v>
      </c>
      <c r="T62" s="283">
        <f t="shared" si="102"/>
        <v>0</v>
      </c>
      <c r="U62" s="390">
        <f t="shared" si="103"/>
        <v>1</v>
      </c>
      <c r="V62" s="523">
        <v>0</v>
      </c>
      <c r="W62" s="283">
        <v>61</v>
      </c>
      <c r="X62" s="390">
        <v>20</v>
      </c>
      <c r="Y62" s="242">
        <f t="shared" si="105"/>
        <v>-67.2</v>
      </c>
      <c r="Z62" s="283">
        <f t="shared" si="106"/>
        <v>1</v>
      </c>
      <c r="AA62" s="390">
        <f t="shared" si="107"/>
        <v>0</v>
      </c>
      <c r="AB62" s="242">
        <f t="shared" si="133"/>
        <v>-100</v>
      </c>
      <c r="AC62" s="283">
        <v>62</v>
      </c>
      <c r="AD62" s="390">
        <v>20</v>
      </c>
      <c r="AE62" s="242">
        <f t="shared" si="109"/>
        <v>-67.7</v>
      </c>
      <c r="AF62" s="283">
        <f t="shared" si="110"/>
        <v>0</v>
      </c>
      <c r="AG62" s="390">
        <f t="shared" si="110"/>
        <v>0</v>
      </c>
      <c r="AH62" s="521">
        <v>0</v>
      </c>
      <c r="AI62" s="283">
        <v>62</v>
      </c>
      <c r="AJ62" s="390">
        <v>20</v>
      </c>
      <c r="AK62" s="242">
        <f t="shared" si="112"/>
        <v>-67.7</v>
      </c>
      <c r="AL62" s="762">
        <f t="shared" si="113"/>
        <v>0</v>
      </c>
      <c r="AM62" s="769">
        <f t="shared" si="114"/>
        <v>0</v>
      </c>
      <c r="AN62" s="799">
        <v>0</v>
      </c>
      <c r="AO62" s="779">
        <v>62</v>
      </c>
      <c r="AP62" s="819">
        <v>20</v>
      </c>
      <c r="AQ62" s="753">
        <f t="shared" si="116"/>
        <v>-67.7</v>
      </c>
      <c r="AR62" s="779">
        <f t="shared" si="117"/>
        <v>1</v>
      </c>
      <c r="AS62" s="819">
        <f t="shared" si="117"/>
        <v>0</v>
      </c>
      <c r="AT62" s="753">
        <f t="shared" si="137"/>
        <v>-100</v>
      </c>
      <c r="AU62" s="975">
        <v>63</v>
      </c>
      <c r="AV62" s="970">
        <v>20</v>
      </c>
      <c r="AW62" s="753">
        <f t="shared" si="119"/>
        <v>-68.3</v>
      </c>
      <c r="AX62" s="779">
        <f t="shared" si="120"/>
        <v>0</v>
      </c>
      <c r="AY62" s="819">
        <f t="shared" si="121"/>
        <v>19</v>
      </c>
      <c r="AZ62" s="799">
        <v>0</v>
      </c>
      <c r="BA62" s="779">
        <v>63</v>
      </c>
      <c r="BB62" s="819">
        <v>39</v>
      </c>
      <c r="BC62" s="753">
        <f t="shared" si="123"/>
        <v>-38.1</v>
      </c>
      <c r="BD62" s="779">
        <f t="shared" si="124"/>
        <v>0</v>
      </c>
      <c r="BE62" s="819">
        <f t="shared" si="124"/>
        <v>0</v>
      </c>
      <c r="BF62" s="799">
        <v>0</v>
      </c>
      <c r="BG62" s="779">
        <v>63</v>
      </c>
      <c r="BH62" s="819">
        <v>39</v>
      </c>
      <c r="BI62" s="753">
        <f t="shared" si="126"/>
        <v>-38.1</v>
      </c>
      <c r="BJ62" s="779">
        <f t="shared" si="127"/>
        <v>1</v>
      </c>
      <c r="BK62" s="819">
        <f t="shared" si="127"/>
        <v>37</v>
      </c>
      <c r="BL62" s="753">
        <f t="shared" si="136"/>
        <v>3600</v>
      </c>
      <c r="BM62" s="779">
        <v>64</v>
      </c>
      <c r="BN62" s="819">
        <v>76</v>
      </c>
      <c r="BO62" s="753">
        <f t="shared" si="129"/>
        <v>18.8</v>
      </c>
      <c r="BP62" s="779">
        <f t="shared" si="130"/>
        <v>0</v>
      </c>
      <c r="BQ62" s="819">
        <f t="shared" si="130"/>
        <v>38</v>
      </c>
      <c r="BR62" s="799">
        <v>0</v>
      </c>
      <c r="BS62" s="779">
        <v>64</v>
      </c>
      <c r="BT62" s="819">
        <v>114</v>
      </c>
      <c r="BU62" s="753">
        <f t="shared" si="132"/>
        <v>78.099999999999994</v>
      </c>
    </row>
    <row r="63" spans="1:73">
      <c r="A63" s="4"/>
      <c r="B63" s="43" t="s">
        <v>54</v>
      </c>
      <c r="C63" s="44">
        <v>36</v>
      </c>
      <c r="D63" s="44">
        <v>82</v>
      </c>
      <c r="E63" s="44">
        <v>88</v>
      </c>
      <c r="F63" s="44">
        <v>73</v>
      </c>
      <c r="G63" s="44">
        <v>81</v>
      </c>
      <c r="H63" s="44">
        <v>58</v>
      </c>
      <c r="I63" s="44">
        <v>71</v>
      </c>
      <c r="J63" s="44">
        <v>59</v>
      </c>
      <c r="K63" s="283">
        <v>5</v>
      </c>
      <c r="L63" s="390">
        <v>6</v>
      </c>
      <c r="M63" s="242">
        <f t="shared" si="97"/>
        <v>20</v>
      </c>
      <c r="N63" s="283">
        <f t="shared" si="98"/>
        <v>5</v>
      </c>
      <c r="O63" s="390">
        <f t="shared" si="99"/>
        <v>3</v>
      </c>
      <c r="P63" s="242">
        <f t="shared" si="100"/>
        <v>-40</v>
      </c>
      <c r="Q63" s="283">
        <v>10</v>
      </c>
      <c r="R63" s="390">
        <v>9</v>
      </c>
      <c r="S63" s="242">
        <f t="shared" si="101"/>
        <v>-10</v>
      </c>
      <c r="T63" s="283">
        <f t="shared" si="102"/>
        <v>4</v>
      </c>
      <c r="U63" s="390">
        <f t="shared" si="103"/>
        <v>8</v>
      </c>
      <c r="V63" s="242">
        <f t="shared" si="104"/>
        <v>100</v>
      </c>
      <c r="W63" s="283">
        <v>14</v>
      </c>
      <c r="X63" s="390">
        <v>17</v>
      </c>
      <c r="Y63" s="242">
        <f t="shared" si="105"/>
        <v>21.4</v>
      </c>
      <c r="Z63" s="283">
        <f t="shared" si="106"/>
        <v>2</v>
      </c>
      <c r="AA63" s="390">
        <f t="shared" si="107"/>
        <v>16</v>
      </c>
      <c r="AB63" s="242">
        <f t="shared" ref="AB63:AB64" si="138">ROUND(((AA63/Z63-1)*100), 1)</f>
        <v>700</v>
      </c>
      <c r="AC63" s="283">
        <v>16</v>
      </c>
      <c r="AD63" s="390">
        <v>33</v>
      </c>
      <c r="AE63" s="242">
        <f t="shared" si="109"/>
        <v>106.3</v>
      </c>
      <c r="AF63" s="283">
        <f t="shared" si="110"/>
        <v>2</v>
      </c>
      <c r="AG63" s="390">
        <f t="shared" si="110"/>
        <v>21</v>
      </c>
      <c r="AH63" s="242">
        <f t="shared" si="111"/>
        <v>950</v>
      </c>
      <c r="AI63" s="283">
        <v>18</v>
      </c>
      <c r="AJ63" s="390">
        <v>54</v>
      </c>
      <c r="AK63" s="242">
        <f t="shared" si="112"/>
        <v>200</v>
      </c>
      <c r="AL63" s="762">
        <f t="shared" si="113"/>
        <v>4</v>
      </c>
      <c r="AM63" s="769">
        <f t="shared" si="114"/>
        <v>16</v>
      </c>
      <c r="AN63" s="753">
        <f t="shared" ref="AN63:AN65" si="139">ROUND(((AM63/AL63-1)*100), 1)</f>
        <v>300</v>
      </c>
      <c r="AO63" s="779">
        <v>22</v>
      </c>
      <c r="AP63" s="819">
        <v>70</v>
      </c>
      <c r="AQ63" s="753">
        <f t="shared" si="116"/>
        <v>218.2</v>
      </c>
      <c r="AR63" s="779">
        <f t="shared" si="117"/>
        <v>6</v>
      </c>
      <c r="AS63" s="819">
        <f t="shared" si="117"/>
        <v>8</v>
      </c>
      <c r="AT63" s="753">
        <f>ROUND(((AS63/AR63-1)*100), 1)</f>
        <v>33.299999999999997</v>
      </c>
      <c r="AU63" s="975">
        <v>28</v>
      </c>
      <c r="AV63" s="970">
        <v>78</v>
      </c>
      <c r="AW63" s="753">
        <f t="shared" si="119"/>
        <v>178.6</v>
      </c>
      <c r="AX63" s="779">
        <f t="shared" si="120"/>
        <v>6</v>
      </c>
      <c r="AY63" s="819">
        <f t="shared" si="121"/>
        <v>2</v>
      </c>
      <c r="AZ63" s="753">
        <f>ROUND(((AY63/AX63-1)*100), 1)</f>
        <v>-66.7</v>
      </c>
      <c r="BA63" s="779">
        <v>34</v>
      </c>
      <c r="BB63" s="819">
        <v>80</v>
      </c>
      <c r="BC63" s="753">
        <f t="shared" si="123"/>
        <v>135.30000000000001</v>
      </c>
      <c r="BD63" s="779">
        <f t="shared" si="124"/>
        <v>6</v>
      </c>
      <c r="BE63" s="819">
        <f t="shared" si="124"/>
        <v>2</v>
      </c>
      <c r="BF63" s="753">
        <f>ROUND(((BE63/BD63-1)*100), 1)</f>
        <v>-66.7</v>
      </c>
      <c r="BG63" s="779">
        <v>40</v>
      </c>
      <c r="BH63" s="819">
        <v>82</v>
      </c>
      <c r="BI63" s="753">
        <f t="shared" si="126"/>
        <v>105</v>
      </c>
      <c r="BJ63" s="779">
        <f t="shared" si="127"/>
        <v>5</v>
      </c>
      <c r="BK63" s="819">
        <f t="shared" si="127"/>
        <v>4</v>
      </c>
      <c r="BL63" s="753">
        <f>ROUND(((BK63/BJ63-1)*100), 1)</f>
        <v>-20</v>
      </c>
      <c r="BM63" s="779">
        <v>45</v>
      </c>
      <c r="BN63" s="819">
        <v>86</v>
      </c>
      <c r="BO63" s="753">
        <f t="shared" si="129"/>
        <v>91.1</v>
      </c>
      <c r="BP63" s="779">
        <f t="shared" si="130"/>
        <v>5</v>
      </c>
      <c r="BQ63" s="819">
        <f t="shared" si="130"/>
        <v>6</v>
      </c>
      <c r="BR63" s="753">
        <f t="shared" si="131"/>
        <v>20</v>
      </c>
      <c r="BS63" s="779">
        <v>50</v>
      </c>
      <c r="BT63" s="819">
        <v>92</v>
      </c>
      <c r="BU63" s="753">
        <f t="shared" si="132"/>
        <v>84</v>
      </c>
    </row>
    <row r="64" spans="1:73">
      <c r="A64" s="4"/>
      <c r="B64" s="43" t="s">
        <v>100</v>
      </c>
      <c r="C64" s="44">
        <v>6</v>
      </c>
      <c r="D64" s="44">
        <v>36</v>
      </c>
      <c r="E64" s="44">
        <v>28</v>
      </c>
      <c r="F64" s="44">
        <v>55</v>
      </c>
      <c r="G64" s="44">
        <v>46</v>
      </c>
      <c r="H64" s="44">
        <v>37</v>
      </c>
      <c r="I64" s="44">
        <v>34</v>
      </c>
      <c r="J64" s="44">
        <v>24</v>
      </c>
      <c r="K64" s="283">
        <v>2</v>
      </c>
      <c r="L64" s="390">
        <v>0</v>
      </c>
      <c r="M64" s="242">
        <f t="shared" si="97"/>
        <v>-100</v>
      </c>
      <c r="N64" s="283">
        <f t="shared" si="98"/>
        <v>3</v>
      </c>
      <c r="O64" s="390">
        <f t="shared" si="99"/>
        <v>6</v>
      </c>
      <c r="P64" s="242">
        <f t="shared" si="100"/>
        <v>100</v>
      </c>
      <c r="Q64" s="283">
        <v>5</v>
      </c>
      <c r="R64" s="390">
        <v>6</v>
      </c>
      <c r="S64" s="242">
        <f t="shared" si="101"/>
        <v>20</v>
      </c>
      <c r="T64" s="283">
        <f t="shared" si="102"/>
        <v>0</v>
      </c>
      <c r="U64" s="390">
        <f t="shared" si="103"/>
        <v>9</v>
      </c>
      <c r="V64" s="523">
        <v>0</v>
      </c>
      <c r="W64" s="283">
        <v>5</v>
      </c>
      <c r="X64" s="390">
        <v>15</v>
      </c>
      <c r="Y64" s="242">
        <f t="shared" si="105"/>
        <v>200</v>
      </c>
      <c r="Z64" s="283">
        <f t="shared" si="106"/>
        <v>5</v>
      </c>
      <c r="AA64" s="390">
        <f t="shared" si="107"/>
        <v>6</v>
      </c>
      <c r="AB64" s="242">
        <f t="shared" si="138"/>
        <v>20</v>
      </c>
      <c r="AC64" s="283">
        <v>10</v>
      </c>
      <c r="AD64" s="390">
        <v>21</v>
      </c>
      <c r="AE64" s="242">
        <f t="shared" si="109"/>
        <v>110</v>
      </c>
      <c r="AF64" s="283">
        <f t="shared" si="110"/>
        <v>4</v>
      </c>
      <c r="AG64" s="390">
        <f t="shared" si="110"/>
        <v>5</v>
      </c>
      <c r="AH64" s="242">
        <f t="shared" si="111"/>
        <v>25</v>
      </c>
      <c r="AI64" s="283">
        <v>14</v>
      </c>
      <c r="AJ64" s="390">
        <v>26</v>
      </c>
      <c r="AK64" s="242">
        <f t="shared" si="112"/>
        <v>85.7</v>
      </c>
      <c r="AL64" s="762">
        <f t="shared" si="113"/>
        <v>1</v>
      </c>
      <c r="AM64" s="769">
        <f t="shared" si="114"/>
        <v>2</v>
      </c>
      <c r="AN64" s="753">
        <f t="shared" si="139"/>
        <v>100</v>
      </c>
      <c r="AO64" s="779">
        <v>15</v>
      </c>
      <c r="AP64" s="819">
        <v>28</v>
      </c>
      <c r="AQ64" s="753">
        <f t="shared" si="116"/>
        <v>86.7</v>
      </c>
      <c r="AR64" s="779">
        <f t="shared" si="117"/>
        <v>0</v>
      </c>
      <c r="AS64" s="819">
        <f t="shared" si="117"/>
        <v>1</v>
      </c>
      <c r="AT64" s="799">
        <v>0</v>
      </c>
      <c r="AU64" s="975">
        <v>15</v>
      </c>
      <c r="AV64" s="970">
        <v>29</v>
      </c>
      <c r="AW64" s="753">
        <f t="shared" si="119"/>
        <v>93.3</v>
      </c>
      <c r="AX64" s="779">
        <f t="shared" si="120"/>
        <v>2</v>
      </c>
      <c r="AY64" s="819">
        <f t="shared" si="121"/>
        <v>0</v>
      </c>
      <c r="AZ64" s="753">
        <f>ROUND(((AY64/AX64-1)*100), 1)</f>
        <v>-100</v>
      </c>
      <c r="BA64" s="779">
        <v>17</v>
      </c>
      <c r="BB64" s="819">
        <v>29</v>
      </c>
      <c r="BC64" s="753">
        <f t="shared" si="123"/>
        <v>70.599999999999994</v>
      </c>
      <c r="BD64" s="779">
        <f t="shared" si="124"/>
        <v>1</v>
      </c>
      <c r="BE64" s="819">
        <f t="shared" si="124"/>
        <v>3</v>
      </c>
      <c r="BF64" s="753">
        <f>ROUND(((BE64/BD64-1)*100), 1)</f>
        <v>200</v>
      </c>
      <c r="BG64" s="779">
        <v>18</v>
      </c>
      <c r="BH64" s="819">
        <v>32</v>
      </c>
      <c r="BI64" s="753">
        <f t="shared" si="126"/>
        <v>77.8</v>
      </c>
      <c r="BJ64" s="779">
        <f t="shared" si="127"/>
        <v>4</v>
      </c>
      <c r="BK64" s="819">
        <f t="shared" si="127"/>
        <v>1</v>
      </c>
      <c r="BL64" s="753">
        <f>ROUND(((BK64/BJ64-1)*100), 1)</f>
        <v>-75</v>
      </c>
      <c r="BM64" s="779">
        <v>22</v>
      </c>
      <c r="BN64" s="819">
        <v>33</v>
      </c>
      <c r="BO64" s="753">
        <f t="shared" si="129"/>
        <v>50</v>
      </c>
      <c r="BP64" s="779">
        <f t="shared" si="130"/>
        <v>0</v>
      </c>
      <c r="BQ64" s="819">
        <f t="shared" si="130"/>
        <v>3</v>
      </c>
      <c r="BR64" s="799">
        <v>0</v>
      </c>
      <c r="BS64" s="779">
        <v>22</v>
      </c>
      <c r="BT64" s="819">
        <v>36</v>
      </c>
      <c r="BU64" s="753">
        <f t="shared" si="132"/>
        <v>63.6</v>
      </c>
    </row>
    <row r="65" spans="1:73">
      <c r="A65" s="4"/>
      <c r="B65" s="43" t="s">
        <v>116</v>
      </c>
      <c r="C65" s="44">
        <v>571</v>
      </c>
      <c r="D65" s="44">
        <v>58</v>
      </c>
      <c r="E65" s="44">
        <v>268</v>
      </c>
      <c r="F65" s="44">
        <v>107</v>
      </c>
      <c r="G65" s="44">
        <v>29</v>
      </c>
      <c r="H65" s="44">
        <v>20</v>
      </c>
      <c r="I65" s="44">
        <v>13</v>
      </c>
      <c r="J65" s="44">
        <v>13</v>
      </c>
      <c r="K65" s="283">
        <v>2</v>
      </c>
      <c r="L65" s="390">
        <v>3</v>
      </c>
      <c r="M65" s="242">
        <f t="shared" si="97"/>
        <v>50</v>
      </c>
      <c r="N65" s="283">
        <f t="shared" si="98"/>
        <v>0</v>
      </c>
      <c r="O65" s="390">
        <f t="shared" si="99"/>
        <v>0</v>
      </c>
      <c r="P65" s="523">
        <v>0</v>
      </c>
      <c r="Q65" s="283">
        <v>2</v>
      </c>
      <c r="R65" s="390">
        <v>3</v>
      </c>
      <c r="S65" s="242">
        <f t="shared" si="101"/>
        <v>50</v>
      </c>
      <c r="T65" s="283">
        <f t="shared" si="102"/>
        <v>0</v>
      </c>
      <c r="U65" s="390">
        <f t="shared" si="103"/>
        <v>1</v>
      </c>
      <c r="V65" s="523">
        <v>0</v>
      </c>
      <c r="W65" s="283">
        <v>2</v>
      </c>
      <c r="X65" s="390">
        <v>4</v>
      </c>
      <c r="Y65" s="242">
        <f t="shared" si="105"/>
        <v>100</v>
      </c>
      <c r="Z65" s="283">
        <f t="shared" si="106"/>
        <v>2</v>
      </c>
      <c r="AA65" s="390">
        <f t="shared" si="107"/>
        <v>0</v>
      </c>
      <c r="AB65" s="523">
        <v>0</v>
      </c>
      <c r="AC65" s="283">
        <v>4</v>
      </c>
      <c r="AD65" s="390">
        <v>4</v>
      </c>
      <c r="AE65" s="242">
        <f t="shared" si="109"/>
        <v>0</v>
      </c>
      <c r="AF65" s="283">
        <f t="shared" si="110"/>
        <v>0</v>
      </c>
      <c r="AG65" s="390">
        <f t="shared" si="110"/>
        <v>3</v>
      </c>
      <c r="AH65" s="523">
        <v>0</v>
      </c>
      <c r="AI65" s="283">
        <v>4</v>
      </c>
      <c r="AJ65" s="390">
        <v>7</v>
      </c>
      <c r="AK65" s="242">
        <f t="shared" si="112"/>
        <v>75</v>
      </c>
      <c r="AL65" s="762">
        <f t="shared" si="113"/>
        <v>2</v>
      </c>
      <c r="AM65" s="769">
        <f t="shared" si="114"/>
        <v>0</v>
      </c>
      <c r="AN65" s="753">
        <f t="shared" si="139"/>
        <v>-100</v>
      </c>
      <c r="AO65" s="779">
        <v>6</v>
      </c>
      <c r="AP65" s="819">
        <v>7</v>
      </c>
      <c r="AQ65" s="753">
        <f t="shared" si="116"/>
        <v>16.7</v>
      </c>
      <c r="AR65" s="779">
        <f t="shared" si="117"/>
        <v>3</v>
      </c>
      <c r="AS65" s="819">
        <f t="shared" si="117"/>
        <v>0</v>
      </c>
      <c r="AT65" s="753">
        <f>ROUND(((AS65/AR65-1)*100), 1)</f>
        <v>-100</v>
      </c>
      <c r="AU65" s="975">
        <v>9</v>
      </c>
      <c r="AV65" s="970">
        <v>7</v>
      </c>
      <c r="AW65" s="753">
        <f t="shared" si="119"/>
        <v>-22.2</v>
      </c>
      <c r="AX65" s="779">
        <f t="shared" si="120"/>
        <v>2</v>
      </c>
      <c r="AY65" s="819">
        <f t="shared" si="121"/>
        <v>0</v>
      </c>
      <c r="AZ65" s="753">
        <f>ROUND(((AY65/AX65-1)*100), 1)</f>
        <v>-100</v>
      </c>
      <c r="BA65" s="779">
        <v>11</v>
      </c>
      <c r="BB65" s="819">
        <v>7</v>
      </c>
      <c r="BC65" s="753">
        <f t="shared" si="123"/>
        <v>-36.4</v>
      </c>
      <c r="BD65" s="779">
        <f t="shared" si="124"/>
        <v>1</v>
      </c>
      <c r="BE65" s="819">
        <f t="shared" si="124"/>
        <v>0</v>
      </c>
      <c r="BF65" s="753">
        <f>ROUND(((BE65/BD65-1)*100), 1)</f>
        <v>-100</v>
      </c>
      <c r="BG65" s="779">
        <v>12</v>
      </c>
      <c r="BH65" s="819">
        <v>7</v>
      </c>
      <c r="BI65" s="753">
        <f t="shared" si="126"/>
        <v>-41.7</v>
      </c>
      <c r="BJ65" s="779">
        <f t="shared" si="127"/>
        <v>0</v>
      </c>
      <c r="BK65" s="819">
        <f t="shared" si="127"/>
        <v>0</v>
      </c>
      <c r="BL65" s="799">
        <v>0</v>
      </c>
      <c r="BM65" s="779">
        <v>12</v>
      </c>
      <c r="BN65" s="819">
        <v>7</v>
      </c>
      <c r="BO65" s="753">
        <f t="shared" si="129"/>
        <v>-41.7</v>
      </c>
      <c r="BP65" s="779">
        <f t="shared" si="130"/>
        <v>1</v>
      </c>
      <c r="BQ65" s="819">
        <f t="shared" si="130"/>
        <v>1</v>
      </c>
      <c r="BR65" s="705">
        <f t="shared" si="131"/>
        <v>0</v>
      </c>
      <c r="BS65" s="779">
        <v>13</v>
      </c>
      <c r="BT65" s="819">
        <v>8</v>
      </c>
      <c r="BU65" s="753">
        <f t="shared" si="132"/>
        <v>-38.5</v>
      </c>
    </row>
    <row r="66" spans="1:73">
      <c r="A66" s="4"/>
      <c r="B66" s="43" t="s">
        <v>213</v>
      </c>
      <c r="C66" s="44">
        <v>0</v>
      </c>
      <c r="D66" s="44">
        <v>0</v>
      </c>
      <c r="E66" s="44">
        <v>0</v>
      </c>
      <c r="F66" s="44">
        <v>657</v>
      </c>
      <c r="G66" s="44">
        <v>0</v>
      </c>
      <c r="H66" s="44">
        <v>17</v>
      </c>
      <c r="I66" s="44">
        <v>0</v>
      </c>
      <c r="J66" s="44">
        <v>2</v>
      </c>
      <c r="K66" s="283">
        <v>0</v>
      </c>
      <c r="L66" s="390">
        <v>0</v>
      </c>
      <c r="M66" s="177">
        <v>0</v>
      </c>
      <c r="N66" s="283">
        <f t="shared" si="98"/>
        <v>0</v>
      </c>
      <c r="O66" s="390">
        <f t="shared" si="99"/>
        <v>0</v>
      </c>
      <c r="P66" s="523">
        <v>0</v>
      </c>
      <c r="Q66" s="283">
        <v>0</v>
      </c>
      <c r="R66" s="390">
        <v>0</v>
      </c>
      <c r="S66" s="177">
        <v>0</v>
      </c>
      <c r="T66" s="283">
        <f t="shared" si="102"/>
        <v>0</v>
      </c>
      <c r="U66" s="390">
        <f t="shared" si="103"/>
        <v>0</v>
      </c>
      <c r="V66" s="177">
        <v>0</v>
      </c>
      <c r="W66" s="283">
        <v>0</v>
      </c>
      <c r="X66" s="390">
        <v>0</v>
      </c>
      <c r="Y66" s="177">
        <v>0</v>
      </c>
      <c r="Z66" s="283">
        <f t="shared" si="106"/>
        <v>0</v>
      </c>
      <c r="AA66" s="390">
        <f t="shared" si="107"/>
        <v>0</v>
      </c>
      <c r="AB66" s="521">
        <v>0</v>
      </c>
      <c r="AC66" s="283">
        <v>0</v>
      </c>
      <c r="AD66" s="390">
        <v>0</v>
      </c>
      <c r="AE66" s="521">
        <v>0</v>
      </c>
      <c r="AF66" s="283">
        <f t="shared" si="110"/>
        <v>0</v>
      </c>
      <c r="AG66" s="390">
        <f t="shared" si="110"/>
        <v>0</v>
      </c>
      <c r="AH66" s="521">
        <v>0</v>
      </c>
      <c r="AI66" s="283">
        <v>0</v>
      </c>
      <c r="AJ66" s="390">
        <v>0</v>
      </c>
      <c r="AK66" s="521">
        <v>0</v>
      </c>
      <c r="AL66" s="762">
        <f t="shared" si="113"/>
        <v>0</v>
      </c>
      <c r="AM66" s="769">
        <f t="shared" si="114"/>
        <v>0</v>
      </c>
      <c r="AN66" s="749">
        <v>0</v>
      </c>
      <c r="AO66" s="779">
        <v>0</v>
      </c>
      <c r="AP66" s="819">
        <v>0</v>
      </c>
      <c r="AQ66" s="749">
        <v>0</v>
      </c>
      <c r="AR66" s="779">
        <f t="shared" si="117"/>
        <v>0</v>
      </c>
      <c r="AS66" s="819">
        <f t="shared" si="117"/>
        <v>0</v>
      </c>
      <c r="AT66" s="799">
        <v>0</v>
      </c>
      <c r="AU66" s="975">
        <v>0</v>
      </c>
      <c r="AV66" s="970">
        <v>0</v>
      </c>
      <c r="AW66" s="799">
        <v>0</v>
      </c>
      <c r="AX66" s="779">
        <f t="shared" si="120"/>
        <v>0</v>
      </c>
      <c r="AY66" s="819">
        <f t="shared" si="121"/>
        <v>0</v>
      </c>
      <c r="AZ66" s="799">
        <v>0</v>
      </c>
      <c r="BA66" s="779">
        <v>0</v>
      </c>
      <c r="BB66" s="819">
        <v>0</v>
      </c>
      <c r="BC66" s="799">
        <v>0</v>
      </c>
      <c r="BD66" s="779">
        <f t="shared" si="124"/>
        <v>0</v>
      </c>
      <c r="BE66" s="819">
        <f t="shared" si="124"/>
        <v>0</v>
      </c>
      <c r="BF66" s="799">
        <v>0</v>
      </c>
      <c r="BG66" s="779">
        <v>0</v>
      </c>
      <c r="BH66" s="819">
        <v>0</v>
      </c>
      <c r="BI66" s="799">
        <v>0</v>
      </c>
      <c r="BJ66" s="779">
        <f t="shared" si="127"/>
        <v>2</v>
      </c>
      <c r="BK66" s="819">
        <f t="shared" si="127"/>
        <v>0</v>
      </c>
      <c r="BL66" s="753">
        <f t="shared" ref="BL66" si="140">ROUND(((BK66/BJ66-1)*100), 1)</f>
        <v>-100</v>
      </c>
      <c r="BM66" s="779">
        <v>2</v>
      </c>
      <c r="BN66" s="819">
        <v>0</v>
      </c>
      <c r="BO66" s="753">
        <f t="shared" si="129"/>
        <v>-100</v>
      </c>
      <c r="BP66" s="779">
        <f t="shared" si="130"/>
        <v>0</v>
      </c>
      <c r="BQ66" s="819">
        <f t="shared" si="130"/>
        <v>0</v>
      </c>
      <c r="BR66" s="799">
        <v>0</v>
      </c>
      <c r="BS66" s="779">
        <v>2</v>
      </c>
      <c r="BT66" s="819">
        <v>0</v>
      </c>
      <c r="BU66" s="753">
        <f t="shared" si="132"/>
        <v>-100</v>
      </c>
    </row>
    <row r="67" spans="1:73">
      <c r="A67" s="4"/>
      <c r="B67" s="43" t="s">
        <v>60</v>
      </c>
      <c r="C67" s="44">
        <v>276</v>
      </c>
      <c r="D67" s="44">
        <v>154</v>
      </c>
      <c r="E67" s="44">
        <v>50</v>
      </c>
      <c r="F67" s="44">
        <v>47</v>
      </c>
      <c r="G67" s="44">
        <v>41</v>
      </c>
      <c r="H67" s="44">
        <v>29</v>
      </c>
      <c r="I67" s="44">
        <v>16</v>
      </c>
      <c r="J67" s="44">
        <v>1</v>
      </c>
      <c r="K67" s="283">
        <v>0</v>
      </c>
      <c r="L67" s="390">
        <v>0</v>
      </c>
      <c r="M67" s="177">
        <v>0</v>
      </c>
      <c r="N67" s="283">
        <f t="shared" si="98"/>
        <v>0</v>
      </c>
      <c r="O67" s="390">
        <f t="shared" si="99"/>
        <v>0</v>
      </c>
      <c r="P67" s="177">
        <v>0</v>
      </c>
      <c r="Q67" s="283">
        <v>0</v>
      </c>
      <c r="R67" s="390">
        <v>0</v>
      </c>
      <c r="S67" s="177">
        <v>0</v>
      </c>
      <c r="T67" s="283">
        <f t="shared" si="102"/>
        <v>0</v>
      </c>
      <c r="U67" s="390">
        <f t="shared" si="103"/>
        <v>0</v>
      </c>
      <c r="V67" s="177">
        <v>0</v>
      </c>
      <c r="W67" s="283">
        <v>0</v>
      </c>
      <c r="X67" s="390">
        <v>0</v>
      </c>
      <c r="Y67" s="177">
        <v>0</v>
      </c>
      <c r="Z67" s="283">
        <f t="shared" si="106"/>
        <v>1</v>
      </c>
      <c r="AA67" s="390">
        <f t="shared" si="107"/>
        <v>0</v>
      </c>
      <c r="AB67" s="242">
        <f t="shared" ref="AB67" si="141">ROUND(((AA67/Z67-1)*100), 1)</f>
        <v>-100</v>
      </c>
      <c r="AC67" s="283">
        <v>1</v>
      </c>
      <c r="AD67" s="390">
        <v>0</v>
      </c>
      <c r="AE67" s="242">
        <f t="shared" ref="AE67" si="142">ROUND(((AD67/AC67-1)*100), 1)</f>
        <v>-100</v>
      </c>
      <c r="AF67" s="283">
        <f t="shared" si="110"/>
        <v>0</v>
      </c>
      <c r="AG67" s="390">
        <f t="shared" si="110"/>
        <v>0</v>
      </c>
      <c r="AH67" s="521">
        <v>0</v>
      </c>
      <c r="AI67" s="283">
        <v>1</v>
      </c>
      <c r="AJ67" s="390">
        <v>0</v>
      </c>
      <c r="AK67" s="242">
        <f t="shared" ref="AK67" si="143">ROUND(((AJ67/AI67-1)*100), 1)</f>
        <v>-100</v>
      </c>
      <c r="AL67" s="762">
        <f t="shared" si="113"/>
        <v>0</v>
      </c>
      <c r="AM67" s="769">
        <f t="shared" si="114"/>
        <v>0</v>
      </c>
      <c r="AN67" s="749">
        <v>0</v>
      </c>
      <c r="AO67" s="779">
        <v>1</v>
      </c>
      <c r="AP67" s="819">
        <v>0</v>
      </c>
      <c r="AQ67" s="753">
        <f t="shared" ref="AQ67" si="144">ROUND(((AP67/AO67-1)*100), 1)</f>
        <v>-100</v>
      </c>
      <c r="AR67" s="779">
        <f t="shared" si="117"/>
        <v>0</v>
      </c>
      <c r="AS67" s="819">
        <f t="shared" si="117"/>
        <v>0</v>
      </c>
      <c r="AT67" s="799">
        <v>0</v>
      </c>
      <c r="AU67" s="975">
        <v>1</v>
      </c>
      <c r="AV67" s="970">
        <v>0</v>
      </c>
      <c r="AW67" s="753">
        <f>ROUND(((AV67/AU67-1)*100), 1)</f>
        <v>-100</v>
      </c>
      <c r="AX67" s="779">
        <f t="shared" si="120"/>
        <v>0</v>
      </c>
      <c r="AY67" s="819">
        <f t="shared" si="121"/>
        <v>0</v>
      </c>
      <c r="AZ67" s="799">
        <v>0</v>
      </c>
      <c r="BA67" s="779">
        <v>1</v>
      </c>
      <c r="BB67" s="819">
        <v>0</v>
      </c>
      <c r="BC67" s="753">
        <f>ROUND(((BB67/BA67-1)*100), 1)</f>
        <v>-100</v>
      </c>
      <c r="BD67" s="779">
        <f t="shared" si="124"/>
        <v>0</v>
      </c>
      <c r="BE67" s="819">
        <f t="shared" si="124"/>
        <v>0</v>
      </c>
      <c r="BF67" s="799">
        <v>0</v>
      </c>
      <c r="BG67" s="779">
        <v>1</v>
      </c>
      <c r="BH67" s="819">
        <v>0</v>
      </c>
      <c r="BI67" s="753">
        <f>ROUND(((BH67/BG67-1)*100), 1)</f>
        <v>-100</v>
      </c>
      <c r="BJ67" s="779">
        <f t="shared" si="127"/>
        <v>0</v>
      </c>
      <c r="BK67" s="819">
        <f t="shared" si="127"/>
        <v>0</v>
      </c>
      <c r="BL67" s="799">
        <v>0</v>
      </c>
      <c r="BM67" s="779">
        <v>1</v>
      </c>
      <c r="BN67" s="819">
        <v>0</v>
      </c>
      <c r="BO67" s="753">
        <f>ROUND(((BN67/BM67-1)*100), 1)</f>
        <v>-100</v>
      </c>
      <c r="BP67" s="779">
        <f t="shared" si="130"/>
        <v>0</v>
      </c>
      <c r="BQ67" s="819">
        <f t="shared" si="130"/>
        <v>0</v>
      </c>
      <c r="BR67" s="799">
        <v>0</v>
      </c>
      <c r="BS67" s="779">
        <v>1</v>
      </c>
      <c r="BT67" s="819">
        <v>0</v>
      </c>
      <c r="BU67" s="753">
        <f>ROUND(((BT67/BS67-1)*100), 1)</f>
        <v>-100</v>
      </c>
    </row>
    <row r="68" spans="1:73">
      <c r="A68" s="4"/>
      <c r="B68" s="43" t="s">
        <v>142</v>
      </c>
      <c r="C68" s="44">
        <v>62</v>
      </c>
      <c r="D68" s="44">
        <v>180</v>
      </c>
      <c r="E68" s="44">
        <v>282</v>
      </c>
      <c r="F68" s="44">
        <v>277</v>
      </c>
      <c r="G68" s="44">
        <v>186</v>
      </c>
      <c r="H68" s="44">
        <v>0</v>
      </c>
      <c r="I68" s="44">
        <v>0</v>
      </c>
      <c r="J68" s="44">
        <v>0</v>
      </c>
      <c r="K68" s="283">
        <v>0</v>
      </c>
      <c r="L68" s="390">
        <v>40</v>
      </c>
      <c r="M68" s="177">
        <v>0</v>
      </c>
      <c r="N68" s="283">
        <f t="shared" si="98"/>
        <v>0</v>
      </c>
      <c r="O68" s="390">
        <f t="shared" si="99"/>
        <v>0</v>
      </c>
      <c r="P68" s="177">
        <v>0</v>
      </c>
      <c r="Q68" s="283">
        <v>0</v>
      </c>
      <c r="R68" s="390">
        <v>40</v>
      </c>
      <c r="S68" s="177">
        <v>0</v>
      </c>
      <c r="T68" s="283">
        <f t="shared" si="102"/>
        <v>0</v>
      </c>
      <c r="U68" s="390">
        <f t="shared" si="103"/>
        <v>0</v>
      </c>
      <c r="V68" s="177">
        <v>0</v>
      </c>
      <c r="W68" s="283">
        <v>0</v>
      </c>
      <c r="X68" s="390">
        <v>40</v>
      </c>
      <c r="Y68" s="177">
        <v>0</v>
      </c>
      <c r="Z68" s="283">
        <f t="shared" si="106"/>
        <v>0</v>
      </c>
      <c r="AA68" s="390">
        <f t="shared" si="107"/>
        <v>37</v>
      </c>
      <c r="AB68" s="521">
        <v>0</v>
      </c>
      <c r="AC68" s="283">
        <v>0</v>
      </c>
      <c r="AD68" s="390">
        <v>77</v>
      </c>
      <c r="AE68" s="521">
        <v>0</v>
      </c>
      <c r="AF68" s="283">
        <f t="shared" si="110"/>
        <v>0</v>
      </c>
      <c r="AG68" s="390">
        <f t="shared" si="110"/>
        <v>56</v>
      </c>
      <c r="AH68" s="521">
        <v>0</v>
      </c>
      <c r="AI68" s="283">
        <v>0</v>
      </c>
      <c r="AJ68" s="390">
        <v>133</v>
      </c>
      <c r="AK68" s="521">
        <v>0</v>
      </c>
      <c r="AL68" s="762">
        <f t="shared" si="113"/>
        <v>0</v>
      </c>
      <c r="AM68" s="769">
        <f t="shared" si="114"/>
        <v>0</v>
      </c>
      <c r="AN68" s="749">
        <v>0</v>
      </c>
      <c r="AO68" s="779">
        <v>0</v>
      </c>
      <c r="AP68" s="819">
        <v>133</v>
      </c>
      <c r="AQ68" s="749">
        <v>0</v>
      </c>
      <c r="AR68" s="779">
        <f t="shared" si="117"/>
        <v>0</v>
      </c>
      <c r="AS68" s="819">
        <f t="shared" si="117"/>
        <v>0</v>
      </c>
      <c r="AT68" s="799">
        <v>0</v>
      </c>
      <c r="AU68" s="975">
        <v>0</v>
      </c>
      <c r="AV68" s="970">
        <v>133</v>
      </c>
      <c r="AW68" s="799">
        <v>0</v>
      </c>
      <c r="AX68" s="779">
        <f t="shared" si="120"/>
        <v>0</v>
      </c>
      <c r="AY68" s="819">
        <f t="shared" si="121"/>
        <v>19</v>
      </c>
      <c r="AZ68" s="799">
        <v>0</v>
      </c>
      <c r="BA68" s="779">
        <v>0</v>
      </c>
      <c r="BB68" s="819">
        <v>152</v>
      </c>
      <c r="BC68" s="799">
        <v>0</v>
      </c>
      <c r="BD68" s="779">
        <f t="shared" si="124"/>
        <v>0</v>
      </c>
      <c r="BE68" s="819">
        <f t="shared" si="124"/>
        <v>41</v>
      </c>
      <c r="BF68" s="799">
        <v>0</v>
      </c>
      <c r="BG68" s="779">
        <v>0</v>
      </c>
      <c r="BH68" s="819">
        <v>193</v>
      </c>
      <c r="BI68" s="799">
        <v>0</v>
      </c>
      <c r="BJ68" s="779">
        <f t="shared" si="127"/>
        <v>0</v>
      </c>
      <c r="BK68" s="819">
        <f t="shared" si="127"/>
        <v>19</v>
      </c>
      <c r="BL68" s="799">
        <v>0</v>
      </c>
      <c r="BM68" s="779">
        <v>0</v>
      </c>
      <c r="BN68" s="819">
        <v>212</v>
      </c>
      <c r="BO68" s="799">
        <v>0</v>
      </c>
      <c r="BP68" s="779">
        <f t="shared" si="130"/>
        <v>0</v>
      </c>
      <c r="BQ68" s="819">
        <f t="shared" si="130"/>
        <v>125</v>
      </c>
      <c r="BR68" s="799">
        <v>0</v>
      </c>
      <c r="BS68" s="779">
        <v>0</v>
      </c>
      <c r="BT68" s="819">
        <v>337</v>
      </c>
      <c r="BU68" s="799">
        <v>0</v>
      </c>
    </row>
    <row r="69" spans="1:73">
      <c r="A69" s="4"/>
      <c r="B69" s="43" t="s">
        <v>126</v>
      </c>
      <c r="C69" s="44">
        <v>215</v>
      </c>
      <c r="D69" s="44">
        <v>138</v>
      </c>
      <c r="E69" s="44">
        <v>156</v>
      </c>
      <c r="F69" s="44">
        <v>161</v>
      </c>
      <c r="G69" s="44">
        <v>39</v>
      </c>
      <c r="H69" s="44">
        <v>0</v>
      </c>
      <c r="I69" s="44">
        <v>0</v>
      </c>
      <c r="J69" s="44">
        <v>0</v>
      </c>
      <c r="K69" s="283">
        <v>0</v>
      </c>
      <c r="L69" s="390">
        <v>0</v>
      </c>
      <c r="M69" s="177">
        <v>0</v>
      </c>
      <c r="N69" s="283">
        <f t="shared" si="98"/>
        <v>0</v>
      </c>
      <c r="O69" s="390">
        <f t="shared" si="99"/>
        <v>0</v>
      </c>
      <c r="P69" s="177">
        <v>0</v>
      </c>
      <c r="Q69" s="283">
        <v>0</v>
      </c>
      <c r="R69" s="390">
        <v>0</v>
      </c>
      <c r="S69" s="177">
        <v>0</v>
      </c>
      <c r="T69" s="283">
        <f t="shared" si="102"/>
        <v>0</v>
      </c>
      <c r="U69" s="390">
        <f t="shared" si="103"/>
        <v>0</v>
      </c>
      <c r="V69" s="177">
        <v>0</v>
      </c>
      <c r="W69" s="283">
        <v>0</v>
      </c>
      <c r="X69" s="390">
        <v>0</v>
      </c>
      <c r="Y69" s="177">
        <v>0</v>
      </c>
      <c r="Z69" s="283">
        <f t="shared" si="106"/>
        <v>0</v>
      </c>
      <c r="AA69" s="390">
        <f t="shared" si="107"/>
        <v>0</v>
      </c>
      <c r="AB69" s="521">
        <v>0</v>
      </c>
      <c r="AC69" s="283">
        <v>0</v>
      </c>
      <c r="AD69" s="390">
        <v>0</v>
      </c>
      <c r="AE69" s="521">
        <v>0</v>
      </c>
      <c r="AF69" s="283">
        <f t="shared" si="110"/>
        <v>0</v>
      </c>
      <c r="AG69" s="390">
        <f t="shared" si="110"/>
        <v>0</v>
      </c>
      <c r="AH69" s="521">
        <v>0</v>
      </c>
      <c r="AI69" s="283">
        <v>0</v>
      </c>
      <c r="AJ69" s="390">
        <v>0</v>
      </c>
      <c r="AK69" s="521">
        <v>0</v>
      </c>
      <c r="AL69" s="762">
        <f t="shared" si="113"/>
        <v>0</v>
      </c>
      <c r="AM69" s="769">
        <f t="shared" si="114"/>
        <v>0</v>
      </c>
      <c r="AN69" s="749">
        <v>0</v>
      </c>
      <c r="AO69" s="779">
        <v>0</v>
      </c>
      <c r="AP69" s="819">
        <v>0</v>
      </c>
      <c r="AQ69" s="749">
        <v>0</v>
      </c>
      <c r="AR69" s="779">
        <f t="shared" si="117"/>
        <v>0</v>
      </c>
      <c r="AS69" s="819">
        <f t="shared" si="117"/>
        <v>0</v>
      </c>
      <c r="AT69" s="799">
        <v>0</v>
      </c>
      <c r="AU69" s="975">
        <v>0</v>
      </c>
      <c r="AV69" s="970">
        <v>0</v>
      </c>
      <c r="AW69" s="799">
        <v>0</v>
      </c>
      <c r="AX69" s="779">
        <f t="shared" si="120"/>
        <v>0</v>
      </c>
      <c r="AY69" s="819">
        <f t="shared" si="121"/>
        <v>0</v>
      </c>
      <c r="AZ69" s="799">
        <v>0</v>
      </c>
      <c r="BA69" s="779">
        <v>0</v>
      </c>
      <c r="BB69" s="819">
        <v>0</v>
      </c>
      <c r="BC69" s="799">
        <v>0</v>
      </c>
      <c r="BD69" s="779">
        <f t="shared" si="124"/>
        <v>0</v>
      </c>
      <c r="BE69" s="819">
        <f t="shared" si="124"/>
        <v>0</v>
      </c>
      <c r="BF69" s="799">
        <v>0</v>
      </c>
      <c r="BG69" s="779">
        <v>0</v>
      </c>
      <c r="BH69" s="819">
        <v>0</v>
      </c>
      <c r="BI69" s="799">
        <v>0</v>
      </c>
      <c r="BJ69" s="779">
        <f t="shared" si="127"/>
        <v>0</v>
      </c>
      <c r="BK69" s="819">
        <f t="shared" si="127"/>
        <v>0</v>
      </c>
      <c r="BL69" s="799">
        <v>0</v>
      </c>
      <c r="BM69" s="779">
        <v>0</v>
      </c>
      <c r="BN69" s="819">
        <v>0</v>
      </c>
      <c r="BO69" s="799">
        <v>0</v>
      </c>
      <c r="BP69" s="779">
        <f t="shared" si="130"/>
        <v>0</v>
      </c>
      <c r="BQ69" s="819">
        <f t="shared" si="130"/>
        <v>0</v>
      </c>
      <c r="BR69" s="799">
        <v>0</v>
      </c>
      <c r="BS69" s="779">
        <v>0</v>
      </c>
      <c r="BT69" s="819">
        <v>0</v>
      </c>
      <c r="BU69" s="799">
        <v>0</v>
      </c>
    </row>
    <row r="70" spans="1:73">
      <c r="A70" s="4"/>
      <c r="B70" s="43" t="s">
        <v>24</v>
      </c>
      <c r="C70" s="44">
        <f t="shared" ref="C70:L70" si="145">C71-SUM(C54:C69)</f>
        <v>5890</v>
      </c>
      <c r="D70" s="44">
        <f t="shared" si="145"/>
        <v>1833</v>
      </c>
      <c r="E70" s="44">
        <f t="shared" si="145"/>
        <v>390</v>
      </c>
      <c r="F70" s="44">
        <f t="shared" si="145"/>
        <v>318</v>
      </c>
      <c r="G70" s="44">
        <f t="shared" si="145"/>
        <v>34</v>
      </c>
      <c r="H70" s="44">
        <f t="shared" si="145"/>
        <v>25</v>
      </c>
      <c r="I70" s="44">
        <f t="shared" si="145"/>
        <v>75</v>
      </c>
      <c r="J70" s="44">
        <f>J71-SUM(J54:J69)</f>
        <v>53</v>
      </c>
      <c r="K70" s="383">
        <f t="shared" si="145"/>
        <v>3</v>
      </c>
      <c r="L70" s="390">
        <f t="shared" si="145"/>
        <v>0</v>
      </c>
      <c r="M70" s="242">
        <f t="shared" ref="M70:M76" si="146">ROUND(((L70/K70-1)*100), 1)</f>
        <v>-100</v>
      </c>
      <c r="N70" s="383">
        <f>N71-SUM(N54:N69)</f>
        <v>2</v>
      </c>
      <c r="O70" s="390">
        <f>O71-SUM(O54:O69)</f>
        <v>44</v>
      </c>
      <c r="P70" s="242">
        <f t="shared" ref="P70:P76" si="147">ROUND(((O70/N70-1)*100), 1)</f>
        <v>2100</v>
      </c>
      <c r="Q70" s="383">
        <f>Q71-SUM(Q54:Q69)</f>
        <v>5</v>
      </c>
      <c r="R70" s="390">
        <f>R71-SUM(R54:R69)</f>
        <v>44</v>
      </c>
      <c r="S70" s="242">
        <f t="shared" ref="S70:S76" si="148">ROUND(((R70/Q70-1)*100), 1)</f>
        <v>780</v>
      </c>
      <c r="T70" s="383">
        <f>T71-SUM(T54:T69)</f>
        <v>3</v>
      </c>
      <c r="U70" s="390">
        <f>U71-SUM(U54:U69)</f>
        <v>3</v>
      </c>
      <c r="V70" s="242">
        <f t="shared" ref="V70:V76" si="149">ROUND(((U70/T70-1)*100), 1)</f>
        <v>0</v>
      </c>
      <c r="W70" s="383">
        <f>W71-SUM(W54:W69)</f>
        <v>8</v>
      </c>
      <c r="X70" s="390">
        <f>X71-SUM(X54:X69)</f>
        <v>47</v>
      </c>
      <c r="Y70" s="242">
        <f t="shared" ref="Y70:Y76" si="150">ROUND(((X70/W70-1)*100), 1)</f>
        <v>487.5</v>
      </c>
      <c r="Z70" s="527">
        <f>Z71-SUM(Z54:Z69)</f>
        <v>8</v>
      </c>
      <c r="AA70" s="390">
        <f>AA71-SUM(AA54:AA69)</f>
        <v>42</v>
      </c>
      <c r="AB70" s="242">
        <f t="shared" ref="AB70:AB73" si="151">ROUND(((AA70/Z70-1)*100), 1)</f>
        <v>425</v>
      </c>
      <c r="AC70" s="527">
        <f>AC71-SUM(AC54:AC69)</f>
        <v>16</v>
      </c>
      <c r="AD70" s="390">
        <f>AD71-SUM(AD54:AD69)</f>
        <v>89</v>
      </c>
      <c r="AE70" s="242">
        <f t="shared" ref="AE70:AE76" si="152">ROUND(((AD70/AC70-1)*100), 1)</f>
        <v>456.3</v>
      </c>
      <c r="AF70" s="527">
        <f>AF71-SUM(AF54:AF69)</f>
        <v>20</v>
      </c>
      <c r="AG70" s="390">
        <f>AG71-SUM(AG54:AG69)</f>
        <v>2</v>
      </c>
      <c r="AH70" s="242">
        <f t="shared" ref="AH70:AH76" si="153">ROUND(((AG70/AF70-1)*100), 1)</f>
        <v>-90</v>
      </c>
      <c r="AI70" s="527">
        <f>AI71-SUM(AI54:AI69)</f>
        <v>36</v>
      </c>
      <c r="AJ70" s="390">
        <f>AJ71-SUM(AJ54:AJ69)</f>
        <v>91</v>
      </c>
      <c r="AK70" s="242">
        <f t="shared" ref="AK70:AK76" si="154">ROUND(((AJ70/AI70-1)*100), 1)</f>
        <v>152.80000000000001</v>
      </c>
      <c r="AL70" s="766">
        <f>AL71-SUM(AL54:AL69)</f>
        <v>7</v>
      </c>
      <c r="AM70" s="769">
        <f>AM71-SUM(AM54:AM69)</f>
        <v>3</v>
      </c>
      <c r="AN70" s="753">
        <f t="shared" ref="AN70:AN76" si="155">ROUND(((AM70/AL70-1)*100), 1)</f>
        <v>-57.1</v>
      </c>
      <c r="AO70" s="817">
        <f>AO71-SUM(AO54:AO69)</f>
        <v>43</v>
      </c>
      <c r="AP70" s="819">
        <f>AP71-SUM(AP54:AP69)</f>
        <v>94</v>
      </c>
      <c r="AQ70" s="753">
        <f t="shared" ref="AQ70:AQ76" si="156">ROUND(((AP70/AO70-1)*100), 1)</f>
        <v>118.6</v>
      </c>
      <c r="AR70" s="817">
        <f>AR71-SUM(AR54:AR69)</f>
        <v>1</v>
      </c>
      <c r="AS70" s="819">
        <f>AS71-SUM(AS54:AS69)</f>
        <v>3</v>
      </c>
      <c r="AT70" s="753">
        <f>ROUND(((AS70/AR70-1)*100), 1)</f>
        <v>200</v>
      </c>
      <c r="AU70" s="969">
        <f>AU71-SUM(AU54:AU69)</f>
        <v>44</v>
      </c>
      <c r="AV70" s="970">
        <f>AV71-SUM(AV54:AV69)</f>
        <v>97</v>
      </c>
      <c r="AW70" s="753">
        <f t="shared" ref="AW70:AW90" si="157">ROUND(((AV70/AU70-1)*100), 1)</f>
        <v>120.5</v>
      </c>
      <c r="AX70" s="817">
        <f>AX71-SUM(AX54:AX69)</f>
        <v>1</v>
      </c>
      <c r="AY70" s="819">
        <f>AY71-SUM(AY54:AY69)</f>
        <v>2</v>
      </c>
      <c r="AZ70" s="753">
        <f>ROUND(((AY70/AX70-1)*100), 1)</f>
        <v>100</v>
      </c>
      <c r="BA70" s="817">
        <f>BA71-SUM(BA54:BA69)</f>
        <v>45</v>
      </c>
      <c r="BB70" s="819">
        <f>BB71-SUM(BB54:BB69)</f>
        <v>99</v>
      </c>
      <c r="BC70" s="753">
        <f t="shared" ref="BC70:BC90" si="158">ROUND(((BB70/BA70-1)*100), 1)</f>
        <v>120</v>
      </c>
      <c r="BD70" s="817">
        <f>BD71-SUM(BD54:BD69)</f>
        <v>1</v>
      </c>
      <c r="BE70" s="819">
        <f>BE71-SUM(BE54:BE69)</f>
        <v>1</v>
      </c>
      <c r="BF70" s="753">
        <f>ROUND(((BE70/BD70-1)*100), 1)</f>
        <v>0</v>
      </c>
      <c r="BG70" s="817">
        <f>BG71-SUM(BG54:BG69)</f>
        <v>46</v>
      </c>
      <c r="BH70" s="819">
        <f>BH71-SUM(BH54:BH69)</f>
        <v>100</v>
      </c>
      <c r="BI70" s="753">
        <f t="shared" ref="BI70:BI90" si="159">ROUND(((BH70/BG70-1)*100), 1)</f>
        <v>117.4</v>
      </c>
      <c r="BJ70" s="817">
        <f>BJ71-SUM(BJ54:BJ69)</f>
        <v>1</v>
      </c>
      <c r="BK70" s="819">
        <f>BK71-SUM(BK54:BK69)</f>
        <v>3</v>
      </c>
      <c r="BL70" s="753">
        <f>ROUND(((BK70/BJ70-1)*100), 1)</f>
        <v>200</v>
      </c>
      <c r="BM70" s="817">
        <f>BM71-SUM(BM54:BM69)</f>
        <v>47</v>
      </c>
      <c r="BN70" s="819">
        <f>BN71-SUM(BN54:BN69)</f>
        <v>103</v>
      </c>
      <c r="BO70" s="753">
        <f t="shared" ref="BO70:BO90" si="160">ROUND(((BN70/BM70-1)*100), 1)</f>
        <v>119.1</v>
      </c>
      <c r="BP70" s="817">
        <f>BP71-SUM(BP54:BP69)</f>
        <v>1</v>
      </c>
      <c r="BQ70" s="819">
        <f>BQ71-SUM(BQ54:BQ69)</f>
        <v>2</v>
      </c>
      <c r="BR70" s="753">
        <f>ROUND(((BQ70/BP70-1)*100), 1)</f>
        <v>100</v>
      </c>
      <c r="BS70" s="817">
        <f>BS71-SUM(BS54:BS69)</f>
        <v>48</v>
      </c>
      <c r="BT70" s="819">
        <f>BT71-SUM(BT54:BT69)</f>
        <v>105</v>
      </c>
      <c r="BU70" s="753">
        <f t="shared" ref="BU70:BU90" si="161">ROUND(((BT70/BS70-1)*100), 1)</f>
        <v>118.8</v>
      </c>
    </row>
    <row r="71" spans="1:73">
      <c r="A71" s="9"/>
      <c r="B71" s="67" t="s">
        <v>108</v>
      </c>
      <c r="C71" s="46">
        <v>17388</v>
      </c>
      <c r="D71" s="46">
        <v>7606</v>
      </c>
      <c r="E71" s="46">
        <v>8082</v>
      </c>
      <c r="F71" s="46">
        <v>8572</v>
      </c>
      <c r="G71" s="46">
        <v>9130</v>
      </c>
      <c r="H71" s="46">
        <v>5946</v>
      </c>
      <c r="I71" s="46">
        <v>6433</v>
      </c>
      <c r="J71" s="46">
        <v>6397</v>
      </c>
      <c r="K71" s="281">
        <v>535</v>
      </c>
      <c r="L71" s="295">
        <v>773</v>
      </c>
      <c r="M71" s="243">
        <f t="shared" si="146"/>
        <v>44.5</v>
      </c>
      <c r="N71" s="281">
        <f t="shared" ref="N71:N89" si="162">Q71-K71</f>
        <v>437</v>
      </c>
      <c r="O71" s="295">
        <f t="shared" ref="O71:O89" si="163">R71-L71</f>
        <v>588</v>
      </c>
      <c r="P71" s="243">
        <f t="shared" si="147"/>
        <v>34.6</v>
      </c>
      <c r="Q71" s="281">
        <v>972</v>
      </c>
      <c r="R71" s="295">
        <v>1361</v>
      </c>
      <c r="S71" s="243">
        <f t="shared" si="148"/>
        <v>40</v>
      </c>
      <c r="T71" s="281">
        <f t="shared" ref="T71:T89" si="164">W71-Q71</f>
        <v>551</v>
      </c>
      <c r="U71" s="295">
        <f t="shared" ref="U71:U89" si="165">X71-R71</f>
        <v>410</v>
      </c>
      <c r="V71" s="243">
        <f t="shared" si="149"/>
        <v>-25.6</v>
      </c>
      <c r="W71" s="281">
        <v>1523</v>
      </c>
      <c r="X71" s="295">
        <v>1771</v>
      </c>
      <c r="Y71" s="243">
        <f t="shared" si="150"/>
        <v>16.3</v>
      </c>
      <c r="Z71" s="281">
        <f t="shared" ref="Z71:Z89" si="166">AC71-W71</f>
        <v>595</v>
      </c>
      <c r="AA71" s="295">
        <f t="shared" ref="AA71:AA89" si="167">AD71-X71</f>
        <v>533</v>
      </c>
      <c r="AB71" s="243">
        <f t="shared" si="151"/>
        <v>-10.4</v>
      </c>
      <c r="AC71" s="281">
        <v>2118</v>
      </c>
      <c r="AD71" s="295">
        <v>2304</v>
      </c>
      <c r="AE71" s="243">
        <f t="shared" si="152"/>
        <v>8.8000000000000007</v>
      </c>
      <c r="AF71" s="281">
        <f t="shared" ref="AF71:AG89" si="168">AI71-AC71</f>
        <v>731</v>
      </c>
      <c r="AG71" s="295">
        <f t="shared" si="168"/>
        <v>345</v>
      </c>
      <c r="AH71" s="243">
        <f t="shared" si="153"/>
        <v>-52.8</v>
      </c>
      <c r="AI71" s="281">
        <v>2849</v>
      </c>
      <c r="AJ71" s="295">
        <v>2649</v>
      </c>
      <c r="AK71" s="243">
        <f t="shared" si="154"/>
        <v>-7</v>
      </c>
      <c r="AL71" s="760">
        <f t="shared" ref="AL71:AL89" si="169">AO71-AI71</f>
        <v>539</v>
      </c>
      <c r="AM71" s="763">
        <f t="shared" ref="AM71:AM89" si="170">AP71-AJ71</f>
        <v>214</v>
      </c>
      <c r="AN71" s="754">
        <f t="shared" si="155"/>
        <v>-60.3</v>
      </c>
      <c r="AO71" s="760">
        <v>3388</v>
      </c>
      <c r="AP71" s="808">
        <v>2863</v>
      </c>
      <c r="AQ71" s="754">
        <f t="shared" si="156"/>
        <v>-15.5</v>
      </c>
      <c r="AR71" s="760">
        <f t="shared" ref="AR71:AS89" si="171">AU71-AO71</f>
        <v>559</v>
      </c>
      <c r="AS71" s="808">
        <f t="shared" si="171"/>
        <v>255</v>
      </c>
      <c r="AT71" s="754">
        <f>ROUND(((AS71/AR71-1)*100), 1)</f>
        <v>-54.4</v>
      </c>
      <c r="AU71" s="986">
        <v>3947</v>
      </c>
      <c r="AV71" s="972">
        <v>3118</v>
      </c>
      <c r="AW71" s="754">
        <f t="shared" si="157"/>
        <v>-21</v>
      </c>
      <c r="AX71" s="760">
        <f t="shared" ref="AX71:AX89" si="172">BA71-AU71</f>
        <v>485</v>
      </c>
      <c r="AY71" s="808">
        <f t="shared" ref="AY71:AY89" si="173">BB71-AV71</f>
        <v>291</v>
      </c>
      <c r="AZ71" s="754">
        <f>ROUND(((AY71/AX71-1)*100), 1)</f>
        <v>-40</v>
      </c>
      <c r="BA71" s="760">
        <v>4432</v>
      </c>
      <c r="BB71" s="808">
        <v>3409</v>
      </c>
      <c r="BC71" s="754">
        <f t="shared" si="158"/>
        <v>-23.1</v>
      </c>
      <c r="BD71" s="760">
        <f t="shared" ref="BD71:BE89" si="174">BG71-BA71</f>
        <v>583</v>
      </c>
      <c r="BE71" s="808">
        <f t="shared" si="174"/>
        <v>393</v>
      </c>
      <c r="BF71" s="754">
        <f>ROUND(((BE71/BD71-1)*100), 1)</f>
        <v>-32.6</v>
      </c>
      <c r="BG71" s="760">
        <v>5015</v>
      </c>
      <c r="BH71" s="808">
        <v>3802</v>
      </c>
      <c r="BI71" s="754">
        <f t="shared" si="159"/>
        <v>-24.2</v>
      </c>
      <c r="BJ71" s="760">
        <f t="shared" ref="BJ71:BK89" si="175">BM71-BG71</f>
        <v>467</v>
      </c>
      <c r="BK71" s="808">
        <f t="shared" si="175"/>
        <v>523</v>
      </c>
      <c r="BL71" s="754">
        <f>ROUND(((BK71/BJ71-1)*100), 1)</f>
        <v>12</v>
      </c>
      <c r="BM71" s="760">
        <v>5482</v>
      </c>
      <c r="BN71" s="808">
        <v>4325</v>
      </c>
      <c r="BO71" s="754">
        <f t="shared" si="160"/>
        <v>-21.1</v>
      </c>
      <c r="BP71" s="760">
        <f t="shared" ref="BP71:BQ89" si="176">BS71-BM71</f>
        <v>374</v>
      </c>
      <c r="BQ71" s="808">
        <f t="shared" si="176"/>
        <v>466</v>
      </c>
      <c r="BR71" s="754">
        <f>ROUND(((BQ71/BP71-1)*100), 1)</f>
        <v>24.6</v>
      </c>
      <c r="BS71" s="760">
        <v>5856</v>
      </c>
      <c r="BT71" s="808">
        <v>4791</v>
      </c>
      <c r="BU71" s="754">
        <f t="shared" si="161"/>
        <v>-18.2</v>
      </c>
    </row>
    <row r="72" spans="1:73">
      <c r="A72" s="4"/>
      <c r="B72" s="43" t="s">
        <v>50</v>
      </c>
      <c r="C72" s="44">
        <v>1486</v>
      </c>
      <c r="D72" s="44">
        <v>1688</v>
      </c>
      <c r="E72" s="44">
        <v>2103</v>
      </c>
      <c r="F72" s="44">
        <v>2603</v>
      </c>
      <c r="G72" s="44">
        <v>1733</v>
      </c>
      <c r="H72" s="44">
        <v>2457</v>
      </c>
      <c r="I72" s="44">
        <v>2280</v>
      </c>
      <c r="J72" s="44">
        <v>2423</v>
      </c>
      <c r="K72" s="283">
        <v>427</v>
      </c>
      <c r="L72" s="390">
        <v>220</v>
      </c>
      <c r="M72" s="242">
        <f t="shared" si="146"/>
        <v>-48.5</v>
      </c>
      <c r="N72" s="283">
        <f t="shared" si="162"/>
        <v>203</v>
      </c>
      <c r="O72" s="390">
        <f t="shared" si="163"/>
        <v>81</v>
      </c>
      <c r="P72" s="242">
        <f t="shared" si="147"/>
        <v>-60.1</v>
      </c>
      <c r="Q72" s="283">
        <v>630</v>
      </c>
      <c r="R72" s="390">
        <v>301</v>
      </c>
      <c r="S72" s="242">
        <f t="shared" si="148"/>
        <v>-52.2</v>
      </c>
      <c r="T72" s="283">
        <f t="shared" si="164"/>
        <v>309</v>
      </c>
      <c r="U72" s="390">
        <f t="shared" si="165"/>
        <v>231</v>
      </c>
      <c r="V72" s="242">
        <f t="shared" si="149"/>
        <v>-25.2</v>
      </c>
      <c r="W72" s="283">
        <v>939</v>
      </c>
      <c r="X72" s="390">
        <v>532</v>
      </c>
      <c r="Y72" s="242">
        <f t="shared" si="150"/>
        <v>-43.3</v>
      </c>
      <c r="Z72" s="283">
        <f t="shared" si="166"/>
        <v>203</v>
      </c>
      <c r="AA72" s="390">
        <f t="shared" si="167"/>
        <v>213</v>
      </c>
      <c r="AB72" s="242">
        <f t="shared" si="151"/>
        <v>4.9000000000000004</v>
      </c>
      <c r="AC72" s="283">
        <v>1142</v>
      </c>
      <c r="AD72" s="390">
        <v>745</v>
      </c>
      <c r="AE72" s="242">
        <f t="shared" si="152"/>
        <v>-34.799999999999997</v>
      </c>
      <c r="AF72" s="283">
        <f t="shared" si="168"/>
        <v>218</v>
      </c>
      <c r="AG72" s="390">
        <f t="shared" si="168"/>
        <v>145</v>
      </c>
      <c r="AH72" s="242">
        <f t="shared" si="153"/>
        <v>-33.5</v>
      </c>
      <c r="AI72" s="283">
        <v>1360</v>
      </c>
      <c r="AJ72" s="390">
        <v>890</v>
      </c>
      <c r="AK72" s="242">
        <f t="shared" si="154"/>
        <v>-34.6</v>
      </c>
      <c r="AL72" s="762">
        <f t="shared" si="169"/>
        <v>158</v>
      </c>
      <c r="AM72" s="769">
        <f t="shared" si="170"/>
        <v>167</v>
      </c>
      <c r="AN72" s="753">
        <f t="shared" si="155"/>
        <v>5.7</v>
      </c>
      <c r="AO72" s="779">
        <v>1518</v>
      </c>
      <c r="AP72" s="819">
        <v>1057</v>
      </c>
      <c r="AQ72" s="753">
        <f t="shared" si="156"/>
        <v>-30.4</v>
      </c>
      <c r="AR72" s="779">
        <f t="shared" si="171"/>
        <v>150</v>
      </c>
      <c r="AS72" s="819">
        <f t="shared" si="171"/>
        <v>232</v>
      </c>
      <c r="AT72" s="753">
        <f>ROUND(((AS72/AR72-1)*100), 1)</f>
        <v>54.7</v>
      </c>
      <c r="AU72" s="975">
        <v>1668</v>
      </c>
      <c r="AV72" s="970">
        <v>1289</v>
      </c>
      <c r="AW72" s="753">
        <f t="shared" si="157"/>
        <v>-22.7</v>
      </c>
      <c r="AX72" s="779">
        <f t="shared" si="172"/>
        <v>133</v>
      </c>
      <c r="AY72" s="819">
        <f t="shared" si="173"/>
        <v>212</v>
      </c>
      <c r="AZ72" s="753">
        <f>ROUND(((AY72/AX72-1)*100), 1)</f>
        <v>59.4</v>
      </c>
      <c r="BA72" s="779">
        <v>1801</v>
      </c>
      <c r="BB72" s="819">
        <v>1501</v>
      </c>
      <c r="BC72" s="753">
        <f t="shared" si="158"/>
        <v>-16.7</v>
      </c>
      <c r="BD72" s="779">
        <f t="shared" si="174"/>
        <v>120</v>
      </c>
      <c r="BE72" s="819">
        <f t="shared" si="174"/>
        <v>135</v>
      </c>
      <c r="BF72" s="753">
        <f>ROUND(((BE72/BD72-1)*100), 1)</f>
        <v>12.5</v>
      </c>
      <c r="BG72" s="779">
        <v>1921</v>
      </c>
      <c r="BH72" s="819">
        <v>1636</v>
      </c>
      <c r="BI72" s="753">
        <f t="shared" si="159"/>
        <v>-14.8</v>
      </c>
      <c r="BJ72" s="779">
        <f t="shared" si="175"/>
        <v>122</v>
      </c>
      <c r="BK72" s="819">
        <f t="shared" si="175"/>
        <v>181</v>
      </c>
      <c r="BL72" s="753">
        <f>ROUND(((BK72/BJ72-1)*100), 1)</f>
        <v>48.4</v>
      </c>
      <c r="BM72" s="779">
        <v>2043</v>
      </c>
      <c r="BN72" s="819">
        <v>1817</v>
      </c>
      <c r="BO72" s="753">
        <f t="shared" si="160"/>
        <v>-11.1</v>
      </c>
      <c r="BP72" s="779">
        <f t="shared" si="176"/>
        <v>218</v>
      </c>
      <c r="BQ72" s="819">
        <f t="shared" si="176"/>
        <v>224</v>
      </c>
      <c r="BR72" s="753">
        <f>ROUND(((BQ72/BP72-1)*100), 1)</f>
        <v>2.8</v>
      </c>
      <c r="BS72" s="779">
        <v>2261</v>
      </c>
      <c r="BT72" s="819">
        <v>2041</v>
      </c>
      <c r="BU72" s="753">
        <f t="shared" si="161"/>
        <v>-9.6999999999999993</v>
      </c>
    </row>
    <row r="73" spans="1:73">
      <c r="A73" s="4" t="s">
        <v>110</v>
      </c>
      <c r="B73" s="43" t="s">
        <v>56</v>
      </c>
      <c r="C73" s="44">
        <v>243</v>
      </c>
      <c r="D73" s="44">
        <v>410</v>
      </c>
      <c r="E73" s="44">
        <v>321</v>
      </c>
      <c r="F73" s="44">
        <v>468</v>
      </c>
      <c r="G73" s="44">
        <v>276</v>
      </c>
      <c r="H73" s="44">
        <v>1606</v>
      </c>
      <c r="I73" s="44">
        <v>552</v>
      </c>
      <c r="J73" s="44">
        <v>2082</v>
      </c>
      <c r="K73" s="283">
        <v>41</v>
      </c>
      <c r="L73" s="390">
        <v>257</v>
      </c>
      <c r="M73" s="242">
        <f t="shared" si="146"/>
        <v>526.79999999999995</v>
      </c>
      <c r="N73" s="283">
        <f t="shared" si="162"/>
        <v>20</v>
      </c>
      <c r="O73" s="390">
        <f t="shared" si="163"/>
        <v>10</v>
      </c>
      <c r="P73" s="242">
        <f t="shared" si="147"/>
        <v>-50</v>
      </c>
      <c r="Q73" s="283">
        <v>61</v>
      </c>
      <c r="R73" s="390">
        <v>267</v>
      </c>
      <c r="S73" s="242">
        <f t="shared" si="148"/>
        <v>337.7</v>
      </c>
      <c r="T73" s="283">
        <f t="shared" si="164"/>
        <v>186</v>
      </c>
      <c r="U73" s="390">
        <f t="shared" si="165"/>
        <v>187</v>
      </c>
      <c r="V73" s="242">
        <f t="shared" si="149"/>
        <v>0.5</v>
      </c>
      <c r="W73" s="283">
        <v>247</v>
      </c>
      <c r="X73" s="390">
        <v>454</v>
      </c>
      <c r="Y73" s="242">
        <f t="shared" si="150"/>
        <v>83.8</v>
      </c>
      <c r="Z73" s="283">
        <f t="shared" si="166"/>
        <v>231</v>
      </c>
      <c r="AA73" s="390">
        <f t="shared" si="167"/>
        <v>101</v>
      </c>
      <c r="AB73" s="242">
        <f t="shared" si="151"/>
        <v>-56.3</v>
      </c>
      <c r="AC73" s="283">
        <v>478</v>
      </c>
      <c r="AD73" s="390">
        <v>555</v>
      </c>
      <c r="AE73" s="242">
        <f t="shared" si="152"/>
        <v>16.100000000000001</v>
      </c>
      <c r="AF73" s="283">
        <f t="shared" si="168"/>
        <v>244</v>
      </c>
      <c r="AG73" s="390">
        <f t="shared" si="168"/>
        <v>97</v>
      </c>
      <c r="AH73" s="242">
        <f t="shared" si="153"/>
        <v>-60.2</v>
      </c>
      <c r="AI73" s="283">
        <v>722</v>
      </c>
      <c r="AJ73" s="390">
        <v>652</v>
      </c>
      <c r="AK73" s="242">
        <f t="shared" si="154"/>
        <v>-9.6999999999999993</v>
      </c>
      <c r="AL73" s="762">
        <f t="shared" si="169"/>
        <v>122</v>
      </c>
      <c r="AM73" s="769">
        <f t="shared" si="170"/>
        <v>115</v>
      </c>
      <c r="AN73" s="753">
        <f t="shared" si="155"/>
        <v>-5.7</v>
      </c>
      <c r="AO73" s="779">
        <v>844</v>
      </c>
      <c r="AP73" s="819">
        <v>767</v>
      </c>
      <c r="AQ73" s="753">
        <f t="shared" si="156"/>
        <v>-9.1</v>
      </c>
      <c r="AR73" s="779">
        <f t="shared" si="171"/>
        <v>242</v>
      </c>
      <c r="AS73" s="819">
        <f t="shared" si="171"/>
        <v>124</v>
      </c>
      <c r="AT73" s="753">
        <f>ROUND(((AS73/AR73-1)*100), 1)</f>
        <v>-48.8</v>
      </c>
      <c r="AU73" s="975">
        <v>1086</v>
      </c>
      <c r="AV73" s="970">
        <v>891</v>
      </c>
      <c r="AW73" s="753">
        <f t="shared" si="157"/>
        <v>-18</v>
      </c>
      <c r="AX73" s="779">
        <f t="shared" si="172"/>
        <v>221</v>
      </c>
      <c r="AY73" s="819">
        <f t="shared" si="173"/>
        <v>220</v>
      </c>
      <c r="AZ73" s="753">
        <f>ROUND(((AY73/AX73-1)*100), 1)</f>
        <v>-0.5</v>
      </c>
      <c r="BA73" s="779">
        <v>1307</v>
      </c>
      <c r="BB73" s="819">
        <v>1111</v>
      </c>
      <c r="BC73" s="753">
        <f t="shared" si="158"/>
        <v>-15</v>
      </c>
      <c r="BD73" s="779">
        <f t="shared" si="174"/>
        <v>160</v>
      </c>
      <c r="BE73" s="819">
        <f t="shared" si="174"/>
        <v>113</v>
      </c>
      <c r="BF73" s="753">
        <f>ROUND(((BE73/BD73-1)*100), 1)</f>
        <v>-29.4</v>
      </c>
      <c r="BG73" s="779">
        <v>1467</v>
      </c>
      <c r="BH73" s="819">
        <v>1224</v>
      </c>
      <c r="BI73" s="753">
        <f t="shared" si="159"/>
        <v>-16.600000000000001</v>
      </c>
      <c r="BJ73" s="779">
        <f t="shared" si="175"/>
        <v>250</v>
      </c>
      <c r="BK73" s="819">
        <f t="shared" si="175"/>
        <v>123</v>
      </c>
      <c r="BL73" s="753">
        <f>ROUND(((BK73/BJ73-1)*100), 1)</f>
        <v>-50.8</v>
      </c>
      <c r="BM73" s="779">
        <v>1717</v>
      </c>
      <c r="BN73" s="819">
        <v>1347</v>
      </c>
      <c r="BO73" s="753">
        <f t="shared" si="160"/>
        <v>-21.5</v>
      </c>
      <c r="BP73" s="779">
        <f t="shared" si="176"/>
        <v>102</v>
      </c>
      <c r="BQ73" s="819">
        <f t="shared" si="176"/>
        <v>41</v>
      </c>
      <c r="BR73" s="753">
        <f>ROUND(((BQ73/BP73-1)*100), 1)</f>
        <v>-59.8</v>
      </c>
      <c r="BS73" s="779">
        <v>1819</v>
      </c>
      <c r="BT73" s="819">
        <v>1388</v>
      </c>
      <c r="BU73" s="753">
        <f t="shared" si="161"/>
        <v>-23.7</v>
      </c>
    </row>
    <row r="74" spans="1:73">
      <c r="A74" s="4"/>
      <c r="B74" s="43" t="s">
        <v>52</v>
      </c>
      <c r="C74" s="44">
        <v>2</v>
      </c>
      <c r="D74" s="44">
        <v>122</v>
      </c>
      <c r="E74" s="44">
        <v>40</v>
      </c>
      <c r="F74" s="44">
        <v>78</v>
      </c>
      <c r="G74" s="44">
        <v>124</v>
      </c>
      <c r="H74" s="44">
        <v>2619</v>
      </c>
      <c r="I74" s="44">
        <v>1186</v>
      </c>
      <c r="J74" s="44">
        <v>1597</v>
      </c>
      <c r="K74" s="283">
        <v>256</v>
      </c>
      <c r="L74" s="390">
        <v>0</v>
      </c>
      <c r="M74" s="242">
        <f t="shared" si="146"/>
        <v>-100</v>
      </c>
      <c r="N74" s="283">
        <f t="shared" si="162"/>
        <v>0</v>
      </c>
      <c r="O74" s="390">
        <f t="shared" si="163"/>
        <v>295</v>
      </c>
      <c r="P74" s="523">
        <v>0</v>
      </c>
      <c r="Q74" s="283">
        <v>256</v>
      </c>
      <c r="R74" s="390">
        <v>295</v>
      </c>
      <c r="S74" s="242">
        <f t="shared" si="148"/>
        <v>15.2</v>
      </c>
      <c r="T74" s="283">
        <f t="shared" si="164"/>
        <v>0</v>
      </c>
      <c r="U74" s="390">
        <f t="shared" si="165"/>
        <v>354</v>
      </c>
      <c r="V74" s="523">
        <v>0</v>
      </c>
      <c r="W74" s="283">
        <v>256</v>
      </c>
      <c r="X74" s="390">
        <v>649</v>
      </c>
      <c r="Y74" s="242">
        <f t="shared" si="150"/>
        <v>153.5</v>
      </c>
      <c r="Z74" s="283">
        <f t="shared" si="166"/>
        <v>304</v>
      </c>
      <c r="AA74" s="390">
        <f t="shared" si="167"/>
        <v>102</v>
      </c>
      <c r="AB74" s="523">
        <v>0</v>
      </c>
      <c r="AC74" s="283">
        <v>560</v>
      </c>
      <c r="AD74" s="390">
        <v>751</v>
      </c>
      <c r="AE74" s="242">
        <f t="shared" si="152"/>
        <v>34.1</v>
      </c>
      <c r="AF74" s="283">
        <f t="shared" si="168"/>
        <v>149</v>
      </c>
      <c r="AG74" s="390">
        <f t="shared" si="168"/>
        <v>100</v>
      </c>
      <c r="AH74" s="242">
        <f t="shared" si="153"/>
        <v>-32.9</v>
      </c>
      <c r="AI74" s="283">
        <v>709</v>
      </c>
      <c r="AJ74" s="390">
        <v>851</v>
      </c>
      <c r="AK74" s="242">
        <f t="shared" si="154"/>
        <v>20</v>
      </c>
      <c r="AL74" s="762">
        <f t="shared" si="169"/>
        <v>0</v>
      </c>
      <c r="AM74" s="769">
        <f t="shared" si="170"/>
        <v>0</v>
      </c>
      <c r="AN74" s="799">
        <v>0</v>
      </c>
      <c r="AO74" s="779">
        <v>709</v>
      </c>
      <c r="AP74" s="819">
        <v>851</v>
      </c>
      <c r="AQ74" s="753">
        <f t="shared" si="156"/>
        <v>20</v>
      </c>
      <c r="AR74" s="779">
        <f t="shared" si="171"/>
        <v>294</v>
      </c>
      <c r="AS74" s="819">
        <f t="shared" si="171"/>
        <v>25</v>
      </c>
      <c r="AT74" s="799">
        <v>0</v>
      </c>
      <c r="AU74" s="975">
        <v>1003</v>
      </c>
      <c r="AV74" s="970">
        <v>876</v>
      </c>
      <c r="AW74" s="753">
        <f t="shared" si="157"/>
        <v>-12.7</v>
      </c>
      <c r="AX74" s="779">
        <f t="shared" si="172"/>
        <v>0</v>
      </c>
      <c r="AY74" s="819">
        <f t="shared" si="173"/>
        <v>100</v>
      </c>
      <c r="AZ74" s="799">
        <v>0</v>
      </c>
      <c r="BA74" s="779">
        <v>1003</v>
      </c>
      <c r="BB74" s="819">
        <v>976</v>
      </c>
      <c r="BC74" s="753">
        <f t="shared" si="158"/>
        <v>-2.7</v>
      </c>
      <c r="BD74" s="779">
        <f t="shared" si="174"/>
        <v>201</v>
      </c>
      <c r="BE74" s="819">
        <f t="shared" si="174"/>
        <v>203</v>
      </c>
      <c r="BF74" s="753">
        <f t="shared" ref="BF74" si="177">ROUND(((BE74/BD74-1)*100), 1)</f>
        <v>1</v>
      </c>
      <c r="BG74" s="779">
        <v>1204</v>
      </c>
      <c r="BH74" s="819">
        <v>1179</v>
      </c>
      <c r="BI74" s="753">
        <f t="shared" si="159"/>
        <v>-2.1</v>
      </c>
      <c r="BJ74" s="779">
        <f t="shared" si="175"/>
        <v>0</v>
      </c>
      <c r="BK74" s="819">
        <f t="shared" si="175"/>
        <v>15</v>
      </c>
      <c r="BL74" s="799">
        <v>0</v>
      </c>
      <c r="BM74" s="779">
        <v>1204</v>
      </c>
      <c r="BN74" s="819">
        <v>1194</v>
      </c>
      <c r="BO74" s="753">
        <f t="shared" si="160"/>
        <v>-0.8</v>
      </c>
      <c r="BP74" s="779">
        <f t="shared" si="176"/>
        <v>0</v>
      </c>
      <c r="BQ74" s="819">
        <f t="shared" si="176"/>
        <v>0</v>
      </c>
      <c r="BR74" s="799">
        <v>0</v>
      </c>
      <c r="BS74" s="779">
        <v>1204</v>
      </c>
      <c r="BT74" s="819">
        <v>1194</v>
      </c>
      <c r="BU74" s="753">
        <f t="shared" si="161"/>
        <v>-0.8</v>
      </c>
    </row>
    <row r="75" spans="1:73">
      <c r="A75" s="4"/>
      <c r="B75" s="43" t="s">
        <v>54</v>
      </c>
      <c r="C75" s="44">
        <v>1122</v>
      </c>
      <c r="D75" s="44">
        <v>1173</v>
      </c>
      <c r="E75" s="44">
        <v>1087</v>
      </c>
      <c r="F75" s="44">
        <v>1262</v>
      </c>
      <c r="G75" s="44">
        <v>1113</v>
      </c>
      <c r="H75" s="44">
        <v>1214</v>
      </c>
      <c r="I75" s="44">
        <v>1195</v>
      </c>
      <c r="J75" s="44">
        <v>1194</v>
      </c>
      <c r="K75" s="283">
        <v>105</v>
      </c>
      <c r="L75" s="390">
        <v>78</v>
      </c>
      <c r="M75" s="242">
        <f t="shared" si="146"/>
        <v>-25.7</v>
      </c>
      <c r="N75" s="283">
        <f t="shared" si="162"/>
        <v>71</v>
      </c>
      <c r="O75" s="390">
        <f t="shared" si="163"/>
        <v>95</v>
      </c>
      <c r="P75" s="242">
        <f t="shared" si="147"/>
        <v>33.799999999999997</v>
      </c>
      <c r="Q75" s="283">
        <v>176</v>
      </c>
      <c r="R75" s="390">
        <v>173</v>
      </c>
      <c r="S75" s="242">
        <f t="shared" si="148"/>
        <v>-1.7</v>
      </c>
      <c r="T75" s="283">
        <f t="shared" si="164"/>
        <v>125</v>
      </c>
      <c r="U75" s="390">
        <f t="shared" si="165"/>
        <v>98</v>
      </c>
      <c r="V75" s="242">
        <f t="shared" si="149"/>
        <v>-21.6</v>
      </c>
      <c r="W75" s="283">
        <v>301</v>
      </c>
      <c r="X75" s="390">
        <v>271</v>
      </c>
      <c r="Y75" s="242">
        <f t="shared" si="150"/>
        <v>-10</v>
      </c>
      <c r="Z75" s="283">
        <f t="shared" si="166"/>
        <v>79</v>
      </c>
      <c r="AA75" s="390">
        <f t="shared" si="167"/>
        <v>119</v>
      </c>
      <c r="AB75" s="242">
        <f t="shared" ref="AB75:AB76" si="178">ROUND(((AA75/Z75-1)*100), 1)</f>
        <v>50.6</v>
      </c>
      <c r="AC75" s="283">
        <v>380</v>
      </c>
      <c r="AD75" s="390">
        <v>390</v>
      </c>
      <c r="AE75" s="242">
        <f t="shared" si="152"/>
        <v>2.6</v>
      </c>
      <c r="AF75" s="283">
        <f t="shared" si="168"/>
        <v>71</v>
      </c>
      <c r="AG75" s="390">
        <f t="shared" si="168"/>
        <v>70</v>
      </c>
      <c r="AH75" s="242">
        <f t="shared" si="153"/>
        <v>-1.4</v>
      </c>
      <c r="AI75" s="283">
        <v>451</v>
      </c>
      <c r="AJ75" s="390">
        <v>460</v>
      </c>
      <c r="AK75" s="242">
        <f t="shared" si="154"/>
        <v>2</v>
      </c>
      <c r="AL75" s="762">
        <f t="shared" si="169"/>
        <v>101</v>
      </c>
      <c r="AM75" s="769">
        <f t="shared" si="170"/>
        <v>132</v>
      </c>
      <c r="AN75" s="753">
        <f t="shared" si="155"/>
        <v>30.7</v>
      </c>
      <c r="AO75" s="779">
        <v>552</v>
      </c>
      <c r="AP75" s="819">
        <v>592</v>
      </c>
      <c r="AQ75" s="753">
        <f t="shared" si="156"/>
        <v>7.2</v>
      </c>
      <c r="AR75" s="779">
        <f t="shared" si="171"/>
        <v>124</v>
      </c>
      <c r="AS75" s="819">
        <f t="shared" si="171"/>
        <v>80</v>
      </c>
      <c r="AT75" s="753">
        <f>ROUND(((AS75/AR75-1)*100), 1)</f>
        <v>-35.5</v>
      </c>
      <c r="AU75" s="975">
        <v>676</v>
      </c>
      <c r="AV75" s="970">
        <v>672</v>
      </c>
      <c r="AW75" s="753">
        <f t="shared" si="157"/>
        <v>-0.6</v>
      </c>
      <c r="AX75" s="779">
        <f t="shared" si="172"/>
        <v>115</v>
      </c>
      <c r="AY75" s="819">
        <f t="shared" si="173"/>
        <v>37</v>
      </c>
      <c r="AZ75" s="753">
        <f>ROUND(((AY75/AX75-1)*100), 1)</f>
        <v>-67.8</v>
      </c>
      <c r="BA75" s="779">
        <v>791</v>
      </c>
      <c r="BB75" s="819">
        <v>709</v>
      </c>
      <c r="BC75" s="753">
        <f t="shared" si="158"/>
        <v>-10.4</v>
      </c>
      <c r="BD75" s="779">
        <f t="shared" si="174"/>
        <v>103</v>
      </c>
      <c r="BE75" s="819">
        <f t="shared" si="174"/>
        <v>88</v>
      </c>
      <c r="BF75" s="753">
        <f>ROUND(((BE75/BD75-1)*100), 1)</f>
        <v>-14.6</v>
      </c>
      <c r="BG75" s="779">
        <v>894</v>
      </c>
      <c r="BH75" s="819">
        <v>797</v>
      </c>
      <c r="BI75" s="753">
        <f t="shared" si="159"/>
        <v>-10.9</v>
      </c>
      <c r="BJ75" s="779">
        <f t="shared" si="175"/>
        <v>131</v>
      </c>
      <c r="BK75" s="819">
        <f t="shared" si="175"/>
        <v>185</v>
      </c>
      <c r="BL75" s="753">
        <f>ROUND(((BK75/BJ75-1)*100), 1)</f>
        <v>41.2</v>
      </c>
      <c r="BM75" s="779">
        <v>1025</v>
      </c>
      <c r="BN75" s="819">
        <v>982</v>
      </c>
      <c r="BO75" s="753">
        <f t="shared" si="160"/>
        <v>-4.2</v>
      </c>
      <c r="BP75" s="779">
        <f t="shared" si="176"/>
        <v>86</v>
      </c>
      <c r="BQ75" s="819">
        <f t="shared" si="176"/>
        <v>180</v>
      </c>
      <c r="BR75" s="753">
        <f>ROUND(((BQ75/BP75-1)*100), 1)</f>
        <v>109.3</v>
      </c>
      <c r="BS75" s="779">
        <v>1111</v>
      </c>
      <c r="BT75" s="819">
        <v>1162</v>
      </c>
      <c r="BU75" s="753">
        <f t="shared" si="161"/>
        <v>4.5999999999999996</v>
      </c>
    </row>
    <row r="76" spans="1:73">
      <c r="A76" s="4"/>
      <c r="B76" s="43" t="s">
        <v>51</v>
      </c>
      <c r="C76" s="44">
        <v>62</v>
      </c>
      <c r="D76" s="44">
        <v>79</v>
      </c>
      <c r="E76" s="44">
        <v>522</v>
      </c>
      <c r="F76" s="44">
        <v>674</v>
      </c>
      <c r="G76" s="44">
        <v>842</v>
      </c>
      <c r="H76" s="44">
        <v>1986</v>
      </c>
      <c r="I76" s="44">
        <v>3704</v>
      </c>
      <c r="J76" s="44">
        <v>941</v>
      </c>
      <c r="K76" s="283">
        <v>60</v>
      </c>
      <c r="L76" s="390">
        <v>20</v>
      </c>
      <c r="M76" s="242">
        <f t="shared" si="146"/>
        <v>-66.7</v>
      </c>
      <c r="N76" s="283">
        <f t="shared" si="162"/>
        <v>288</v>
      </c>
      <c r="O76" s="390">
        <f t="shared" si="163"/>
        <v>38</v>
      </c>
      <c r="P76" s="242">
        <f t="shared" si="147"/>
        <v>-86.8</v>
      </c>
      <c r="Q76" s="283">
        <v>348</v>
      </c>
      <c r="R76" s="390">
        <v>58</v>
      </c>
      <c r="S76" s="242">
        <f t="shared" si="148"/>
        <v>-83.3</v>
      </c>
      <c r="T76" s="283">
        <f t="shared" si="164"/>
        <v>283</v>
      </c>
      <c r="U76" s="390">
        <f t="shared" si="165"/>
        <v>20</v>
      </c>
      <c r="V76" s="242">
        <f t="shared" si="149"/>
        <v>-92.9</v>
      </c>
      <c r="W76" s="283">
        <v>631</v>
      </c>
      <c r="X76" s="390">
        <v>78</v>
      </c>
      <c r="Y76" s="242">
        <f t="shared" si="150"/>
        <v>-87.6</v>
      </c>
      <c r="Z76" s="283">
        <f t="shared" si="166"/>
        <v>60</v>
      </c>
      <c r="AA76" s="390">
        <f t="shared" si="167"/>
        <v>39</v>
      </c>
      <c r="AB76" s="242">
        <f t="shared" si="178"/>
        <v>-35</v>
      </c>
      <c r="AC76" s="283">
        <v>691</v>
      </c>
      <c r="AD76" s="390">
        <v>117</v>
      </c>
      <c r="AE76" s="242">
        <f t="shared" si="152"/>
        <v>-83.1</v>
      </c>
      <c r="AF76" s="283">
        <f t="shared" si="168"/>
        <v>20</v>
      </c>
      <c r="AG76" s="390">
        <f t="shared" si="168"/>
        <v>39</v>
      </c>
      <c r="AH76" s="242">
        <f t="shared" si="153"/>
        <v>95</v>
      </c>
      <c r="AI76" s="283">
        <v>711</v>
      </c>
      <c r="AJ76" s="390">
        <v>156</v>
      </c>
      <c r="AK76" s="242">
        <f t="shared" si="154"/>
        <v>-78.099999999999994</v>
      </c>
      <c r="AL76" s="762">
        <f t="shared" si="169"/>
        <v>31</v>
      </c>
      <c r="AM76" s="769">
        <f t="shared" si="170"/>
        <v>19</v>
      </c>
      <c r="AN76" s="753">
        <f t="shared" si="155"/>
        <v>-38.700000000000003</v>
      </c>
      <c r="AO76" s="779">
        <v>742</v>
      </c>
      <c r="AP76" s="819">
        <v>175</v>
      </c>
      <c r="AQ76" s="753">
        <f t="shared" si="156"/>
        <v>-76.400000000000006</v>
      </c>
      <c r="AR76" s="779">
        <f t="shared" si="171"/>
        <v>40</v>
      </c>
      <c r="AS76" s="819">
        <f t="shared" si="171"/>
        <v>20</v>
      </c>
      <c r="AT76" s="753">
        <f>ROUND(((AS76/AR76-1)*100), 1)</f>
        <v>-50</v>
      </c>
      <c r="AU76" s="975">
        <v>782</v>
      </c>
      <c r="AV76" s="970">
        <v>195</v>
      </c>
      <c r="AW76" s="753">
        <f t="shared" si="157"/>
        <v>-75.099999999999994</v>
      </c>
      <c r="AX76" s="779">
        <f t="shared" si="172"/>
        <v>40</v>
      </c>
      <c r="AY76" s="819">
        <f t="shared" si="173"/>
        <v>19</v>
      </c>
      <c r="AZ76" s="753">
        <f>ROUND(((AY76/AX76-1)*100), 1)</f>
        <v>-52.5</v>
      </c>
      <c r="BA76" s="779">
        <v>822</v>
      </c>
      <c r="BB76" s="819">
        <v>214</v>
      </c>
      <c r="BC76" s="753">
        <f t="shared" si="158"/>
        <v>-74</v>
      </c>
      <c r="BD76" s="779">
        <f t="shared" si="174"/>
        <v>20</v>
      </c>
      <c r="BE76" s="819">
        <f t="shared" si="174"/>
        <v>0</v>
      </c>
      <c r="BF76" s="753">
        <f>ROUND(((BE76/BD76-1)*100), 1)</f>
        <v>-100</v>
      </c>
      <c r="BG76" s="779">
        <v>842</v>
      </c>
      <c r="BH76" s="819">
        <v>214</v>
      </c>
      <c r="BI76" s="753">
        <f t="shared" si="159"/>
        <v>-74.599999999999994</v>
      </c>
      <c r="BJ76" s="779">
        <f t="shared" si="175"/>
        <v>20</v>
      </c>
      <c r="BK76" s="819">
        <f t="shared" si="175"/>
        <v>20</v>
      </c>
      <c r="BL76" s="753">
        <f>ROUND(((BK76/BJ76-1)*100), 1)</f>
        <v>0</v>
      </c>
      <c r="BM76" s="779">
        <v>862</v>
      </c>
      <c r="BN76" s="819">
        <v>234</v>
      </c>
      <c r="BO76" s="753">
        <f t="shared" si="160"/>
        <v>-72.900000000000006</v>
      </c>
      <c r="BP76" s="779">
        <f t="shared" si="176"/>
        <v>20</v>
      </c>
      <c r="BQ76" s="819">
        <f t="shared" si="176"/>
        <v>19</v>
      </c>
      <c r="BR76" s="753">
        <f>ROUND(((BQ76/BP76-1)*100), 1)</f>
        <v>-5</v>
      </c>
      <c r="BS76" s="779">
        <v>882</v>
      </c>
      <c r="BT76" s="819">
        <v>253</v>
      </c>
      <c r="BU76" s="753">
        <f t="shared" si="161"/>
        <v>-71.3</v>
      </c>
    </row>
    <row r="77" spans="1:73" s="173" customFormat="1">
      <c r="A77" s="325"/>
      <c r="B77" s="33" t="s">
        <v>479</v>
      </c>
      <c r="C77" s="340">
        <v>0</v>
      </c>
      <c r="D77" s="340">
        <v>0</v>
      </c>
      <c r="E77" s="340">
        <v>0</v>
      </c>
      <c r="F77" s="340">
        <v>0</v>
      </c>
      <c r="G77" s="340">
        <v>0</v>
      </c>
      <c r="H77" s="340">
        <v>0</v>
      </c>
      <c r="I77" s="340">
        <v>0</v>
      </c>
      <c r="J77" s="340">
        <v>672</v>
      </c>
      <c r="K77" s="432">
        <v>0</v>
      </c>
      <c r="L77" s="388">
        <v>368</v>
      </c>
      <c r="M77" s="177">
        <v>0</v>
      </c>
      <c r="N77" s="432">
        <f t="shared" si="162"/>
        <v>0</v>
      </c>
      <c r="O77" s="388">
        <f t="shared" si="163"/>
        <v>327</v>
      </c>
      <c r="P77" s="177">
        <v>0</v>
      </c>
      <c r="Q77" s="283">
        <v>0</v>
      </c>
      <c r="R77" s="390">
        <v>695</v>
      </c>
      <c r="S77" s="177">
        <v>0</v>
      </c>
      <c r="T77" s="432">
        <f t="shared" si="164"/>
        <v>0</v>
      </c>
      <c r="U77" s="388">
        <f t="shared" si="165"/>
        <v>385</v>
      </c>
      <c r="V77" s="177">
        <v>0</v>
      </c>
      <c r="W77" s="283">
        <v>0</v>
      </c>
      <c r="X77" s="390">
        <v>1080</v>
      </c>
      <c r="Y77" s="177">
        <v>0</v>
      </c>
      <c r="Z77" s="432">
        <f t="shared" si="166"/>
        <v>0</v>
      </c>
      <c r="AA77" s="388">
        <f t="shared" si="167"/>
        <v>194</v>
      </c>
      <c r="AB77" s="521">
        <v>0</v>
      </c>
      <c r="AC77" s="283">
        <v>0</v>
      </c>
      <c r="AD77" s="390">
        <v>1274</v>
      </c>
      <c r="AE77" s="521">
        <v>0</v>
      </c>
      <c r="AF77" s="432">
        <f t="shared" si="168"/>
        <v>0</v>
      </c>
      <c r="AG77" s="388">
        <f t="shared" si="168"/>
        <v>289</v>
      </c>
      <c r="AH77" s="521">
        <v>0</v>
      </c>
      <c r="AI77" s="283">
        <v>0</v>
      </c>
      <c r="AJ77" s="390">
        <v>1563</v>
      </c>
      <c r="AK77" s="521">
        <v>0</v>
      </c>
      <c r="AL77" s="774">
        <f t="shared" si="169"/>
        <v>0</v>
      </c>
      <c r="AM77" s="767">
        <f t="shared" si="170"/>
        <v>329</v>
      </c>
      <c r="AN77" s="749">
        <v>0</v>
      </c>
      <c r="AO77" s="779">
        <v>0</v>
      </c>
      <c r="AP77" s="819">
        <v>1892</v>
      </c>
      <c r="AQ77" s="749">
        <v>0</v>
      </c>
      <c r="AR77" s="777">
        <f t="shared" si="171"/>
        <v>39</v>
      </c>
      <c r="AS77" s="767">
        <f t="shared" si="171"/>
        <v>504</v>
      </c>
      <c r="AT77" s="753">
        <f t="shared" ref="AT77" si="179">ROUND(((AS77/AR77-1)*100), 1)</f>
        <v>1192.3</v>
      </c>
      <c r="AU77" s="975">
        <v>39</v>
      </c>
      <c r="AV77" s="970">
        <v>2396</v>
      </c>
      <c r="AW77" s="753">
        <f t="shared" si="157"/>
        <v>6043.6</v>
      </c>
      <c r="AX77" s="777">
        <f t="shared" si="172"/>
        <v>0</v>
      </c>
      <c r="AY77" s="767">
        <f t="shared" si="173"/>
        <v>412</v>
      </c>
      <c r="AZ77" s="799">
        <v>0</v>
      </c>
      <c r="BA77" s="779">
        <v>39</v>
      </c>
      <c r="BB77" s="819">
        <v>2808</v>
      </c>
      <c r="BC77" s="753">
        <f t="shared" si="158"/>
        <v>7100</v>
      </c>
      <c r="BD77" s="777">
        <f t="shared" si="174"/>
        <v>19</v>
      </c>
      <c r="BE77" s="767">
        <f t="shared" si="174"/>
        <v>369</v>
      </c>
      <c r="BF77" s="753">
        <f t="shared" ref="BF77" si="180">ROUND(((BE77/BD77-1)*100), 1)</f>
        <v>1842.1</v>
      </c>
      <c r="BG77" s="779">
        <v>58</v>
      </c>
      <c r="BH77" s="819">
        <v>3177</v>
      </c>
      <c r="BI77" s="753">
        <f t="shared" si="159"/>
        <v>5377.6</v>
      </c>
      <c r="BJ77" s="777">
        <f t="shared" si="175"/>
        <v>95</v>
      </c>
      <c r="BK77" s="767">
        <f t="shared" si="175"/>
        <v>478</v>
      </c>
      <c r="BL77" s="753">
        <f t="shared" ref="BL77" si="181">ROUND(((BK77/BJ77-1)*100), 1)</f>
        <v>403.2</v>
      </c>
      <c r="BM77" s="779">
        <v>153</v>
      </c>
      <c r="BN77" s="819">
        <v>3655</v>
      </c>
      <c r="BO77" s="753">
        <f t="shared" si="160"/>
        <v>2288.9</v>
      </c>
      <c r="BP77" s="777">
        <f t="shared" si="176"/>
        <v>191</v>
      </c>
      <c r="BQ77" s="767">
        <f t="shared" si="176"/>
        <v>191</v>
      </c>
      <c r="BR77" s="753">
        <f>ROUND(((BQ77/BP77-1)*100), 1)</f>
        <v>0</v>
      </c>
      <c r="BS77" s="779">
        <v>344</v>
      </c>
      <c r="BT77" s="819">
        <v>3846</v>
      </c>
      <c r="BU77" s="753">
        <f t="shared" si="161"/>
        <v>1018</v>
      </c>
    </row>
    <row r="78" spans="1:73">
      <c r="A78" s="4"/>
      <c r="B78" s="43" t="s">
        <v>71</v>
      </c>
      <c r="C78" s="44">
        <v>421</v>
      </c>
      <c r="D78" s="44">
        <v>367</v>
      </c>
      <c r="E78" s="44">
        <v>495</v>
      </c>
      <c r="F78" s="44">
        <v>557</v>
      </c>
      <c r="G78" s="44">
        <v>419</v>
      </c>
      <c r="H78" s="44">
        <v>451</v>
      </c>
      <c r="I78" s="44">
        <v>577</v>
      </c>
      <c r="J78" s="44">
        <v>654</v>
      </c>
      <c r="K78" s="283">
        <v>80</v>
      </c>
      <c r="L78" s="390">
        <v>25</v>
      </c>
      <c r="M78" s="242">
        <f t="shared" ref="M78:M84" si="182">ROUND(((L78/K78-1)*100), 1)</f>
        <v>-68.8</v>
      </c>
      <c r="N78" s="283">
        <f t="shared" si="162"/>
        <v>0</v>
      </c>
      <c r="O78" s="390">
        <f t="shared" si="163"/>
        <v>20</v>
      </c>
      <c r="P78" s="523">
        <v>0</v>
      </c>
      <c r="Q78" s="283">
        <v>80</v>
      </c>
      <c r="R78" s="390">
        <v>45</v>
      </c>
      <c r="S78" s="242">
        <f>ROUND(((R78/Q78-1)*100), 1)</f>
        <v>-43.8</v>
      </c>
      <c r="T78" s="283">
        <f t="shared" si="164"/>
        <v>58</v>
      </c>
      <c r="U78" s="390">
        <f t="shared" si="165"/>
        <v>48</v>
      </c>
      <c r="V78" s="242">
        <f t="shared" ref="V78:V85" si="183">ROUND(((U78/T78-1)*100), 1)</f>
        <v>-17.2</v>
      </c>
      <c r="W78" s="283">
        <v>138</v>
      </c>
      <c r="X78" s="390">
        <v>93</v>
      </c>
      <c r="Y78" s="242">
        <f t="shared" ref="Y78:Y85" si="184">ROUND(((X78/W78-1)*100), 1)</f>
        <v>-32.6</v>
      </c>
      <c r="Z78" s="283">
        <f t="shared" si="166"/>
        <v>40</v>
      </c>
      <c r="AA78" s="390">
        <f t="shared" si="167"/>
        <v>40</v>
      </c>
      <c r="AB78" s="242">
        <f t="shared" ref="AB78" si="185">ROUND(((AA78/Z78-1)*100), 1)</f>
        <v>0</v>
      </c>
      <c r="AC78" s="283">
        <v>178</v>
      </c>
      <c r="AD78" s="390">
        <v>133</v>
      </c>
      <c r="AE78" s="242">
        <f t="shared" ref="AE78:AE85" si="186">ROUND(((AD78/AC78-1)*100), 1)</f>
        <v>-25.3</v>
      </c>
      <c r="AF78" s="283">
        <f t="shared" si="168"/>
        <v>39</v>
      </c>
      <c r="AG78" s="390">
        <f t="shared" si="168"/>
        <v>60</v>
      </c>
      <c r="AH78" s="242">
        <f t="shared" ref="AH78" si="187">ROUND(((AG78/AF78-1)*100), 1)</f>
        <v>53.8</v>
      </c>
      <c r="AI78" s="283">
        <v>217</v>
      </c>
      <c r="AJ78" s="390">
        <v>193</v>
      </c>
      <c r="AK78" s="242">
        <f t="shared" ref="AK78:AK85" si="188">ROUND(((AJ78/AI78-1)*100), 1)</f>
        <v>-11.1</v>
      </c>
      <c r="AL78" s="762">
        <f t="shared" si="169"/>
        <v>63</v>
      </c>
      <c r="AM78" s="769">
        <f t="shared" si="170"/>
        <v>207</v>
      </c>
      <c r="AN78" s="753">
        <f t="shared" ref="AN78" si="189">ROUND(((AM78/AL78-1)*100), 1)</f>
        <v>228.6</v>
      </c>
      <c r="AO78" s="779">
        <v>280</v>
      </c>
      <c r="AP78" s="819">
        <v>400</v>
      </c>
      <c r="AQ78" s="753">
        <f t="shared" ref="AQ78:AQ86" si="190">ROUND(((AP78/AO78-1)*100), 1)</f>
        <v>42.9</v>
      </c>
      <c r="AR78" s="779">
        <f t="shared" si="171"/>
        <v>59</v>
      </c>
      <c r="AS78" s="819">
        <f t="shared" si="171"/>
        <v>39</v>
      </c>
      <c r="AT78" s="753">
        <f>ROUND(((AS78/AR78-1)*100), 1)</f>
        <v>-33.9</v>
      </c>
      <c r="AU78" s="975">
        <v>339</v>
      </c>
      <c r="AV78" s="970">
        <v>439</v>
      </c>
      <c r="AW78" s="753">
        <f t="shared" si="157"/>
        <v>29.5</v>
      </c>
      <c r="AX78" s="779">
        <f t="shared" si="172"/>
        <v>117</v>
      </c>
      <c r="AY78" s="819">
        <f t="shared" si="173"/>
        <v>59</v>
      </c>
      <c r="AZ78" s="753">
        <f>ROUND(((AY78/AX78-1)*100), 1)</f>
        <v>-49.6</v>
      </c>
      <c r="BA78" s="779">
        <v>456</v>
      </c>
      <c r="BB78" s="819">
        <v>498</v>
      </c>
      <c r="BC78" s="753">
        <f t="shared" si="158"/>
        <v>9.1999999999999993</v>
      </c>
      <c r="BD78" s="779">
        <f t="shared" si="174"/>
        <v>20</v>
      </c>
      <c r="BE78" s="819">
        <f t="shared" si="174"/>
        <v>39</v>
      </c>
      <c r="BF78" s="753">
        <f>ROUND(((BE78/BD78-1)*100), 1)</f>
        <v>95</v>
      </c>
      <c r="BG78" s="779">
        <v>476</v>
      </c>
      <c r="BH78" s="819">
        <v>537</v>
      </c>
      <c r="BI78" s="753">
        <f t="shared" si="159"/>
        <v>12.8</v>
      </c>
      <c r="BJ78" s="779">
        <f t="shared" si="175"/>
        <v>59</v>
      </c>
      <c r="BK78" s="819">
        <f t="shared" si="175"/>
        <v>58</v>
      </c>
      <c r="BL78" s="753">
        <f>ROUND(((BK78/BJ78-1)*100), 1)</f>
        <v>-1.7</v>
      </c>
      <c r="BM78" s="779">
        <v>535</v>
      </c>
      <c r="BN78" s="819">
        <v>595</v>
      </c>
      <c r="BO78" s="753">
        <f t="shared" si="160"/>
        <v>11.2</v>
      </c>
      <c r="BP78" s="779">
        <f t="shared" si="176"/>
        <v>20</v>
      </c>
      <c r="BQ78" s="819">
        <f t="shared" si="176"/>
        <v>16</v>
      </c>
      <c r="BR78" s="753">
        <f>ROUND(((BQ78/BP78-1)*100), 1)</f>
        <v>-20</v>
      </c>
      <c r="BS78" s="779">
        <v>555</v>
      </c>
      <c r="BT78" s="819">
        <v>611</v>
      </c>
      <c r="BU78" s="753">
        <f t="shared" si="161"/>
        <v>10.1</v>
      </c>
    </row>
    <row r="79" spans="1:73">
      <c r="A79" s="4"/>
      <c r="B79" s="43" t="s">
        <v>138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1586</v>
      </c>
      <c r="I79" s="44">
        <v>3916</v>
      </c>
      <c r="J79" s="44">
        <v>220</v>
      </c>
      <c r="K79" s="283">
        <v>220</v>
      </c>
      <c r="L79" s="390">
        <v>0</v>
      </c>
      <c r="M79" s="242">
        <f t="shared" si="182"/>
        <v>-100</v>
      </c>
      <c r="N79" s="283">
        <f t="shared" si="162"/>
        <v>0</v>
      </c>
      <c r="O79" s="390">
        <f t="shared" si="163"/>
        <v>0</v>
      </c>
      <c r="P79" s="523">
        <v>0</v>
      </c>
      <c r="Q79" s="283">
        <v>220</v>
      </c>
      <c r="R79" s="390">
        <v>0</v>
      </c>
      <c r="S79" s="242">
        <f>ROUND(((R79/Q79-1)*100), 1)</f>
        <v>-100</v>
      </c>
      <c r="T79" s="283">
        <f t="shared" si="164"/>
        <v>0</v>
      </c>
      <c r="U79" s="390">
        <f t="shared" si="165"/>
        <v>0</v>
      </c>
      <c r="V79" s="523">
        <v>0</v>
      </c>
      <c r="W79" s="283">
        <v>220</v>
      </c>
      <c r="X79" s="390">
        <v>0</v>
      </c>
      <c r="Y79" s="242">
        <f t="shared" si="184"/>
        <v>-100</v>
      </c>
      <c r="Z79" s="283">
        <f t="shared" si="166"/>
        <v>0</v>
      </c>
      <c r="AA79" s="390">
        <f t="shared" si="167"/>
        <v>0</v>
      </c>
      <c r="AB79" s="523">
        <v>0</v>
      </c>
      <c r="AC79" s="283">
        <v>220</v>
      </c>
      <c r="AD79" s="390">
        <v>0</v>
      </c>
      <c r="AE79" s="242">
        <f t="shared" si="186"/>
        <v>-100</v>
      </c>
      <c r="AF79" s="283">
        <f t="shared" si="168"/>
        <v>0</v>
      </c>
      <c r="AG79" s="390">
        <f t="shared" si="168"/>
        <v>0</v>
      </c>
      <c r="AH79" s="523">
        <v>0</v>
      </c>
      <c r="AI79" s="283">
        <v>220</v>
      </c>
      <c r="AJ79" s="390">
        <v>0</v>
      </c>
      <c r="AK79" s="242">
        <f t="shared" si="188"/>
        <v>-100</v>
      </c>
      <c r="AL79" s="762">
        <f t="shared" si="169"/>
        <v>0</v>
      </c>
      <c r="AM79" s="769">
        <f t="shared" si="170"/>
        <v>0</v>
      </c>
      <c r="AN79" s="751">
        <v>0</v>
      </c>
      <c r="AO79" s="779">
        <v>220</v>
      </c>
      <c r="AP79" s="819">
        <v>0</v>
      </c>
      <c r="AQ79" s="753">
        <f t="shared" si="190"/>
        <v>-100</v>
      </c>
      <c r="AR79" s="779">
        <f t="shared" si="171"/>
        <v>0</v>
      </c>
      <c r="AS79" s="819">
        <f t="shared" si="171"/>
        <v>0</v>
      </c>
      <c r="AT79" s="751">
        <v>0</v>
      </c>
      <c r="AU79" s="975">
        <v>220</v>
      </c>
      <c r="AV79" s="970">
        <v>0</v>
      </c>
      <c r="AW79" s="753">
        <f t="shared" si="157"/>
        <v>-100</v>
      </c>
      <c r="AX79" s="779">
        <f t="shared" si="172"/>
        <v>0</v>
      </c>
      <c r="AY79" s="819">
        <f t="shared" si="173"/>
        <v>0</v>
      </c>
      <c r="AZ79" s="751">
        <v>0</v>
      </c>
      <c r="BA79" s="779">
        <v>220</v>
      </c>
      <c r="BB79" s="819">
        <v>0</v>
      </c>
      <c r="BC79" s="753">
        <f t="shared" si="158"/>
        <v>-100</v>
      </c>
      <c r="BD79" s="779">
        <f t="shared" si="174"/>
        <v>0</v>
      </c>
      <c r="BE79" s="819">
        <f t="shared" si="174"/>
        <v>0</v>
      </c>
      <c r="BF79" s="751">
        <v>0</v>
      </c>
      <c r="BG79" s="779">
        <v>220</v>
      </c>
      <c r="BH79" s="819">
        <v>0</v>
      </c>
      <c r="BI79" s="753">
        <f t="shared" si="159"/>
        <v>-100</v>
      </c>
      <c r="BJ79" s="779">
        <f t="shared" si="175"/>
        <v>0</v>
      </c>
      <c r="BK79" s="819">
        <f t="shared" si="175"/>
        <v>0</v>
      </c>
      <c r="BL79" s="751">
        <v>0</v>
      </c>
      <c r="BM79" s="779">
        <v>220</v>
      </c>
      <c r="BN79" s="819">
        <v>0</v>
      </c>
      <c r="BO79" s="753">
        <f t="shared" si="160"/>
        <v>-100</v>
      </c>
      <c r="BP79" s="779">
        <f t="shared" si="176"/>
        <v>0</v>
      </c>
      <c r="BQ79" s="819">
        <f t="shared" si="176"/>
        <v>0</v>
      </c>
      <c r="BR79" s="751">
        <v>0</v>
      </c>
      <c r="BS79" s="779">
        <v>220</v>
      </c>
      <c r="BT79" s="819">
        <v>0</v>
      </c>
      <c r="BU79" s="753">
        <f t="shared" si="161"/>
        <v>-100</v>
      </c>
    </row>
    <row r="80" spans="1:73">
      <c r="A80" s="4"/>
      <c r="B80" s="43" t="s">
        <v>72</v>
      </c>
      <c r="C80" s="44">
        <v>194</v>
      </c>
      <c r="D80" s="44">
        <v>250</v>
      </c>
      <c r="E80" s="44">
        <v>230</v>
      </c>
      <c r="F80" s="44">
        <v>213</v>
      </c>
      <c r="G80" s="44">
        <v>308</v>
      </c>
      <c r="H80" s="44">
        <v>385</v>
      </c>
      <c r="I80" s="44">
        <v>220</v>
      </c>
      <c r="J80" s="44">
        <v>211</v>
      </c>
      <c r="K80" s="283">
        <v>54</v>
      </c>
      <c r="L80" s="390">
        <v>11</v>
      </c>
      <c r="M80" s="242">
        <f t="shared" si="182"/>
        <v>-79.599999999999994</v>
      </c>
      <c r="N80" s="283">
        <f t="shared" si="162"/>
        <v>2</v>
      </c>
      <c r="O80" s="390">
        <f t="shared" si="163"/>
        <v>27</v>
      </c>
      <c r="P80" s="242">
        <f>ROUND(((O80/N80-1)*100), 1)</f>
        <v>1250</v>
      </c>
      <c r="Q80" s="283">
        <v>56</v>
      </c>
      <c r="R80" s="390">
        <v>38</v>
      </c>
      <c r="S80" s="242">
        <f>ROUND(((R80/Q80-1)*100), 1)</f>
        <v>-32.1</v>
      </c>
      <c r="T80" s="283">
        <f t="shared" si="164"/>
        <v>37</v>
      </c>
      <c r="U80" s="390">
        <f t="shared" si="165"/>
        <v>8</v>
      </c>
      <c r="V80" s="242">
        <f t="shared" si="183"/>
        <v>-78.400000000000006</v>
      </c>
      <c r="W80" s="283">
        <v>93</v>
      </c>
      <c r="X80" s="390">
        <v>46</v>
      </c>
      <c r="Y80" s="242">
        <f t="shared" si="184"/>
        <v>-50.5</v>
      </c>
      <c r="Z80" s="283">
        <f t="shared" si="166"/>
        <v>12</v>
      </c>
      <c r="AA80" s="390">
        <f t="shared" si="167"/>
        <v>3</v>
      </c>
      <c r="AB80" s="242">
        <f t="shared" ref="AB80:AB84" si="191">ROUND(((AA80/Z80-1)*100), 1)</f>
        <v>-75</v>
      </c>
      <c r="AC80" s="283">
        <v>105</v>
      </c>
      <c r="AD80" s="390">
        <v>49</v>
      </c>
      <c r="AE80" s="242">
        <f t="shared" si="186"/>
        <v>-53.3</v>
      </c>
      <c r="AF80" s="283">
        <f t="shared" si="168"/>
        <v>16</v>
      </c>
      <c r="AG80" s="390">
        <f t="shared" si="168"/>
        <v>33</v>
      </c>
      <c r="AH80" s="242">
        <f t="shared" ref="AH80:AH84" si="192">ROUND(((AG80/AF80-1)*100), 1)</f>
        <v>106.3</v>
      </c>
      <c r="AI80" s="283">
        <v>121</v>
      </c>
      <c r="AJ80" s="390">
        <v>82</v>
      </c>
      <c r="AK80" s="242">
        <f t="shared" si="188"/>
        <v>-32.200000000000003</v>
      </c>
      <c r="AL80" s="762">
        <f t="shared" si="169"/>
        <v>27</v>
      </c>
      <c r="AM80" s="769">
        <f t="shared" si="170"/>
        <v>3</v>
      </c>
      <c r="AN80" s="753">
        <f t="shared" ref="AN80:AN84" si="193">ROUND(((AM80/AL80-1)*100), 1)</f>
        <v>-88.9</v>
      </c>
      <c r="AO80" s="779">
        <v>148</v>
      </c>
      <c r="AP80" s="819">
        <v>85</v>
      </c>
      <c r="AQ80" s="753">
        <f t="shared" si="190"/>
        <v>-42.6</v>
      </c>
      <c r="AR80" s="779">
        <f t="shared" si="171"/>
        <v>0</v>
      </c>
      <c r="AS80" s="819">
        <f t="shared" si="171"/>
        <v>32</v>
      </c>
      <c r="AT80" s="799">
        <v>0</v>
      </c>
      <c r="AU80" s="975">
        <v>148</v>
      </c>
      <c r="AV80" s="970">
        <v>117</v>
      </c>
      <c r="AW80" s="753">
        <f t="shared" si="157"/>
        <v>-20.9</v>
      </c>
      <c r="AX80" s="779">
        <f t="shared" si="172"/>
        <v>1</v>
      </c>
      <c r="AY80" s="819">
        <f t="shared" si="173"/>
        <v>17</v>
      </c>
      <c r="AZ80" s="753">
        <f>ROUND(((AY80/AX80-1)*100), 1)</f>
        <v>1600</v>
      </c>
      <c r="BA80" s="779">
        <v>149</v>
      </c>
      <c r="BB80" s="819">
        <v>134</v>
      </c>
      <c r="BC80" s="753">
        <f t="shared" si="158"/>
        <v>-10.1</v>
      </c>
      <c r="BD80" s="779">
        <f t="shared" si="174"/>
        <v>12</v>
      </c>
      <c r="BE80" s="819">
        <f t="shared" si="174"/>
        <v>18</v>
      </c>
      <c r="BF80" s="753">
        <f>ROUND(((BE80/BD80-1)*100), 1)</f>
        <v>50</v>
      </c>
      <c r="BG80" s="779">
        <v>161</v>
      </c>
      <c r="BH80" s="819">
        <v>152</v>
      </c>
      <c r="BI80" s="753">
        <f t="shared" si="159"/>
        <v>-5.6</v>
      </c>
      <c r="BJ80" s="779">
        <f t="shared" si="175"/>
        <v>14</v>
      </c>
      <c r="BK80" s="819">
        <f t="shared" si="175"/>
        <v>12</v>
      </c>
      <c r="BL80" s="753">
        <f>ROUND(((BK80/BJ80-1)*100), 1)</f>
        <v>-14.3</v>
      </c>
      <c r="BM80" s="779">
        <v>175</v>
      </c>
      <c r="BN80" s="819">
        <v>164</v>
      </c>
      <c r="BO80" s="753">
        <f t="shared" si="160"/>
        <v>-6.3</v>
      </c>
      <c r="BP80" s="779">
        <f t="shared" si="176"/>
        <v>21</v>
      </c>
      <c r="BQ80" s="819">
        <f t="shared" si="176"/>
        <v>14</v>
      </c>
      <c r="BR80" s="753">
        <f>ROUND(((BQ80/BP80-1)*100), 1)</f>
        <v>-33.299999999999997</v>
      </c>
      <c r="BS80" s="779">
        <v>196</v>
      </c>
      <c r="BT80" s="819">
        <v>178</v>
      </c>
      <c r="BU80" s="753">
        <f t="shared" si="161"/>
        <v>-9.1999999999999993</v>
      </c>
    </row>
    <row r="81" spans="1:73">
      <c r="A81" s="4"/>
      <c r="B81" s="43" t="s">
        <v>53</v>
      </c>
      <c r="C81" s="44">
        <v>254</v>
      </c>
      <c r="D81" s="44">
        <v>341</v>
      </c>
      <c r="E81" s="44">
        <v>328</v>
      </c>
      <c r="F81" s="44">
        <v>306</v>
      </c>
      <c r="G81" s="44">
        <v>398</v>
      </c>
      <c r="H81" s="44">
        <v>354</v>
      </c>
      <c r="I81" s="44">
        <v>266</v>
      </c>
      <c r="J81" s="44">
        <v>188</v>
      </c>
      <c r="K81" s="283">
        <v>29</v>
      </c>
      <c r="L81" s="390">
        <v>9</v>
      </c>
      <c r="M81" s="242">
        <f t="shared" si="182"/>
        <v>-69</v>
      </c>
      <c r="N81" s="283">
        <f t="shared" si="162"/>
        <v>10</v>
      </c>
      <c r="O81" s="390">
        <f t="shared" si="163"/>
        <v>27</v>
      </c>
      <c r="P81" s="242">
        <f>ROUND(((O81/N81-1)*100), 1)</f>
        <v>170</v>
      </c>
      <c r="Q81" s="283">
        <v>39</v>
      </c>
      <c r="R81" s="390">
        <v>36</v>
      </c>
      <c r="S81" s="242">
        <f>ROUND(((R81/Q81-1)*100), 1)</f>
        <v>-7.7</v>
      </c>
      <c r="T81" s="283">
        <f t="shared" si="164"/>
        <v>8</v>
      </c>
      <c r="U81" s="390">
        <f t="shared" si="165"/>
        <v>9</v>
      </c>
      <c r="V81" s="242">
        <f t="shared" si="183"/>
        <v>12.5</v>
      </c>
      <c r="W81" s="283">
        <v>47</v>
      </c>
      <c r="X81" s="390">
        <v>45</v>
      </c>
      <c r="Y81" s="242">
        <f t="shared" si="184"/>
        <v>-4.3</v>
      </c>
      <c r="Z81" s="283">
        <f t="shared" si="166"/>
        <v>26</v>
      </c>
      <c r="AA81" s="390">
        <f t="shared" si="167"/>
        <v>31</v>
      </c>
      <c r="AB81" s="242">
        <f t="shared" si="191"/>
        <v>19.2</v>
      </c>
      <c r="AC81" s="283">
        <v>73</v>
      </c>
      <c r="AD81" s="390">
        <v>76</v>
      </c>
      <c r="AE81" s="242">
        <f t="shared" si="186"/>
        <v>4.0999999999999996</v>
      </c>
      <c r="AF81" s="283">
        <f t="shared" si="168"/>
        <v>12</v>
      </c>
      <c r="AG81" s="390">
        <f t="shared" si="168"/>
        <v>32</v>
      </c>
      <c r="AH81" s="242">
        <f t="shared" si="192"/>
        <v>166.7</v>
      </c>
      <c r="AI81" s="283">
        <v>85</v>
      </c>
      <c r="AJ81" s="390">
        <v>108</v>
      </c>
      <c r="AK81" s="242">
        <f t="shared" si="188"/>
        <v>27.1</v>
      </c>
      <c r="AL81" s="762">
        <f t="shared" si="169"/>
        <v>12</v>
      </c>
      <c r="AM81" s="769">
        <f t="shared" si="170"/>
        <v>15</v>
      </c>
      <c r="AN81" s="753">
        <f t="shared" si="193"/>
        <v>25</v>
      </c>
      <c r="AO81" s="779">
        <v>97</v>
      </c>
      <c r="AP81" s="819">
        <v>123</v>
      </c>
      <c r="AQ81" s="753">
        <f t="shared" si="190"/>
        <v>26.8</v>
      </c>
      <c r="AR81" s="779">
        <f t="shared" si="171"/>
        <v>16</v>
      </c>
      <c r="AS81" s="819">
        <f t="shared" si="171"/>
        <v>13</v>
      </c>
      <c r="AT81" s="753">
        <f>ROUND(((AS81/AR81-1)*100), 1)</f>
        <v>-18.8</v>
      </c>
      <c r="AU81" s="975">
        <v>113</v>
      </c>
      <c r="AV81" s="970">
        <v>136</v>
      </c>
      <c r="AW81" s="753">
        <f t="shared" si="157"/>
        <v>20.399999999999999</v>
      </c>
      <c r="AX81" s="779">
        <f t="shared" si="172"/>
        <v>11</v>
      </c>
      <c r="AY81" s="819">
        <f t="shared" si="173"/>
        <v>36</v>
      </c>
      <c r="AZ81" s="753">
        <f>ROUND(((AY81/AX81-1)*100), 1)</f>
        <v>227.3</v>
      </c>
      <c r="BA81" s="779">
        <v>124</v>
      </c>
      <c r="BB81" s="819">
        <v>172</v>
      </c>
      <c r="BC81" s="753">
        <f t="shared" si="158"/>
        <v>38.700000000000003</v>
      </c>
      <c r="BD81" s="779">
        <f t="shared" si="174"/>
        <v>21</v>
      </c>
      <c r="BE81" s="819">
        <f t="shared" si="174"/>
        <v>20</v>
      </c>
      <c r="BF81" s="753">
        <f>ROUND(((BE81/BD81-1)*100), 1)</f>
        <v>-4.8</v>
      </c>
      <c r="BG81" s="779">
        <v>145</v>
      </c>
      <c r="BH81" s="819">
        <v>192</v>
      </c>
      <c r="BI81" s="753">
        <f t="shared" si="159"/>
        <v>32.4</v>
      </c>
      <c r="BJ81" s="779">
        <f t="shared" si="175"/>
        <v>0</v>
      </c>
      <c r="BK81" s="819">
        <f t="shared" si="175"/>
        <v>16</v>
      </c>
      <c r="BL81" s="799">
        <v>0</v>
      </c>
      <c r="BM81" s="779">
        <v>145</v>
      </c>
      <c r="BN81" s="819">
        <v>208</v>
      </c>
      <c r="BO81" s="753">
        <f t="shared" si="160"/>
        <v>43.4</v>
      </c>
      <c r="BP81" s="779">
        <f t="shared" si="176"/>
        <v>7</v>
      </c>
      <c r="BQ81" s="819">
        <f t="shared" si="176"/>
        <v>36</v>
      </c>
      <c r="BR81" s="753">
        <f>ROUND(((BQ81/BP81-1)*100), 1)</f>
        <v>414.3</v>
      </c>
      <c r="BS81" s="779">
        <v>152</v>
      </c>
      <c r="BT81" s="819">
        <v>244</v>
      </c>
      <c r="BU81" s="753">
        <f t="shared" si="161"/>
        <v>60.5</v>
      </c>
    </row>
    <row r="82" spans="1:73">
      <c r="A82" s="4"/>
      <c r="B82" s="43" t="s">
        <v>69</v>
      </c>
      <c r="C82" s="44">
        <v>100</v>
      </c>
      <c r="D82" s="44">
        <v>150</v>
      </c>
      <c r="E82" s="44">
        <v>125</v>
      </c>
      <c r="F82" s="44">
        <v>160</v>
      </c>
      <c r="G82" s="44">
        <v>222</v>
      </c>
      <c r="H82" s="44">
        <v>184</v>
      </c>
      <c r="I82" s="44">
        <v>119</v>
      </c>
      <c r="J82" s="44">
        <v>119</v>
      </c>
      <c r="K82" s="283">
        <v>0</v>
      </c>
      <c r="L82" s="390">
        <v>0</v>
      </c>
      <c r="M82" s="177">
        <v>0</v>
      </c>
      <c r="N82" s="283">
        <f t="shared" si="162"/>
        <v>0</v>
      </c>
      <c r="O82" s="390">
        <f t="shared" si="163"/>
        <v>0</v>
      </c>
      <c r="P82" s="177">
        <v>0</v>
      </c>
      <c r="Q82" s="283">
        <v>0</v>
      </c>
      <c r="R82" s="390">
        <v>0</v>
      </c>
      <c r="S82" s="177">
        <v>0</v>
      </c>
      <c r="T82" s="283">
        <f t="shared" si="164"/>
        <v>30</v>
      </c>
      <c r="U82" s="390">
        <f t="shared" si="165"/>
        <v>0</v>
      </c>
      <c r="V82" s="242">
        <f t="shared" si="183"/>
        <v>-100</v>
      </c>
      <c r="W82" s="283">
        <v>30</v>
      </c>
      <c r="X82" s="390">
        <v>0</v>
      </c>
      <c r="Y82" s="242">
        <f t="shared" si="184"/>
        <v>-100</v>
      </c>
      <c r="Z82" s="283">
        <f t="shared" si="166"/>
        <v>4</v>
      </c>
      <c r="AA82" s="390">
        <f t="shared" si="167"/>
        <v>0</v>
      </c>
      <c r="AB82" s="242">
        <f t="shared" si="191"/>
        <v>-100</v>
      </c>
      <c r="AC82" s="283">
        <v>34</v>
      </c>
      <c r="AD82" s="390">
        <v>0</v>
      </c>
      <c r="AE82" s="242">
        <f t="shared" si="186"/>
        <v>-100</v>
      </c>
      <c r="AF82" s="283">
        <f t="shared" si="168"/>
        <v>20</v>
      </c>
      <c r="AG82" s="390">
        <f t="shared" si="168"/>
        <v>0</v>
      </c>
      <c r="AH82" s="242">
        <f t="shared" si="192"/>
        <v>-100</v>
      </c>
      <c r="AI82" s="283">
        <v>54</v>
      </c>
      <c r="AJ82" s="390">
        <v>0</v>
      </c>
      <c r="AK82" s="242">
        <f t="shared" si="188"/>
        <v>-100</v>
      </c>
      <c r="AL82" s="762">
        <f t="shared" si="169"/>
        <v>0</v>
      </c>
      <c r="AM82" s="769">
        <f t="shared" si="170"/>
        <v>5</v>
      </c>
      <c r="AN82" s="799">
        <v>0</v>
      </c>
      <c r="AO82" s="779">
        <v>54</v>
      </c>
      <c r="AP82" s="819">
        <v>5</v>
      </c>
      <c r="AQ82" s="753">
        <f t="shared" si="190"/>
        <v>-90.7</v>
      </c>
      <c r="AR82" s="779">
        <f t="shared" si="171"/>
        <v>0</v>
      </c>
      <c r="AS82" s="819">
        <f t="shared" si="171"/>
        <v>21</v>
      </c>
      <c r="AT82" s="799">
        <v>0</v>
      </c>
      <c r="AU82" s="975">
        <v>54</v>
      </c>
      <c r="AV82" s="970">
        <v>26</v>
      </c>
      <c r="AW82" s="753">
        <f t="shared" si="157"/>
        <v>-51.9</v>
      </c>
      <c r="AX82" s="779">
        <f t="shared" si="172"/>
        <v>20</v>
      </c>
      <c r="AY82" s="819">
        <f t="shared" si="173"/>
        <v>0</v>
      </c>
      <c r="AZ82" s="799">
        <v>0</v>
      </c>
      <c r="BA82" s="779">
        <v>74</v>
      </c>
      <c r="BB82" s="819">
        <v>26</v>
      </c>
      <c r="BC82" s="753">
        <f t="shared" si="158"/>
        <v>-64.900000000000006</v>
      </c>
      <c r="BD82" s="779">
        <f t="shared" si="174"/>
        <v>20</v>
      </c>
      <c r="BE82" s="819">
        <f t="shared" si="174"/>
        <v>0</v>
      </c>
      <c r="BF82" s="753">
        <f t="shared" ref="BF82:BF83" si="194">ROUND(((BE82/BD82-1)*100), 1)</f>
        <v>-100</v>
      </c>
      <c r="BG82" s="779">
        <v>94</v>
      </c>
      <c r="BH82" s="819">
        <v>26</v>
      </c>
      <c r="BI82" s="753">
        <f t="shared" si="159"/>
        <v>-72.3</v>
      </c>
      <c r="BJ82" s="779">
        <f t="shared" si="175"/>
        <v>5</v>
      </c>
      <c r="BK82" s="819">
        <f t="shared" si="175"/>
        <v>0</v>
      </c>
      <c r="BL82" s="753">
        <f t="shared" ref="BL82" si="195">ROUND(((BK82/BJ82-1)*100), 1)</f>
        <v>-100</v>
      </c>
      <c r="BM82" s="779">
        <v>99</v>
      </c>
      <c r="BN82" s="819">
        <v>26</v>
      </c>
      <c r="BO82" s="753">
        <f t="shared" si="160"/>
        <v>-73.7</v>
      </c>
      <c r="BP82" s="779">
        <f t="shared" si="176"/>
        <v>0</v>
      </c>
      <c r="BQ82" s="819">
        <f t="shared" si="176"/>
        <v>0</v>
      </c>
      <c r="BR82" s="799">
        <v>0</v>
      </c>
      <c r="BS82" s="779">
        <v>99</v>
      </c>
      <c r="BT82" s="819">
        <v>26</v>
      </c>
      <c r="BU82" s="753">
        <f t="shared" si="161"/>
        <v>-73.7</v>
      </c>
    </row>
    <row r="83" spans="1:73">
      <c r="A83" s="4"/>
      <c r="B83" s="43" t="s">
        <v>125</v>
      </c>
      <c r="C83" s="44">
        <v>36</v>
      </c>
      <c r="D83" s="44">
        <v>55</v>
      </c>
      <c r="E83" s="44">
        <v>60</v>
      </c>
      <c r="F83" s="44">
        <v>72</v>
      </c>
      <c r="G83" s="44">
        <v>65</v>
      </c>
      <c r="H83" s="44">
        <v>89</v>
      </c>
      <c r="I83" s="44">
        <v>58</v>
      </c>
      <c r="J83" s="44">
        <v>64</v>
      </c>
      <c r="K83" s="283">
        <v>4</v>
      </c>
      <c r="L83" s="390">
        <v>11</v>
      </c>
      <c r="M83" s="242">
        <f t="shared" si="182"/>
        <v>175</v>
      </c>
      <c r="N83" s="283">
        <f t="shared" si="162"/>
        <v>11</v>
      </c>
      <c r="O83" s="390">
        <f t="shared" si="163"/>
        <v>0</v>
      </c>
      <c r="P83" s="242">
        <f>ROUND(((O83/N83-1)*100), 1)</f>
        <v>-100</v>
      </c>
      <c r="Q83" s="283">
        <v>15</v>
      </c>
      <c r="R83" s="390">
        <v>11</v>
      </c>
      <c r="S83" s="242">
        <f>ROUND(((R83/Q83-1)*100), 1)</f>
        <v>-26.7</v>
      </c>
      <c r="T83" s="283">
        <f t="shared" si="164"/>
        <v>5</v>
      </c>
      <c r="U83" s="390">
        <f t="shared" si="165"/>
        <v>0</v>
      </c>
      <c r="V83" s="242">
        <f t="shared" si="183"/>
        <v>-100</v>
      </c>
      <c r="W83" s="283">
        <v>20</v>
      </c>
      <c r="X83" s="390">
        <v>11</v>
      </c>
      <c r="Y83" s="242">
        <f t="shared" si="184"/>
        <v>-45</v>
      </c>
      <c r="Z83" s="283">
        <f t="shared" si="166"/>
        <v>5</v>
      </c>
      <c r="AA83" s="390">
        <f t="shared" si="167"/>
        <v>0</v>
      </c>
      <c r="AB83" s="242">
        <f t="shared" si="191"/>
        <v>-100</v>
      </c>
      <c r="AC83" s="283">
        <v>25</v>
      </c>
      <c r="AD83" s="390">
        <v>11</v>
      </c>
      <c r="AE83" s="242">
        <f t="shared" si="186"/>
        <v>-56</v>
      </c>
      <c r="AF83" s="283">
        <f t="shared" si="168"/>
        <v>3</v>
      </c>
      <c r="AG83" s="390">
        <f t="shared" si="168"/>
        <v>0</v>
      </c>
      <c r="AH83" s="242">
        <f t="shared" si="192"/>
        <v>-100</v>
      </c>
      <c r="AI83" s="283">
        <v>28</v>
      </c>
      <c r="AJ83" s="390">
        <v>11</v>
      </c>
      <c r="AK83" s="242">
        <f t="shared" si="188"/>
        <v>-60.7</v>
      </c>
      <c r="AL83" s="762">
        <f t="shared" si="169"/>
        <v>0</v>
      </c>
      <c r="AM83" s="769">
        <f t="shared" si="170"/>
        <v>1</v>
      </c>
      <c r="AN83" s="799">
        <v>0</v>
      </c>
      <c r="AO83" s="779">
        <v>28</v>
      </c>
      <c r="AP83" s="819">
        <v>12</v>
      </c>
      <c r="AQ83" s="753">
        <f t="shared" si="190"/>
        <v>-57.1</v>
      </c>
      <c r="AR83" s="779">
        <f t="shared" si="171"/>
        <v>23</v>
      </c>
      <c r="AS83" s="819">
        <f t="shared" si="171"/>
        <v>0</v>
      </c>
      <c r="AT83" s="753">
        <f t="shared" ref="AT83" si="196">ROUND(((AS83/AR83-1)*100), 1)</f>
        <v>-100</v>
      </c>
      <c r="AU83" s="975">
        <v>51</v>
      </c>
      <c r="AV83" s="970">
        <v>12</v>
      </c>
      <c r="AW83" s="753">
        <f t="shared" si="157"/>
        <v>-76.5</v>
      </c>
      <c r="AX83" s="779">
        <f t="shared" si="172"/>
        <v>0</v>
      </c>
      <c r="AY83" s="819">
        <f t="shared" si="173"/>
        <v>14</v>
      </c>
      <c r="AZ83" s="799">
        <v>0</v>
      </c>
      <c r="BA83" s="779">
        <v>51</v>
      </c>
      <c r="BB83" s="819">
        <v>26</v>
      </c>
      <c r="BC83" s="753">
        <f t="shared" si="158"/>
        <v>-49</v>
      </c>
      <c r="BD83" s="779">
        <f t="shared" si="174"/>
        <v>11</v>
      </c>
      <c r="BE83" s="819">
        <f t="shared" si="174"/>
        <v>0</v>
      </c>
      <c r="BF83" s="753">
        <f t="shared" si="194"/>
        <v>-100</v>
      </c>
      <c r="BG83" s="779">
        <v>62</v>
      </c>
      <c r="BH83" s="819">
        <v>26</v>
      </c>
      <c r="BI83" s="753">
        <f t="shared" si="159"/>
        <v>-58.1</v>
      </c>
      <c r="BJ83" s="779">
        <f t="shared" si="175"/>
        <v>0</v>
      </c>
      <c r="BK83" s="819">
        <f t="shared" si="175"/>
        <v>0</v>
      </c>
      <c r="BL83" s="799">
        <v>0</v>
      </c>
      <c r="BM83" s="779">
        <v>62</v>
      </c>
      <c r="BN83" s="819">
        <v>26</v>
      </c>
      <c r="BO83" s="753">
        <f t="shared" si="160"/>
        <v>-58.1</v>
      </c>
      <c r="BP83" s="779">
        <f t="shared" si="176"/>
        <v>2</v>
      </c>
      <c r="BQ83" s="819">
        <f t="shared" si="176"/>
        <v>0</v>
      </c>
      <c r="BR83" s="705">
        <f t="shared" ref="BR83" si="197">ROUND(((BQ83/BP83-1)*100), 1)</f>
        <v>-100</v>
      </c>
      <c r="BS83" s="779">
        <v>64</v>
      </c>
      <c r="BT83" s="819">
        <v>26</v>
      </c>
      <c r="BU83" s="753">
        <f t="shared" si="161"/>
        <v>-59.4</v>
      </c>
    </row>
    <row r="84" spans="1:73">
      <c r="A84" s="4"/>
      <c r="B84" s="43" t="s">
        <v>128</v>
      </c>
      <c r="C84" s="44">
        <v>57</v>
      </c>
      <c r="D84" s="44">
        <v>93</v>
      </c>
      <c r="E84" s="44">
        <v>30</v>
      </c>
      <c r="F84" s="44">
        <v>34</v>
      </c>
      <c r="G84" s="44">
        <v>40</v>
      </c>
      <c r="H84" s="44">
        <v>33</v>
      </c>
      <c r="I84" s="44">
        <v>45</v>
      </c>
      <c r="J84" s="44">
        <v>50</v>
      </c>
      <c r="K84" s="283">
        <v>14</v>
      </c>
      <c r="L84" s="390">
        <v>3</v>
      </c>
      <c r="M84" s="242">
        <f t="shared" si="182"/>
        <v>-78.599999999999994</v>
      </c>
      <c r="N84" s="283">
        <f t="shared" si="162"/>
        <v>0</v>
      </c>
      <c r="O84" s="390">
        <f t="shared" si="163"/>
        <v>10</v>
      </c>
      <c r="P84" s="523">
        <v>0</v>
      </c>
      <c r="Q84" s="283">
        <v>14</v>
      </c>
      <c r="R84" s="390">
        <v>13</v>
      </c>
      <c r="S84" s="242">
        <f>ROUND(((R84/Q84-1)*100), 1)</f>
        <v>-7.1</v>
      </c>
      <c r="T84" s="283">
        <f t="shared" si="164"/>
        <v>0</v>
      </c>
      <c r="U84" s="390">
        <f t="shared" si="165"/>
        <v>18</v>
      </c>
      <c r="V84" s="523">
        <v>0</v>
      </c>
      <c r="W84" s="283">
        <v>14</v>
      </c>
      <c r="X84" s="390">
        <v>31</v>
      </c>
      <c r="Y84" s="242">
        <f t="shared" si="184"/>
        <v>121.4</v>
      </c>
      <c r="Z84" s="283">
        <f t="shared" si="166"/>
        <v>10</v>
      </c>
      <c r="AA84" s="390">
        <f t="shared" si="167"/>
        <v>14</v>
      </c>
      <c r="AB84" s="242">
        <f t="shared" si="191"/>
        <v>40</v>
      </c>
      <c r="AC84" s="283">
        <v>24</v>
      </c>
      <c r="AD84" s="390">
        <v>45</v>
      </c>
      <c r="AE84" s="242">
        <f t="shared" si="186"/>
        <v>87.5</v>
      </c>
      <c r="AF84" s="283">
        <f t="shared" si="168"/>
        <v>1</v>
      </c>
      <c r="AG84" s="390">
        <f t="shared" si="168"/>
        <v>1</v>
      </c>
      <c r="AH84" s="242">
        <f t="shared" si="192"/>
        <v>0</v>
      </c>
      <c r="AI84" s="283">
        <v>25</v>
      </c>
      <c r="AJ84" s="390">
        <v>46</v>
      </c>
      <c r="AK84" s="242">
        <f t="shared" si="188"/>
        <v>84</v>
      </c>
      <c r="AL84" s="762">
        <f t="shared" si="169"/>
        <v>6</v>
      </c>
      <c r="AM84" s="769">
        <f t="shared" si="170"/>
        <v>20</v>
      </c>
      <c r="AN84" s="753">
        <f t="shared" si="193"/>
        <v>233.3</v>
      </c>
      <c r="AO84" s="779">
        <v>31</v>
      </c>
      <c r="AP84" s="819">
        <v>66</v>
      </c>
      <c r="AQ84" s="753">
        <f t="shared" si="190"/>
        <v>112.9</v>
      </c>
      <c r="AR84" s="779">
        <f t="shared" si="171"/>
        <v>2</v>
      </c>
      <c r="AS84" s="819">
        <f t="shared" si="171"/>
        <v>4</v>
      </c>
      <c r="AT84" s="753">
        <f>ROUND(((AS84/AR84-1)*100), 1)</f>
        <v>100</v>
      </c>
      <c r="AU84" s="975">
        <v>33</v>
      </c>
      <c r="AV84" s="970">
        <v>70</v>
      </c>
      <c r="AW84" s="753">
        <f t="shared" si="157"/>
        <v>112.1</v>
      </c>
      <c r="AX84" s="779">
        <f t="shared" si="172"/>
        <v>14</v>
      </c>
      <c r="AY84" s="819">
        <f t="shared" si="173"/>
        <v>9</v>
      </c>
      <c r="AZ84" s="753">
        <f>ROUND(((AY84/AX84-1)*100), 1)</f>
        <v>-35.700000000000003</v>
      </c>
      <c r="BA84" s="779">
        <v>47</v>
      </c>
      <c r="BB84" s="819">
        <v>79</v>
      </c>
      <c r="BC84" s="753">
        <f t="shared" si="158"/>
        <v>68.099999999999994</v>
      </c>
      <c r="BD84" s="779">
        <f t="shared" si="174"/>
        <v>0</v>
      </c>
      <c r="BE84" s="819">
        <f t="shared" si="174"/>
        <v>11</v>
      </c>
      <c r="BF84" s="751">
        <v>0</v>
      </c>
      <c r="BG84" s="779">
        <v>47</v>
      </c>
      <c r="BH84" s="819">
        <v>90</v>
      </c>
      <c r="BI84" s="753">
        <f t="shared" si="159"/>
        <v>91.5</v>
      </c>
      <c r="BJ84" s="779">
        <f t="shared" si="175"/>
        <v>0</v>
      </c>
      <c r="BK84" s="819">
        <f t="shared" si="175"/>
        <v>7</v>
      </c>
      <c r="BL84" s="751">
        <v>0</v>
      </c>
      <c r="BM84" s="779">
        <v>47</v>
      </c>
      <c r="BN84" s="819">
        <v>97</v>
      </c>
      <c r="BO84" s="753">
        <f t="shared" si="160"/>
        <v>106.4</v>
      </c>
      <c r="BP84" s="779">
        <f t="shared" si="176"/>
        <v>0</v>
      </c>
      <c r="BQ84" s="819">
        <f t="shared" si="176"/>
        <v>0</v>
      </c>
      <c r="BR84" s="751">
        <v>0</v>
      </c>
      <c r="BS84" s="779">
        <v>47</v>
      </c>
      <c r="BT84" s="819">
        <v>97</v>
      </c>
      <c r="BU84" s="753">
        <f t="shared" si="161"/>
        <v>106.4</v>
      </c>
    </row>
    <row r="85" spans="1:73">
      <c r="A85" s="4"/>
      <c r="B85" s="43" t="s">
        <v>58</v>
      </c>
      <c r="C85" s="44">
        <v>39</v>
      </c>
      <c r="D85" s="44">
        <v>39</v>
      </c>
      <c r="E85" s="44">
        <v>84</v>
      </c>
      <c r="F85" s="44">
        <v>55</v>
      </c>
      <c r="G85" s="44">
        <v>112</v>
      </c>
      <c r="H85" s="44">
        <v>127</v>
      </c>
      <c r="I85" s="44">
        <v>162</v>
      </c>
      <c r="J85" s="44">
        <v>26</v>
      </c>
      <c r="K85" s="283">
        <v>0</v>
      </c>
      <c r="L85" s="390">
        <v>13</v>
      </c>
      <c r="M85" s="177">
        <v>0</v>
      </c>
      <c r="N85" s="283">
        <f t="shared" si="162"/>
        <v>0</v>
      </c>
      <c r="O85" s="390">
        <f t="shared" si="163"/>
        <v>0</v>
      </c>
      <c r="P85" s="177">
        <v>0</v>
      </c>
      <c r="Q85" s="283">
        <v>0</v>
      </c>
      <c r="R85" s="390">
        <v>13</v>
      </c>
      <c r="S85" s="177">
        <v>0</v>
      </c>
      <c r="T85" s="283">
        <f t="shared" si="164"/>
        <v>13</v>
      </c>
      <c r="U85" s="390">
        <f t="shared" si="165"/>
        <v>0</v>
      </c>
      <c r="V85" s="242">
        <f t="shared" si="183"/>
        <v>-100</v>
      </c>
      <c r="W85" s="283">
        <v>13</v>
      </c>
      <c r="X85" s="390">
        <v>13</v>
      </c>
      <c r="Y85" s="242">
        <f t="shared" si="184"/>
        <v>0</v>
      </c>
      <c r="Z85" s="283">
        <f t="shared" si="166"/>
        <v>0</v>
      </c>
      <c r="AA85" s="390">
        <f t="shared" si="167"/>
        <v>0</v>
      </c>
      <c r="AB85" s="521">
        <v>0</v>
      </c>
      <c r="AC85" s="283">
        <v>13</v>
      </c>
      <c r="AD85" s="390">
        <v>13</v>
      </c>
      <c r="AE85" s="242">
        <f t="shared" si="186"/>
        <v>0</v>
      </c>
      <c r="AF85" s="283">
        <f t="shared" si="168"/>
        <v>0</v>
      </c>
      <c r="AG85" s="390">
        <f t="shared" si="168"/>
        <v>31</v>
      </c>
      <c r="AH85" s="521">
        <v>0</v>
      </c>
      <c r="AI85" s="283">
        <v>13</v>
      </c>
      <c r="AJ85" s="390">
        <v>44</v>
      </c>
      <c r="AK85" s="242">
        <f t="shared" si="188"/>
        <v>238.5</v>
      </c>
      <c r="AL85" s="762">
        <f t="shared" si="169"/>
        <v>0</v>
      </c>
      <c r="AM85" s="769">
        <f t="shared" si="170"/>
        <v>0</v>
      </c>
      <c r="AN85" s="749">
        <v>0</v>
      </c>
      <c r="AO85" s="779">
        <v>13</v>
      </c>
      <c r="AP85" s="819">
        <v>44</v>
      </c>
      <c r="AQ85" s="753">
        <f t="shared" si="190"/>
        <v>238.5</v>
      </c>
      <c r="AR85" s="779">
        <f t="shared" si="171"/>
        <v>13</v>
      </c>
      <c r="AS85" s="819">
        <f t="shared" si="171"/>
        <v>13</v>
      </c>
      <c r="AT85" s="753">
        <f t="shared" ref="AT85" si="198">ROUND(((AS85/AR85-1)*100), 1)</f>
        <v>0</v>
      </c>
      <c r="AU85" s="975">
        <v>26</v>
      </c>
      <c r="AV85" s="970">
        <v>57</v>
      </c>
      <c r="AW85" s="753">
        <f t="shared" si="157"/>
        <v>119.2</v>
      </c>
      <c r="AX85" s="779">
        <f t="shared" si="172"/>
        <v>0</v>
      </c>
      <c r="AY85" s="819">
        <f t="shared" si="173"/>
        <v>2</v>
      </c>
      <c r="AZ85" s="799">
        <v>0</v>
      </c>
      <c r="BA85" s="779">
        <v>26</v>
      </c>
      <c r="BB85" s="819">
        <v>59</v>
      </c>
      <c r="BC85" s="753">
        <f t="shared" si="158"/>
        <v>126.9</v>
      </c>
      <c r="BD85" s="779">
        <f t="shared" si="174"/>
        <v>0</v>
      </c>
      <c r="BE85" s="819">
        <f t="shared" si="174"/>
        <v>0</v>
      </c>
      <c r="BF85" s="799">
        <v>0</v>
      </c>
      <c r="BG85" s="779">
        <v>26</v>
      </c>
      <c r="BH85" s="819">
        <v>59</v>
      </c>
      <c r="BI85" s="753">
        <f t="shared" si="159"/>
        <v>126.9</v>
      </c>
      <c r="BJ85" s="779">
        <f t="shared" si="175"/>
        <v>0</v>
      </c>
      <c r="BK85" s="819">
        <f t="shared" si="175"/>
        <v>0</v>
      </c>
      <c r="BL85" s="799">
        <v>0</v>
      </c>
      <c r="BM85" s="779">
        <v>26</v>
      </c>
      <c r="BN85" s="819">
        <v>59</v>
      </c>
      <c r="BO85" s="753">
        <f t="shared" si="160"/>
        <v>126.9</v>
      </c>
      <c r="BP85" s="779">
        <f t="shared" si="176"/>
        <v>0</v>
      </c>
      <c r="BQ85" s="819">
        <f t="shared" si="176"/>
        <v>0</v>
      </c>
      <c r="BR85" s="799">
        <v>0</v>
      </c>
      <c r="BS85" s="779">
        <v>26</v>
      </c>
      <c r="BT85" s="819">
        <v>59</v>
      </c>
      <c r="BU85" s="753">
        <f t="shared" si="161"/>
        <v>126.9</v>
      </c>
    </row>
    <row r="86" spans="1:73">
      <c r="A86" s="4"/>
      <c r="B86" s="43" t="s">
        <v>112</v>
      </c>
      <c r="C86" s="44">
        <v>0</v>
      </c>
      <c r="D86" s="44">
        <v>0</v>
      </c>
      <c r="E86" s="44">
        <v>19</v>
      </c>
      <c r="F86" s="44">
        <v>101</v>
      </c>
      <c r="G86" s="44">
        <v>975</v>
      </c>
      <c r="H86" s="44">
        <v>197</v>
      </c>
      <c r="I86" s="44">
        <v>0</v>
      </c>
      <c r="J86" s="44">
        <v>19</v>
      </c>
      <c r="K86" s="283">
        <v>0</v>
      </c>
      <c r="L86" s="390">
        <v>0</v>
      </c>
      <c r="M86" s="177">
        <v>0</v>
      </c>
      <c r="N86" s="283">
        <f t="shared" si="162"/>
        <v>0</v>
      </c>
      <c r="O86" s="390">
        <f t="shared" si="163"/>
        <v>0</v>
      </c>
      <c r="P86" s="177">
        <v>0</v>
      </c>
      <c r="Q86" s="283">
        <v>0</v>
      </c>
      <c r="R86" s="390">
        <v>0</v>
      </c>
      <c r="S86" s="177">
        <v>0</v>
      </c>
      <c r="T86" s="283">
        <f t="shared" si="164"/>
        <v>0</v>
      </c>
      <c r="U86" s="390">
        <f t="shared" si="165"/>
        <v>0</v>
      </c>
      <c r="V86" s="177">
        <v>0</v>
      </c>
      <c r="W86" s="283">
        <v>0</v>
      </c>
      <c r="X86" s="390">
        <v>0</v>
      </c>
      <c r="Y86" s="177">
        <v>0</v>
      </c>
      <c r="Z86" s="283">
        <f t="shared" si="166"/>
        <v>0</v>
      </c>
      <c r="AA86" s="390">
        <f t="shared" si="167"/>
        <v>0</v>
      </c>
      <c r="AB86" s="521">
        <v>0</v>
      </c>
      <c r="AC86" s="283">
        <v>0</v>
      </c>
      <c r="AD86" s="390">
        <v>0</v>
      </c>
      <c r="AE86" s="521">
        <v>0</v>
      </c>
      <c r="AF86" s="283">
        <f t="shared" si="168"/>
        <v>0</v>
      </c>
      <c r="AG86" s="390">
        <f t="shared" si="168"/>
        <v>10</v>
      </c>
      <c r="AH86" s="521">
        <v>0</v>
      </c>
      <c r="AI86" s="283">
        <v>0</v>
      </c>
      <c r="AJ86" s="390">
        <v>10</v>
      </c>
      <c r="AK86" s="521">
        <v>0</v>
      </c>
      <c r="AL86" s="762">
        <f t="shared" si="169"/>
        <v>19</v>
      </c>
      <c r="AM86" s="769">
        <f t="shared" si="170"/>
        <v>0</v>
      </c>
      <c r="AN86" s="753">
        <f t="shared" ref="AN86" si="199">ROUND(((AM86/AL86-1)*100), 1)</f>
        <v>-100</v>
      </c>
      <c r="AO86" s="779">
        <v>19</v>
      </c>
      <c r="AP86" s="819">
        <v>10</v>
      </c>
      <c r="AQ86" s="753">
        <f t="shared" si="190"/>
        <v>-47.4</v>
      </c>
      <c r="AR86" s="779">
        <f t="shared" si="171"/>
        <v>0</v>
      </c>
      <c r="AS86" s="819">
        <f t="shared" si="171"/>
        <v>0</v>
      </c>
      <c r="AT86" s="799">
        <v>0</v>
      </c>
      <c r="AU86" s="975">
        <v>19</v>
      </c>
      <c r="AV86" s="970">
        <v>10</v>
      </c>
      <c r="AW86" s="753">
        <f t="shared" si="157"/>
        <v>-47.4</v>
      </c>
      <c r="AX86" s="779">
        <f t="shared" si="172"/>
        <v>0</v>
      </c>
      <c r="AY86" s="819">
        <f t="shared" si="173"/>
        <v>0</v>
      </c>
      <c r="AZ86" s="799">
        <v>0</v>
      </c>
      <c r="BA86" s="779">
        <v>19</v>
      </c>
      <c r="BB86" s="819">
        <v>10</v>
      </c>
      <c r="BC86" s="753">
        <f t="shared" si="158"/>
        <v>-47.4</v>
      </c>
      <c r="BD86" s="779">
        <f t="shared" si="174"/>
        <v>0</v>
      </c>
      <c r="BE86" s="819">
        <f t="shared" si="174"/>
        <v>0</v>
      </c>
      <c r="BF86" s="799">
        <v>0</v>
      </c>
      <c r="BG86" s="779">
        <v>19</v>
      </c>
      <c r="BH86" s="819">
        <v>10</v>
      </c>
      <c r="BI86" s="753">
        <f t="shared" si="159"/>
        <v>-47.4</v>
      </c>
      <c r="BJ86" s="779">
        <f t="shared" si="175"/>
        <v>0</v>
      </c>
      <c r="BK86" s="819">
        <f t="shared" si="175"/>
        <v>3</v>
      </c>
      <c r="BL86" s="799">
        <v>0</v>
      </c>
      <c r="BM86" s="779">
        <v>19</v>
      </c>
      <c r="BN86" s="819">
        <v>13</v>
      </c>
      <c r="BO86" s="753">
        <f t="shared" si="160"/>
        <v>-31.6</v>
      </c>
      <c r="BP86" s="779">
        <f t="shared" si="176"/>
        <v>0</v>
      </c>
      <c r="BQ86" s="819">
        <f t="shared" si="176"/>
        <v>0</v>
      </c>
      <c r="BR86" s="799">
        <v>0</v>
      </c>
      <c r="BS86" s="779">
        <v>19</v>
      </c>
      <c r="BT86" s="819">
        <v>13</v>
      </c>
      <c r="BU86" s="753">
        <f t="shared" si="161"/>
        <v>-31.6</v>
      </c>
    </row>
    <row r="87" spans="1:73">
      <c r="A87" s="4"/>
      <c r="B87" s="43" t="s">
        <v>116</v>
      </c>
      <c r="C87" s="44">
        <v>13</v>
      </c>
      <c r="D87" s="44">
        <v>12</v>
      </c>
      <c r="E87" s="44">
        <v>8</v>
      </c>
      <c r="F87" s="44">
        <v>9</v>
      </c>
      <c r="G87" s="44">
        <v>13</v>
      </c>
      <c r="H87" s="44">
        <v>16</v>
      </c>
      <c r="I87" s="44">
        <v>18</v>
      </c>
      <c r="J87" s="44">
        <v>17</v>
      </c>
      <c r="K87" s="283">
        <v>0</v>
      </c>
      <c r="L87" s="390">
        <v>2</v>
      </c>
      <c r="M87" s="177">
        <v>0</v>
      </c>
      <c r="N87" s="283">
        <f t="shared" si="162"/>
        <v>1</v>
      </c>
      <c r="O87" s="390">
        <f t="shared" si="163"/>
        <v>11</v>
      </c>
      <c r="P87" s="242">
        <f>ROUND(((O87/N87-1)*100), 1)</f>
        <v>1000</v>
      </c>
      <c r="Q87" s="283">
        <v>1</v>
      </c>
      <c r="R87" s="390">
        <v>13</v>
      </c>
      <c r="S87" s="242">
        <f>ROUND(((R87/Q87-1)*100), 1)</f>
        <v>1200</v>
      </c>
      <c r="T87" s="283">
        <f t="shared" si="164"/>
        <v>0</v>
      </c>
      <c r="U87" s="390">
        <f t="shared" si="165"/>
        <v>2</v>
      </c>
      <c r="V87" s="523">
        <v>0</v>
      </c>
      <c r="W87" s="283">
        <v>1</v>
      </c>
      <c r="X87" s="390">
        <v>15</v>
      </c>
      <c r="Y87" s="242">
        <f>ROUND(((X87/W87-1)*100), 1)</f>
        <v>1400</v>
      </c>
      <c r="Z87" s="283">
        <f t="shared" si="166"/>
        <v>1</v>
      </c>
      <c r="AA87" s="390">
        <f t="shared" si="167"/>
        <v>1</v>
      </c>
      <c r="AB87" s="242">
        <f t="shared" ref="AB87" si="200">ROUND(((AA87/Z87-1)*100), 1)</f>
        <v>0</v>
      </c>
      <c r="AC87" s="283">
        <v>2</v>
      </c>
      <c r="AD87" s="390">
        <v>16</v>
      </c>
      <c r="AE87" s="242">
        <f>ROUND(((AD87/AC87-1)*100), 1)</f>
        <v>700</v>
      </c>
      <c r="AF87" s="283">
        <f t="shared" si="168"/>
        <v>2</v>
      </c>
      <c r="AG87" s="390">
        <f t="shared" si="168"/>
        <v>2</v>
      </c>
      <c r="AH87" s="242">
        <f t="shared" ref="AH87" si="201">ROUND(((AG87/AF87-1)*100), 1)</f>
        <v>0</v>
      </c>
      <c r="AI87" s="283">
        <v>4</v>
      </c>
      <c r="AJ87" s="390">
        <v>18</v>
      </c>
      <c r="AK87" s="242">
        <f>ROUND(((AJ87/AI87-1)*100), 1)</f>
        <v>350</v>
      </c>
      <c r="AL87" s="762">
        <f t="shared" si="169"/>
        <v>0</v>
      </c>
      <c r="AM87" s="769">
        <f t="shared" si="170"/>
        <v>2</v>
      </c>
      <c r="AN87" s="799">
        <v>0</v>
      </c>
      <c r="AO87" s="779">
        <v>4</v>
      </c>
      <c r="AP87" s="819">
        <v>20</v>
      </c>
      <c r="AQ87" s="753">
        <f>ROUND(((AP87/AO87-1)*100), 1)</f>
        <v>400</v>
      </c>
      <c r="AR87" s="779">
        <f t="shared" si="171"/>
        <v>0</v>
      </c>
      <c r="AS87" s="819">
        <f t="shared" si="171"/>
        <v>0</v>
      </c>
      <c r="AT87" s="799">
        <v>0</v>
      </c>
      <c r="AU87" s="975">
        <v>4</v>
      </c>
      <c r="AV87" s="970">
        <v>20</v>
      </c>
      <c r="AW87" s="753">
        <f t="shared" si="157"/>
        <v>400</v>
      </c>
      <c r="AX87" s="779">
        <f t="shared" si="172"/>
        <v>0</v>
      </c>
      <c r="AY87" s="819">
        <f t="shared" si="173"/>
        <v>3</v>
      </c>
      <c r="AZ87" s="799">
        <v>0</v>
      </c>
      <c r="BA87" s="779">
        <v>4</v>
      </c>
      <c r="BB87" s="819">
        <v>23</v>
      </c>
      <c r="BC87" s="753">
        <f t="shared" si="158"/>
        <v>475</v>
      </c>
      <c r="BD87" s="779">
        <f t="shared" si="174"/>
        <v>0</v>
      </c>
      <c r="BE87" s="819">
        <f t="shared" si="174"/>
        <v>0</v>
      </c>
      <c r="BF87" s="799">
        <v>0</v>
      </c>
      <c r="BG87" s="779">
        <v>4</v>
      </c>
      <c r="BH87" s="819">
        <v>23</v>
      </c>
      <c r="BI87" s="753">
        <f t="shared" si="159"/>
        <v>475</v>
      </c>
      <c r="BJ87" s="779">
        <f t="shared" si="175"/>
        <v>11</v>
      </c>
      <c r="BK87" s="819">
        <f t="shared" si="175"/>
        <v>1</v>
      </c>
      <c r="BL87" s="753">
        <f t="shared" ref="BL87" si="202">ROUND(((BK87/BJ87-1)*100), 1)</f>
        <v>-90.9</v>
      </c>
      <c r="BM87" s="779">
        <v>15</v>
      </c>
      <c r="BN87" s="819">
        <v>24</v>
      </c>
      <c r="BO87" s="753">
        <f t="shared" si="160"/>
        <v>60</v>
      </c>
      <c r="BP87" s="779">
        <f t="shared" si="176"/>
        <v>1</v>
      </c>
      <c r="BQ87" s="819">
        <f t="shared" si="176"/>
        <v>0</v>
      </c>
      <c r="BR87" s="753">
        <f>ROUND(((BQ87/BP87-1)*100), 1)</f>
        <v>-100</v>
      </c>
      <c r="BS87" s="779">
        <v>16</v>
      </c>
      <c r="BT87" s="819">
        <v>24</v>
      </c>
      <c r="BU87" s="753">
        <f t="shared" si="161"/>
        <v>50</v>
      </c>
    </row>
    <row r="88" spans="1:73">
      <c r="A88" s="4"/>
      <c r="B88" s="43" t="s">
        <v>231</v>
      </c>
      <c r="C88" s="44">
        <v>3</v>
      </c>
      <c r="D88" s="44">
        <v>0</v>
      </c>
      <c r="E88" s="44">
        <v>0</v>
      </c>
      <c r="F88" s="44">
        <v>0</v>
      </c>
      <c r="G88" s="44">
        <v>0</v>
      </c>
      <c r="H88" s="44">
        <v>5</v>
      </c>
      <c r="I88" s="44">
        <v>7</v>
      </c>
      <c r="J88" s="44">
        <v>4</v>
      </c>
      <c r="K88" s="283">
        <v>0</v>
      </c>
      <c r="L88" s="390">
        <v>4</v>
      </c>
      <c r="M88" s="177">
        <v>0</v>
      </c>
      <c r="N88" s="283">
        <f t="shared" si="162"/>
        <v>0</v>
      </c>
      <c r="O88" s="390">
        <f t="shared" si="163"/>
        <v>0</v>
      </c>
      <c r="P88" s="177">
        <v>0</v>
      </c>
      <c r="Q88" s="283">
        <v>0</v>
      </c>
      <c r="R88" s="390">
        <v>4</v>
      </c>
      <c r="S88" s="177">
        <v>0</v>
      </c>
      <c r="T88" s="283">
        <f t="shared" si="164"/>
        <v>0</v>
      </c>
      <c r="U88" s="390">
        <f t="shared" si="165"/>
        <v>3</v>
      </c>
      <c r="V88" s="177">
        <v>0</v>
      </c>
      <c r="W88" s="283">
        <v>0</v>
      </c>
      <c r="X88" s="390">
        <v>7</v>
      </c>
      <c r="Y88" s="177">
        <v>0</v>
      </c>
      <c r="Z88" s="283">
        <f t="shared" si="166"/>
        <v>0</v>
      </c>
      <c r="AA88" s="390">
        <f t="shared" si="167"/>
        <v>0</v>
      </c>
      <c r="AB88" s="521">
        <v>0</v>
      </c>
      <c r="AC88" s="283">
        <v>0</v>
      </c>
      <c r="AD88" s="390">
        <v>7</v>
      </c>
      <c r="AE88" s="521">
        <v>0</v>
      </c>
      <c r="AF88" s="283">
        <f t="shared" si="168"/>
        <v>0</v>
      </c>
      <c r="AG88" s="390">
        <f t="shared" si="168"/>
        <v>0</v>
      </c>
      <c r="AH88" s="521">
        <v>0</v>
      </c>
      <c r="AI88" s="283">
        <v>0</v>
      </c>
      <c r="AJ88" s="390">
        <v>7</v>
      </c>
      <c r="AK88" s="521">
        <v>0</v>
      </c>
      <c r="AL88" s="762">
        <f t="shared" si="169"/>
        <v>0</v>
      </c>
      <c r="AM88" s="769">
        <f t="shared" si="170"/>
        <v>0</v>
      </c>
      <c r="AN88" s="749">
        <v>0</v>
      </c>
      <c r="AO88" s="779">
        <v>0</v>
      </c>
      <c r="AP88" s="819">
        <v>7</v>
      </c>
      <c r="AQ88" s="749">
        <v>0</v>
      </c>
      <c r="AR88" s="779">
        <f t="shared" si="171"/>
        <v>2</v>
      </c>
      <c r="AS88" s="819">
        <f t="shared" si="171"/>
        <v>0</v>
      </c>
      <c r="AT88" s="753">
        <f t="shared" ref="AT88" si="203">ROUND(((AS88/AR88-1)*100), 1)</f>
        <v>-100</v>
      </c>
      <c r="AU88" s="975">
        <v>2</v>
      </c>
      <c r="AV88" s="970">
        <v>7</v>
      </c>
      <c r="AW88" s="753">
        <f t="shared" si="157"/>
        <v>250</v>
      </c>
      <c r="AX88" s="779">
        <f t="shared" si="172"/>
        <v>2</v>
      </c>
      <c r="AY88" s="819">
        <f t="shared" si="173"/>
        <v>0</v>
      </c>
      <c r="AZ88" s="753">
        <f t="shared" ref="AZ88" si="204">ROUND(((AY88/AX88-1)*100), 1)</f>
        <v>-100</v>
      </c>
      <c r="BA88" s="779">
        <v>4</v>
      </c>
      <c r="BB88" s="819">
        <v>7</v>
      </c>
      <c r="BC88" s="753">
        <f t="shared" si="158"/>
        <v>75</v>
      </c>
      <c r="BD88" s="779">
        <f t="shared" si="174"/>
        <v>0</v>
      </c>
      <c r="BE88" s="819">
        <f t="shared" si="174"/>
        <v>0</v>
      </c>
      <c r="BF88" s="751">
        <v>0</v>
      </c>
      <c r="BG88" s="779">
        <v>4</v>
      </c>
      <c r="BH88" s="819">
        <v>7</v>
      </c>
      <c r="BI88" s="753">
        <f t="shared" si="159"/>
        <v>75</v>
      </c>
      <c r="BJ88" s="779">
        <f t="shared" si="175"/>
        <v>0</v>
      </c>
      <c r="BK88" s="819">
        <f t="shared" si="175"/>
        <v>0</v>
      </c>
      <c r="BL88" s="751">
        <v>0</v>
      </c>
      <c r="BM88" s="779">
        <v>4</v>
      </c>
      <c r="BN88" s="819">
        <v>7</v>
      </c>
      <c r="BO88" s="753">
        <f t="shared" si="160"/>
        <v>75</v>
      </c>
      <c r="BP88" s="779">
        <f t="shared" si="176"/>
        <v>0</v>
      </c>
      <c r="BQ88" s="819">
        <f t="shared" si="176"/>
        <v>1</v>
      </c>
      <c r="BR88" s="751">
        <v>0</v>
      </c>
      <c r="BS88" s="779">
        <v>4</v>
      </c>
      <c r="BT88" s="819">
        <v>8</v>
      </c>
      <c r="BU88" s="753">
        <f t="shared" si="161"/>
        <v>100</v>
      </c>
    </row>
    <row r="89" spans="1:73">
      <c r="A89" s="4"/>
      <c r="B89" s="43" t="s">
        <v>91</v>
      </c>
      <c r="C89" s="44">
        <v>852</v>
      </c>
      <c r="D89" s="44">
        <v>582</v>
      </c>
      <c r="E89" s="44">
        <v>438</v>
      </c>
      <c r="F89" s="44">
        <v>119</v>
      </c>
      <c r="G89" s="44">
        <v>0</v>
      </c>
      <c r="H89" s="44">
        <v>2208</v>
      </c>
      <c r="I89" s="44">
        <v>1731</v>
      </c>
      <c r="J89" s="44">
        <v>1</v>
      </c>
      <c r="K89" s="283">
        <v>0</v>
      </c>
      <c r="L89" s="390">
        <v>0</v>
      </c>
      <c r="M89" s="177">
        <v>0</v>
      </c>
      <c r="N89" s="283">
        <f t="shared" si="162"/>
        <v>0</v>
      </c>
      <c r="O89" s="390">
        <f t="shared" si="163"/>
        <v>0</v>
      </c>
      <c r="P89" s="177">
        <v>0</v>
      </c>
      <c r="Q89" s="283">
        <v>0</v>
      </c>
      <c r="R89" s="390">
        <v>0</v>
      </c>
      <c r="S89" s="177">
        <v>0</v>
      </c>
      <c r="T89" s="283">
        <f t="shared" si="164"/>
        <v>0</v>
      </c>
      <c r="U89" s="390">
        <f t="shared" si="165"/>
        <v>0</v>
      </c>
      <c r="V89" s="177">
        <v>0</v>
      </c>
      <c r="W89" s="283">
        <v>0</v>
      </c>
      <c r="X89" s="390">
        <v>0</v>
      </c>
      <c r="Y89" s="177">
        <v>0</v>
      </c>
      <c r="Z89" s="283">
        <f t="shared" si="166"/>
        <v>0</v>
      </c>
      <c r="AA89" s="390">
        <f t="shared" si="167"/>
        <v>0</v>
      </c>
      <c r="AB89" s="521">
        <v>0</v>
      </c>
      <c r="AC89" s="283">
        <v>0</v>
      </c>
      <c r="AD89" s="390">
        <v>0</v>
      </c>
      <c r="AE89" s="521">
        <v>0</v>
      </c>
      <c r="AF89" s="283">
        <f t="shared" si="168"/>
        <v>1</v>
      </c>
      <c r="AG89" s="390">
        <f t="shared" si="168"/>
        <v>0</v>
      </c>
      <c r="AH89" s="242">
        <f t="shared" ref="AH89" si="205">ROUND(((AG89/AF89-1)*100), 1)</f>
        <v>-100</v>
      </c>
      <c r="AI89" s="283">
        <v>1</v>
      </c>
      <c r="AJ89" s="390">
        <v>0</v>
      </c>
      <c r="AK89" s="242">
        <f t="shared" ref="AK89" si="206">ROUND(((AJ89/AI89-1)*100), 1)</f>
        <v>-100</v>
      </c>
      <c r="AL89" s="762">
        <f t="shared" si="169"/>
        <v>0</v>
      </c>
      <c r="AM89" s="769">
        <f t="shared" si="170"/>
        <v>0</v>
      </c>
      <c r="AN89" s="799">
        <v>0</v>
      </c>
      <c r="AO89" s="779">
        <v>1</v>
      </c>
      <c r="AP89" s="819">
        <v>0</v>
      </c>
      <c r="AQ89" s="753">
        <f t="shared" ref="AQ89" si="207">ROUND(((AP89/AO89-1)*100), 1)</f>
        <v>-100</v>
      </c>
      <c r="AR89" s="779">
        <f t="shared" si="171"/>
        <v>0</v>
      </c>
      <c r="AS89" s="819">
        <f t="shared" si="171"/>
        <v>0</v>
      </c>
      <c r="AT89" s="799">
        <v>0</v>
      </c>
      <c r="AU89" s="975">
        <v>1</v>
      </c>
      <c r="AV89" s="970">
        <v>0</v>
      </c>
      <c r="AW89" s="753">
        <f t="shared" si="157"/>
        <v>-100</v>
      </c>
      <c r="AX89" s="779">
        <f t="shared" si="172"/>
        <v>0</v>
      </c>
      <c r="AY89" s="819">
        <f t="shared" si="173"/>
        <v>0</v>
      </c>
      <c r="AZ89" s="799">
        <v>0</v>
      </c>
      <c r="BA89" s="779">
        <v>1</v>
      </c>
      <c r="BB89" s="819">
        <v>0</v>
      </c>
      <c r="BC89" s="753">
        <f t="shared" si="158"/>
        <v>-100</v>
      </c>
      <c r="BD89" s="779">
        <f t="shared" si="174"/>
        <v>0</v>
      </c>
      <c r="BE89" s="819">
        <f t="shared" si="174"/>
        <v>0</v>
      </c>
      <c r="BF89" s="799">
        <v>0</v>
      </c>
      <c r="BG89" s="779">
        <v>1</v>
      </c>
      <c r="BH89" s="819">
        <v>0</v>
      </c>
      <c r="BI89" s="753">
        <f t="shared" si="159"/>
        <v>-100</v>
      </c>
      <c r="BJ89" s="779">
        <f t="shared" si="175"/>
        <v>0</v>
      </c>
      <c r="BK89" s="819">
        <f t="shared" si="175"/>
        <v>0</v>
      </c>
      <c r="BL89" s="799">
        <v>0</v>
      </c>
      <c r="BM89" s="779">
        <v>1</v>
      </c>
      <c r="BN89" s="819">
        <v>0</v>
      </c>
      <c r="BO89" s="753">
        <f t="shared" si="160"/>
        <v>-100</v>
      </c>
      <c r="BP89" s="779">
        <f t="shared" si="176"/>
        <v>0</v>
      </c>
      <c r="BQ89" s="819">
        <f t="shared" si="176"/>
        <v>0</v>
      </c>
      <c r="BR89" s="799">
        <v>0</v>
      </c>
      <c r="BS89" s="779">
        <v>1</v>
      </c>
      <c r="BT89" s="819">
        <v>0</v>
      </c>
      <c r="BU89" s="753">
        <f t="shared" si="161"/>
        <v>-100</v>
      </c>
    </row>
    <row r="90" spans="1:73">
      <c r="A90" s="4"/>
      <c r="B90" s="43" t="s">
        <v>24</v>
      </c>
      <c r="C90" s="44">
        <f t="shared" ref="C90:L90" si="208">C91-SUM(C72:C89)</f>
        <v>115</v>
      </c>
      <c r="D90" s="44">
        <f t="shared" si="208"/>
        <v>36</v>
      </c>
      <c r="E90" s="44">
        <f t="shared" si="208"/>
        <v>103</v>
      </c>
      <c r="F90" s="44">
        <f t="shared" si="208"/>
        <v>108</v>
      </c>
      <c r="G90" s="44">
        <f t="shared" si="208"/>
        <v>30</v>
      </c>
      <c r="H90" s="44">
        <f t="shared" si="208"/>
        <v>354</v>
      </c>
      <c r="I90" s="44">
        <f t="shared" si="208"/>
        <v>24</v>
      </c>
      <c r="J90" s="44">
        <f t="shared" si="208"/>
        <v>31</v>
      </c>
      <c r="K90" s="383">
        <f t="shared" si="208"/>
        <v>1</v>
      </c>
      <c r="L90" s="390">
        <f t="shared" si="208"/>
        <v>0</v>
      </c>
      <c r="M90" s="242">
        <f>ROUND(((L90/K90-1)*100), 1)</f>
        <v>-100</v>
      </c>
      <c r="N90" s="383">
        <f>N91-SUM(N72:N89)</f>
        <v>2</v>
      </c>
      <c r="O90" s="390">
        <f>O91-SUM(O72:O89)</f>
        <v>4</v>
      </c>
      <c r="P90" s="242">
        <f>ROUND(((O90/N90-1)*100), 1)</f>
        <v>100</v>
      </c>
      <c r="Q90" s="383">
        <f>Q91-SUM(Q72:Q89)</f>
        <v>3</v>
      </c>
      <c r="R90" s="390">
        <f>R91-SUM(R72:R89)</f>
        <v>4</v>
      </c>
      <c r="S90" s="242">
        <f>ROUND(((R90/Q90-1)*100), 1)</f>
        <v>33.299999999999997</v>
      </c>
      <c r="T90" s="383">
        <f>T91-SUM(T72:T89)</f>
        <v>1</v>
      </c>
      <c r="U90" s="390">
        <f>U91-SUM(U72:U89)</f>
        <v>4</v>
      </c>
      <c r="V90" s="242">
        <f>ROUND(((U90/T90-1)*100), 1)</f>
        <v>300</v>
      </c>
      <c r="W90" s="383">
        <f>W91-SUM(W72:W89)</f>
        <v>4</v>
      </c>
      <c r="X90" s="390">
        <f>X91-SUM(X72:X89)</f>
        <v>8</v>
      </c>
      <c r="Y90" s="242">
        <f>ROUND(((X90/W90-1)*100), 1)</f>
        <v>100</v>
      </c>
      <c r="Z90" s="527">
        <f>Z91-SUM(Z72:Z89)</f>
        <v>0</v>
      </c>
      <c r="AA90" s="390">
        <f>AA91-SUM(AA72:AA89)</f>
        <v>10</v>
      </c>
      <c r="AB90" s="522">
        <v>0</v>
      </c>
      <c r="AC90" s="527">
        <f>AC91-SUM(AC72:AC89)</f>
        <v>4</v>
      </c>
      <c r="AD90" s="390">
        <f>AD91-SUM(AD72:AD89)</f>
        <v>18</v>
      </c>
      <c r="AE90" s="242">
        <f>ROUND(((AD90/AC90-1)*100), 1)</f>
        <v>350</v>
      </c>
      <c r="AF90" s="527">
        <f>AF91-SUM(AF72:AF89)</f>
        <v>0</v>
      </c>
      <c r="AG90" s="390">
        <f>AG91-SUM(AG72:AG89)</f>
        <v>0</v>
      </c>
      <c r="AH90" s="522">
        <v>0</v>
      </c>
      <c r="AI90" s="527">
        <f>AI91-SUM(AI72:AI89)</f>
        <v>4</v>
      </c>
      <c r="AJ90" s="390">
        <f>AJ91-SUM(AJ72:AJ89)</f>
        <v>18</v>
      </c>
      <c r="AK90" s="242">
        <f>ROUND(((AJ90/AI90-1)*100), 1)</f>
        <v>350</v>
      </c>
      <c r="AL90" s="766">
        <f>AL91-SUM(AL72:AL89)</f>
        <v>0</v>
      </c>
      <c r="AM90" s="769">
        <f>AM91-SUM(AM72:AM89)</f>
        <v>3</v>
      </c>
      <c r="AN90" s="750">
        <v>0</v>
      </c>
      <c r="AO90" s="817">
        <f>AO91-SUM(AO72:AO89)</f>
        <v>4</v>
      </c>
      <c r="AP90" s="819">
        <f>AP91-SUM(AP72:AP89)</f>
        <v>21</v>
      </c>
      <c r="AQ90" s="753">
        <f>ROUND(((AP90/AO90-1)*100), 1)</f>
        <v>425</v>
      </c>
      <c r="AR90" s="817">
        <f>AR91-SUM(AR72:AR89)</f>
        <v>7</v>
      </c>
      <c r="AS90" s="819">
        <f>AS91-SUM(AS72:AS89)</f>
        <v>0</v>
      </c>
      <c r="AT90" s="753">
        <f t="shared" ref="AT90" si="209">ROUND(((AS90/AR90-1)*100), 1)</f>
        <v>-100</v>
      </c>
      <c r="AU90" s="969">
        <f>AU91-SUM(AU72:AU89)</f>
        <v>11</v>
      </c>
      <c r="AV90" s="970">
        <f>AV91-SUM(AV72:AV89)</f>
        <v>21</v>
      </c>
      <c r="AW90" s="753">
        <f t="shared" si="157"/>
        <v>90.9</v>
      </c>
      <c r="AX90" s="817">
        <f>AX91-SUM(AX72:AX89)</f>
        <v>2</v>
      </c>
      <c r="AY90" s="819">
        <f>AY91-SUM(AY72:AY89)</f>
        <v>20</v>
      </c>
      <c r="AZ90" s="753">
        <f t="shared" ref="AZ90" si="210">ROUND(((AY90/AX90-1)*100), 1)</f>
        <v>900</v>
      </c>
      <c r="BA90" s="817">
        <f>BA91-SUM(BA72:BA89)</f>
        <v>13</v>
      </c>
      <c r="BB90" s="819">
        <f>BB91-SUM(BB72:BB89)</f>
        <v>41</v>
      </c>
      <c r="BC90" s="753">
        <f t="shared" si="158"/>
        <v>215.4</v>
      </c>
      <c r="BD90" s="817">
        <f>BD91-SUM(BD72:BD89)</f>
        <v>0</v>
      </c>
      <c r="BE90" s="819">
        <f>BE91-SUM(BE72:BE89)</f>
        <v>0</v>
      </c>
      <c r="BF90" s="708">
        <v>0</v>
      </c>
      <c r="BG90" s="817">
        <f>BG91-SUM(BG72:BG89)</f>
        <v>13</v>
      </c>
      <c r="BH90" s="819">
        <f>BH91-SUM(BH72:BH89)</f>
        <v>41</v>
      </c>
      <c r="BI90" s="753">
        <f t="shared" si="159"/>
        <v>215.4</v>
      </c>
      <c r="BJ90" s="817">
        <f>BJ91-SUM(BJ72:BJ89)</f>
        <v>17</v>
      </c>
      <c r="BK90" s="819">
        <f>BK91-SUM(BK72:BK89)</f>
        <v>7</v>
      </c>
      <c r="BL90" s="708">
        <v>0</v>
      </c>
      <c r="BM90" s="817">
        <f>BM91-SUM(BM72:BM89)</f>
        <v>30</v>
      </c>
      <c r="BN90" s="819">
        <f>BN91-SUM(BN72:BN89)</f>
        <v>48</v>
      </c>
      <c r="BO90" s="753">
        <f t="shared" si="160"/>
        <v>60</v>
      </c>
      <c r="BP90" s="817">
        <f>BP91-SUM(BP72:BP89)</f>
        <v>0</v>
      </c>
      <c r="BQ90" s="819">
        <f>BQ91-SUM(BQ72:BQ89)</f>
        <v>1</v>
      </c>
      <c r="BR90" s="708">
        <v>0</v>
      </c>
      <c r="BS90" s="817">
        <f>BS91-SUM(BS72:BS89)</f>
        <v>30</v>
      </c>
      <c r="BT90" s="819">
        <f>BT91-SUM(BT72:BT89)</f>
        <v>49</v>
      </c>
      <c r="BU90" s="753">
        <f t="shared" si="161"/>
        <v>63.3</v>
      </c>
    </row>
    <row r="91" spans="1:73">
      <c r="A91" s="9"/>
      <c r="B91" s="67" t="s">
        <v>108</v>
      </c>
      <c r="C91" s="46">
        <v>4999</v>
      </c>
      <c r="D91" s="46">
        <v>5397</v>
      </c>
      <c r="E91" s="46">
        <v>5993</v>
      </c>
      <c r="F91" s="46">
        <v>6819</v>
      </c>
      <c r="G91" s="46">
        <v>6670</v>
      </c>
      <c r="H91" s="46">
        <v>15871</v>
      </c>
      <c r="I91" s="46">
        <v>16060</v>
      </c>
      <c r="J91" s="46">
        <v>10513</v>
      </c>
      <c r="K91" s="281">
        <v>1291</v>
      </c>
      <c r="L91" s="295">
        <v>1021</v>
      </c>
      <c r="M91" s="243">
        <f>ROUND(((L91/K91-1)*100), 1)</f>
        <v>-20.9</v>
      </c>
      <c r="N91" s="281">
        <f>Q91-K91</f>
        <v>608</v>
      </c>
      <c r="O91" s="295">
        <f>R91-L91</f>
        <v>945</v>
      </c>
      <c r="P91" s="243">
        <f>ROUND(((O91/N91-1)*100), 1)</f>
        <v>55.4</v>
      </c>
      <c r="Q91" s="281">
        <v>1899</v>
      </c>
      <c r="R91" s="295">
        <v>1966</v>
      </c>
      <c r="S91" s="243">
        <f>ROUND(((R91/Q91-1)*100), 1)</f>
        <v>3.5</v>
      </c>
      <c r="T91" s="281">
        <f>W91-Q91</f>
        <v>1055</v>
      </c>
      <c r="U91" s="295">
        <f>X91-R91</f>
        <v>1367</v>
      </c>
      <c r="V91" s="243">
        <f>ROUND(((U91/T91-1)*100), 1)</f>
        <v>29.6</v>
      </c>
      <c r="W91" s="281">
        <v>2954</v>
      </c>
      <c r="X91" s="295">
        <v>3333</v>
      </c>
      <c r="Y91" s="243">
        <f>ROUND(((X91/W91-1)*100), 1)</f>
        <v>12.8</v>
      </c>
      <c r="Z91" s="281">
        <f>AC91-W91</f>
        <v>975</v>
      </c>
      <c r="AA91" s="295">
        <f>AD91-X91</f>
        <v>867</v>
      </c>
      <c r="AB91" s="243">
        <f>ROUND(((AA91/Z91-1)*100), 1)</f>
        <v>-11.1</v>
      </c>
      <c r="AC91" s="281">
        <v>3929</v>
      </c>
      <c r="AD91" s="295">
        <v>4200</v>
      </c>
      <c r="AE91" s="243">
        <f>ROUND(((AD91/AC91-1)*100), 1)</f>
        <v>6.9</v>
      </c>
      <c r="AF91" s="281">
        <f>AI91-AC91</f>
        <v>796</v>
      </c>
      <c r="AG91" s="295">
        <f>AJ91-AD91</f>
        <v>909</v>
      </c>
      <c r="AH91" s="243">
        <f>ROUND(((AG91/AF91-1)*100), 1)</f>
        <v>14.2</v>
      </c>
      <c r="AI91" s="281">
        <v>4725</v>
      </c>
      <c r="AJ91" s="295">
        <v>5109</v>
      </c>
      <c r="AK91" s="243">
        <f>ROUND(((AJ91/AI91-1)*100), 1)</f>
        <v>8.1</v>
      </c>
      <c r="AL91" s="760">
        <f>AO91-AI91</f>
        <v>539</v>
      </c>
      <c r="AM91" s="763">
        <f>AP91-AJ91</f>
        <v>1018</v>
      </c>
      <c r="AN91" s="754">
        <f>ROUND(((AM91/AL91-1)*100), 1)</f>
        <v>88.9</v>
      </c>
      <c r="AO91" s="760">
        <v>5264</v>
      </c>
      <c r="AP91" s="808">
        <v>6127</v>
      </c>
      <c r="AQ91" s="754">
        <f>ROUND(((AP91/AO91-1)*100), 1)</f>
        <v>16.399999999999999</v>
      </c>
      <c r="AR91" s="760">
        <f>AU91-AO91</f>
        <v>1011</v>
      </c>
      <c r="AS91" s="808">
        <f>AV91-AP91</f>
        <v>1107</v>
      </c>
      <c r="AT91" s="754">
        <f>ROUND(((AS91/AR91-1)*100), 1)</f>
        <v>9.5</v>
      </c>
      <c r="AU91" s="986">
        <v>6275</v>
      </c>
      <c r="AV91" s="972">
        <v>7234</v>
      </c>
      <c r="AW91" s="754">
        <f>ROUND(((AV91/AU91-1)*100), 1)</f>
        <v>15.3</v>
      </c>
      <c r="AX91" s="760">
        <f>BA91-AU91</f>
        <v>676</v>
      </c>
      <c r="AY91" s="808">
        <f>BB91-AV91</f>
        <v>1160</v>
      </c>
      <c r="AZ91" s="754">
        <f>ROUND(((AY91/AX91-1)*100), 1)</f>
        <v>71.599999999999994</v>
      </c>
      <c r="BA91" s="760">
        <v>6951</v>
      </c>
      <c r="BB91" s="808">
        <v>8394</v>
      </c>
      <c r="BC91" s="754">
        <f>ROUND(((BB91/BA91-1)*100), 1)</f>
        <v>20.8</v>
      </c>
      <c r="BD91" s="760">
        <f>BG91-BA91</f>
        <v>707</v>
      </c>
      <c r="BE91" s="808">
        <f>BH91-BB91</f>
        <v>996</v>
      </c>
      <c r="BF91" s="754">
        <f>ROUND(((BE91/BD91-1)*100), 1)</f>
        <v>40.9</v>
      </c>
      <c r="BG91" s="760">
        <v>7658</v>
      </c>
      <c r="BH91" s="808">
        <v>9390</v>
      </c>
      <c r="BI91" s="754">
        <f>ROUND(((BH91/BG91-1)*100), 1)</f>
        <v>22.6</v>
      </c>
      <c r="BJ91" s="760">
        <f>BM91-BG91</f>
        <v>724</v>
      </c>
      <c r="BK91" s="808">
        <f>BN91-BH91</f>
        <v>1106</v>
      </c>
      <c r="BL91" s="754">
        <f>ROUND(((BK91/BJ91-1)*100), 1)</f>
        <v>52.8</v>
      </c>
      <c r="BM91" s="760">
        <v>8382</v>
      </c>
      <c r="BN91" s="808">
        <v>10496</v>
      </c>
      <c r="BO91" s="754">
        <f>ROUND(((BN91/BM91-1)*100), 1)</f>
        <v>25.2</v>
      </c>
      <c r="BP91" s="760">
        <f>BS91-BM91</f>
        <v>668</v>
      </c>
      <c r="BQ91" s="808">
        <f>BT91-BN91</f>
        <v>723</v>
      </c>
      <c r="BR91" s="754">
        <f>ROUND(((BQ91/BP91-1)*100), 1)</f>
        <v>8.1999999999999993</v>
      </c>
      <c r="BS91" s="760">
        <v>9050</v>
      </c>
      <c r="BT91" s="808">
        <v>11219</v>
      </c>
      <c r="BU91" s="754">
        <f>ROUND(((BT91/BS91-1)*100), 1)</f>
        <v>24</v>
      </c>
    </row>
    <row r="92" spans="1:73">
      <c r="A92" s="112" t="s">
        <v>118</v>
      </c>
      <c r="M92" s="273"/>
    </row>
    <row r="93" spans="1:73">
      <c r="K93" s="307"/>
      <c r="M93" s="268"/>
      <c r="N93" s="307"/>
      <c r="Q93" s="307"/>
      <c r="T93" s="307"/>
      <c r="W93" s="307"/>
      <c r="Z93" s="307"/>
      <c r="AC93" s="307"/>
      <c r="AF93" s="307"/>
      <c r="AI93" s="307"/>
      <c r="AL93" s="764"/>
      <c r="AO93" s="837"/>
      <c r="AR93" s="837"/>
      <c r="AU93" s="959"/>
      <c r="AX93" s="837"/>
      <c r="BA93" s="837"/>
      <c r="BD93" s="837"/>
      <c r="BG93" s="837"/>
      <c r="BJ93" s="837"/>
      <c r="BM93" s="837"/>
      <c r="BP93" s="837"/>
      <c r="BS93" s="837"/>
    </row>
    <row r="94" spans="1:73">
      <c r="A94" s="81" t="s">
        <v>252</v>
      </c>
      <c r="B94" s="84"/>
      <c r="C94" s="83"/>
      <c r="D94" s="83"/>
      <c r="E94" s="83"/>
      <c r="F94" s="83"/>
      <c r="G94" s="83"/>
      <c r="J94" s="280" t="s">
        <v>253</v>
      </c>
      <c r="K94" s="280"/>
      <c r="L94" s="280"/>
      <c r="M94" s="278"/>
      <c r="N94" s="280"/>
      <c r="O94" s="280"/>
      <c r="P94" s="278"/>
      <c r="Q94" s="280"/>
      <c r="R94" s="280"/>
      <c r="S94" s="278"/>
      <c r="T94" s="280"/>
      <c r="U94" s="280"/>
      <c r="V94" s="278"/>
      <c r="W94" s="280"/>
      <c r="X94" s="280"/>
      <c r="Y94" s="278"/>
      <c r="Z94" s="280"/>
      <c r="AA94" s="280"/>
      <c r="AB94" s="278"/>
      <c r="AC94" s="280"/>
      <c r="AD94" s="280"/>
      <c r="AE94" s="278"/>
      <c r="AF94" s="280"/>
      <c r="AG94" s="280"/>
      <c r="AH94" s="278"/>
      <c r="AI94" s="280"/>
      <c r="AJ94" s="280"/>
      <c r="AK94" s="278"/>
      <c r="AL94" s="747"/>
      <c r="AM94" s="747"/>
      <c r="AN94" s="759"/>
      <c r="AO94" s="747"/>
      <c r="AP94" s="747"/>
      <c r="AQ94" s="759"/>
      <c r="AR94" s="747"/>
      <c r="AS94" s="747"/>
      <c r="AT94" s="759"/>
      <c r="AU94" s="962"/>
      <c r="AV94" s="962"/>
      <c r="AW94" s="759"/>
      <c r="AX94" s="747"/>
      <c r="AY94" s="747"/>
      <c r="AZ94" s="759"/>
      <c r="BA94" s="747"/>
      <c r="BB94" s="747"/>
      <c r="BC94" s="759"/>
      <c r="BD94" s="747"/>
      <c r="BE94" s="747"/>
      <c r="BF94" s="759"/>
      <c r="BG94" s="747"/>
      <c r="BH94" s="747"/>
      <c r="BI94" s="759"/>
      <c r="BJ94" s="747"/>
      <c r="BK94" s="747"/>
      <c r="BL94" s="759"/>
      <c r="BM94" s="747"/>
      <c r="BN94" s="747"/>
      <c r="BO94" s="759"/>
      <c r="BP94" s="747"/>
      <c r="BQ94" s="747"/>
      <c r="BR94" s="759"/>
      <c r="BS94" s="747"/>
      <c r="BT94" s="747"/>
      <c r="BU94" s="759"/>
    </row>
    <row r="95" spans="1:73">
      <c r="B95" s="30"/>
      <c r="C95" s="75"/>
      <c r="D95" s="75"/>
      <c r="E95" s="75"/>
      <c r="F95" s="75"/>
      <c r="G95" s="75"/>
      <c r="H95" s="75"/>
      <c r="I95" s="279"/>
      <c r="J95" s="279"/>
      <c r="K95" s="279"/>
      <c r="L95" s="279"/>
      <c r="M95" s="274" t="s">
        <v>94</v>
      </c>
      <c r="N95" s="279"/>
      <c r="O95" s="279"/>
      <c r="P95" s="274"/>
      <c r="Q95" s="279"/>
      <c r="R95" s="279"/>
      <c r="S95" s="274" t="s">
        <v>94</v>
      </c>
      <c r="T95" s="279"/>
      <c r="U95" s="279"/>
      <c r="V95" s="274"/>
      <c r="W95" s="279"/>
      <c r="X95" s="279"/>
      <c r="Y95" s="274" t="s">
        <v>94</v>
      </c>
      <c r="Z95" s="279"/>
      <c r="AA95" s="279"/>
      <c r="AB95" s="274"/>
      <c r="AC95" s="279"/>
      <c r="AD95" s="279"/>
      <c r="AE95" s="274" t="s">
        <v>94</v>
      </c>
      <c r="AF95" s="279"/>
      <c r="AG95" s="279"/>
      <c r="AH95" s="274"/>
      <c r="AI95" s="279"/>
      <c r="AJ95" s="279"/>
      <c r="AK95" s="274" t="s">
        <v>94</v>
      </c>
      <c r="AL95" s="746"/>
      <c r="AM95" s="746"/>
      <c r="AN95" s="755"/>
      <c r="AO95" s="746"/>
      <c r="AP95" s="746"/>
      <c r="AQ95" s="755" t="s">
        <v>94</v>
      </c>
      <c r="AR95" s="746"/>
      <c r="AS95" s="746"/>
      <c r="AT95" s="755"/>
      <c r="AU95" s="961"/>
      <c r="AV95" s="961"/>
      <c r="AW95" s="755" t="s">
        <v>94</v>
      </c>
      <c r="AX95" s="746"/>
      <c r="AY95" s="746"/>
      <c r="AZ95" s="755"/>
      <c r="BA95" s="746"/>
      <c r="BB95" s="746"/>
      <c r="BC95" s="755" t="s">
        <v>94</v>
      </c>
      <c r="BD95" s="746"/>
      <c r="BE95" s="746"/>
      <c r="BF95" s="755"/>
      <c r="BG95" s="746"/>
      <c r="BH95" s="746"/>
      <c r="BI95" s="755" t="s">
        <v>94</v>
      </c>
      <c r="BJ95" s="746"/>
      <c r="BK95" s="746"/>
      <c r="BL95" s="755"/>
      <c r="BM95" s="746"/>
      <c r="BN95" s="746"/>
      <c r="BO95" s="755" t="s">
        <v>94</v>
      </c>
      <c r="BP95" s="746"/>
      <c r="BQ95" s="746"/>
      <c r="BR95" s="755"/>
      <c r="BS95" s="746"/>
      <c r="BT95" s="746"/>
      <c r="BU95" s="755" t="s">
        <v>94</v>
      </c>
    </row>
    <row r="96" spans="1:73">
      <c r="A96" s="1082" t="s">
        <v>95</v>
      </c>
      <c r="B96" s="1082"/>
      <c r="C96" s="1170" t="s">
        <v>3</v>
      </c>
      <c r="D96" s="1170" t="s">
        <v>4</v>
      </c>
      <c r="E96" s="1170" t="s">
        <v>5</v>
      </c>
      <c r="F96" s="1170" t="s">
        <v>6</v>
      </c>
      <c r="G96" s="1170" t="s">
        <v>7</v>
      </c>
      <c r="H96" s="1170" t="s">
        <v>81</v>
      </c>
      <c r="I96" s="1170" t="s">
        <v>83</v>
      </c>
      <c r="J96" s="1172" t="s">
        <v>315</v>
      </c>
      <c r="K96" s="1180" t="s">
        <v>40</v>
      </c>
      <c r="L96" s="1115"/>
      <c r="M96" s="1082"/>
      <c r="N96" s="1155" t="s">
        <v>505</v>
      </c>
      <c r="O96" s="1156"/>
      <c r="P96" s="1157"/>
      <c r="Q96" s="1155" t="s">
        <v>506</v>
      </c>
      <c r="R96" s="1156"/>
      <c r="S96" s="1157"/>
      <c r="T96" s="1155" t="s">
        <v>513</v>
      </c>
      <c r="U96" s="1156"/>
      <c r="V96" s="1157"/>
      <c r="W96" s="1155" t="s">
        <v>514</v>
      </c>
      <c r="X96" s="1156"/>
      <c r="Y96" s="1157"/>
      <c r="Z96" s="1155" t="s">
        <v>531</v>
      </c>
      <c r="AA96" s="1156"/>
      <c r="AB96" s="1157"/>
      <c r="AC96" s="1155" t="s">
        <v>533</v>
      </c>
      <c r="AD96" s="1156"/>
      <c r="AE96" s="1157"/>
      <c r="AF96" s="1155" t="s">
        <v>555</v>
      </c>
      <c r="AG96" s="1156"/>
      <c r="AH96" s="1157"/>
      <c r="AI96" s="1155" t="s">
        <v>556</v>
      </c>
      <c r="AJ96" s="1156"/>
      <c r="AK96" s="1157"/>
      <c r="AL96" s="1155" t="s">
        <v>583</v>
      </c>
      <c r="AM96" s="1156"/>
      <c r="AN96" s="1157"/>
      <c r="AO96" s="1155" t="s">
        <v>584</v>
      </c>
      <c r="AP96" s="1156"/>
      <c r="AQ96" s="1157"/>
      <c r="AR96" s="1155" t="s">
        <v>621</v>
      </c>
      <c r="AS96" s="1156"/>
      <c r="AT96" s="1157"/>
      <c r="AU96" s="1155" t="s">
        <v>622</v>
      </c>
      <c r="AV96" s="1156"/>
      <c r="AW96" s="1157"/>
      <c r="AX96" s="1155" t="s">
        <v>626</v>
      </c>
      <c r="AY96" s="1156"/>
      <c r="AZ96" s="1157"/>
      <c r="BA96" s="1155" t="s">
        <v>628</v>
      </c>
      <c r="BB96" s="1156"/>
      <c r="BC96" s="1157"/>
      <c r="BD96" s="1155" t="s">
        <v>650</v>
      </c>
      <c r="BE96" s="1156"/>
      <c r="BF96" s="1157"/>
      <c r="BG96" s="1155" t="s">
        <v>651</v>
      </c>
      <c r="BH96" s="1156"/>
      <c r="BI96" s="1157"/>
      <c r="BJ96" s="1155" t="s">
        <v>676</v>
      </c>
      <c r="BK96" s="1156"/>
      <c r="BL96" s="1157"/>
      <c r="BM96" s="1155" t="s">
        <v>677</v>
      </c>
      <c r="BN96" s="1156"/>
      <c r="BO96" s="1157"/>
      <c r="BP96" s="1155" t="s">
        <v>712</v>
      </c>
      <c r="BQ96" s="1156"/>
      <c r="BR96" s="1157"/>
      <c r="BS96" s="1155" t="s">
        <v>711</v>
      </c>
      <c r="BT96" s="1156"/>
      <c r="BU96" s="1157"/>
    </row>
    <row r="97" spans="1:73">
      <c r="A97" s="1082"/>
      <c r="B97" s="1082"/>
      <c r="C97" s="1170"/>
      <c r="D97" s="1170"/>
      <c r="E97" s="1170"/>
      <c r="F97" s="1170"/>
      <c r="G97" s="1170"/>
      <c r="H97" s="1170"/>
      <c r="I97" s="1170"/>
      <c r="J97" s="1173"/>
      <c r="K97" s="418" t="s">
        <v>445</v>
      </c>
      <c r="L97" s="427" t="s">
        <v>446</v>
      </c>
      <c r="M97" s="277" t="s">
        <v>10</v>
      </c>
      <c r="N97" s="418" t="s">
        <v>445</v>
      </c>
      <c r="O97" s="427" t="s">
        <v>446</v>
      </c>
      <c r="P97" s="277" t="s">
        <v>10</v>
      </c>
      <c r="Q97" s="418" t="s">
        <v>445</v>
      </c>
      <c r="R97" s="427" t="s">
        <v>446</v>
      </c>
      <c r="S97" s="277" t="s">
        <v>10</v>
      </c>
      <c r="T97" s="418" t="s">
        <v>445</v>
      </c>
      <c r="U97" s="427" t="s">
        <v>446</v>
      </c>
      <c r="V97" s="277" t="s">
        <v>10</v>
      </c>
      <c r="W97" s="418" t="s">
        <v>445</v>
      </c>
      <c r="X97" s="427" t="s">
        <v>446</v>
      </c>
      <c r="Y97" s="277" t="s">
        <v>10</v>
      </c>
      <c r="Z97" s="418" t="s">
        <v>445</v>
      </c>
      <c r="AA97" s="427" t="s">
        <v>446</v>
      </c>
      <c r="AB97" s="277" t="s">
        <v>10</v>
      </c>
      <c r="AC97" s="418" t="s">
        <v>445</v>
      </c>
      <c r="AD97" s="427" t="s">
        <v>446</v>
      </c>
      <c r="AE97" s="277" t="s">
        <v>10</v>
      </c>
      <c r="AF97" s="418" t="s">
        <v>445</v>
      </c>
      <c r="AG97" s="427" t="s">
        <v>446</v>
      </c>
      <c r="AH97" s="277" t="s">
        <v>10</v>
      </c>
      <c r="AI97" s="418" t="s">
        <v>445</v>
      </c>
      <c r="AJ97" s="427" t="s">
        <v>446</v>
      </c>
      <c r="AK97" s="277" t="s">
        <v>10</v>
      </c>
      <c r="AL97" s="771" t="s">
        <v>445</v>
      </c>
      <c r="AM97" s="772" t="s">
        <v>446</v>
      </c>
      <c r="AN97" s="757" t="s">
        <v>10</v>
      </c>
      <c r="AO97" s="815" t="s">
        <v>445</v>
      </c>
      <c r="AP97" s="816" t="s">
        <v>446</v>
      </c>
      <c r="AQ97" s="757" t="s">
        <v>10</v>
      </c>
      <c r="AR97" s="815" t="s">
        <v>445</v>
      </c>
      <c r="AS97" s="816" t="s">
        <v>446</v>
      </c>
      <c r="AT97" s="757" t="s">
        <v>10</v>
      </c>
      <c r="AU97" s="996" t="s">
        <v>445</v>
      </c>
      <c r="AV97" s="1009" t="s">
        <v>446</v>
      </c>
      <c r="AW97" s="757" t="s">
        <v>10</v>
      </c>
      <c r="AX97" s="815" t="s">
        <v>445</v>
      </c>
      <c r="AY97" s="816" t="s">
        <v>446</v>
      </c>
      <c r="AZ97" s="757" t="s">
        <v>10</v>
      </c>
      <c r="BA97" s="815" t="s">
        <v>445</v>
      </c>
      <c r="BB97" s="816" t="s">
        <v>446</v>
      </c>
      <c r="BC97" s="757" t="s">
        <v>10</v>
      </c>
      <c r="BD97" s="815" t="s">
        <v>669</v>
      </c>
      <c r="BE97" s="816" t="s">
        <v>671</v>
      </c>
      <c r="BF97" s="757" t="s">
        <v>10</v>
      </c>
      <c r="BG97" s="815" t="s">
        <v>669</v>
      </c>
      <c r="BH97" s="816" t="s">
        <v>671</v>
      </c>
      <c r="BI97" s="757" t="s">
        <v>10</v>
      </c>
      <c r="BJ97" s="815" t="s">
        <v>698</v>
      </c>
      <c r="BK97" s="816" t="s">
        <v>699</v>
      </c>
      <c r="BL97" s="757" t="s">
        <v>10</v>
      </c>
      <c r="BM97" s="815" t="s">
        <v>696</v>
      </c>
      <c r="BN97" s="816" t="s">
        <v>697</v>
      </c>
      <c r="BO97" s="757" t="s">
        <v>10</v>
      </c>
      <c r="BP97" s="815" t="s">
        <v>445</v>
      </c>
      <c r="BQ97" s="816" t="s">
        <v>446</v>
      </c>
      <c r="BR97" s="757" t="s">
        <v>10</v>
      </c>
      <c r="BS97" s="815" t="s">
        <v>445</v>
      </c>
      <c r="BT97" s="816" t="s">
        <v>446</v>
      </c>
      <c r="BU97" s="757" t="s">
        <v>10</v>
      </c>
    </row>
    <row r="98" spans="1:73">
      <c r="A98" s="8"/>
      <c r="B98" s="85" t="s">
        <v>53</v>
      </c>
      <c r="C98" s="66">
        <v>4876</v>
      </c>
      <c r="D98" s="66">
        <v>5248</v>
      </c>
      <c r="E98" s="66">
        <v>6420</v>
      </c>
      <c r="F98" s="66">
        <v>5440</v>
      </c>
      <c r="G98" s="66">
        <v>7375</v>
      </c>
      <c r="H98" s="66">
        <v>6421</v>
      </c>
      <c r="I98" s="66">
        <v>6769</v>
      </c>
      <c r="J98" s="66">
        <v>7736</v>
      </c>
      <c r="K98" s="282">
        <v>723</v>
      </c>
      <c r="L98" s="389">
        <v>631</v>
      </c>
      <c r="M98" s="475">
        <f t="shared" ref="M98:M109" si="211">ROUND(((L98/K98-1)*100), 1)</f>
        <v>-12.7</v>
      </c>
      <c r="N98" s="282">
        <f t="shared" ref="N98:N121" si="212">Q98-K98</f>
        <v>732</v>
      </c>
      <c r="O98" s="389">
        <f t="shared" ref="O98:O121" si="213">R98-L98</f>
        <v>426</v>
      </c>
      <c r="P98" s="475">
        <f t="shared" ref="P98:P109" si="214">ROUND(((O98/N98-1)*100), 1)</f>
        <v>-41.8</v>
      </c>
      <c r="Q98" s="282">
        <v>1455</v>
      </c>
      <c r="R98" s="389">
        <v>1057</v>
      </c>
      <c r="S98" s="475">
        <f t="shared" ref="S98:S109" si="215">ROUND(((R98/Q98-1)*100), 1)</f>
        <v>-27.4</v>
      </c>
      <c r="T98" s="282">
        <f t="shared" ref="T98:T121" si="216">W98-Q98</f>
        <v>638</v>
      </c>
      <c r="U98" s="389">
        <f t="shared" ref="U98:U121" si="217">X98-R98</f>
        <v>458</v>
      </c>
      <c r="V98" s="475">
        <f t="shared" ref="V98:V109" si="218">ROUND(((U98/T98-1)*100), 1)</f>
        <v>-28.2</v>
      </c>
      <c r="W98" s="282">
        <v>2093</v>
      </c>
      <c r="X98" s="389">
        <v>1515</v>
      </c>
      <c r="Y98" s="475">
        <f t="shared" ref="Y98:Y109" si="219">ROUND(((X98/W98-1)*100), 1)</f>
        <v>-27.6</v>
      </c>
      <c r="Z98" s="282">
        <f t="shared" ref="Z98:Z121" si="220">AC98-W98</f>
        <v>613</v>
      </c>
      <c r="AA98" s="389">
        <f t="shared" ref="AA98:AA121" si="221">AD98-X98</f>
        <v>607</v>
      </c>
      <c r="AB98" s="475">
        <f t="shared" ref="AB98:AB109" si="222">ROUND(((AA98/Z98-1)*100), 1)</f>
        <v>-1</v>
      </c>
      <c r="AC98" s="282">
        <v>2706</v>
      </c>
      <c r="AD98" s="389">
        <v>2122</v>
      </c>
      <c r="AE98" s="475">
        <f t="shared" ref="AE98:AE109" si="223">ROUND(((AD98/AC98-1)*100), 1)</f>
        <v>-21.6</v>
      </c>
      <c r="AF98" s="282">
        <f t="shared" ref="AF98:AG121" si="224">AI98-AC98</f>
        <v>611</v>
      </c>
      <c r="AG98" s="389">
        <f t="shared" si="224"/>
        <v>653</v>
      </c>
      <c r="AH98" s="475">
        <f t="shared" ref="AH98:AH109" si="225">ROUND(((AG98/AF98-1)*100), 1)</f>
        <v>6.9</v>
      </c>
      <c r="AI98" s="282">
        <v>3317</v>
      </c>
      <c r="AJ98" s="389">
        <v>2775</v>
      </c>
      <c r="AK98" s="475">
        <f t="shared" ref="AK98:AK109" si="226">ROUND(((AJ98/AI98-1)*100), 1)</f>
        <v>-16.3</v>
      </c>
      <c r="AL98" s="761">
        <f t="shared" ref="AL98:AL121" si="227">AO98-AI98</f>
        <v>720</v>
      </c>
      <c r="AM98" s="768">
        <f t="shared" ref="AM98:AM121" si="228">AP98-AJ98</f>
        <v>938</v>
      </c>
      <c r="AN98" s="775">
        <f t="shared" ref="AN98:AN109" si="229">ROUND(((AM98/AL98-1)*100), 1)</f>
        <v>30.3</v>
      </c>
      <c r="AO98" s="778">
        <v>4037</v>
      </c>
      <c r="AP98" s="812">
        <v>3713</v>
      </c>
      <c r="AQ98" s="775">
        <f t="shared" ref="AQ98:AQ109" si="230">ROUND(((AP98/AO98-1)*100), 1)</f>
        <v>-8</v>
      </c>
      <c r="AR98" s="778">
        <f t="shared" ref="AR98:AS121" si="231">AU98-AO98</f>
        <v>861</v>
      </c>
      <c r="AS98" s="812">
        <f t="shared" si="231"/>
        <v>630</v>
      </c>
      <c r="AT98" s="775">
        <f t="shared" ref="AT98:AT109" si="232">ROUND(((AS98/AR98-1)*100), 1)</f>
        <v>-26.8</v>
      </c>
      <c r="AU98" s="1024">
        <v>4898</v>
      </c>
      <c r="AV98" s="974">
        <v>4343</v>
      </c>
      <c r="AW98" s="775">
        <f t="shared" ref="AW98:AW137" si="233">ROUND(((AV98/AU98-1)*100), 1)</f>
        <v>-11.3</v>
      </c>
      <c r="AX98" s="778">
        <f t="shared" ref="AX98:AX121" si="234">BA98-AU98</f>
        <v>684</v>
      </c>
      <c r="AY98" s="812">
        <f t="shared" ref="AY98:AY121" si="235">BB98-AV98</f>
        <v>434</v>
      </c>
      <c r="AZ98" s="775">
        <f t="shared" ref="AZ98:AZ110" si="236">ROUND(((AY98/AX98-1)*100), 1)</f>
        <v>-36.5</v>
      </c>
      <c r="BA98" s="778">
        <v>5582</v>
      </c>
      <c r="BB98" s="812">
        <v>4777</v>
      </c>
      <c r="BC98" s="775">
        <f t="shared" ref="BC98:BC137" si="237">ROUND(((BB98/BA98-1)*100), 1)</f>
        <v>-14.4</v>
      </c>
      <c r="BD98" s="778">
        <f t="shared" ref="BD98:BE121" si="238">BG98-BA98</f>
        <v>677</v>
      </c>
      <c r="BE98" s="812">
        <f t="shared" si="238"/>
        <v>531</v>
      </c>
      <c r="BF98" s="775">
        <f t="shared" ref="BF98:BF110" si="239">ROUND(((BE98/BD98-1)*100), 1)</f>
        <v>-21.6</v>
      </c>
      <c r="BG98" s="778">
        <v>6259</v>
      </c>
      <c r="BH98" s="812">
        <v>5308</v>
      </c>
      <c r="BI98" s="775">
        <f t="shared" ref="BI98:BI137" si="240">ROUND(((BH98/BG98-1)*100), 1)</f>
        <v>-15.2</v>
      </c>
      <c r="BJ98" s="778">
        <f t="shared" ref="BJ98:BK121" si="241">BM98-BG98</f>
        <v>788</v>
      </c>
      <c r="BK98" s="812">
        <f t="shared" si="241"/>
        <v>517</v>
      </c>
      <c r="BL98" s="775">
        <f t="shared" ref="BL98:BL110" si="242">ROUND(((BK98/BJ98-1)*100), 1)</f>
        <v>-34.4</v>
      </c>
      <c r="BM98" s="778">
        <v>7047</v>
      </c>
      <c r="BN98" s="812">
        <v>5825</v>
      </c>
      <c r="BO98" s="775">
        <f t="shared" ref="BO98:BO137" si="243">ROUND(((BN98/BM98-1)*100), 1)</f>
        <v>-17.3</v>
      </c>
      <c r="BP98" s="778">
        <f t="shared" ref="BP98:BQ121" si="244">BS98-BM98</f>
        <v>269</v>
      </c>
      <c r="BQ98" s="812">
        <f t="shared" si="244"/>
        <v>650</v>
      </c>
      <c r="BR98" s="775">
        <f t="shared" ref="BR98:BR110" si="245">ROUND(((BQ98/BP98-1)*100), 1)</f>
        <v>141.6</v>
      </c>
      <c r="BS98" s="778">
        <v>7316</v>
      </c>
      <c r="BT98" s="812">
        <v>6475</v>
      </c>
      <c r="BU98" s="775">
        <f t="shared" ref="BU98:BU137" si="246">ROUND(((BT98/BS98-1)*100), 1)</f>
        <v>-11.5</v>
      </c>
    </row>
    <row r="99" spans="1:73">
      <c r="A99" s="4" t="s">
        <v>121</v>
      </c>
      <c r="B99" s="43" t="s">
        <v>51</v>
      </c>
      <c r="C99" s="44">
        <v>1196</v>
      </c>
      <c r="D99" s="44">
        <v>1407</v>
      </c>
      <c r="E99" s="44">
        <v>2110</v>
      </c>
      <c r="F99" s="44">
        <v>5229</v>
      </c>
      <c r="G99" s="44">
        <v>6075</v>
      </c>
      <c r="H99" s="44">
        <v>8036</v>
      </c>
      <c r="I99" s="44">
        <v>5515</v>
      </c>
      <c r="J99" s="44">
        <v>7043</v>
      </c>
      <c r="K99" s="283">
        <v>458</v>
      </c>
      <c r="L99" s="390">
        <v>115</v>
      </c>
      <c r="M99" s="242">
        <f t="shared" si="211"/>
        <v>-74.900000000000006</v>
      </c>
      <c r="N99" s="283">
        <f t="shared" si="212"/>
        <v>1296</v>
      </c>
      <c r="O99" s="390">
        <f t="shared" si="213"/>
        <v>135</v>
      </c>
      <c r="P99" s="242">
        <f t="shared" si="214"/>
        <v>-89.6</v>
      </c>
      <c r="Q99" s="283">
        <v>1754</v>
      </c>
      <c r="R99" s="390">
        <v>250</v>
      </c>
      <c r="S99" s="242">
        <f t="shared" si="215"/>
        <v>-85.7</v>
      </c>
      <c r="T99" s="283">
        <f t="shared" si="216"/>
        <v>1639</v>
      </c>
      <c r="U99" s="390">
        <f t="shared" si="217"/>
        <v>307</v>
      </c>
      <c r="V99" s="242">
        <f t="shared" si="218"/>
        <v>-81.3</v>
      </c>
      <c r="W99" s="283">
        <v>3393</v>
      </c>
      <c r="X99" s="390">
        <v>557</v>
      </c>
      <c r="Y99" s="242">
        <f t="shared" si="219"/>
        <v>-83.6</v>
      </c>
      <c r="Z99" s="283">
        <f t="shared" si="220"/>
        <v>814</v>
      </c>
      <c r="AA99" s="390">
        <f t="shared" si="221"/>
        <v>173</v>
      </c>
      <c r="AB99" s="242">
        <f t="shared" si="222"/>
        <v>-78.7</v>
      </c>
      <c r="AC99" s="283">
        <v>4207</v>
      </c>
      <c r="AD99" s="390">
        <v>730</v>
      </c>
      <c r="AE99" s="242">
        <f t="shared" si="223"/>
        <v>-82.6</v>
      </c>
      <c r="AF99" s="283">
        <f t="shared" si="224"/>
        <v>271</v>
      </c>
      <c r="AG99" s="390">
        <f t="shared" si="224"/>
        <v>166</v>
      </c>
      <c r="AH99" s="242">
        <f t="shared" si="225"/>
        <v>-38.700000000000003</v>
      </c>
      <c r="AI99" s="283">
        <v>4478</v>
      </c>
      <c r="AJ99" s="390">
        <v>896</v>
      </c>
      <c r="AK99" s="242">
        <f t="shared" si="226"/>
        <v>-80</v>
      </c>
      <c r="AL99" s="762">
        <f t="shared" si="227"/>
        <v>377</v>
      </c>
      <c r="AM99" s="769">
        <f t="shared" si="228"/>
        <v>203</v>
      </c>
      <c r="AN99" s="753">
        <f t="shared" si="229"/>
        <v>-46.2</v>
      </c>
      <c r="AO99" s="779">
        <v>4855</v>
      </c>
      <c r="AP99" s="819">
        <v>1099</v>
      </c>
      <c r="AQ99" s="753">
        <f t="shared" si="230"/>
        <v>-77.400000000000006</v>
      </c>
      <c r="AR99" s="779">
        <f t="shared" si="231"/>
        <v>616</v>
      </c>
      <c r="AS99" s="819">
        <f t="shared" si="231"/>
        <v>387</v>
      </c>
      <c r="AT99" s="753">
        <f t="shared" si="232"/>
        <v>-37.200000000000003</v>
      </c>
      <c r="AU99" s="975">
        <v>5471</v>
      </c>
      <c r="AV99" s="970">
        <v>1486</v>
      </c>
      <c r="AW99" s="753">
        <f t="shared" si="233"/>
        <v>-72.8</v>
      </c>
      <c r="AX99" s="779">
        <f t="shared" si="234"/>
        <v>281</v>
      </c>
      <c r="AY99" s="819">
        <f t="shared" si="235"/>
        <v>88</v>
      </c>
      <c r="AZ99" s="753">
        <f t="shared" si="236"/>
        <v>-68.7</v>
      </c>
      <c r="BA99" s="779">
        <v>5752</v>
      </c>
      <c r="BB99" s="819">
        <v>1574</v>
      </c>
      <c r="BC99" s="753">
        <f t="shared" si="237"/>
        <v>-72.599999999999994</v>
      </c>
      <c r="BD99" s="779">
        <f t="shared" si="238"/>
        <v>121</v>
      </c>
      <c r="BE99" s="819">
        <f t="shared" si="238"/>
        <v>160</v>
      </c>
      <c r="BF99" s="753">
        <f t="shared" si="239"/>
        <v>32.200000000000003</v>
      </c>
      <c r="BG99" s="779">
        <v>5873</v>
      </c>
      <c r="BH99" s="819">
        <v>1734</v>
      </c>
      <c r="BI99" s="753">
        <f t="shared" si="240"/>
        <v>-70.5</v>
      </c>
      <c r="BJ99" s="779">
        <f t="shared" si="241"/>
        <v>282</v>
      </c>
      <c r="BK99" s="819">
        <f t="shared" si="241"/>
        <v>315</v>
      </c>
      <c r="BL99" s="753">
        <f t="shared" si="242"/>
        <v>11.7</v>
      </c>
      <c r="BM99" s="779">
        <v>6155</v>
      </c>
      <c r="BN99" s="819">
        <v>2049</v>
      </c>
      <c r="BO99" s="753">
        <f t="shared" si="243"/>
        <v>-66.7</v>
      </c>
      <c r="BP99" s="779">
        <f t="shared" si="244"/>
        <v>304</v>
      </c>
      <c r="BQ99" s="819">
        <f t="shared" si="244"/>
        <v>631</v>
      </c>
      <c r="BR99" s="753">
        <f t="shared" si="245"/>
        <v>107.6</v>
      </c>
      <c r="BS99" s="779">
        <v>6459</v>
      </c>
      <c r="BT99" s="819">
        <v>2680</v>
      </c>
      <c r="BU99" s="753">
        <f t="shared" si="246"/>
        <v>-58.5</v>
      </c>
    </row>
    <row r="100" spans="1:73">
      <c r="A100" s="4"/>
      <c r="B100" s="43" t="s">
        <v>52</v>
      </c>
      <c r="C100" s="44">
        <v>679</v>
      </c>
      <c r="D100" s="44">
        <v>700</v>
      </c>
      <c r="E100" s="44">
        <v>657</v>
      </c>
      <c r="F100" s="44">
        <v>1422</v>
      </c>
      <c r="G100" s="44">
        <v>882</v>
      </c>
      <c r="H100" s="44">
        <v>3784</v>
      </c>
      <c r="I100" s="44">
        <v>20223</v>
      </c>
      <c r="J100" s="44">
        <v>5453</v>
      </c>
      <c r="K100" s="283">
        <v>1517</v>
      </c>
      <c r="L100" s="390">
        <v>148</v>
      </c>
      <c r="M100" s="242">
        <f t="shared" si="211"/>
        <v>-90.2</v>
      </c>
      <c r="N100" s="283">
        <f t="shared" si="212"/>
        <v>243</v>
      </c>
      <c r="O100" s="390">
        <f t="shared" si="213"/>
        <v>7</v>
      </c>
      <c r="P100" s="242">
        <f t="shared" si="214"/>
        <v>-97.1</v>
      </c>
      <c r="Q100" s="283">
        <v>1760</v>
      </c>
      <c r="R100" s="390">
        <v>155</v>
      </c>
      <c r="S100" s="242">
        <f t="shared" si="215"/>
        <v>-91.2</v>
      </c>
      <c r="T100" s="283">
        <f t="shared" si="216"/>
        <v>184</v>
      </c>
      <c r="U100" s="390">
        <f t="shared" si="217"/>
        <v>31</v>
      </c>
      <c r="V100" s="242">
        <f t="shared" si="218"/>
        <v>-83.2</v>
      </c>
      <c r="W100" s="283">
        <v>1944</v>
      </c>
      <c r="X100" s="390">
        <v>186</v>
      </c>
      <c r="Y100" s="242">
        <f t="shared" si="219"/>
        <v>-90.4</v>
      </c>
      <c r="Z100" s="283">
        <f t="shared" si="220"/>
        <v>455</v>
      </c>
      <c r="AA100" s="390">
        <f t="shared" si="221"/>
        <v>42</v>
      </c>
      <c r="AB100" s="242">
        <f t="shared" si="222"/>
        <v>-90.8</v>
      </c>
      <c r="AC100" s="283">
        <v>2399</v>
      </c>
      <c r="AD100" s="390">
        <v>228</v>
      </c>
      <c r="AE100" s="242">
        <f t="shared" si="223"/>
        <v>-90.5</v>
      </c>
      <c r="AF100" s="283">
        <f t="shared" si="224"/>
        <v>936</v>
      </c>
      <c r="AG100" s="390">
        <f t="shared" si="224"/>
        <v>1</v>
      </c>
      <c r="AH100" s="242">
        <f t="shared" si="225"/>
        <v>-99.9</v>
      </c>
      <c r="AI100" s="283">
        <v>3335</v>
      </c>
      <c r="AJ100" s="390">
        <v>229</v>
      </c>
      <c r="AK100" s="242">
        <f t="shared" si="226"/>
        <v>-93.1</v>
      </c>
      <c r="AL100" s="762">
        <f t="shared" si="227"/>
        <v>507</v>
      </c>
      <c r="AM100" s="769">
        <f t="shared" si="228"/>
        <v>9</v>
      </c>
      <c r="AN100" s="753">
        <f t="shared" si="229"/>
        <v>-98.2</v>
      </c>
      <c r="AO100" s="779">
        <v>3842</v>
      </c>
      <c r="AP100" s="819">
        <v>238</v>
      </c>
      <c r="AQ100" s="753">
        <f t="shared" si="230"/>
        <v>-93.8</v>
      </c>
      <c r="AR100" s="779">
        <f t="shared" si="231"/>
        <v>302</v>
      </c>
      <c r="AS100" s="819">
        <f t="shared" si="231"/>
        <v>11</v>
      </c>
      <c r="AT100" s="753">
        <f t="shared" si="232"/>
        <v>-96.4</v>
      </c>
      <c r="AU100" s="975">
        <v>4144</v>
      </c>
      <c r="AV100" s="970">
        <v>249</v>
      </c>
      <c r="AW100" s="753">
        <f t="shared" si="233"/>
        <v>-94</v>
      </c>
      <c r="AX100" s="779">
        <f t="shared" si="234"/>
        <v>354</v>
      </c>
      <c r="AY100" s="819">
        <f t="shared" si="235"/>
        <v>15</v>
      </c>
      <c r="AZ100" s="753">
        <f t="shared" si="236"/>
        <v>-95.8</v>
      </c>
      <c r="BA100" s="779">
        <v>4498</v>
      </c>
      <c r="BB100" s="819">
        <v>264</v>
      </c>
      <c r="BC100" s="753">
        <f t="shared" si="237"/>
        <v>-94.1</v>
      </c>
      <c r="BD100" s="779">
        <f t="shared" si="238"/>
        <v>282</v>
      </c>
      <c r="BE100" s="819">
        <f t="shared" si="238"/>
        <v>43</v>
      </c>
      <c r="BF100" s="753">
        <f t="shared" si="239"/>
        <v>-84.8</v>
      </c>
      <c r="BG100" s="779">
        <v>4780</v>
      </c>
      <c r="BH100" s="819">
        <v>307</v>
      </c>
      <c r="BI100" s="753">
        <f t="shared" si="240"/>
        <v>-93.6</v>
      </c>
      <c r="BJ100" s="779">
        <f t="shared" si="241"/>
        <v>293</v>
      </c>
      <c r="BK100" s="819">
        <f t="shared" si="241"/>
        <v>62</v>
      </c>
      <c r="BL100" s="753">
        <f t="shared" si="242"/>
        <v>-78.8</v>
      </c>
      <c r="BM100" s="779">
        <v>5073</v>
      </c>
      <c r="BN100" s="819">
        <v>369</v>
      </c>
      <c r="BO100" s="753">
        <f t="shared" si="243"/>
        <v>-92.7</v>
      </c>
      <c r="BP100" s="779">
        <f t="shared" si="244"/>
        <v>131</v>
      </c>
      <c r="BQ100" s="819">
        <f t="shared" si="244"/>
        <v>6</v>
      </c>
      <c r="BR100" s="753">
        <f t="shared" si="245"/>
        <v>-95.4</v>
      </c>
      <c r="BS100" s="779">
        <v>5204</v>
      </c>
      <c r="BT100" s="819">
        <v>375</v>
      </c>
      <c r="BU100" s="753">
        <f t="shared" si="246"/>
        <v>-92.8</v>
      </c>
    </row>
    <row r="101" spans="1:73">
      <c r="A101" s="4"/>
      <c r="B101" s="43" t="s">
        <v>54</v>
      </c>
      <c r="C101" s="44">
        <v>4367</v>
      </c>
      <c r="D101" s="44">
        <v>4174</v>
      </c>
      <c r="E101" s="44">
        <v>5077</v>
      </c>
      <c r="F101" s="44">
        <v>4168</v>
      </c>
      <c r="G101" s="44">
        <v>2884</v>
      </c>
      <c r="H101" s="44">
        <v>2530</v>
      </c>
      <c r="I101" s="44">
        <v>2985</v>
      </c>
      <c r="J101" s="44">
        <v>3035</v>
      </c>
      <c r="K101" s="283">
        <v>221</v>
      </c>
      <c r="L101" s="390">
        <v>247</v>
      </c>
      <c r="M101" s="242">
        <f t="shared" si="211"/>
        <v>11.8</v>
      </c>
      <c r="N101" s="283">
        <f t="shared" si="212"/>
        <v>197</v>
      </c>
      <c r="O101" s="390">
        <f t="shared" si="213"/>
        <v>263</v>
      </c>
      <c r="P101" s="242">
        <f t="shared" si="214"/>
        <v>33.5</v>
      </c>
      <c r="Q101" s="283">
        <v>418</v>
      </c>
      <c r="R101" s="390">
        <v>510</v>
      </c>
      <c r="S101" s="242">
        <f t="shared" si="215"/>
        <v>22</v>
      </c>
      <c r="T101" s="283">
        <f t="shared" si="216"/>
        <v>260</v>
      </c>
      <c r="U101" s="390">
        <f t="shared" si="217"/>
        <v>275</v>
      </c>
      <c r="V101" s="242">
        <f t="shared" si="218"/>
        <v>5.8</v>
      </c>
      <c r="W101" s="283">
        <v>678</v>
      </c>
      <c r="X101" s="390">
        <v>785</v>
      </c>
      <c r="Y101" s="242">
        <f t="shared" si="219"/>
        <v>15.8</v>
      </c>
      <c r="Z101" s="283">
        <f t="shared" si="220"/>
        <v>262</v>
      </c>
      <c r="AA101" s="390">
        <f t="shared" si="221"/>
        <v>255</v>
      </c>
      <c r="AB101" s="242">
        <f t="shared" si="222"/>
        <v>-2.7</v>
      </c>
      <c r="AC101" s="283">
        <v>940</v>
      </c>
      <c r="AD101" s="390">
        <v>1040</v>
      </c>
      <c r="AE101" s="242">
        <f t="shared" si="223"/>
        <v>10.6</v>
      </c>
      <c r="AF101" s="283">
        <f t="shared" si="224"/>
        <v>229</v>
      </c>
      <c r="AG101" s="390">
        <f t="shared" si="224"/>
        <v>210</v>
      </c>
      <c r="AH101" s="242">
        <f t="shared" si="225"/>
        <v>-8.3000000000000007</v>
      </c>
      <c r="AI101" s="283">
        <v>1169</v>
      </c>
      <c r="AJ101" s="390">
        <v>1250</v>
      </c>
      <c r="AK101" s="242">
        <f t="shared" si="226"/>
        <v>6.9</v>
      </c>
      <c r="AL101" s="762">
        <f t="shared" si="227"/>
        <v>276</v>
      </c>
      <c r="AM101" s="769">
        <f t="shared" si="228"/>
        <v>321</v>
      </c>
      <c r="AN101" s="753">
        <f t="shared" si="229"/>
        <v>16.3</v>
      </c>
      <c r="AO101" s="779">
        <v>1445</v>
      </c>
      <c r="AP101" s="819">
        <v>1571</v>
      </c>
      <c r="AQ101" s="753">
        <f t="shared" si="230"/>
        <v>8.6999999999999993</v>
      </c>
      <c r="AR101" s="779">
        <f t="shared" si="231"/>
        <v>262</v>
      </c>
      <c r="AS101" s="819">
        <f t="shared" si="231"/>
        <v>306</v>
      </c>
      <c r="AT101" s="753">
        <f t="shared" si="232"/>
        <v>16.8</v>
      </c>
      <c r="AU101" s="975">
        <v>1707</v>
      </c>
      <c r="AV101" s="970">
        <v>1877</v>
      </c>
      <c r="AW101" s="753">
        <f t="shared" si="233"/>
        <v>10</v>
      </c>
      <c r="AX101" s="779">
        <f t="shared" si="234"/>
        <v>312</v>
      </c>
      <c r="AY101" s="819">
        <f t="shared" si="235"/>
        <v>249</v>
      </c>
      <c r="AZ101" s="753">
        <f t="shared" si="236"/>
        <v>-20.2</v>
      </c>
      <c r="BA101" s="779">
        <v>2019</v>
      </c>
      <c r="BB101" s="819">
        <v>2126</v>
      </c>
      <c r="BC101" s="753">
        <f t="shared" si="237"/>
        <v>5.3</v>
      </c>
      <c r="BD101" s="779">
        <f t="shared" si="238"/>
        <v>230</v>
      </c>
      <c r="BE101" s="819">
        <f t="shared" si="238"/>
        <v>374</v>
      </c>
      <c r="BF101" s="753">
        <f t="shared" si="239"/>
        <v>62.6</v>
      </c>
      <c r="BG101" s="779">
        <v>2249</v>
      </c>
      <c r="BH101" s="819">
        <v>2500</v>
      </c>
      <c r="BI101" s="753">
        <f t="shared" si="240"/>
        <v>11.2</v>
      </c>
      <c r="BJ101" s="779">
        <f t="shared" si="241"/>
        <v>272</v>
      </c>
      <c r="BK101" s="819">
        <f t="shared" si="241"/>
        <v>380</v>
      </c>
      <c r="BL101" s="753">
        <f t="shared" si="242"/>
        <v>39.700000000000003</v>
      </c>
      <c r="BM101" s="779">
        <v>2521</v>
      </c>
      <c r="BN101" s="819">
        <v>2880</v>
      </c>
      <c r="BO101" s="753">
        <f t="shared" si="243"/>
        <v>14.2</v>
      </c>
      <c r="BP101" s="779">
        <f t="shared" si="244"/>
        <v>269</v>
      </c>
      <c r="BQ101" s="819">
        <f t="shared" si="244"/>
        <v>257</v>
      </c>
      <c r="BR101" s="753">
        <f t="shared" si="245"/>
        <v>-4.5</v>
      </c>
      <c r="BS101" s="779">
        <v>2790</v>
      </c>
      <c r="BT101" s="819">
        <v>3137</v>
      </c>
      <c r="BU101" s="753">
        <f t="shared" si="246"/>
        <v>12.4</v>
      </c>
    </row>
    <row r="102" spans="1:73">
      <c r="A102" s="4"/>
      <c r="B102" s="43" t="s">
        <v>101</v>
      </c>
      <c r="C102" s="44">
        <v>571</v>
      </c>
      <c r="D102" s="44">
        <v>171</v>
      </c>
      <c r="E102" s="44">
        <v>233</v>
      </c>
      <c r="F102" s="44">
        <v>266</v>
      </c>
      <c r="G102" s="44">
        <v>514</v>
      </c>
      <c r="H102" s="44">
        <v>151</v>
      </c>
      <c r="I102" s="44">
        <v>1876</v>
      </c>
      <c r="J102" s="44">
        <v>2350</v>
      </c>
      <c r="K102" s="283">
        <v>316</v>
      </c>
      <c r="L102" s="390">
        <v>135</v>
      </c>
      <c r="M102" s="242">
        <f t="shared" si="211"/>
        <v>-57.3</v>
      </c>
      <c r="N102" s="283">
        <f t="shared" si="212"/>
        <v>118</v>
      </c>
      <c r="O102" s="390">
        <f t="shared" si="213"/>
        <v>66</v>
      </c>
      <c r="P102" s="242">
        <f t="shared" si="214"/>
        <v>-44.1</v>
      </c>
      <c r="Q102" s="283">
        <v>434</v>
      </c>
      <c r="R102" s="390">
        <v>201</v>
      </c>
      <c r="S102" s="242">
        <f t="shared" si="215"/>
        <v>-53.7</v>
      </c>
      <c r="T102" s="283">
        <f t="shared" si="216"/>
        <v>218</v>
      </c>
      <c r="U102" s="390">
        <f t="shared" si="217"/>
        <v>198</v>
      </c>
      <c r="V102" s="242">
        <f t="shared" si="218"/>
        <v>-9.1999999999999993</v>
      </c>
      <c r="W102" s="283">
        <v>652</v>
      </c>
      <c r="X102" s="390">
        <v>399</v>
      </c>
      <c r="Y102" s="242">
        <f t="shared" si="219"/>
        <v>-38.799999999999997</v>
      </c>
      <c r="Z102" s="283">
        <f t="shared" si="220"/>
        <v>245</v>
      </c>
      <c r="AA102" s="390">
        <f t="shared" si="221"/>
        <v>180</v>
      </c>
      <c r="AB102" s="242">
        <f t="shared" si="222"/>
        <v>-26.5</v>
      </c>
      <c r="AC102" s="283">
        <v>897</v>
      </c>
      <c r="AD102" s="390">
        <v>579</v>
      </c>
      <c r="AE102" s="242">
        <f t="shared" si="223"/>
        <v>-35.5</v>
      </c>
      <c r="AF102" s="283">
        <f t="shared" si="224"/>
        <v>320</v>
      </c>
      <c r="AG102" s="390">
        <f t="shared" si="224"/>
        <v>94</v>
      </c>
      <c r="AH102" s="242">
        <f t="shared" si="225"/>
        <v>-70.599999999999994</v>
      </c>
      <c r="AI102" s="283">
        <v>1217</v>
      </c>
      <c r="AJ102" s="390">
        <v>673</v>
      </c>
      <c r="AK102" s="242">
        <f t="shared" si="226"/>
        <v>-44.7</v>
      </c>
      <c r="AL102" s="762">
        <f t="shared" si="227"/>
        <v>196</v>
      </c>
      <c r="AM102" s="769">
        <f t="shared" si="228"/>
        <v>186</v>
      </c>
      <c r="AN102" s="753">
        <f t="shared" si="229"/>
        <v>-5.0999999999999996</v>
      </c>
      <c r="AO102" s="779">
        <v>1413</v>
      </c>
      <c r="AP102" s="819">
        <v>859</v>
      </c>
      <c r="AQ102" s="753">
        <f t="shared" si="230"/>
        <v>-39.200000000000003</v>
      </c>
      <c r="AR102" s="779">
        <f t="shared" si="231"/>
        <v>145</v>
      </c>
      <c r="AS102" s="819">
        <f t="shared" si="231"/>
        <v>65</v>
      </c>
      <c r="AT102" s="753">
        <f t="shared" si="232"/>
        <v>-55.2</v>
      </c>
      <c r="AU102" s="975">
        <v>1558</v>
      </c>
      <c r="AV102" s="970">
        <v>924</v>
      </c>
      <c r="AW102" s="753">
        <f t="shared" si="233"/>
        <v>-40.700000000000003</v>
      </c>
      <c r="AX102" s="779">
        <f t="shared" si="234"/>
        <v>107</v>
      </c>
      <c r="AY102" s="819">
        <f t="shared" si="235"/>
        <v>71</v>
      </c>
      <c r="AZ102" s="753">
        <f t="shared" si="236"/>
        <v>-33.6</v>
      </c>
      <c r="BA102" s="779">
        <v>1665</v>
      </c>
      <c r="BB102" s="819">
        <v>995</v>
      </c>
      <c r="BC102" s="753">
        <f t="shared" si="237"/>
        <v>-40.200000000000003</v>
      </c>
      <c r="BD102" s="779">
        <f t="shared" si="238"/>
        <v>262</v>
      </c>
      <c r="BE102" s="819">
        <f t="shared" si="238"/>
        <v>67</v>
      </c>
      <c r="BF102" s="753">
        <f t="shared" si="239"/>
        <v>-74.400000000000006</v>
      </c>
      <c r="BG102" s="779">
        <v>1927</v>
      </c>
      <c r="BH102" s="819">
        <v>1062</v>
      </c>
      <c r="BI102" s="753">
        <f t="shared" si="240"/>
        <v>-44.9</v>
      </c>
      <c r="BJ102" s="779">
        <f t="shared" si="241"/>
        <v>63</v>
      </c>
      <c r="BK102" s="819">
        <f t="shared" si="241"/>
        <v>28</v>
      </c>
      <c r="BL102" s="753">
        <f t="shared" si="242"/>
        <v>-55.6</v>
      </c>
      <c r="BM102" s="779">
        <v>1990</v>
      </c>
      <c r="BN102" s="819">
        <v>1090</v>
      </c>
      <c r="BO102" s="753">
        <f t="shared" si="243"/>
        <v>-45.2</v>
      </c>
      <c r="BP102" s="779">
        <f t="shared" si="244"/>
        <v>206</v>
      </c>
      <c r="BQ102" s="819">
        <f t="shared" si="244"/>
        <v>110</v>
      </c>
      <c r="BR102" s="753">
        <f t="shared" si="245"/>
        <v>-46.6</v>
      </c>
      <c r="BS102" s="779">
        <v>2196</v>
      </c>
      <c r="BT102" s="819">
        <v>1200</v>
      </c>
      <c r="BU102" s="753">
        <f t="shared" si="246"/>
        <v>-45.4</v>
      </c>
    </row>
    <row r="103" spans="1:73">
      <c r="A103" s="4"/>
      <c r="B103" s="43" t="s">
        <v>72</v>
      </c>
      <c r="C103" s="44">
        <v>3581</v>
      </c>
      <c r="D103" s="44">
        <v>4545</v>
      </c>
      <c r="E103" s="44">
        <v>5339</v>
      </c>
      <c r="F103" s="44">
        <v>2934</v>
      </c>
      <c r="G103" s="44">
        <v>1599</v>
      </c>
      <c r="H103" s="44">
        <v>3015</v>
      </c>
      <c r="I103" s="44">
        <v>2729</v>
      </c>
      <c r="J103" s="44">
        <v>2295</v>
      </c>
      <c r="K103" s="283">
        <v>153</v>
      </c>
      <c r="L103" s="390">
        <v>191</v>
      </c>
      <c r="M103" s="242">
        <f t="shared" si="211"/>
        <v>24.8</v>
      </c>
      <c r="N103" s="283">
        <f t="shared" si="212"/>
        <v>180</v>
      </c>
      <c r="O103" s="390">
        <f t="shared" si="213"/>
        <v>189</v>
      </c>
      <c r="P103" s="242">
        <f t="shared" si="214"/>
        <v>5</v>
      </c>
      <c r="Q103" s="283">
        <v>333</v>
      </c>
      <c r="R103" s="390">
        <v>380</v>
      </c>
      <c r="S103" s="242">
        <f t="shared" si="215"/>
        <v>14.1</v>
      </c>
      <c r="T103" s="283">
        <f t="shared" si="216"/>
        <v>106</v>
      </c>
      <c r="U103" s="390">
        <f t="shared" si="217"/>
        <v>214</v>
      </c>
      <c r="V103" s="242">
        <f t="shared" si="218"/>
        <v>101.9</v>
      </c>
      <c r="W103" s="283">
        <v>439</v>
      </c>
      <c r="X103" s="390">
        <v>594</v>
      </c>
      <c r="Y103" s="242">
        <f t="shared" si="219"/>
        <v>35.299999999999997</v>
      </c>
      <c r="Z103" s="283">
        <f t="shared" si="220"/>
        <v>196</v>
      </c>
      <c r="AA103" s="390">
        <f t="shared" si="221"/>
        <v>123</v>
      </c>
      <c r="AB103" s="242">
        <f t="shared" si="222"/>
        <v>-37.200000000000003</v>
      </c>
      <c r="AC103" s="283">
        <v>635</v>
      </c>
      <c r="AD103" s="390">
        <v>717</v>
      </c>
      <c r="AE103" s="242">
        <f t="shared" si="223"/>
        <v>12.9</v>
      </c>
      <c r="AF103" s="283">
        <f t="shared" si="224"/>
        <v>277</v>
      </c>
      <c r="AG103" s="390">
        <f t="shared" si="224"/>
        <v>169</v>
      </c>
      <c r="AH103" s="242">
        <f t="shared" si="225"/>
        <v>-39</v>
      </c>
      <c r="AI103" s="283">
        <v>912</v>
      </c>
      <c r="AJ103" s="390">
        <v>886</v>
      </c>
      <c r="AK103" s="242">
        <f t="shared" si="226"/>
        <v>-2.9</v>
      </c>
      <c r="AL103" s="762">
        <f t="shared" si="227"/>
        <v>198</v>
      </c>
      <c r="AM103" s="769">
        <f t="shared" si="228"/>
        <v>196</v>
      </c>
      <c r="AN103" s="753">
        <f t="shared" si="229"/>
        <v>-1</v>
      </c>
      <c r="AO103" s="779">
        <v>1110</v>
      </c>
      <c r="AP103" s="819">
        <v>1082</v>
      </c>
      <c r="AQ103" s="753">
        <f t="shared" si="230"/>
        <v>-2.5</v>
      </c>
      <c r="AR103" s="779">
        <f t="shared" si="231"/>
        <v>242</v>
      </c>
      <c r="AS103" s="819">
        <f t="shared" si="231"/>
        <v>337</v>
      </c>
      <c r="AT103" s="753">
        <f t="shared" si="232"/>
        <v>39.299999999999997</v>
      </c>
      <c r="AU103" s="975">
        <v>1352</v>
      </c>
      <c r="AV103" s="970">
        <v>1419</v>
      </c>
      <c r="AW103" s="753">
        <f t="shared" si="233"/>
        <v>5</v>
      </c>
      <c r="AX103" s="779">
        <f t="shared" si="234"/>
        <v>155</v>
      </c>
      <c r="AY103" s="819">
        <f t="shared" si="235"/>
        <v>286</v>
      </c>
      <c r="AZ103" s="753">
        <f t="shared" si="236"/>
        <v>84.5</v>
      </c>
      <c r="BA103" s="779">
        <v>1507</v>
      </c>
      <c r="BB103" s="819">
        <v>1705</v>
      </c>
      <c r="BC103" s="753">
        <f t="shared" si="237"/>
        <v>13.1</v>
      </c>
      <c r="BD103" s="779">
        <f t="shared" si="238"/>
        <v>168</v>
      </c>
      <c r="BE103" s="819">
        <f t="shared" si="238"/>
        <v>226</v>
      </c>
      <c r="BF103" s="753">
        <f t="shared" si="239"/>
        <v>34.5</v>
      </c>
      <c r="BG103" s="779">
        <v>1675</v>
      </c>
      <c r="BH103" s="819">
        <v>1931</v>
      </c>
      <c r="BI103" s="753">
        <f t="shared" si="240"/>
        <v>15.3</v>
      </c>
      <c r="BJ103" s="779">
        <f t="shared" si="241"/>
        <v>194</v>
      </c>
      <c r="BK103" s="819">
        <f t="shared" si="241"/>
        <v>201</v>
      </c>
      <c r="BL103" s="753">
        <f t="shared" si="242"/>
        <v>3.6</v>
      </c>
      <c r="BM103" s="779">
        <v>1869</v>
      </c>
      <c r="BN103" s="819">
        <v>2132</v>
      </c>
      <c r="BO103" s="753">
        <f t="shared" si="243"/>
        <v>14.1</v>
      </c>
      <c r="BP103" s="779">
        <f t="shared" si="244"/>
        <v>213</v>
      </c>
      <c r="BQ103" s="819">
        <f t="shared" si="244"/>
        <v>196</v>
      </c>
      <c r="BR103" s="753">
        <f t="shared" si="245"/>
        <v>-8</v>
      </c>
      <c r="BS103" s="779">
        <v>2082</v>
      </c>
      <c r="BT103" s="819">
        <v>2328</v>
      </c>
      <c r="BU103" s="753">
        <f t="shared" si="246"/>
        <v>11.8</v>
      </c>
    </row>
    <row r="104" spans="1:73">
      <c r="A104" s="4"/>
      <c r="B104" s="43" t="s">
        <v>50</v>
      </c>
      <c r="C104" s="44">
        <v>418</v>
      </c>
      <c r="D104" s="44">
        <v>2861</v>
      </c>
      <c r="E104" s="44">
        <v>551</v>
      </c>
      <c r="F104" s="44">
        <v>2948</v>
      </c>
      <c r="G104" s="44">
        <v>1368</v>
      </c>
      <c r="H104" s="44">
        <v>694</v>
      </c>
      <c r="I104" s="44">
        <v>4159</v>
      </c>
      <c r="J104" s="44">
        <v>2107</v>
      </c>
      <c r="K104" s="283">
        <v>37</v>
      </c>
      <c r="L104" s="390">
        <v>60</v>
      </c>
      <c r="M104" s="242">
        <f t="shared" si="211"/>
        <v>62.2</v>
      </c>
      <c r="N104" s="283">
        <f t="shared" si="212"/>
        <v>327</v>
      </c>
      <c r="O104" s="390">
        <f t="shared" si="213"/>
        <v>21</v>
      </c>
      <c r="P104" s="242">
        <f t="shared" si="214"/>
        <v>-93.6</v>
      </c>
      <c r="Q104" s="283">
        <v>364</v>
      </c>
      <c r="R104" s="390">
        <v>81</v>
      </c>
      <c r="S104" s="242">
        <f t="shared" si="215"/>
        <v>-77.7</v>
      </c>
      <c r="T104" s="283">
        <f t="shared" si="216"/>
        <v>214</v>
      </c>
      <c r="U104" s="390">
        <f t="shared" si="217"/>
        <v>24</v>
      </c>
      <c r="V104" s="242">
        <f t="shared" si="218"/>
        <v>-88.8</v>
      </c>
      <c r="W104" s="283">
        <v>578</v>
      </c>
      <c r="X104" s="390">
        <v>105</v>
      </c>
      <c r="Y104" s="242">
        <f t="shared" si="219"/>
        <v>-81.8</v>
      </c>
      <c r="Z104" s="283">
        <f t="shared" si="220"/>
        <v>54</v>
      </c>
      <c r="AA104" s="390">
        <f t="shared" si="221"/>
        <v>325</v>
      </c>
      <c r="AB104" s="242">
        <f t="shared" si="222"/>
        <v>501.9</v>
      </c>
      <c r="AC104" s="283">
        <v>632</v>
      </c>
      <c r="AD104" s="390">
        <v>430</v>
      </c>
      <c r="AE104" s="242">
        <f t="shared" si="223"/>
        <v>-32</v>
      </c>
      <c r="AF104" s="283">
        <f t="shared" si="224"/>
        <v>409</v>
      </c>
      <c r="AG104" s="390">
        <f t="shared" si="224"/>
        <v>144</v>
      </c>
      <c r="AH104" s="242">
        <f t="shared" si="225"/>
        <v>-64.8</v>
      </c>
      <c r="AI104" s="283">
        <v>1041</v>
      </c>
      <c r="AJ104" s="390">
        <v>574</v>
      </c>
      <c r="AK104" s="242">
        <f t="shared" si="226"/>
        <v>-44.9</v>
      </c>
      <c r="AL104" s="762">
        <f t="shared" si="227"/>
        <v>252</v>
      </c>
      <c r="AM104" s="769">
        <f t="shared" si="228"/>
        <v>53</v>
      </c>
      <c r="AN104" s="753">
        <f t="shared" si="229"/>
        <v>-79</v>
      </c>
      <c r="AO104" s="779">
        <v>1293</v>
      </c>
      <c r="AP104" s="819">
        <v>627</v>
      </c>
      <c r="AQ104" s="753">
        <f t="shared" si="230"/>
        <v>-51.5</v>
      </c>
      <c r="AR104" s="779">
        <f t="shared" si="231"/>
        <v>588</v>
      </c>
      <c r="AS104" s="819">
        <f t="shared" si="231"/>
        <v>14</v>
      </c>
      <c r="AT104" s="753">
        <f t="shared" si="232"/>
        <v>-97.6</v>
      </c>
      <c r="AU104" s="975">
        <v>1881</v>
      </c>
      <c r="AV104" s="970">
        <v>641</v>
      </c>
      <c r="AW104" s="753">
        <f t="shared" si="233"/>
        <v>-65.900000000000006</v>
      </c>
      <c r="AX104" s="779">
        <f t="shared" si="234"/>
        <v>18</v>
      </c>
      <c r="AY104" s="819">
        <f t="shared" si="235"/>
        <v>30</v>
      </c>
      <c r="AZ104" s="753">
        <f t="shared" si="236"/>
        <v>66.7</v>
      </c>
      <c r="BA104" s="779">
        <v>1899</v>
      </c>
      <c r="BB104" s="819">
        <v>671</v>
      </c>
      <c r="BC104" s="753">
        <f t="shared" si="237"/>
        <v>-64.7</v>
      </c>
      <c r="BD104" s="779">
        <f t="shared" si="238"/>
        <v>22</v>
      </c>
      <c r="BE104" s="819">
        <f t="shared" si="238"/>
        <v>14</v>
      </c>
      <c r="BF104" s="753">
        <f t="shared" si="239"/>
        <v>-36.4</v>
      </c>
      <c r="BG104" s="779">
        <v>1921</v>
      </c>
      <c r="BH104" s="819">
        <v>685</v>
      </c>
      <c r="BI104" s="753">
        <f t="shared" si="240"/>
        <v>-64.3</v>
      </c>
      <c r="BJ104" s="779">
        <f t="shared" si="241"/>
        <v>45</v>
      </c>
      <c r="BK104" s="819">
        <f t="shared" si="241"/>
        <v>35</v>
      </c>
      <c r="BL104" s="753">
        <f t="shared" si="242"/>
        <v>-22.2</v>
      </c>
      <c r="BM104" s="779">
        <v>1966</v>
      </c>
      <c r="BN104" s="819">
        <v>720</v>
      </c>
      <c r="BO104" s="753">
        <f t="shared" si="243"/>
        <v>-63.4</v>
      </c>
      <c r="BP104" s="779">
        <f t="shared" si="244"/>
        <v>70</v>
      </c>
      <c r="BQ104" s="819">
        <f t="shared" si="244"/>
        <v>10</v>
      </c>
      <c r="BR104" s="753">
        <f t="shared" si="245"/>
        <v>-85.7</v>
      </c>
      <c r="BS104" s="779">
        <v>2036</v>
      </c>
      <c r="BT104" s="819">
        <v>730</v>
      </c>
      <c r="BU104" s="753">
        <f t="shared" si="246"/>
        <v>-64.099999999999994</v>
      </c>
    </row>
    <row r="105" spans="1:73">
      <c r="A105" s="4"/>
      <c r="B105" s="43" t="s">
        <v>103</v>
      </c>
      <c r="C105" s="44">
        <v>165</v>
      </c>
      <c r="D105" s="44">
        <v>109</v>
      </c>
      <c r="E105" s="44">
        <v>214</v>
      </c>
      <c r="F105" s="44">
        <v>108</v>
      </c>
      <c r="G105" s="44">
        <v>112</v>
      </c>
      <c r="H105" s="44">
        <v>86</v>
      </c>
      <c r="I105" s="44">
        <v>1017</v>
      </c>
      <c r="J105" s="44">
        <v>1852</v>
      </c>
      <c r="K105" s="283">
        <v>86</v>
      </c>
      <c r="L105" s="390">
        <v>4</v>
      </c>
      <c r="M105" s="242">
        <f t="shared" si="211"/>
        <v>-95.3</v>
      </c>
      <c r="N105" s="283">
        <f t="shared" si="212"/>
        <v>191</v>
      </c>
      <c r="O105" s="390">
        <f t="shared" si="213"/>
        <v>29</v>
      </c>
      <c r="P105" s="242">
        <f t="shared" si="214"/>
        <v>-84.8</v>
      </c>
      <c r="Q105" s="283">
        <v>277</v>
      </c>
      <c r="R105" s="390">
        <v>33</v>
      </c>
      <c r="S105" s="242">
        <f t="shared" si="215"/>
        <v>-88.1</v>
      </c>
      <c r="T105" s="283">
        <f t="shared" si="216"/>
        <v>319</v>
      </c>
      <c r="U105" s="390">
        <f t="shared" si="217"/>
        <v>29</v>
      </c>
      <c r="V105" s="242">
        <f t="shared" si="218"/>
        <v>-90.9</v>
      </c>
      <c r="W105" s="283">
        <v>596</v>
      </c>
      <c r="X105" s="390">
        <v>62</v>
      </c>
      <c r="Y105" s="242">
        <f t="shared" si="219"/>
        <v>-89.6</v>
      </c>
      <c r="Z105" s="283">
        <f t="shared" si="220"/>
        <v>449</v>
      </c>
      <c r="AA105" s="390">
        <f t="shared" si="221"/>
        <v>16</v>
      </c>
      <c r="AB105" s="242">
        <f t="shared" si="222"/>
        <v>-96.4</v>
      </c>
      <c r="AC105" s="283">
        <v>1045</v>
      </c>
      <c r="AD105" s="390">
        <v>78</v>
      </c>
      <c r="AE105" s="242">
        <f t="shared" si="223"/>
        <v>-92.5</v>
      </c>
      <c r="AF105" s="283">
        <f t="shared" si="224"/>
        <v>137</v>
      </c>
      <c r="AG105" s="390">
        <f t="shared" si="224"/>
        <v>103</v>
      </c>
      <c r="AH105" s="242">
        <f t="shared" si="225"/>
        <v>-24.8</v>
      </c>
      <c r="AI105" s="283">
        <v>1182</v>
      </c>
      <c r="AJ105" s="390">
        <v>181</v>
      </c>
      <c r="AK105" s="242">
        <f t="shared" si="226"/>
        <v>-84.7</v>
      </c>
      <c r="AL105" s="762">
        <f t="shared" si="227"/>
        <v>11</v>
      </c>
      <c r="AM105" s="769">
        <f t="shared" si="228"/>
        <v>32</v>
      </c>
      <c r="AN105" s="753">
        <f t="shared" si="229"/>
        <v>190.9</v>
      </c>
      <c r="AO105" s="779">
        <v>1193</v>
      </c>
      <c r="AP105" s="819">
        <v>213</v>
      </c>
      <c r="AQ105" s="753">
        <f t="shared" si="230"/>
        <v>-82.1</v>
      </c>
      <c r="AR105" s="779">
        <f t="shared" si="231"/>
        <v>32</v>
      </c>
      <c r="AS105" s="819">
        <f t="shared" si="231"/>
        <v>16</v>
      </c>
      <c r="AT105" s="753">
        <f t="shared" si="232"/>
        <v>-50</v>
      </c>
      <c r="AU105" s="975">
        <v>1225</v>
      </c>
      <c r="AV105" s="970">
        <v>229</v>
      </c>
      <c r="AW105" s="753">
        <f t="shared" si="233"/>
        <v>-81.3</v>
      </c>
      <c r="AX105" s="779">
        <f t="shared" si="234"/>
        <v>91</v>
      </c>
      <c r="AY105" s="819">
        <f t="shared" si="235"/>
        <v>46</v>
      </c>
      <c r="AZ105" s="753">
        <f t="shared" si="236"/>
        <v>-49.5</v>
      </c>
      <c r="BA105" s="779">
        <v>1316</v>
      </c>
      <c r="BB105" s="819">
        <v>275</v>
      </c>
      <c r="BC105" s="753">
        <f t="shared" si="237"/>
        <v>-79.099999999999994</v>
      </c>
      <c r="BD105" s="779">
        <f t="shared" si="238"/>
        <v>299</v>
      </c>
      <c r="BE105" s="819">
        <f t="shared" si="238"/>
        <v>20</v>
      </c>
      <c r="BF105" s="753">
        <f t="shared" si="239"/>
        <v>-93.3</v>
      </c>
      <c r="BG105" s="779">
        <v>1615</v>
      </c>
      <c r="BH105" s="819">
        <v>295</v>
      </c>
      <c r="BI105" s="753">
        <f t="shared" si="240"/>
        <v>-81.7</v>
      </c>
      <c r="BJ105" s="779">
        <f t="shared" si="241"/>
        <v>153</v>
      </c>
      <c r="BK105" s="819">
        <f t="shared" si="241"/>
        <v>7</v>
      </c>
      <c r="BL105" s="753">
        <f t="shared" si="242"/>
        <v>-95.4</v>
      </c>
      <c r="BM105" s="779">
        <v>1768</v>
      </c>
      <c r="BN105" s="819">
        <v>302</v>
      </c>
      <c r="BO105" s="753">
        <f t="shared" si="243"/>
        <v>-82.9</v>
      </c>
      <c r="BP105" s="779">
        <f t="shared" si="244"/>
        <v>51</v>
      </c>
      <c r="BQ105" s="819">
        <f t="shared" si="244"/>
        <v>29</v>
      </c>
      <c r="BR105" s="753">
        <f t="shared" si="245"/>
        <v>-43.1</v>
      </c>
      <c r="BS105" s="779">
        <v>1819</v>
      </c>
      <c r="BT105" s="819">
        <v>331</v>
      </c>
      <c r="BU105" s="753">
        <f t="shared" si="246"/>
        <v>-81.8</v>
      </c>
    </row>
    <row r="106" spans="1:73">
      <c r="A106" s="4"/>
      <c r="B106" s="43" t="s">
        <v>112</v>
      </c>
      <c r="C106" s="44">
        <v>36</v>
      </c>
      <c r="D106" s="44">
        <v>117</v>
      </c>
      <c r="E106" s="44">
        <v>111</v>
      </c>
      <c r="F106" s="44">
        <v>191</v>
      </c>
      <c r="G106" s="44">
        <v>138</v>
      </c>
      <c r="H106" s="44">
        <v>172</v>
      </c>
      <c r="I106" s="44">
        <v>424</v>
      </c>
      <c r="J106" s="44">
        <v>1707</v>
      </c>
      <c r="K106" s="283">
        <v>194</v>
      </c>
      <c r="L106" s="390">
        <v>143</v>
      </c>
      <c r="M106" s="242">
        <f t="shared" si="211"/>
        <v>-26.3</v>
      </c>
      <c r="N106" s="283">
        <f t="shared" si="212"/>
        <v>127</v>
      </c>
      <c r="O106" s="390">
        <f t="shared" si="213"/>
        <v>96</v>
      </c>
      <c r="P106" s="242">
        <f t="shared" si="214"/>
        <v>-24.4</v>
      </c>
      <c r="Q106" s="283">
        <v>321</v>
      </c>
      <c r="R106" s="390">
        <v>239</v>
      </c>
      <c r="S106" s="242">
        <f t="shared" si="215"/>
        <v>-25.5</v>
      </c>
      <c r="T106" s="283">
        <f t="shared" si="216"/>
        <v>149</v>
      </c>
      <c r="U106" s="390">
        <f t="shared" si="217"/>
        <v>169</v>
      </c>
      <c r="V106" s="242">
        <f t="shared" si="218"/>
        <v>13.4</v>
      </c>
      <c r="W106" s="283">
        <v>470</v>
      </c>
      <c r="X106" s="390">
        <v>408</v>
      </c>
      <c r="Y106" s="242">
        <f t="shared" si="219"/>
        <v>-13.2</v>
      </c>
      <c r="Z106" s="283">
        <f t="shared" si="220"/>
        <v>195</v>
      </c>
      <c r="AA106" s="390">
        <f t="shared" si="221"/>
        <v>119</v>
      </c>
      <c r="AB106" s="242">
        <f t="shared" si="222"/>
        <v>-39</v>
      </c>
      <c r="AC106" s="283">
        <v>665</v>
      </c>
      <c r="AD106" s="390">
        <v>527</v>
      </c>
      <c r="AE106" s="242">
        <f t="shared" si="223"/>
        <v>-20.8</v>
      </c>
      <c r="AF106" s="283">
        <f t="shared" si="224"/>
        <v>114</v>
      </c>
      <c r="AG106" s="390">
        <f t="shared" si="224"/>
        <v>69</v>
      </c>
      <c r="AH106" s="242">
        <f t="shared" si="225"/>
        <v>-39.5</v>
      </c>
      <c r="AI106" s="283">
        <v>779</v>
      </c>
      <c r="AJ106" s="390">
        <v>596</v>
      </c>
      <c r="AK106" s="242">
        <f t="shared" si="226"/>
        <v>-23.5</v>
      </c>
      <c r="AL106" s="762">
        <f t="shared" si="227"/>
        <v>110</v>
      </c>
      <c r="AM106" s="769">
        <f t="shared" si="228"/>
        <v>109</v>
      </c>
      <c r="AN106" s="753">
        <f t="shared" si="229"/>
        <v>-0.9</v>
      </c>
      <c r="AO106" s="779">
        <v>889</v>
      </c>
      <c r="AP106" s="819">
        <v>705</v>
      </c>
      <c r="AQ106" s="753">
        <f t="shared" si="230"/>
        <v>-20.7</v>
      </c>
      <c r="AR106" s="779">
        <f t="shared" si="231"/>
        <v>94</v>
      </c>
      <c r="AS106" s="819">
        <f t="shared" si="231"/>
        <v>60</v>
      </c>
      <c r="AT106" s="753">
        <f t="shared" si="232"/>
        <v>-36.200000000000003</v>
      </c>
      <c r="AU106" s="975">
        <v>983</v>
      </c>
      <c r="AV106" s="970">
        <v>765</v>
      </c>
      <c r="AW106" s="753">
        <f t="shared" si="233"/>
        <v>-22.2</v>
      </c>
      <c r="AX106" s="779">
        <f t="shared" si="234"/>
        <v>67</v>
      </c>
      <c r="AY106" s="819">
        <f t="shared" si="235"/>
        <v>6</v>
      </c>
      <c r="AZ106" s="753">
        <f t="shared" si="236"/>
        <v>-91</v>
      </c>
      <c r="BA106" s="779">
        <v>1050</v>
      </c>
      <c r="BB106" s="819">
        <v>771</v>
      </c>
      <c r="BC106" s="753">
        <f t="shared" si="237"/>
        <v>-26.6</v>
      </c>
      <c r="BD106" s="779">
        <f t="shared" si="238"/>
        <v>110</v>
      </c>
      <c r="BE106" s="819">
        <f t="shared" si="238"/>
        <v>61</v>
      </c>
      <c r="BF106" s="753">
        <f t="shared" si="239"/>
        <v>-44.5</v>
      </c>
      <c r="BG106" s="779">
        <v>1160</v>
      </c>
      <c r="BH106" s="819">
        <v>832</v>
      </c>
      <c r="BI106" s="753">
        <f t="shared" si="240"/>
        <v>-28.3</v>
      </c>
      <c r="BJ106" s="779">
        <f t="shared" si="241"/>
        <v>251</v>
      </c>
      <c r="BK106" s="819">
        <f t="shared" si="241"/>
        <v>30</v>
      </c>
      <c r="BL106" s="753">
        <f t="shared" si="242"/>
        <v>-88</v>
      </c>
      <c r="BM106" s="779">
        <v>1411</v>
      </c>
      <c r="BN106" s="819">
        <v>862</v>
      </c>
      <c r="BO106" s="753">
        <f t="shared" si="243"/>
        <v>-38.9</v>
      </c>
      <c r="BP106" s="779">
        <f t="shared" si="244"/>
        <v>123</v>
      </c>
      <c r="BQ106" s="819">
        <f t="shared" si="244"/>
        <v>3</v>
      </c>
      <c r="BR106" s="753">
        <f t="shared" si="245"/>
        <v>-97.6</v>
      </c>
      <c r="BS106" s="779">
        <v>1534</v>
      </c>
      <c r="BT106" s="819">
        <v>865</v>
      </c>
      <c r="BU106" s="753">
        <f t="shared" si="246"/>
        <v>-43.6</v>
      </c>
    </row>
    <row r="107" spans="1:73">
      <c r="A107" s="4"/>
      <c r="B107" s="43" t="s">
        <v>59</v>
      </c>
      <c r="C107" s="44">
        <v>241</v>
      </c>
      <c r="D107" s="44">
        <v>158</v>
      </c>
      <c r="E107" s="44">
        <v>239</v>
      </c>
      <c r="F107" s="44">
        <v>525</v>
      </c>
      <c r="G107" s="44">
        <v>398</v>
      </c>
      <c r="H107" s="44">
        <v>445</v>
      </c>
      <c r="I107" s="44">
        <v>491</v>
      </c>
      <c r="J107" s="44">
        <v>1317</v>
      </c>
      <c r="K107" s="283">
        <v>131</v>
      </c>
      <c r="L107" s="390">
        <v>15</v>
      </c>
      <c r="M107" s="242">
        <f t="shared" si="211"/>
        <v>-88.5</v>
      </c>
      <c r="N107" s="283">
        <f t="shared" si="212"/>
        <v>31</v>
      </c>
      <c r="O107" s="390">
        <f t="shared" si="213"/>
        <v>318</v>
      </c>
      <c r="P107" s="242">
        <f t="shared" si="214"/>
        <v>925.8</v>
      </c>
      <c r="Q107" s="283">
        <v>162</v>
      </c>
      <c r="R107" s="390">
        <v>333</v>
      </c>
      <c r="S107" s="242">
        <f t="shared" si="215"/>
        <v>105.6</v>
      </c>
      <c r="T107" s="283">
        <f t="shared" si="216"/>
        <v>36</v>
      </c>
      <c r="U107" s="390">
        <f t="shared" si="217"/>
        <v>27</v>
      </c>
      <c r="V107" s="242">
        <f t="shared" si="218"/>
        <v>-25</v>
      </c>
      <c r="W107" s="283">
        <v>198</v>
      </c>
      <c r="X107" s="390">
        <v>360</v>
      </c>
      <c r="Y107" s="242">
        <f t="shared" si="219"/>
        <v>81.8</v>
      </c>
      <c r="Z107" s="283">
        <f t="shared" si="220"/>
        <v>591</v>
      </c>
      <c r="AA107" s="390">
        <f t="shared" si="221"/>
        <v>3</v>
      </c>
      <c r="AB107" s="242">
        <f t="shared" si="222"/>
        <v>-99.5</v>
      </c>
      <c r="AC107" s="283">
        <v>789</v>
      </c>
      <c r="AD107" s="390">
        <v>363</v>
      </c>
      <c r="AE107" s="242">
        <f t="shared" si="223"/>
        <v>-54</v>
      </c>
      <c r="AF107" s="283">
        <f t="shared" si="224"/>
        <v>193</v>
      </c>
      <c r="AG107" s="390">
        <f t="shared" si="224"/>
        <v>5</v>
      </c>
      <c r="AH107" s="242">
        <f t="shared" si="225"/>
        <v>-97.4</v>
      </c>
      <c r="AI107" s="283">
        <v>982</v>
      </c>
      <c r="AJ107" s="390">
        <v>368</v>
      </c>
      <c r="AK107" s="242">
        <f t="shared" si="226"/>
        <v>-62.5</v>
      </c>
      <c r="AL107" s="762">
        <f t="shared" si="227"/>
        <v>169</v>
      </c>
      <c r="AM107" s="769">
        <f t="shared" si="228"/>
        <v>15</v>
      </c>
      <c r="AN107" s="753">
        <f t="shared" si="229"/>
        <v>-91.1</v>
      </c>
      <c r="AO107" s="779">
        <v>1151</v>
      </c>
      <c r="AP107" s="819">
        <v>383</v>
      </c>
      <c r="AQ107" s="753">
        <f t="shared" si="230"/>
        <v>-66.7</v>
      </c>
      <c r="AR107" s="779">
        <f t="shared" si="231"/>
        <v>26</v>
      </c>
      <c r="AS107" s="819">
        <f t="shared" si="231"/>
        <v>5</v>
      </c>
      <c r="AT107" s="753">
        <f t="shared" si="232"/>
        <v>-80.8</v>
      </c>
      <c r="AU107" s="975">
        <v>1177</v>
      </c>
      <c r="AV107" s="970">
        <v>388</v>
      </c>
      <c r="AW107" s="753">
        <f t="shared" si="233"/>
        <v>-67</v>
      </c>
      <c r="AX107" s="779">
        <f t="shared" si="234"/>
        <v>21</v>
      </c>
      <c r="AY107" s="819">
        <f t="shared" si="235"/>
        <v>0</v>
      </c>
      <c r="AZ107" s="753">
        <f t="shared" si="236"/>
        <v>-100</v>
      </c>
      <c r="BA107" s="779">
        <v>1198</v>
      </c>
      <c r="BB107" s="819">
        <v>388</v>
      </c>
      <c r="BC107" s="753">
        <f t="shared" si="237"/>
        <v>-67.599999999999994</v>
      </c>
      <c r="BD107" s="779">
        <f t="shared" si="238"/>
        <v>28</v>
      </c>
      <c r="BE107" s="819">
        <f t="shared" si="238"/>
        <v>5</v>
      </c>
      <c r="BF107" s="753">
        <f t="shared" si="239"/>
        <v>-82.1</v>
      </c>
      <c r="BG107" s="779">
        <v>1226</v>
      </c>
      <c r="BH107" s="819">
        <v>393</v>
      </c>
      <c r="BI107" s="753">
        <f t="shared" si="240"/>
        <v>-67.900000000000006</v>
      </c>
      <c r="BJ107" s="779">
        <f t="shared" si="241"/>
        <v>69</v>
      </c>
      <c r="BK107" s="819">
        <f t="shared" si="241"/>
        <v>44</v>
      </c>
      <c r="BL107" s="753">
        <f t="shared" si="242"/>
        <v>-36.200000000000003</v>
      </c>
      <c r="BM107" s="779">
        <v>1295</v>
      </c>
      <c r="BN107" s="819">
        <v>437</v>
      </c>
      <c r="BO107" s="753">
        <f t="shared" si="243"/>
        <v>-66.3</v>
      </c>
      <c r="BP107" s="779">
        <f t="shared" si="244"/>
        <v>16</v>
      </c>
      <c r="BQ107" s="819">
        <f t="shared" si="244"/>
        <v>57</v>
      </c>
      <c r="BR107" s="753">
        <f t="shared" si="245"/>
        <v>256.3</v>
      </c>
      <c r="BS107" s="779">
        <v>1311</v>
      </c>
      <c r="BT107" s="819">
        <v>494</v>
      </c>
      <c r="BU107" s="753">
        <f t="shared" si="246"/>
        <v>-62.3</v>
      </c>
    </row>
    <row r="108" spans="1:73">
      <c r="A108" s="4"/>
      <c r="B108" s="43" t="s">
        <v>56</v>
      </c>
      <c r="C108" s="44">
        <v>653</v>
      </c>
      <c r="D108" s="44">
        <v>419</v>
      </c>
      <c r="E108" s="44">
        <v>495</v>
      </c>
      <c r="F108" s="44">
        <v>483</v>
      </c>
      <c r="G108" s="44">
        <v>268</v>
      </c>
      <c r="H108" s="44">
        <v>595</v>
      </c>
      <c r="I108" s="44">
        <v>234</v>
      </c>
      <c r="J108" s="44">
        <v>972</v>
      </c>
      <c r="K108" s="283">
        <v>309</v>
      </c>
      <c r="L108" s="390">
        <v>43</v>
      </c>
      <c r="M108" s="242">
        <f t="shared" si="211"/>
        <v>-86.1</v>
      </c>
      <c r="N108" s="283">
        <f t="shared" si="212"/>
        <v>131</v>
      </c>
      <c r="O108" s="390">
        <f t="shared" si="213"/>
        <v>258</v>
      </c>
      <c r="P108" s="242">
        <f t="shared" si="214"/>
        <v>96.9</v>
      </c>
      <c r="Q108" s="283">
        <v>440</v>
      </c>
      <c r="R108" s="390">
        <v>301</v>
      </c>
      <c r="S108" s="242">
        <f t="shared" si="215"/>
        <v>-31.6</v>
      </c>
      <c r="T108" s="283">
        <f t="shared" si="216"/>
        <v>22</v>
      </c>
      <c r="U108" s="390">
        <f t="shared" si="217"/>
        <v>42</v>
      </c>
      <c r="V108" s="242">
        <f t="shared" si="218"/>
        <v>90.9</v>
      </c>
      <c r="W108" s="283">
        <v>462</v>
      </c>
      <c r="X108" s="390">
        <v>343</v>
      </c>
      <c r="Y108" s="242">
        <f t="shared" si="219"/>
        <v>-25.8</v>
      </c>
      <c r="Z108" s="283">
        <f t="shared" si="220"/>
        <v>10</v>
      </c>
      <c r="AA108" s="390">
        <f t="shared" si="221"/>
        <v>75</v>
      </c>
      <c r="AB108" s="242">
        <f t="shared" si="222"/>
        <v>650</v>
      </c>
      <c r="AC108" s="283">
        <v>472</v>
      </c>
      <c r="AD108" s="390">
        <v>418</v>
      </c>
      <c r="AE108" s="242">
        <f t="shared" si="223"/>
        <v>-11.4</v>
      </c>
      <c r="AF108" s="283">
        <f t="shared" si="224"/>
        <v>53</v>
      </c>
      <c r="AG108" s="390">
        <f t="shared" si="224"/>
        <v>5</v>
      </c>
      <c r="AH108" s="242">
        <f t="shared" si="225"/>
        <v>-90.6</v>
      </c>
      <c r="AI108" s="283">
        <v>525</v>
      </c>
      <c r="AJ108" s="390">
        <v>423</v>
      </c>
      <c r="AK108" s="242">
        <f t="shared" si="226"/>
        <v>-19.399999999999999</v>
      </c>
      <c r="AL108" s="762">
        <f t="shared" si="227"/>
        <v>2</v>
      </c>
      <c r="AM108" s="769">
        <f t="shared" si="228"/>
        <v>35</v>
      </c>
      <c r="AN108" s="753">
        <f t="shared" si="229"/>
        <v>1650</v>
      </c>
      <c r="AO108" s="779">
        <v>527</v>
      </c>
      <c r="AP108" s="819">
        <v>458</v>
      </c>
      <c r="AQ108" s="753">
        <f t="shared" si="230"/>
        <v>-13.1</v>
      </c>
      <c r="AR108" s="779">
        <f t="shared" si="231"/>
        <v>126</v>
      </c>
      <c r="AS108" s="819">
        <f t="shared" si="231"/>
        <v>81</v>
      </c>
      <c r="AT108" s="753">
        <f t="shared" si="232"/>
        <v>-35.700000000000003</v>
      </c>
      <c r="AU108" s="975">
        <v>653</v>
      </c>
      <c r="AV108" s="970">
        <v>539</v>
      </c>
      <c r="AW108" s="753">
        <f t="shared" si="233"/>
        <v>-17.5</v>
      </c>
      <c r="AX108" s="779">
        <f t="shared" si="234"/>
        <v>84</v>
      </c>
      <c r="AY108" s="819">
        <f t="shared" si="235"/>
        <v>6</v>
      </c>
      <c r="AZ108" s="753">
        <f t="shared" si="236"/>
        <v>-92.9</v>
      </c>
      <c r="BA108" s="779">
        <v>737</v>
      </c>
      <c r="BB108" s="819">
        <v>545</v>
      </c>
      <c r="BC108" s="753">
        <f t="shared" si="237"/>
        <v>-26.1</v>
      </c>
      <c r="BD108" s="779">
        <f t="shared" si="238"/>
        <v>45</v>
      </c>
      <c r="BE108" s="819">
        <f t="shared" si="238"/>
        <v>19</v>
      </c>
      <c r="BF108" s="753">
        <f t="shared" si="239"/>
        <v>-57.8</v>
      </c>
      <c r="BG108" s="779">
        <v>782</v>
      </c>
      <c r="BH108" s="819">
        <v>564</v>
      </c>
      <c r="BI108" s="753">
        <f t="shared" si="240"/>
        <v>-27.9</v>
      </c>
      <c r="BJ108" s="779">
        <f t="shared" si="241"/>
        <v>16</v>
      </c>
      <c r="BK108" s="819">
        <f t="shared" si="241"/>
        <v>104</v>
      </c>
      <c r="BL108" s="753">
        <f t="shared" si="242"/>
        <v>550</v>
      </c>
      <c r="BM108" s="779">
        <v>798</v>
      </c>
      <c r="BN108" s="819">
        <v>668</v>
      </c>
      <c r="BO108" s="753">
        <f t="shared" si="243"/>
        <v>-16.3</v>
      </c>
      <c r="BP108" s="779">
        <f t="shared" si="244"/>
        <v>48</v>
      </c>
      <c r="BQ108" s="819">
        <f t="shared" si="244"/>
        <v>87</v>
      </c>
      <c r="BR108" s="753">
        <f t="shared" si="245"/>
        <v>81.3</v>
      </c>
      <c r="BS108" s="779">
        <v>846</v>
      </c>
      <c r="BT108" s="819">
        <v>755</v>
      </c>
      <c r="BU108" s="753">
        <f t="shared" si="246"/>
        <v>-10.8</v>
      </c>
    </row>
    <row r="109" spans="1:73">
      <c r="A109" s="4"/>
      <c r="B109" s="43" t="s">
        <v>106</v>
      </c>
      <c r="C109" s="44">
        <v>1102</v>
      </c>
      <c r="D109" s="44">
        <v>497</v>
      </c>
      <c r="E109" s="44">
        <v>1457</v>
      </c>
      <c r="F109" s="44">
        <v>746</v>
      </c>
      <c r="G109" s="44">
        <v>325</v>
      </c>
      <c r="H109" s="44">
        <v>226</v>
      </c>
      <c r="I109" s="44">
        <v>604</v>
      </c>
      <c r="J109" s="44">
        <v>656</v>
      </c>
      <c r="K109" s="283">
        <v>50</v>
      </c>
      <c r="L109" s="390">
        <v>62</v>
      </c>
      <c r="M109" s="242">
        <f t="shared" si="211"/>
        <v>24</v>
      </c>
      <c r="N109" s="283">
        <f t="shared" si="212"/>
        <v>16</v>
      </c>
      <c r="O109" s="390">
        <f t="shared" si="213"/>
        <v>151</v>
      </c>
      <c r="P109" s="242">
        <f t="shared" si="214"/>
        <v>843.8</v>
      </c>
      <c r="Q109" s="283">
        <v>66</v>
      </c>
      <c r="R109" s="390">
        <v>213</v>
      </c>
      <c r="S109" s="242">
        <f t="shared" si="215"/>
        <v>222.7</v>
      </c>
      <c r="T109" s="283">
        <f t="shared" si="216"/>
        <v>54</v>
      </c>
      <c r="U109" s="390">
        <f t="shared" si="217"/>
        <v>125</v>
      </c>
      <c r="V109" s="242">
        <f t="shared" si="218"/>
        <v>131.5</v>
      </c>
      <c r="W109" s="283">
        <v>120</v>
      </c>
      <c r="X109" s="390">
        <v>338</v>
      </c>
      <c r="Y109" s="242">
        <f t="shared" si="219"/>
        <v>181.7</v>
      </c>
      <c r="Z109" s="283">
        <f t="shared" si="220"/>
        <v>130</v>
      </c>
      <c r="AA109" s="390">
        <f t="shared" si="221"/>
        <v>25</v>
      </c>
      <c r="AB109" s="242">
        <f t="shared" si="222"/>
        <v>-80.8</v>
      </c>
      <c r="AC109" s="283">
        <v>250</v>
      </c>
      <c r="AD109" s="390">
        <v>363</v>
      </c>
      <c r="AE109" s="242">
        <f t="shared" si="223"/>
        <v>45.2</v>
      </c>
      <c r="AF109" s="283">
        <f t="shared" si="224"/>
        <v>96</v>
      </c>
      <c r="AG109" s="390">
        <f t="shared" si="224"/>
        <v>0</v>
      </c>
      <c r="AH109" s="242">
        <f t="shared" si="225"/>
        <v>-100</v>
      </c>
      <c r="AI109" s="283">
        <v>346</v>
      </c>
      <c r="AJ109" s="390">
        <v>363</v>
      </c>
      <c r="AK109" s="242">
        <f t="shared" si="226"/>
        <v>4.9000000000000004</v>
      </c>
      <c r="AL109" s="762">
        <f t="shared" si="227"/>
        <v>51</v>
      </c>
      <c r="AM109" s="769">
        <f t="shared" si="228"/>
        <v>1</v>
      </c>
      <c r="AN109" s="753">
        <f t="shared" si="229"/>
        <v>-98</v>
      </c>
      <c r="AO109" s="779">
        <v>397</v>
      </c>
      <c r="AP109" s="819">
        <v>364</v>
      </c>
      <c r="AQ109" s="753">
        <f t="shared" si="230"/>
        <v>-8.3000000000000007</v>
      </c>
      <c r="AR109" s="779">
        <f t="shared" si="231"/>
        <v>8</v>
      </c>
      <c r="AS109" s="819">
        <f t="shared" si="231"/>
        <v>39</v>
      </c>
      <c r="AT109" s="753">
        <f t="shared" si="232"/>
        <v>387.5</v>
      </c>
      <c r="AU109" s="975">
        <v>405</v>
      </c>
      <c r="AV109" s="970">
        <v>403</v>
      </c>
      <c r="AW109" s="753">
        <f t="shared" si="233"/>
        <v>-0.5</v>
      </c>
      <c r="AX109" s="779">
        <f t="shared" si="234"/>
        <v>86</v>
      </c>
      <c r="AY109" s="819">
        <f t="shared" si="235"/>
        <v>11</v>
      </c>
      <c r="AZ109" s="753">
        <f t="shared" si="236"/>
        <v>-87.2</v>
      </c>
      <c r="BA109" s="779">
        <v>491</v>
      </c>
      <c r="BB109" s="819">
        <v>414</v>
      </c>
      <c r="BC109" s="753">
        <f t="shared" si="237"/>
        <v>-15.7</v>
      </c>
      <c r="BD109" s="779">
        <f t="shared" si="238"/>
        <v>61</v>
      </c>
      <c r="BE109" s="819">
        <f t="shared" si="238"/>
        <v>21</v>
      </c>
      <c r="BF109" s="753">
        <f t="shared" si="239"/>
        <v>-65.599999999999994</v>
      </c>
      <c r="BG109" s="779">
        <v>552</v>
      </c>
      <c r="BH109" s="819">
        <v>435</v>
      </c>
      <c r="BI109" s="753">
        <f t="shared" si="240"/>
        <v>-21.2</v>
      </c>
      <c r="BJ109" s="779">
        <f t="shared" si="241"/>
        <v>21</v>
      </c>
      <c r="BK109" s="819">
        <f t="shared" si="241"/>
        <v>40</v>
      </c>
      <c r="BL109" s="753">
        <f t="shared" si="242"/>
        <v>90.5</v>
      </c>
      <c r="BM109" s="779">
        <v>573</v>
      </c>
      <c r="BN109" s="819">
        <v>475</v>
      </c>
      <c r="BO109" s="753">
        <f t="shared" si="243"/>
        <v>-17.100000000000001</v>
      </c>
      <c r="BP109" s="779">
        <f t="shared" si="244"/>
        <v>26</v>
      </c>
      <c r="BQ109" s="819">
        <f t="shared" si="244"/>
        <v>52</v>
      </c>
      <c r="BR109" s="753">
        <f t="shared" si="245"/>
        <v>100</v>
      </c>
      <c r="BS109" s="779">
        <v>599</v>
      </c>
      <c r="BT109" s="819">
        <v>527</v>
      </c>
      <c r="BU109" s="753">
        <f t="shared" si="246"/>
        <v>-12</v>
      </c>
    </row>
    <row r="110" spans="1:73">
      <c r="A110" s="4"/>
      <c r="B110" s="43" t="s">
        <v>145</v>
      </c>
      <c r="C110" s="44">
        <v>940</v>
      </c>
      <c r="D110" s="44">
        <v>118</v>
      </c>
      <c r="E110" s="44">
        <v>26</v>
      </c>
      <c r="F110" s="44">
        <v>382</v>
      </c>
      <c r="G110" s="44">
        <v>653</v>
      </c>
      <c r="H110" s="44">
        <v>612</v>
      </c>
      <c r="I110" s="44">
        <v>339</v>
      </c>
      <c r="J110" s="44">
        <v>528</v>
      </c>
      <c r="K110" s="283">
        <v>0</v>
      </c>
      <c r="L110" s="390">
        <v>0</v>
      </c>
      <c r="M110" s="177">
        <v>0</v>
      </c>
      <c r="N110" s="283">
        <f t="shared" si="212"/>
        <v>0</v>
      </c>
      <c r="O110" s="390">
        <f t="shared" si="213"/>
        <v>83</v>
      </c>
      <c r="P110" s="177">
        <v>0</v>
      </c>
      <c r="Q110" s="283">
        <v>0</v>
      </c>
      <c r="R110" s="390">
        <v>83</v>
      </c>
      <c r="S110" s="177">
        <v>0</v>
      </c>
      <c r="T110" s="283">
        <f t="shared" si="216"/>
        <v>31</v>
      </c>
      <c r="U110" s="390">
        <f t="shared" si="217"/>
        <v>34</v>
      </c>
      <c r="V110" s="242">
        <f>ROUND(((U110/T110-1)*100), 1)</f>
        <v>9.6999999999999993</v>
      </c>
      <c r="W110" s="283">
        <v>31</v>
      </c>
      <c r="X110" s="390">
        <v>117</v>
      </c>
      <c r="Y110" s="242">
        <f>ROUND(((X110/W110-1)*100), 1)</f>
        <v>277.39999999999998</v>
      </c>
      <c r="Z110" s="283">
        <f t="shared" si="220"/>
        <v>16</v>
      </c>
      <c r="AA110" s="390">
        <f t="shared" si="221"/>
        <v>28</v>
      </c>
      <c r="AB110" s="242">
        <f>ROUND(((AA110/Z110-1)*100), 1)</f>
        <v>75</v>
      </c>
      <c r="AC110" s="283">
        <v>47</v>
      </c>
      <c r="AD110" s="390">
        <v>145</v>
      </c>
      <c r="AE110" s="242">
        <f>ROUND(((AD110/AC110-1)*100), 1)</f>
        <v>208.5</v>
      </c>
      <c r="AF110" s="283">
        <f t="shared" si="224"/>
        <v>29</v>
      </c>
      <c r="AG110" s="390">
        <f t="shared" si="224"/>
        <v>0</v>
      </c>
      <c r="AH110" s="242">
        <f>ROUND(((AG110/AF110-1)*100), 1)</f>
        <v>-100</v>
      </c>
      <c r="AI110" s="283">
        <v>76</v>
      </c>
      <c r="AJ110" s="390">
        <v>145</v>
      </c>
      <c r="AK110" s="242">
        <f>ROUND(((AJ110/AI110-1)*100), 1)</f>
        <v>90.8</v>
      </c>
      <c r="AL110" s="762">
        <f t="shared" si="227"/>
        <v>44</v>
      </c>
      <c r="AM110" s="769">
        <f t="shared" si="228"/>
        <v>0</v>
      </c>
      <c r="AN110" s="753">
        <f>ROUND(((AM110/AL110-1)*100), 1)</f>
        <v>-100</v>
      </c>
      <c r="AO110" s="779">
        <v>120</v>
      </c>
      <c r="AP110" s="819">
        <v>145</v>
      </c>
      <c r="AQ110" s="753">
        <f>ROUND(((AP110/AO110-1)*100), 1)</f>
        <v>20.8</v>
      </c>
      <c r="AR110" s="779">
        <f t="shared" si="231"/>
        <v>0</v>
      </c>
      <c r="AS110" s="819">
        <f t="shared" si="231"/>
        <v>0</v>
      </c>
      <c r="AT110" s="799">
        <v>0</v>
      </c>
      <c r="AU110" s="975">
        <v>120</v>
      </c>
      <c r="AV110" s="970">
        <v>145</v>
      </c>
      <c r="AW110" s="753">
        <f t="shared" si="233"/>
        <v>20.8</v>
      </c>
      <c r="AX110" s="779">
        <f t="shared" si="234"/>
        <v>29</v>
      </c>
      <c r="AY110" s="819">
        <f t="shared" si="235"/>
        <v>0</v>
      </c>
      <c r="AZ110" s="753">
        <f t="shared" si="236"/>
        <v>-100</v>
      </c>
      <c r="BA110" s="779">
        <v>149</v>
      </c>
      <c r="BB110" s="819">
        <v>145</v>
      </c>
      <c r="BC110" s="753">
        <f t="shared" si="237"/>
        <v>-2.7</v>
      </c>
      <c r="BD110" s="779">
        <f t="shared" si="238"/>
        <v>80</v>
      </c>
      <c r="BE110" s="819">
        <f t="shared" si="238"/>
        <v>0</v>
      </c>
      <c r="BF110" s="753">
        <f t="shared" si="239"/>
        <v>-100</v>
      </c>
      <c r="BG110" s="779">
        <v>229</v>
      </c>
      <c r="BH110" s="819">
        <v>145</v>
      </c>
      <c r="BI110" s="753">
        <f t="shared" si="240"/>
        <v>-36.700000000000003</v>
      </c>
      <c r="BJ110" s="779">
        <f t="shared" si="241"/>
        <v>121</v>
      </c>
      <c r="BK110" s="819">
        <f t="shared" si="241"/>
        <v>0</v>
      </c>
      <c r="BL110" s="753">
        <f t="shared" si="242"/>
        <v>-100</v>
      </c>
      <c r="BM110" s="779">
        <v>350</v>
      </c>
      <c r="BN110" s="819">
        <v>145</v>
      </c>
      <c r="BO110" s="753">
        <f t="shared" si="243"/>
        <v>-58.6</v>
      </c>
      <c r="BP110" s="779">
        <f t="shared" si="244"/>
        <v>27</v>
      </c>
      <c r="BQ110" s="819">
        <f t="shared" si="244"/>
        <v>68</v>
      </c>
      <c r="BR110" s="753">
        <f t="shared" si="245"/>
        <v>151.9</v>
      </c>
      <c r="BS110" s="779">
        <v>377</v>
      </c>
      <c r="BT110" s="819">
        <v>213</v>
      </c>
      <c r="BU110" s="753">
        <f t="shared" si="246"/>
        <v>-43.5</v>
      </c>
    </row>
    <row r="111" spans="1:73" s="173" customFormat="1">
      <c r="A111" s="325"/>
      <c r="B111" s="33" t="s">
        <v>480</v>
      </c>
      <c r="C111" s="340">
        <v>2</v>
      </c>
      <c r="D111" s="340">
        <v>0</v>
      </c>
      <c r="E111" s="340">
        <v>0</v>
      </c>
      <c r="F111" s="340">
        <v>17</v>
      </c>
      <c r="G111" s="340">
        <v>0</v>
      </c>
      <c r="H111" s="340">
        <v>0</v>
      </c>
      <c r="I111" s="340">
        <v>0</v>
      </c>
      <c r="J111" s="340">
        <v>303</v>
      </c>
      <c r="K111" s="432">
        <v>0</v>
      </c>
      <c r="L111" s="388">
        <v>0</v>
      </c>
      <c r="M111" s="177">
        <v>0</v>
      </c>
      <c r="N111" s="432">
        <f t="shared" si="212"/>
        <v>0</v>
      </c>
      <c r="O111" s="388">
        <f t="shared" si="213"/>
        <v>55</v>
      </c>
      <c r="P111" s="177">
        <v>0</v>
      </c>
      <c r="Q111" s="432">
        <v>0</v>
      </c>
      <c r="R111" s="388">
        <v>55</v>
      </c>
      <c r="S111" s="177">
        <v>0</v>
      </c>
      <c r="T111" s="432">
        <f t="shared" si="216"/>
        <v>0</v>
      </c>
      <c r="U111" s="388">
        <f t="shared" si="217"/>
        <v>0</v>
      </c>
      <c r="V111" s="177">
        <v>0</v>
      </c>
      <c r="W111" s="432">
        <v>0</v>
      </c>
      <c r="X111" s="388">
        <v>55</v>
      </c>
      <c r="Y111" s="177">
        <v>0</v>
      </c>
      <c r="Z111" s="432">
        <f t="shared" si="220"/>
        <v>0</v>
      </c>
      <c r="AA111" s="388">
        <f t="shared" si="221"/>
        <v>24</v>
      </c>
      <c r="AB111" s="521">
        <v>0</v>
      </c>
      <c r="AC111" s="432">
        <v>0</v>
      </c>
      <c r="AD111" s="388">
        <v>79</v>
      </c>
      <c r="AE111" s="521">
        <v>0</v>
      </c>
      <c r="AF111" s="432">
        <f t="shared" si="224"/>
        <v>23</v>
      </c>
      <c r="AG111" s="388">
        <f t="shared" si="224"/>
        <v>0</v>
      </c>
      <c r="AH111" s="242">
        <f>ROUND(((AG111/AF111-1)*100), 1)</f>
        <v>-100</v>
      </c>
      <c r="AI111" s="432">
        <v>23</v>
      </c>
      <c r="AJ111" s="388">
        <v>79</v>
      </c>
      <c r="AK111" s="242">
        <f>ROUND(((AJ111/AI111-1)*100), 1)</f>
        <v>243.5</v>
      </c>
      <c r="AL111" s="774">
        <f t="shared" si="227"/>
        <v>15</v>
      </c>
      <c r="AM111" s="767">
        <f t="shared" si="228"/>
        <v>0</v>
      </c>
      <c r="AN111" s="753">
        <f>ROUND(((AM111/AL111-1)*100), 1)</f>
        <v>-100</v>
      </c>
      <c r="AO111" s="777">
        <v>38</v>
      </c>
      <c r="AP111" s="767">
        <v>79</v>
      </c>
      <c r="AQ111" s="753">
        <f>ROUND(((AP111/AO111-1)*100), 1)</f>
        <v>107.9</v>
      </c>
      <c r="AR111" s="777">
        <f t="shared" si="231"/>
        <v>59</v>
      </c>
      <c r="AS111" s="767">
        <f t="shared" si="231"/>
        <v>0</v>
      </c>
      <c r="AT111" s="753">
        <f>ROUND(((AS111/AR111-1)*100), 1)</f>
        <v>-100</v>
      </c>
      <c r="AU111" s="976">
        <v>97</v>
      </c>
      <c r="AV111" s="978">
        <v>79</v>
      </c>
      <c r="AW111" s="753">
        <f t="shared" si="233"/>
        <v>-18.600000000000001</v>
      </c>
      <c r="AX111" s="777">
        <f t="shared" si="234"/>
        <v>31</v>
      </c>
      <c r="AY111" s="767">
        <f t="shared" si="235"/>
        <v>0</v>
      </c>
      <c r="AZ111" s="753">
        <f>ROUND(((AY111/AX111-1)*100), 1)</f>
        <v>-100</v>
      </c>
      <c r="BA111" s="777">
        <v>128</v>
      </c>
      <c r="BB111" s="767">
        <v>79</v>
      </c>
      <c r="BC111" s="753">
        <f t="shared" si="237"/>
        <v>-38.299999999999997</v>
      </c>
      <c r="BD111" s="777">
        <f t="shared" si="238"/>
        <v>38</v>
      </c>
      <c r="BE111" s="767">
        <f t="shared" si="238"/>
        <v>0</v>
      </c>
      <c r="BF111" s="753">
        <f>ROUND(((BE111/BD111-1)*100), 1)</f>
        <v>-100</v>
      </c>
      <c r="BG111" s="777">
        <v>166</v>
      </c>
      <c r="BH111" s="767">
        <v>79</v>
      </c>
      <c r="BI111" s="753">
        <f t="shared" si="240"/>
        <v>-52.4</v>
      </c>
      <c r="BJ111" s="777">
        <f t="shared" si="241"/>
        <v>72</v>
      </c>
      <c r="BK111" s="767">
        <f t="shared" si="241"/>
        <v>0</v>
      </c>
      <c r="BL111" s="753">
        <f>ROUND(((BK111/BJ111-1)*100), 1)</f>
        <v>-100</v>
      </c>
      <c r="BM111" s="777">
        <v>238</v>
      </c>
      <c r="BN111" s="767">
        <v>79</v>
      </c>
      <c r="BO111" s="753">
        <f t="shared" si="243"/>
        <v>-66.8</v>
      </c>
      <c r="BP111" s="777">
        <f t="shared" si="244"/>
        <v>33</v>
      </c>
      <c r="BQ111" s="767">
        <f t="shared" si="244"/>
        <v>0</v>
      </c>
      <c r="BR111" s="753">
        <f>ROUND(((BQ111/BP111-1)*100), 1)</f>
        <v>-100</v>
      </c>
      <c r="BS111" s="777">
        <v>271</v>
      </c>
      <c r="BT111" s="767">
        <v>79</v>
      </c>
      <c r="BU111" s="753">
        <f t="shared" si="246"/>
        <v>-70.8</v>
      </c>
    </row>
    <row r="112" spans="1:73">
      <c r="A112" s="4"/>
      <c r="B112" s="43" t="s">
        <v>255</v>
      </c>
      <c r="C112" s="44">
        <v>267</v>
      </c>
      <c r="D112" s="44">
        <v>163</v>
      </c>
      <c r="E112" s="44">
        <v>237</v>
      </c>
      <c r="F112" s="44">
        <v>340</v>
      </c>
      <c r="G112" s="44">
        <v>105</v>
      </c>
      <c r="H112" s="44">
        <v>115</v>
      </c>
      <c r="I112" s="44">
        <v>53</v>
      </c>
      <c r="J112" s="44">
        <v>269</v>
      </c>
      <c r="K112" s="283">
        <v>12</v>
      </c>
      <c r="L112" s="390">
        <v>1</v>
      </c>
      <c r="M112" s="242">
        <f t="shared" ref="M112:M120" si="247">ROUND(((L112/K112-1)*100), 1)</f>
        <v>-91.7</v>
      </c>
      <c r="N112" s="283">
        <f t="shared" si="212"/>
        <v>2</v>
      </c>
      <c r="O112" s="390">
        <f t="shared" si="213"/>
        <v>11</v>
      </c>
      <c r="P112" s="242">
        <f t="shared" ref="P112:P116" si="248">ROUND(((O112/N112-1)*100), 1)</f>
        <v>450</v>
      </c>
      <c r="Q112" s="283">
        <v>14</v>
      </c>
      <c r="R112" s="390">
        <v>12</v>
      </c>
      <c r="S112" s="242">
        <f t="shared" ref="S112:S117" si="249">ROUND(((R112/Q112-1)*100), 1)</f>
        <v>-14.3</v>
      </c>
      <c r="T112" s="283">
        <f t="shared" si="216"/>
        <v>56</v>
      </c>
      <c r="U112" s="390">
        <f t="shared" si="217"/>
        <v>302</v>
      </c>
      <c r="V112" s="242">
        <f t="shared" ref="V112:V117" si="250">ROUND(((U112/T112-1)*100), 1)</f>
        <v>439.3</v>
      </c>
      <c r="W112" s="283">
        <v>70</v>
      </c>
      <c r="X112" s="390">
        <v>314</v>
      </c>
      <c r="Y112" s="242">
        <f t="shared" ref="Y112:Y117" si="251">ROUND(((X112/W112-1)*100), 1)</f>
        <v>348.6</v>
      </c>
      <c r="Z112" s="283">
        <f t="shared" si="220"/>
        <v>24</v>
      </c>
      <c r="AA112" s="390">
        <f t="shared" si="221"/>
        <v>141</v>
      </c>
      <c r="AB112" s="242">
        <f t="shared" ref="AB112:AB115" si="252">ROUND(((AA112/Z112-1)*100), 1)</f>
        <v>487.5</v>
      </c>
      <c r="AC112" s="283">
        <v>94</v>
      </c>
      <c r="AD112" s="390">
        <v>455</v>
      </c>
      <c r="AE112" s="242">
        <f t="shared" ref="AE112:AE117" si="253">ROUND(((AD112/AC112-1)*100), 1)</f>
        <v>384</v>
      </c>
      <c r="AF112" s="283">
        <f t="shared" si="224"/>
        <v>8</v>
      </c>
      <c r="AG112" s="390">
        <f t="shared" si="224"/>
        <v>32</v>
      </c>
      <c r="AH112" s="242">
        <f t="shared" ref="AH112:AH115" si="254">ROUND(((AG112/AF112-1)*100), 1)</f>
        <v>300</v>
      </c>
      <c r="AI112" s="283">
        <v>102</v>
      </c>
      <c r="AJ112" s="390">
        <v>487</v>
      </c>
      <c r="AK112" s="242">
        <f t="shared" ref="AK112:AK117" si="255">ROUND(((AJ112/AI112-1)*100), 1)</f>
        <v>377.5</v>
      </c>
      <c r="AL112" s="762">
        <f t="shared" si="227"/>
        <v>50</v>
      </c>
      <c r="AM112" s="769">
        <f t="shared" si="228"/>
        <v>2</v>
      </c>
      <c r="AN112" s="753">
        <f t="shared" ref="AN112:AN117" si="256">ROUND(((AM112/AL112-1)*100), 1)</f>
        <v>-96</v>
      </c>
      <c r="AO112" s="779">
        <v>152</v>
      </c>
      <c r="AP112" s="819">
        <v>489</v>
      </c>
      <c r="AQ112" s="753">
        <f t="shared" ref="AQ112:AQ117" si="257">ROUND(((AP112/AO112-1)*100), 1)</f>
        <v>221.7</v>
      </c>
      <c r="AR112" s="779">
        <f t="shared" si="231"/>
        <v>20</v>
      </c>
      <c r="AS112" s="819">
        <f t="shared" si="231"/>
        <v>2</v>
      </c>
      <c r="AT112" s="753">
        <f t="shared" ref="AT112:AT118" si="258">ROUND(((AS112/AR112-1)*100), 1)</f>
        <v>-90</v>
      </c>
      <c r="AU112" s="975">
        <v>172</v>
      </c>
      <c r="AV112" s="970">
        <v>491</v>
      </c>
      <c r="AW112" s="753">
        <f t="shared" si="233"/>
        <v>185.5</v>
      </c>
      <c r="AX112" s="779">
        <f t="shared" si="234"/>
        <v>36</v>
      </c>
      <c r="AY112" s="819">
        <f t="shared" si="235"/>
        <v>1</v>
      </c>
      <c r="AZ112" s="753">
        <f t="shared" ref="AZ112:AZ120" si="259">ROUND(((AY112/AX112-1)*100), 1)</f>
        <v>-97.2</v>
      </c>
      <c r="BA112" s="779">
        <v>208</v>
      </c>
      <c r="BB112" s="819">
        <v>492</v>
      </c>
      <c r="BC112" s="753">
        <f t="shared" si="237"/>
        <v>136.5</v>
      </c>
      <c r="BD112" s="779">
        <f t="shared" si="238"/>
        <v>14</v>
      </c>
      <c r="BE112" s="819">
        <f t="shared" si="238"/>
        <v>18</v>
      </c>
      <c r="BF112" s="753">
        <f t="shared" ref="BF112:BF115" si="260">ROUND(((BE112/BD112-1)*100), 1)</f>
        <v>28.6</v>
      </c>
      <c r="BG112" s="779">
        <v>222</v>
      </c>
      <c r="BH112" s="819">
        <v>510</v>
      </c>
      <c r="BI112" s="753">
        <f t="shared" si="240"/>
        <v>129.69999999999999</v>
      </c>
      <c r="BJ112" s="779">
        <f t="shared" si="241"/>
        <v>23</v>
      </c>
      <c r="BK112" s="819">
        <f t="shared" si="241"/>
        <v>17</v>
      </c>
      <c r="BL112" s="753">
        <f t="shared" ref="BL112:BL113" si="261">ROUND(((BK112/BJ112-1)*100), 1)</f>
        <v>-26.1</v>
      </c>
      <c r="BM112" s="779">
        <v>245</v>
      </c>
      <c r="BN112" s="819">
        <v>527</v>
      </c>
      <c r="BO112" s="753">
        <f t="shared" si="243"/>
        <v>115.1</v>
      </c>
      <c r="BP112" s="779">
        <f t="shared" si="244"/>
        <v>22</v>
      </c>
      <c r="BQ112" s="819">
        <f t="shared" si="244"/>
        <v>3</v>
      </c>
      <c r="BR112" s="753">
        <f>ROUND(((BQ112/BP112-1)*100), 1)</f>
        <v>-86.4</v>
      </c>
      <c r="BS112" s="779">
        <v>267</v>
      </c>
      <c r="BT112" s="819">
        <v>530</v>
      </c>
      <c r="BU112" s="753">
        <f t="shared" si="246"/>
        <v>98.5</v>
      </c>
    </row>
    <row r="113" spans="1:73">
      <c r="A113" s="4"/>
      <c r="B113" s="43" t="s">
        <v>57</v>
      </c>
      <c r="C113" s="44">
        <v>207</v>
      </c>
      <c r="D113" s="44">
        <v>105</v>
      </c>
      <c r="E113" s="44">
        <v>1302</v>
      </c>
      <c r="F113" s="44">
        <v>311</v>
      </c>
      <c r="G113" s="44">
        <v>100</v>
      </c>
      <c r="H113" s="44">
        <v>323</v>
      </c>
      <c r="I113" s="44">
        <v>1537</v>
      </c>
      <c r="J113" s="44">
        <v>206</v>
      </c>
      <c r="K113" s="283">
        <v>24</v>
      </c>
      <c r="L113" s="390">
        <v>6</v>
      </c>
      <c r="M113" s="242">
        <f t="shared" si="247"/>
        <v>-75</v>
      </c>
      <c r="N113" s="283">
        <f t="shared" si="212"/>
        <v>5</v>
      </c>
      <c r="O113" s="390">
        <f t="shared" si="213"/>
        <v>17</v>
      </c>
      <c r="P113" s="242">
        <f t="shared" si="248"/>
        <v>240</v>
      </c>
      <c r="Q113" s="283">
        <v>29</v>
      </c>
      <c r="R113" s="390">
        <v>23</v>
      </c>
      <c r="S113" s="242">
        <f t="shared" si="249"/>
        <v>-20.7</v>
      </c>
      <c r="T113" s="283">
        <f t="shared" si="216"/>
        <v>41</v>
      </c>
      <c r="U113" s="390">
        <f t="shared" si="217"/>
        <v>24</v>
      </c>
      <c r="V113" s="242">
        <f t="shared" si="250"/>
        <v>-41.5</v>
      </c>
      <c r="W113" s="283">
        <v>70</v>
      </c>
      <c r="X113" s="390">
        <v>47</v>
      </c>
      <c r="Y113" s="242">
        <f t="shared" si="251"/>
        <v>-32.9</v>
      </c>
      <c r="Z113" s="283">
        <f t="shared" si="220"/>
        <v>14</v>
      </c>
      <c r="AA113" s="390">
        <f t="shared" si="221"/>
        <v>33</v>
      </c>
      <c r="AB113" s="242">
        <f t="shared" si="252"/>
        <v>135.69999999999999</v>
      </c>
      <c r="AC113" s="283">
        <v>84</v>
      </c>
      <c r="AD113" s="390">
        <v>80</v>
      </c>
      <c r="AE113" s="242">
        <f t="shared" si="253"/>
        <v>-4.8</v>
      </c>
      <c r="AF113" s="283">
        <f t="shared" si="224"/>
        <v>3</v>
      </c>
      <c r="AG113" s="390">
        <f t="shared" si="224"/>
        <v>9</v>
      </c>
      <c r="AH113" s="242">
        <f t="shared" si="254"/>
        <v>200</v>
      </c>
      <c r="AI113" s="283">
        <v>87</v>
      </c>
      <c r="AJ113" s="390">
        <v>89</v>
      </c>
      <c r="AK113" s="242">
        <f t="shared" si="255"/>
        <v>2.2999999999999998</v>
      </c>
      <c r="AL113" s="762">
        <f t="shared" si="227"/>
        <v>30</v>
      </c>
      <c r="AM113" s="769">
        <f t="shared" si="228"/>
        <v>28</v>
      </c>
      <c r="AN113" s="753">
        <f t="shared" si="256"/>
        <v>-6.7</v>
      </c>
      <c r="AO113" s="779">
        <v>117</v>
      </c>
      <c r="AP113" s="819">
        <v>117</v>
      </c>
      <c r="AQ113" s="753">
        <f t="shared" si="257"/>
        <v>0</v>
      </c>
      <c r="AR113" s="779">
        <f t="shared" si="231"/>
        <v>2</v>
      </c>
      <c r="AS113" s="819">
        <f t="shared" si="231"/>
        <v>121</v>
      </c>
      <c r="AT113" s="753">
        <f t="shared" si="258"/>
        <v>5950</v>
      </c>
      <c r="AU113" s="975">
        <v>119</v>
      </c>
      <c r="AV113" s="970">
        <v>238</v>
      </c>
      <c r="AW113" s="753">
        <f t="shared" si="233"/>
        <v>100</v>
      </c>
      <c r="AX113" s="779">
        <f t="shared" si="234"/>
        <v>15</v>
      </c>
      <c r="AY113" s="819">
        <f t="shared" si="235"/>
        <v>153</v>
      </c>
      <c r="AZ113" s="753">
        <f t="shared" si="259"/>
        <v>920</v>
      </c>
      <c r="BA113" s="779">
        <v>134</v>
      </c>
      <c r="BB113" s="819">
        <v>391</v>
      </c>
      <c r="BC113" s="753">
        <f t="shared" si="237"/>
        <v>191.8</v>
      </c>
      <c r="BD113" s="779">
        <f t="shared" si="238"/>
        <v>12</v>
      </c>
      <c r="BE113" s="819">
        <f t="shared" si="238"/>
        <v>53</v>
      </c>
      <c r="BF113" s="753">
        <f t="shared" si="260"/>
        <v>341.7</v>
      </c>
      <c r="BG113" s="779">
        <v>146</v>
      </c>
      <c r="BH113" s="819">
        <v>444</v>
      </c>
      <c r="BI113" s="753">
        <f t="shared" si="240"/>
        <v>204.1</v>
      </c>
      <c r="BJ113" s="779">
        <f t="shared" si="241"/>
        <v>29</v>
      </c>
      <c r="BK113" s="819">
        <f t="shared" si="241"/>
        <v>33</v>
      </c>
      <c r="BL113" s="753">
        <f t="shared" si="261"/>
        <v>13.8</v>
      </c>
      <c r="BM113" s="779">
        <v>175</v>
      </c>
      <c r="BN113" s="819">
        <v>477</v>
      </c>
      <c r="BO113" s="753">
        <f t="shared" si="243"/>
        <v>172.6</v>
      </c>
      <c r="BP113" s="779">
        <f t="shared" si="244"/>
        <v>18</v>
      </c>
      <c r="BQ113" s="819">
        <f t="shared" si="244"/>
        <v>51</v>
      </c>
      <c r="BR113" s="753">
        <f>ROUND(((BQ113/BP113-1)*100), 1)</f>
        <v>183.3</v>
      </c>
      <c r="BS113" s="779">
        <v>193</v>
      </c>
      <c r="BT113" s="819">
        <v>528</v>
      </c>
      <c r="BU113" s="753">
        <f t="shared" si="246"/>
        <v>173.6</v>
      </c>
    </row>
    <row r="114" spans="1:73">
      <c r="A114" s="4"/>
      <c r="B114" s="43" t="s">
        <v>148</v>
      </c>
      <c r="C114" s="44">
        <v>73</v>
      </c>
      <c r="D114" s="44">
        <v>0</v>
      </c>
      <c r="E114" s="44">
        <v>198</v>
      </c>
      <c r="F114" s="44">
        <v>18</v>
      </c>
      <c r="G114" s="44">
        <v>1</v>
      </c>
      <c r="H114" s="44">
        <v>180</v>
      </c>
      <c r="I114" s="44">
        <v>413</v>
      </c>
      <c r="J114" s="44">
        <v>206</v>
      </c>
      <c r="K114" s="283">
        <v>0</v>
      </c>
      <c r="L114" s="390">
        <v>22</v>
      </c>
      <c r="M114" s="177">
        <v>0</v>
      </c>
      <c r="N114" s="283">
        <f t="shared" si="212"/>
        <v>84</v>
      </c>
      <c r="O114" s="390">
        <f t="shared" si="213"/>
        <v>0</v>
      </c>
      <c r="P114" s="242">
        <f t="shared" si="248"/>
        <v>-100</v>
      </c>
      <c r="Q114" s="283">
        <v>84</v>
      </c>
      <c r="R114" s="390">
        <v>22</v>
      </c>
      <c r="S114" s="242">
        <f t="shared" si="249"/>
        <v>-73.8</v>
      </c>
      <c r="T114" s="283">
        <f t="shared" si="216"/>
        <v>10</v>
      </c>
      <c r="U114" s="390">
        <f t="shared" si="217"/>
        <v>0</v>
      </c>
      <c r="V114" s="242">
        <f t="shared" si="250"/>
        <v>-100</v>
      </c>
      <c r="W114" s="283">
        <v>94</v>
      </c>
      <c r="X114" s="390">
        <v>22</v>
      </c>
      <c r="Y114" s="242">
        <f t="shared" si="251"/>
        <v>-76.599999999999994</v>
      </c>
      <c r="Z114" s="283">
        <f t="shared" si="220"/>
        <v>0</v>
      </c>
      <c r="AA114" s="390">
        <f t="shared" si="221"/>
        <v>12</v>
      </c>
      <c r="AB114" s="521">
        <v>0</v>
      </c>
      <c r="AC114" s="283">
        <v>94</v>
      </c>
      <c r="AD114" s="390">
        <v>34</v>
      </c>
      <c r="AE114" s="242">
        <f t="shared" si="253"/>
        <v>-63.8</v>
      </c>
      <c r="AF114" s="283">
        <f t="shared" si="224"/>
        <v>19</v>
      </c>
      <c r="AG114" s="390">
        <f t="shared" si="224"/>
        <v>0</v>
      </c>
      <c r="AH114" s="242">
        <f t="shared" si="254"/>
        <v>-100</v>
      </c>
      <c r="AI114" s="283">
        <v>113</v>
      </c>
      <c r="AJ114" s="390">
        <v>34</v>
      </c>
      <c r="AK114" s="242">
        <f t="shared" si="255"/>
        <v>-69.900000000000006</v>
      </c>
      <c r="AL114" s="762">
        <f t="shared" si="227"/>
        <v>0</v>
      </c>
      <c r="AM114" s="769">
        <f t="shared" si="228"/>
        <v>0</v>
      </c>
      <c r="AN114" s="799">
        <v>0</v>
      </c>
      <c r="AO114" s="779">
        <v>113</v>
      </c>
      <c r="AP114" s="819">
        <v>34</v>
      </c>
      <c r="AQ114" s="753">
        <f t="shared" si="257"/>
        <v>-69.900000000000006</v>
      </c>
      <c r="AR114" s="779">
        <f t="shared" si="231"/>
        <v>5</v>
      </c>
      <c r="AS114" s="819">
        <f t="shared" si="231"/>
        <v>0</v>
      </c>
      <c r="AT114" s="753">
        <f t="shared" si="258"/>
        <v>-100</v>
      </c>
      <c r="AU114" s="975">
        <v>118</v>
      </c>
      <c r="AV114" s="970">
        <v>34</v>
      </c>
      <c r="AW114" s="753">
        <f t="shared" si="233"/>
        <v>-71.2</v>
      </c>
      <c r="AX114" s="779">
        <f t="shared" si="234"/>
        <v>63</v>
      </c>
      <c r="AY114" s="819">
        <f t="shared" si="235"/>
        <v>29</v>
      </c>
      <c r="AZ114" s="753">
        <f t="shared" si="259"/>
        <v>-54</v>
      </c>
      <c r="BA114" s="779">
        <v>181</v>
      </c>
      <c r="BB114" s="819">
        <v>63</v>
      </c>
      <c r="BC114" s="753">
        <f t="shared" si="237"/>
        <v>-65.2</v>
      </c>
      <c r="BD114" s="779">
        <f t="shared" si="238"/>
        <v>0</v>
      </c>
      <c r="BE114" s="819">
        <f t="shared" si="238"/>
        <v>1</v>
      </c>
      <c r="BF114" s="799">
        <v>0</v>
      </c>
      <c r="BG114" s="779">
        <v>181</v>
      </c>
      <c r="BH114" s="819">
        <v>64</v>
      </c>
      <c r="BI114" s="753">
        <f t="shared" si="240"/>
        <v>-64.599999999999994</v>
      </c>
      <c r="BJ114" s="779">
        <f t="shared" si="241"/>
        <v>0</v>
      </c>
      <c r="BK114" s="819">
        <f t="shared" si="241"/>
        <v>0</v>
      </c>
      <c r="BL114" s="799">
        <v>0</v>
      </c>
      <c r="BM114" s="779">
        <v>181</v>
      </c>
      <c r="BN114" s="819">
        <v>64</v>
      </c>
      <c r="BO114" s="753">
        <f t="shared" si="243"/>
        <v>-64.599999999999994</v>
      </c>
      <c r="BP114" s="779">
        <f t="shared" si="244"/>
        <v>25</v>
      </c>
      <c r="BQ114" s="819">
        <f t="shared" si="244"/>
        <v>0</v>
      </c>
      <c r="BR114" s="705">
        <f t="shared" ref="BR114" si="262">ROUND(((BQ114/BP114-1)*100), 1)</f>
        <v>-100</v>
      </c>
      <c r="BS114" s="779">
        <v>206</v>
      </c>
      <c r="BT114" s="819">
        <v>64</v>
      </c>
      <c r="BU114" s="753">
        <f t="shared" si="246"/>
        <v>-68.900000000000006</v>
      </c>
    </row>
    <row r="115" spans="1:73">
      <c r="A115" s="4"/>
      <c r="B115" s="43" t="s">
        <v>116</v>
      </c>
      <c r="C115" s="44">
        <v>99</v>
      </c>
      <c r="D115" s="44">
        <v>34</v>
      </c>
      <c r="E115" s="44">
        <v>26</v>
      </c>
      <c r="F115" s="44">
        <v>103</v>
      </c>
      <c r="G115" s="44">
        <v>27</v>
      </c>
      <c r="H115" s="44">
        <v>419</v>
      </c>
      <c r="I115" s="44">
        <v>386</v>
      </c>
      <c r="J115" s="44">
        <v>180</v>
      </c>
      <c r="K115" s="283">
        <v>0</v>
      </c>
      <c r="L115" s="390">
        <v>30</v>
      </c>
      <c r="M115" s="177">
        <v>0</v>
      </c>
      <c r="N115" s="283">
        <f t="shared" si="212"/>
        <v>97</v>
      </c>
      <c r="O115" s="390">
        <f t="shared" si="213"/>
        <v>1</v>
      </c>
      <c r="P115" s="242">
        <f t="shared" si="248"/>
        <v>-99</v>
      </c>
      <c r="Q115" s="283">
        <v>97</v>
      </c>
      <c r="R115" s="390">
        <v>31</v>
      </c>
      <c r="S115" s="242">
        <f t="shared" si="249"/>
        <v>-68</v>
      </c>
      <c r="T115" s="283">
        <f t="shared" si="216"/>
        <v>0</v>
      </c>
      <c r="U115" s="390">
        <f t="shared" si="217"/>
        <v>2</v>
      </c>
      <c r="V115" s="523">
        <v>0</v>
      </c>
      <c r="W115" s="283">
        <v>97</v>
      </c>
      <c r="X115" s="390">
        <v>33</v>
      </c>
      <c r="Y115" s="242">
        <f t="shared" si="251"/>
        <v>-66</v>
      </c>
      <c r="Z115" s="283">
        <f t="shared" si="220"/>
        <v>1</v>
      </c>
      <c r="AA115" s="390">
        <f t="shared" si="221"/>
        <v>0</v>
      </c>
      <c r="AB115" s="242">
        <f t="shared" si="252"/>
        <v>-100</v>
      </c>
      <c r="AC115" s="283">
        <v>98</v>
      </c>
      <c r="AD115" s="390">
        <v>33</v>
      </c>
      <c r="AE115" s="242">
        <f t="shared" si="253"/>
        <v>-66.3</v>
      </c>
      <c r="AF115" s="283">
        <f t="shared" si="224"/>
        <v>1</v>
      </c>
      <c r="AG115" s="390">
        <f t="shared" si="224"/>
        <v>0</v>
      </c>
      <c r="AH115" s="242">
        <f t="shared" si="254"/>
        <v>-100</v>
      </c>
      <c r="AI115" s="283">
        <v>99</v>
      </c>
      <c r="AJ115" s="390">
        <v>33</v>
      </c>
      <c r="AK115" s="242">
        <f t="shared" si="255"/>
        <v>-66.7</v>
      </c>
      <c r="AL115" s="762">
        <f t="shared" si="227"/>
        <v>0</v>
      </c>
      <c r="AM115" s="769">
        <f t="shared" si="228"/>
        <v>9</v>
      </c>
      <c r="AN115" s="799">
        <v>0</v>
      </c>
      <c r="AO115" s="779">
        <v>99</v>
      </c>
      <c r="AP115" s="819">
        <v>42</v>
      </c>
      <c r="AQ115" s="753">
        <f t="shared" si="257"/>
        <v>-57.6</v>
      </c>
      <c r="AR115" s="779">
        <f t="shared" si="231"/>
        <v>16</v>
      </c>
      <c r="AS115" s="819">
        <f t="shared" si="231"/>
        <v>0</v>
      </c>
      <c r="AT115" s="753">
        <f t="shared" si="258"/>
        <v>-100</v>
      </c>
      <c r="AU115" s="975">
        <v>115</v>
      </c>
      <c r="AV115" s="970">
        <v>42</v>
      </c>
      <c r="AW115" s="753">
        <f t="shared" si="233"/>
        <v>-63.5</v>
      </c>
      <c r="AX115" s="779">
        <f t="shared" si="234"/>
        <v>52</v>
      </c>
      <c r="AY115" s="819">
        <f t="shared" si="235"/>
        <v>0</v>
      </c>
      <c r="AZ115" s="753">
        <f t="shared" si="259"/>
        <v>-100</v>
      </c>
      <c r="BA115" s="779">
        <v>167</v>
      </c>
      <c r="BB115" s="819">
        <v>42</v>
      </c>
      <c r="BC115" s="753">
        <f t="shared" si="237"/>
        <v>-74.900000000000006</v>
      </c>
      <c r="BD115" s="779">
        <f t="shared" si="238"/>
        <v>1</v>
      </c>
      <c r="BE115" s="819">
        <f t="shared" si="238"/>
        <v>4</v>
      </c>
      <c r="BF115" s="753">
        <f t="shared" si="260"/>
        <v>300</v>
      </c>
      <c r="BG115" s="779">
        <v>168</v>
      </c>
      <c r="BH115" s="819">
        <v>46</v>
      </c>
      <c r="BI115" s="753">
        <f t="shared" si="240"/>
        <v>-72.599999999999994</v>
      </c>
      <c r="BJ115" s="779">
        <f t="shared" si="241"/>
        <v>6</v>
      </c>
      <c r="BK115" s="819">
        <f t="shared" si="241"/>
        <v>3</v>
      </c>
      <c r="BL115" s="753">
        <f t="shared" ref="BL115" si="263">ROUND(((BK115/BJ115-1)*100), 1)</f>
        <v>-50</v>
      </c>
      <c r="BM115" s="779">
        <v>174</v>
      </c>
      <c r="BN115" s="819">
        <v>49</v>
      </c>
      <c r="BO115" s="753">
        <f t="shared" si="243"/>
        <v>-71.8</v>
      </c>
      <c r="BP115" s="779">
        <f t="shared" si="244"/>
        <v>6</v>
      </c>
      <c r="BQ115" s="819">
        <f t="shared" si="244"/>
        <v>20</v>
      </c>
      <c r="BR115" s="753">
        <f>ROUND(((BQ115/BP115-1)*100), 1)</f>
        <v>233.3</v>
      </c>
      <c r="BS115" s="779">
        <v>180</v>
      </c>
      <c r="BT115" s="819">
        <v>69</v>
      </c>
      <c r="BU115" s="753">
        <f t="shared" si="246"/>
        <v>-61.7</v>
      </c>
    </row>
    <row r="116" spans="1:73">
      <c r="A116" s="4"/>
      <c r="B116" s="43" t="s">
        <v>243</v>
      </c>
      <c r="C116" s="44">
        <v>31</v>
      </c>
      <c r="D116" s="44">
        <v>25</v>
      </c>
      <c r="E116" s="44">
        <v>290</v>
      </c>
      <c r="F116" s="44">
        <v>202</v>
      </c>
      <c r="G116" s="44">
        <v>192</v>
      </c>
      <c r="H116" s="44">
        <v>33</v>
      </c>
      <c r="I116" s="44">
        <v>317</v>
      </c>
      <c r="J116" s="44">
        <v>137</v>
      </c>
      <c r="K116" s="283">
        <v>13</v>
      </c>
      <c r="L116" s="390">
        <v>31</v>
      </c>
      <c r="M116" s="242">
        <f t="shared" si="247"/>
        <v>138.5</v>
      </c>
      <c r="N116" s="283">
        <f t="shared" si="212"/>
        <v>14</v>
      </c>
      <c r="O116" s="390">
        <f t="shared" si="213"/>
        <v>0</v>
      </c>
      <c r="P116" s="242">
        <f t="shared" si="248"/>
        <v>-100</v>
      </c>
      <c r="Q116" s="283">
        <v>27</v>
      </c>
      <c r="R116" s="390">
        <v>31</v>
      </c>
      <c r="S116" s="242">
        <f t="shared" si="249"/>
        <v>14.8</v>
      </c>
      <c r="T116" s="283">
        <f t="shared" si="216"/>
        <v>5</v>
      </c>
      <c r="U116" s="390">
        <f t="shared" si="217"/>
        <v>0</v>
      </c>
      <c r="V116" s="242">
        <f t="shared" si="250"/>
        <v>-100</v>
      </c>
      <c r="W116" s="283">
        <v>32</v>
      </c>
      <c r="X116" s="390">
        <v>31</v>
      </c>
      <c r="Y116" s="242">
        <f t="shared" si="251"/>
        <v>-3.1</v>
      </c>
      <c r="Z116" s="283">
        <f t="shared" si="220"/>
        <v>5</v>
      </c>
      <c r="AA116" s="390">
        <f t="shared" si="221"/>
        <v>0</v>
      </c>
      <c r="AB116" s="242">
        <f t="shared" ref="AB116:AB117" si="264">ROUND(((AA116/Z116-1)*100), 1)</f>
        <v>-100</v>
      </c>
      <c r="AC116" s="283">
        <v>37</v>
      </c>
      <c r="AD116" s="390">
        <v>31</v>
      </c>
      <c r="AE116" s="242">
        <f t="shared" si="253"/>
        <v>-16.2</v>
      </c>
      <c r="AF116" s="283">
        <f t="shared" si="224"/>
        <v>0</v>
      </c>
      <c r="AG116" s="390">
        <f t="shared" si="224"/>
        <v>0</v>
      </c>
      <c r="AH116" s="521">
        <v>0</v>
      </c>
      <c r="AI116" s="283">
        <v>37</v>
      </c>
      <c r="AJ116" s="390">
        <v>31</v>
      </c>
      <c r="AK116" s="242">
        <f t="shared" si="255"/>
        <v>-16.2</v>
      </c>
      <c r="AL116" s="762">
        <f t="shared" si="227"/>
        <v>25</v>
      </c>
      <c r="AM116" s="769">
        <f t="shared" si="228"/>
        <v>6</v>
      </c>
      <c r="AN116" s="753">
        <f t="shared" si="256"/>
        <v>-76</v>
      </c>
      <c r="AO116" s="779">
        <v>62</v>
      </c>
      <c r="AP116" s="819">
        <v>37</v>
      </c>
      <c r="AQ116" s="753">
        <f t="shared" si="257"/>
        <v>-40.299999999999997</v>
      </c>
      <c r="AR116" s="779">
        <f t="shared" si="231"/>
        <v>2</v>
      </c>
      <c r="AS116" s="819">
        <f t="shared" si="231"/>
        <v>14</v>
      </c>
      <c r="AT116" s="753">
        <f t="shared" si="258"/>
        <v>600</v>
      </c>
      <c r="AU116" s="975">
        <v>64</v>
      </c>
      <c r="AV116" s="970">
        <v>51</v>
      </c>
      <c r="AW116" s="753">
        <f t="shared" si="233"/>
        <v>-20.3</v>
      </c>
      <c r="AX116" s="779">
        <f t="shared" si="234"/>
        <v>0</v>
      </c>
      <c r="AY116" s="819">
        <f t="shared" si="235"/>
        <v>6</v>
      </c>
      <c r="AZ116" s="751">
        <v>0</v>
      </c>
      <c r="BA116" s="779">
        <v>64</v>
      </c>
      <c r="BB116" s="819">
        <v>57</v>
      </c>
      <c r="BC116" s="753">
        <f t="shared" si="237"/>
        <v>-10.9</v>
      </c>
      <c r="BD116" s="779">
        <f t="shared" si="238"/>
        <v>0</v>
      </c>
      <c r="BE116" s="819">
        <f t="shared" si="238"/>
        <v>10</v>
      </c>
      <c r="BF116" s="751">
        <v>0</v>
      </c>
      <c r="BG116" s="779">
        <v>64</v>
      </c>
      <c r="BH116" s="819">
        <v>67</v>
      </c>
      <c r="BI116" s="753">
        <f t="shared" si="240"/>
        <v>4.7</v>
      </c>
      <c r="BJ116" s="779">
        <f t="shared" si="241"/>
        <v>0</v>
      </c>
      <c r="BK116" s="819">
        <f t="shared" si="241"/>
        <v>0</v>
      </c>
      <c r="BL116" s="751">
        <v>0</v>
      </c>
      <c r="BM116" s="779">
        <v>64</v>
      </c>
      <c r="BN116" s="819">
        <v>67</v>
      </c>
      <c r="BO116" s="753">
        <f t="shared" si="243"/>
        <v>4.7</v>
      </c>
      <c r="BP116" s="779">
        <f t="shared" si="244"/>
        <v>70</v>
      </c>
      <c r="BQ116" s="819">
        <f t="shared" si="244"/>
        <v>4</v>
      </c>
      <c r="BR116" s="753">
        <f>ROUND(((BQ116/BP116-1)*100), 1)</f>
        <v>-94.3</v>
      </c>
      <c r="BS116" s="779">
        <v>134</v>
      </c>
      <c r="BT116" s="819">
        <v>71</v>
      </c>
      <c r="BU116" s="753">
        <f t="shared" si="246"/>
        <v>-47</v>
      </c>
    </row>
    <row r="117" spans="1:73">
      <c r="A117" s="4"/>
      <c r="B117" s="43" t="s">
        <v>254</v>
      </c>
      <c r="C117" s="44">
        <v>170</v>
      </c>
      <c r="D117" s="44">
        <v>208</v>
      </c>
      <c r="E117" s="44">
        <v>96</v>
      </c>
      <c r="F117" s="44">
        <v>95</v>
      </c>
      <c r="G117" s="44">
        <v>249</v>
      </c>
      <c r="H117" s="44">
        <v>152</v>
      </c>
      <c r="I117" s="44">
        <v>402</v>
      </c>
      <c r="J117" s="44">
        <v>118</v>
      </c>
      <c r="K117" s="283">
        <v>10</v>
      </c>
      <c r="L117" s="390">
        <v>18</v>
      </c>
      <c r="M117" s="242">
        <f t="shared" si="247"/>
        <v>80</v>
      </c>
      <c r="N117" s="283">
        <f t="shared" si="212"/>
        <v>0</v>
      </c>
      <c r="O117" s="390">
        <f t="shared" si="213"/>
        <v>2</v>
      </c>
      <c r="P117" s="523">
        <v>0</v>
      </c>
      <c r="Q117" s="283">
        <v>10</v>
      </c>
      <c r="R117" s="390">
        <v>20</v>
      </c>
      <c r="S117" s="242">
        <f t="shared" si="249"/>
        <v>100</v>
      </c>
      <c r="T117" s="283">
        <f t="shared" si="216"/>
        <v>1</v>
      </c>
      <c r="U117" s="390">
        <f t="shared" si="217"/>
        <v>0</v>
      </c>
      <c r="V117" s="242">
        <f t="shared" si="250"/>
        <v>-100</v>
      </c>
      <c r="W117" s="283">
        <v>11</v>
      </c>
      <c r="X117" s="390">
        <v>20</v>
      </c>
      <c r="Y117" s="242">
        <f t="shared" si="251"/>
        <v>81.8</v>
      </c>
      <c r="Z117" s="283">
        <f t="shared" si="220"/>
        <v>1</v>
      </c>
      <c r="AA117" s="390">
        <f t="shared" si="221"/>
        <v>0</v>
      </c>
      <c r="AB117" s="242">
        <f t="shared" si="264"/>
        <v>-100</v>
      </c>
      <c r="AC117" s="283">
        <v>12</v>
      </c>
      <c r="AD117" s="390">
        <v>20</v>
      </c>
      <c r="AE117" s="242">
        <f t="shared" si="253"/>
        <v>66.7</v>
      </c>
      <c r="AF117" s="283">
        <f t="shared" si="224"/>
        <v>0</v>
      </c>
      <c r="AG117" s="390">
        <f t="shared" si="224"/>
        <v>0</v>
      </c>
      <c r="AH117" s="521">
        <v>0</v>
      </c>
      <c r="AI117" s="283">
        <v>12</v>
      </c>
      <c r="AJ117" s="390">
        <v>20</v>
      </c>
      <c r="AK117" s="242">
        <f t="shared" si="255"/>
        <v>66.7</v>
      </c>
      <c r="AL117" s="762">
        <f t="shared" si="227"/>
        <v>3</v>
      </c>
      <c r="AM117" s="769">
        <f t="shared" si="228"/>
        <v>0</v>
      </c>
      <c r="AN117" s="753">
        <f t="shared" si="256"/>
        <v>-100</v>
      </c>
      <c r="AO117" s="779">
        <v>15</v>
      </c>
      <c r="AP117" s="819">
        <v>20</v>
      </c>
      <c r="AQ117" s="753">
        <f t="shared" si="257"/>
        <v>33.299999999999997</v>
      </c>
      <c r="AR117" s="779">
        <f t="shared" si="231"/>
        <v>50</v>
      </c>
      <c r="AS117" s="819">
        <f t="shared" si="231"/>
        <v>25</v>
      </c>
      <c r="AT117" s="753">
        <f t="shared" si="258"/>
        <v>-50</v>
      </c>
      <c r="AU117" s="975">
        <v>65</v>
      </c>
      <c r="AV117" s="970">
        <v>45</v>
      </c>
      <c r="AW117" s="753">
        <f t="shared" si="233"/>
        <v>-30.8</v>
      </c>
      <c r="AX117" s="779">
        <f t="shared" si="234"/>
        <v>20</v>
      </c>
      <c r="AY117" s="819">
        <f t="shared" si="235"/>
        <v>16</v>
      </c>
      <c r="AZ117" s="753">
        <f t="shared" si="259"/>
        <v>-20</v>
      </c>
      <c r="BA117" s="779">
        <v>85</v>
      </c>
      <c r="BB117" s="819">
        <v>61</v>
      </c>
      <c r="BC117" s="753">
        <f t="shared" si="237"/>
        <v>-28.2</v>
      </c>
      <c r="BD117" s="779">
        <f t="shared" si="238"/>
        <v>2</v>
      </c>
      <c r="BE117" s="819">
        <f t="shared" si="238"/>
        <v>5</v>
      </c>
      <c r="BF117" s="753">
        <f t="shared" ref="BF117:BF120" si="265">ROUND(((BE117/BD117-1)*100), 1)</f>
        <v>150</v>
      </c>
      <c r="BG117" s="779">
        <v>87</v>
      </c>
      <c r="BH117" s="819">
        <v>66</v>
      </c>
      <c r="BI117" s="753">
        <f t="shared" si="240"/>
        <v>-24.1</v>
      </c>
      <c r="BJ117" s="779">
        <f t="shared" si="241"/>
        <v>11</v>
      </c>
      <c r="BK117" s="819">
        <f t="shared" si="241"/>
        <v>18</v>
      </c>
      <c r="BL117" s="753">
        <f t="shared" ref="BL117" si="266">ROUND(((BK117/BJ117-1)*100), 1)</f>
        <v>63.6</v>
      </c>
      <c r="BM117" s="779">
        <v>98</v>
      </c>
      <c r="BN117" s="819">
        <v>84</v>
      </c>
      <c r="BO117" s="753">
        <f t="shared" si="243"/>
        <v>-14.3</v>
      </c>
      <c r="BP117" s="779">
        <f t="shared" si="244"/>
        <v>5</v>
      </c>
      <c r="BQ117" s="819">
        <f t="shared" si="244"/>
        <v>10</v>
      </c>
      <c r="BR117" s="753">
        <f>ROUND(((BQ117/BP117-1)*100), 1)</f>
        <v>100</v>
      </c>
      <c r="BS117" s="779">
        <v>103</v>
      </c>
      <c r="BT117" s="819">
        <v>94</v>
      </c>
      <c r="BU117" s="753">
        <f t="shared" si="246"/>
        <v>-8.6999999999999993</v>
      </c>
    </row>
    <row r="118" spans="1:73">
      <c r="A118" s="4"/>
      <c r="B118" s="43" t="s">
        <v>65</v>
      </c>
      <c r="C118" s="44">
        <v>66</v>
      </c>
      <c r="D118" s="44">
        <v>129</v>
      </c>
      <c r="E118" s="44">
        <v>87</v>
      </c>
      <c r="F118" s="44">
        <v>346</v>
      </c>
      <c r="G118" s="44">
        <v>120</v>
      </c>
      <c r="H118" s="44">
        <v>586</v>
      </c>
      <c r="I118" s="44">
        <v>110</v>
      </c>
      <c r="J118" s="44">
        <v>107</v>
      </c>
      <c r="K118" s="283">
        <v>0</v>
      </c>
      <c r="L118" s="390">
        <v>0</v>
      </c>
      <c r="M118" s="177">
        <v>0</v>
      </c>
      <c r="N118" s="283">
        <f t="shared" si="212"/>
        <v>0</v>
      </c>
      <c r="O118" s="390">
        <f t="shared" si="213"/>
        <v>1</v>
      </c>
      <c r="P118" s="177">
        <v>0</v>
      </c>
      <c r="Q118" s="283">
        <v>0</v>
      </c>
      <c r="R118" s="390">
        <v>1</v>
      </c>
      <c r="S118" s="177">
        <v>0</v>
      </c>
      <c r="T118" s="283">
        <f t="shared" si="216"/>
        <v>12</v>
      </c>
      <c r="U118" s="390">
        <f t="shared" si="217"/>
        <v>2</v>
      </c>
      <c r="V118" s="242">
        <f>ROUND(((U118/T118-1)*100), 1)</f>
        <v>-83.3</v>
      </c>
      <c r="W118" s="283">
        <v>12</v>
      </c>
      <c r="X118" s="390">
        <v>3</v>
      </c>
      <c r="Y118" s="242">
        <f>ROUND(((X118/W118-1)*100), 1)</f>
        <v>-75</v>
      </c>
      <c r="Z118" s="283">
        <f t="shared" si="220"/>
        <v>3</v>
      </c>
      <c r="AA118" s="390">
        <f t="shared" si="221"/>
        <v>1</v>
      </c>
      <c r="AB118" s="242">
        <f>ROUND(((AA118/Z118-1)*100), 1)</f>
        <v>-66.7</v>
      </c>
      <c r="AC118" s="283">
        <v>15</v>
      </c>
      <c r="AD118" s="390">
        <v>4</v>
      </c>
      <c r="AE118" s="242">
        <f>ROUND(((AD118/AC118-1)*100), 1)</f>
        <v>-73.3</v>
      </c>
      <c r="AF118" s="283">
        <f t="shared" si="224"/>
        <v>19</v>
      </c>
      <c r="AG118" s="390">
        <f t="shared" si="224"/>
        <v>2</v>
      </c>
      <c r="AH118" s="242">
        <f>ROUND(((AG118/AF118-1)*100), 1)</f>
        <v>-89.5</v>
      </c>
      <c r="AI118" s="283">
        <v>34</v>
      </c>
      <c r="AJ118" s="390">
        <v>6</v>
      </c>
      <c r="AK118" s="242">
        <f>ROUND(((AJ118/AI118-1)*100), 1)</f>
        <v>-82.4</v>
      </c>
      <c r="AL118" s="762">
        <f t="shared" si="227"/>
        <v>1</v>
      </c>
      <c r="AM118" s="769">
        <f t="shared" si="228"/>
        <v>0</v>
      </c>
      <c r="AN118" s="753">
        <f>ROUND(((AM118/AL118-1)*100), 1)</f>
        <v>-100</v>
      </c>
      <c r="AO118" s="779">
        <v>35</v>
      </c>
      <c r="AP118" s="819">
        <v>6</v>
      </c>
      <c r="AQ118" s="753">
        <f>ROUND(((AP118/AO118-1)*100), 1)</f>
        <v>-82.9</v>
      </c>
      <c r="AR118" s="779">
        <f t="shared" si="231"/>
        <v>1</v>
      </c>
      <c r="AS118" s="819">
        <f t="shared" si="231"/>
        <v>8</v>
      </c>
      <c r="AT118" s="753">
        <f t="shared" si="258"/>
        <v>700</v>
      </c>
      <c r="AU118" s="975">
        <v>36</v>
      </c>
      <c r="AV118" s="970">
        <v>14</v>
      </c>
      <c r="AW118" s="753">
        <f t="shared" si="233"/>
        <v>-61.1</v>
      </c>
      <c r="AX118" s="779">
        <f t="shared" si="234"/>
        <v>0</v>
      </c>
      <c r="AY118" s="819">
        <f t="shared" si="235"/>
        <v>0</v>
      </c>
      <c r="AZ118" s="751">
        <v>0</v>
      </c>
      <c r="BA118" s="779">
        <v>36</v>
      </c>
      <c r="BB118" s="819">
        <v>14</v>
      </c>
      <c r="BC118" s="753">
        <f t="shared" si="237"/>
        <v>-61.1</v>
      </c>
      <c r="BD118" s="779">
        <f t="shared" si="238"/>
        <v>71</v>
      </c>
      <c r="BE118" s="819">
        <f t="shared" si="238"/>
        <v>0</v>
      </c>
      <c r="BF118" s="753">
        <f t="shared" si="265"/>
        <v>-100</v>
      </c>
      <c r="BG118" s="779">
        <v>107</v>
      </c>
      <c r="BH118" s="819">
        <v>14</v>
      </c>
      <c r="BI118" s="753">
        <f t="shared" si="240"/>
        <v>-86.9</v>
      </c>
      <c r="BJ118" s="779">
        <f t="shared" si="241"/>
        <v>0</v>
      </c>
      <c r="BK118" s="819">
        <f t="shared" si="241"/>
        <v>0</v>
      </c>
      <c r="BL118" s="799">
        <v>0</v>
      </c>
      <c r="BM118" s="779">
        <v>107</v>
      </c>
      <c r="BN118" s="819">
        <v>14</v>
      </c>
      <c r="BO118" s="753">
        <f t="shared" si="243"/>
        <v>-86.9</v>
      </c>
      <c r="BP118" s="779">
        <f t="shared" si="244"/>
        <v>0</v>
      </c>
      <c r="BQ118" s="819">
        <f t="shared" si="244"/>
        <v>11</v>
      </c>
      <c r="BR118" s="799">
        <v>0</v>
      </c>
      <c r="BS118" s="779">
        <v>107</v>
      </c>
      <c r="BT118" s="819">
        <v>25</v>
      </c>
      <c r="BU118" s="753">
        <f t="shared" si="246"/>
        <v>-76.599999999999994</v>
      </c>
    </row>
    <row r="119" spans="1:73">
      <c r="A119" s="4"/>
      <c r="B119" s="43" t="s">
        <v>102</v>
      </c>
      <c r="C119" s="44">
        <v>18</v>
      </c>
      <c r="D119" s="44">
        <v>0</v>
      </c>
      <c r="E119" s="44">
        <v>32</v>
      </c>
      <c r="F119" s="44">
        <v>50</v>
      </c>
      <c r="G119" s="44">
        <v>164</v>
      </c>
      <c r="H119" s="44">
        <v>195</v>
      </c>
      <c r="I119" s="44">
        <v>86</v>
      </c>
      <c r="J119" s="44">
        <v>83</v>
      </c>
      <c r="K119" s="283">
        <v>19</v>
      </c>
      <c r="L119" s="390">
        <v>0</v>
      </c>
      <c r="M119" s="242">
        <f t="shared" si="247"/>
        <v>-100</v>
      </c>
      <c r="N119" s="283">
        <f t="shared" si="212"/>
        <v>0</v>
      </c>
      <c r="O119" s="390">
        <f t="shared" si="213"/>
        <v>19</v>
      </c>
      <c r="P119" s="523">
        <v>0</v>
      </c>
      <c r="Q119" s="283">
        <v>19</v>
      </c>
      <c r="R119" s="390">
        <v>19</v>
      </c>
      <c r="S119" s="242">
        <f t="shared" ref="S119:S126" si="267">ROUND(((R119/Q119-1)*100), 1)</f>
        <v>0</v>
      </c>
      <c r="T119" s="283">
        <f t="shared" si="216"/>
        <v>15</v>
      </c>
      <c r="U119" s="390">
        <f t="shared" si="217"/>
        <v>34</v>
      </c>
      <c r="V119" s="242">
        <f t="shared" ref="V119:V126" si="268">ROUND(((U119/T119-1)*100), 1)</f>
        <v>126.7</v>
      </c>
      <c r="W119" s="283">
        <v>34</v>
      </c>
      <c r="X119" s="390">
        <v>53</v>
      </c>
      <c r="Y119" s="242">
        <f t="shared" ref="Y119:Y126" si="269">ROUND(((X119/W119-1)*100), 1)</f>
        <v>55.9</v>
      </c>
      <c r="Z119" s="283">
        <f t="shared" si="220"/>
        <v>0</v>
      </c>
      <c r="AA119" s="390">
        <f t="shared" si="221"/>
        <v>0</v>
      </c>
      <c r="AB119" s="521">
        <v>0</v>
      </c>
      <c r="AC119" s="283">
        <v>34</v>
      </c>
      <c r="AD119" s="390">
        <v>53</v>
      </c>
      <c r="AE119" s="242">
        <f t="shared" ref="AE119:AE126" si="270">ROUND(((AD119/AC119-1)*100), 1)</f>
        <v>55.9</v>
      </c>
      <c r="AF119" s="283">
        <f t="shared" si="224"/>
        <v>5</v>
      </c>
      <c r="AG119" s="390">
        <f t="shared" si="224"/>
        <v>0</v>
      </c>
      <c r="AH119" s="242">
        <f t="shared" ref="AH119:AH120" si="271">ROUND(((AG119/AF119-1)*100), 1)</f>
        <v>-100</v>
      </c>
      <c r="AI119" s="283">
        <v>39</v>
      </c>
      <c r="AJ119" s="390">
        <v>53</v>
      </c>
      <c r="AK119" s="242">
        <f t="shared" ref="AK119:AK126" si="272">ROUND(((AJ119/AI119-1)*100), 1)</f>
        <v>35.9</v>
      </c>
      <c r="AL119" s="762">
        <f t="shared" si="227"/>
        <v>0</v>
      </c>
      <c r="AM119" s="769">
        <f t="shared" si="228"/>
        <v>4</v>
      </c>
      <c r="AN119" s="799">
        <v>0</v>
      </c>
      <c r="AO119" s="779">
        <v>39</v>
      </c>
      <c r="AP119" s="819">
        <v>57</v>
      </c>
      <c r="AQ119" s="753">
        <f t="shared" ref="AQ119:AQ126" si="273">ROUND(((AP119/AO119-1)*100), 1)</f>
        <v>46.2</v>
      </c>
      <c r="AR119" s="779">
        <f t="shared" si="231"/>
        <v>0</v>
      </c>
      <c r="AS119" s="819">
        <f t="shared" si="231"/>
        <v>77</v>
      </c>
      <c r="AT119" s="799">
        <v>0</v>
      </c>
      <c r="AU119" s="975">
        <v>39</v>
      </c>
      <c r="AV119" s="970">
        <v>134</v>
      </c>
      <c r="AW119" s="753">
        <f t="shared" si="233"/>
        <v>243.6</v>
      </c>
      <c r="AX119" s="779">
        <f t="shared" si="234"/>
        <v>19</v>
      </c>
      <c r="AY119" s="819">
        <f t="shared" si="235"/>
        <v>10</v>
      </c>
      <c r="AZ119" s="753">
        <f t="shared" si="259"/>
        <v>-47.4</v>
      </c>
      <c r="BA119" s="779">
        <v>58</v>
      </c>
      <c r="BB119" s="819">
        <v>144</v>
      </c>
      <c r="BC119" s="753">
        <f t="shared" si="237"/>
        <v>148.30000000000001</v>
      </c>
      <c r="BD119" s="779">
        <f t="shared" si="238"/>
        <v>0</v>
      </c>
      <c r="BE119" s="819">
        <f t="shared" si="238"/>
        <v>0</v>
      </c>
      <c r="BF119" s="799">
        <v>0</v>
      </c>
      <c r="BG119" s="779">
        <v>58</v>
      </c>
      <c r="BH119" s="819">
        <v>144</v>
      </c>
      <c r="BI119" s="753">
        <f t="shared" si="240"/>
        <v>148.30000000000001</v>
      </c>
      <c r="BJ119" s="779">
        <f t="shared" si="241"/>
        <v>0</v>
      </c>
      <c r="BK119" s="819">
        <f t="shared" si="241"/>
        <v>50</v>
      </c>
      <c r="BL119" s="799">
        <v>0</v>
      </c>
      <c r="BM119" s="779">
        <v>58</v>
      </c>
      <c r="BN119" s="819">
        <v>194</v>
      </c>
      <c r="BO119" s="753">
        <f t="shared" si="243"/>
        <v>234.5</v>
      </c>
      <c r="BP119" s="779">
        <f t="shared" si="244"/>
        <v>17</v>
      </c>
      <c r="BQ119" s="819">
        <f t="shared" si="244"/>
        <v>148</v>
      </c>
      <c r="BR119" s="705">
        <f t="shared" ref="BR119" si="274">ROUND(((BQ119/BP119-1)*100), 1)</f>
        <v>770.6</v>
      </c>
      <c r="BS119" s="779">
        <v>75</v>
      </c>
      <c r="BT119" s="819">
        <v>342</v>
      </c>
      <c r="BU119" s="753">
        <f t="shared" si="246"/>
        <v>356</v>
      </c>
    </row>
    <row r="120" spans="1:73">
      <c r="A120" s="4"/>
      <c r="B120" s="43" t="s">
        <v>115</v>
      </c>
      <c r="C120" s="44">
        <v>52</v>
      </c>
      <c r="D120" s="44">
        <v>117</v>
      </c>
      <c r="E120" s="44">
        <v>473</v>
      </c>
      <c r="F120" s="44">
        <v>551</v>
      </c>
      <c r="G120" s="44">
        <v>789</v>
      </c>
      <c r="H120" s="44">
        <v>118</v>
      </c>
      <c r="I120" s="44">
        <v>20</v>
      </c>
      <c r="J120" s="44">
        <v>52</v>
      </c>
      <c r="K120" s="283">
        <v>1</v>
      </c>
      <c r="L120" s="390">
        <v>0</v>
      </c>
      <c r="M120" s="242">
        <f t="shared" si="247"/>
        <v>-100</v>
      </c>
      <c r="N120" s="283">
        <f t="shared" si="212"/>
        <v>0</v>
      </c>
      <c r="O120" s="390">
        <f t="shared" si="213"/>
        <v>0</v>
      </c>
      <c r="P120" s="523">
        <v>0</v>
      </c>
      <c r="Q120" s="283">
        <v>1</v>
      </c>
      <c r="R120" s="390">
        <v>0</v>
      </c>
      <c r="S120" s="242">
        <f t="shared" si="267"/>
        <v>-100</v>
      </c>
      <c r="T120" s="283">
        <f t="shared" si="216"/>
        <v>11</v>
      </c>
      <c r="U120" s="390">
        <f t="shared" si="217"/>
        <v>0</v>
      </c>
      <c r="V120" s="242">
        <f t="shared" si="268"/>
        <v>-100</v>
      </c>
      <c r="W120" s="283">
        <v>12</v>
      </c>
      <c r="X120" s="390">
        <v>0</v>
      </c>
      <c r="Y120" s="242">
        <f t="shared" si="269"/>
        <v>-100</v>
      </c>
      <c r="Z120" s="283">
        <f t="shared" si="220"/>
        <v>15</v>
      </c>
      <c r="AA120" s="390">
        <f t="shared" si="221"/>
        <v>0</v>
      </c>
      <c r="AB120" s="242">
        <f t="shared" ref="AB120" si="275">ROUND(((AA120/Z120-1)*100), 1)</f>
        <v>-100</v>
      </c>
      <c r="AC120" s="283">
        <v>27</v>
      </c>
      <c r="AD120" s="390">
        <v>0</v>
      </c>
      <c r="AE120" s="242">
        <f t="shared" si="270"/>
        <v>-100</v>
      </c>
      <c r="AF120" s="283">
        <f t="shared" si="224"/>
        <v>12</v>
      </c>
      <c r="AG120" s="390">
        <f t="shared" si="224"/>
        <v>5</v>
      </c>
      <c r="AH120" s="242">
        <f t="shared" si="271"/>
        <v>-58.3</v>
      </c>
      <c r="AI120" s="283">
        <v>39</v>
      </c>
      <c r="AJ120" s="390">
        <v>5</v>
      </c>
      <c r="AK120" s="242">
        <f t="shared" si="272"/>
        <v>-87.2</v>
      </c>
      <c r="AL120" s="762">
        <f t="shared" si="227"/>
        <v>0</v>
      </c>
      <c r="AM120" s="769">
        <f t="shared" si="228"/>
        <v>0</v>
      </c>
      <c r="AN120" s="799">
        <v>0</v>
      </c>
      <c r="AO120" s="779">
        <v>39</v>
      </c>
      <c r="AP120" s="819">
        <v>5</v>
      </c>
      <c r="AQ120" s="753">
        <f t="shared" si="273"/>
        <v>-87.2</v>
      </c>
      <c r="AR120" s="779">
        <f t="shared" si="231"/>
        <v>0</v>
      </c>
      <c r="AS120" s="819">
        <f t="shared" si="231"/>
        <v>1</v>
      </c>
      <c r="AT120" s="799">
        <v>0</v>
      </c>
      <c r="AU120" s="975">
        <v>39</v>
      </c>
      <c r="AV120" s="970">
        <v>6</v>
      </c>
      <c r="AW120" s="753">
        <f t="shared" si="233"/>
        <v>-84.6</v>
      </c>
      <c r="AX120" s="779">
        <f t="shared" si="234"/>
        <v>1</v>
      </c>
      <c r="AY120" s="819">
        <f t="shared" si="235"/>
        <v>3</v>
      </c>
      <c r="AZ120" s="753">
        <f t="shared" si="259"/>
        <v>200</v>
      </c>
      <c r="BA120" s="779">
        <v>40</v>
      </c>
      <c r="BB120" s="819">
        <v>9</v>
      </c>
      <c r="BC120" s="753">
        <f t="shared" si="237"/>
        <v>-77.5</v>
      </c>
      <c r="BD120" s="779">
        <f t="shared" si="238"/>
        <v>4</v>
      </c>
      <c r="BE120" s="819">
        <f t="shared" si="238"/>
        <v>0</v>
      </c>
      <c r="BF120" s="753">
        <f t="shared" si="265"/>
        <v>-100</v>
      </c>
      <c r="BG120" s="779">
        <v>44</v>
      </c>
      <c r="BH120" s="819">
        <v>9</v>
      </c>
      <c r="BI120" s="753">
        <f t="shared" si="240"/>
        <v>-79.5</v>
      </c>
      <c r="BJ120" s="779">
        <f t="shared" si="241"/>
        <v>0</v>
      </c>
      <c r="BK120" s="819">
        <f t="shared" si="241"/>
        <v>0</v>
      </c>
      <c r="BL120" s="799">
        <v>0</v>
      </c>
      <c r="BM120" s="779">
        <v>44</v>
      </c>
      <c r="BN120" s="819">
        <v>9</v>
      </c>
      <c r="BO120" s="753">
        <f t="shared" si="243"/>
        <v>-79.5</v>
      </c>
      <c r="BP120" s="779">
        <f t="shared" si="244"/>
        <v>0</v>
      </c>
      <c r="BQ120" s="819">
        <f t="shared" si="244"/>
        <v>0</v>
      </c>
      <c r="BR120" s="799">
        <v>0</v>
      </c>
      <c r="BS120" s="779">
        <v>44</v>
      </c>
      <c r="BT120" s="819">
        <v>9</v>
      </c>
      <c r="BU120" s="753">
        <f t="shared" si="246"/>
        <v>-79.5</v>
      </c>
    </row>
    <row r="121" spans="1:73">
      <c r="A121" s="4"/>
      <c r="B121" s="43" t="s">
        <v>256</v>
      </c>
      <c r="C121" s="44">
        <v>44</v>
      </c>
      <c r="D121" s="44">
        <v>21</v>
      </c>
      <c r="E121" s="44">
        <v>68</v>
      </c>
      <c r="F121" s="44">
        <v>88</v>
      </c>
      <c r="G121" s="44">
        <v>156</v>
      </c>
      <c r="H121" s="44">
        <v>20</v>
      </c>
      <c r="I121" s="44">
        <v>88</v>
      </c>
      <c r="J121" s="44">
        <v>24</v>
      </c>
      <c r="K121" s="432">
        <v>15</v>
      </c>
      <c r="L121" s="388">
        <v>0</v>
      </c>
      <c r="M121" s="242">
        <f t="shared" ref="M121:M126" si="276">ROUND(((L121/K121-1)*100), 1)</f>
        <v>-100</v>
      </c>
      <c r="N121" s="432">
        <f t="shared" si="212"/>
        <v>0</v>
      </c>
      <c r="O121" s="388">
        <f t="shared" si="213"/>
        <v>0</v>
      </c>
      <c r="P121" s="523">
        <v>0</v>
      </c>
      <c r="Q121" s="432">
        <v>15</v>
      </c>
      <c r="R121" s="388">
        <v>0</v>
      </c>
      <c r="S121" s="242">
        <f t="shared" si="267"/>
        <v>-100</v>
      </c>
      <c r="T121" s="432">
        <f t="shared" si="216"/>
        <v>0</v>
      </c>
      <c r="U121" s="388">
        <f t="shared" si="217"/>
        <v>0</v>
      </c>
      <c r="V121" s="523">
        <v>0</v>
      </c>
      <c r="W121" s="432">
        <v>15</v>
      </c>
      <c r="X121" s="388">
        <v>0</v>
      </c>
      <c r="Y121" s="242">
        <f t="shared" si="269"/>
        <v>-100</v>
      </c>
      <c r="Z121" s="432">
        <f t="shared" si="220"/>
        <v>0</v>
      </c>
      <c r="AA121" s="388">
        <f t="shared" si="221"/>
        <v>9</v>
      </c>
      <c r="AB121" s="523">
        <v>0</v>
      </c>
      <c r="AC121" s="432">
        <v>15</v>
      </c>
      <c r="AD121" s="388">
        <v>9</v>
      </c>
      <c r="AE121" s="242">
        <f t="shared" si="270"/>
        <v>-40</v>
      </c>
      <c r="AF121" s="432">
        <f t="shared" si="224"/>
        <v>0</v>
      </c>
      <c r="AG121" s="388">
        <f t="shared" si="224"/>
        <v>0</v>
      </c>
      <c r="AH121" s="523">
        <v>0</v>
      </c>
      <c r="AI121" s="432">
        <v>15</v>
      </c>
      <c r="AJ121" s="388">
        <v>9</v>
      </c>
      <c r="AK121" s="242">
        <f t="shared" si="272"/>
        <v>-40</v>
      </c>
      <c r="AL121" s="774">
        <f t="shared" si="227"/>
        <v>0</v>
      </c>
      <c r="AM121" s="767">
        <f t="shared" si="228"/>
        <v>0</v>
      </c>
      <c r="AN121" s="751">
        <v>0</v>
      </c>
      <c r="AO121" s="777">
        <v>15</v>
      </c>
      <c r="AP121" s="767">
        <v>9</v>
      </c>
      <c r="AQ121" s="753">
        <f t="shared" si="273"/>
        <v>-40</v>
      </c>
      <c r="AR121" s="777">
        <f t="shared" si="231"/>
        <v>0</v>
      </c>
      <c r="AS121" s="767">
        <f t="shared" si="231"/>
        <v>0</v>
      </c>
      <c r="AT121" s="751">
        <v>0</v>
      </c>
      <c r="AU121" s="976">
        <v>15</v>
      </c>
      <c r="AV121" s="978">
        <v>9</v>
      </c>
      <c r="AW121" s="753">
        <f t="shared" si="233"/>
        <v>-40</v>
      </c>
      <c r="AX121" s="777">
        <f t="shared" si="234"/>
        <v>0</v>
      </c>
      <c r="AY121" s="767">
        <f t="shared" si="235"/>
        <v>0</v>
      </c>
      <c r="AZ121" s="751">
        <v>0</v>
      </c>
      <c r="BA121" s="777">
        <v>15</v>
      </c>
      <c r="BB121" s="767">
        <v>9</v>
      </c>
      <c r="BC121" s="753">
        <f t="shared" si="237"/>
        <v>-40</v>
      </c>
      <c r="BD121" s="777">
        <f t="shared" si="238"/>
        <v>0</v>
      </c>
      <c r="BE121" s="767">
        <f t="shared" si="238"/>
        <v>0</v>
      </c>
      <c r="BF121" s="751">
        <v>0</v>
      </c>
      <c r="BG121" s="777">
        <v>15</v>
      </c>
      <c r="BH121" s="767">
        <v>9</v>
      </c>
      <c r="BI121" s="753">
        <f t="shared" si="240"/>
        <v>-40</v>
      </c>
      <c r="BJ121" s="777">
        <f t="shared" si="241"/>
        <v>0</v>
      </c>
      <c r="BK121" s="767">
        <f t="shared" si="241"/>
        <v>0</v>
      </c>
      <c r="BL121" s="751">
        <v>0</v>
      </c>
      <c r="BM121" s="777">
        <v>15</v>
      </c>
      <c r="BN121" s="767">
        <v>9</v>
      </c>
      <c r="BO121" s="753">
        <f t="shared" si="243"/>
        <v>-40</v>
      </c>
      <c r="BP121" s="777">
        <f t="shared" si="244"/>
        <v>0</v>
      </c>
      <c r="BQ121" s="767">
        <f t="shared" si="244"/>
        <v>0</v>
      </c>
      <c r="BR121" s="751">
        <v>0</v>
      </c>
      <c r="BS121" s="777">
        <v>15</v>
      </c>
      <c r="BT121" s="767">
        <v>9</v>
      </c>
      <c r="BU121" s="753">
        <f t="shared" si="246"/>
        <v>-40</v>
      </c>
    </row>
    <row r="122" spans="1:73">
      <c r="A122" s="4"/>
      <c r="B122" s="43" t="s">
        <v>24</v>
      </c>
      <c r="C122" s="44">
        <f t="shared" ref="C122:L122" si="277">C123-SUM(C98:C121)</f>
        <v>1553</v>
      </c>
      <c r="D122" s="44">
        <f t="shared" si="277"/>
        <v>1693</v>
      </c>
      <c r="E122" s="44">
        <f t="shared" si="277"/>
        <v>2799</v>
      </c>
      <c r="F122" s="44">
        <f t="shared" si="277"/>
        <v>2105</v>
      </c>
      <c r="G122" s="44">
        <f t="shared" si="277"/>
        <v>1174</v>
      </c>
      <c r="H122" s="44">
        <f t="shared" si="277"/>
        <v>1130</v>
      </c>
      <c r="I122" s="44">
        <f t="shared" si="277"/>
        <v>1384</v>
      </c>
      <c r="J122" s="44">
        <f t="shared" si="277"/>
        <v>1411</v>
      </c>
      <c r="K122" s="383">
        <f t="shared" si="277"/>
        <v>193</v>
      </c>
      <c r="L122" s="390">
        <f t="shared" si="277"/>
        <v>23</v>
      </c>
      <c r="M122" s="242">
        <f t="shared" si="276"/>
        <v>-88.1</v>
      </c>
      <c r="N122" s="383">
        <f>N123-SUM(N98:N121)</f>
        <v>152</v>
      </c>
      <c r="O122" s="390">
        <f>O123-SUM(O98:O121)</f>
        <v>122</v>
      </c>
      <c r="P122" s="242">
        <f t="shared" ref="P122:P126" si="278">ROUND(((O122/N122-1)*100), 1)</f>
        <v>-19.7</v>
      </c>
      <c r="Q122" s="383">
        <f>Q123-SUM(Q98:Q121)</f>
        <v>345</v>
      </c>
      <c r="R122" s="390">
        <f>R123-SUM(R98:R121)</f>
        <v>145</v>
      </c>
      <c r="S122" s="242">
        <f t="shared" si="267"/>
        <v>-58</v>
      </c>
      <c r="T122" s="383">
        <f>T123-SUM(T98:T121)</f>
        <v>150</v>
      </c>
      <c r="U122" s="390">
        <f>U123-SUM(U98:U121)</f>
        <v>69</v>
      </c>
      <c r="V122" s="242">
        <f t="shared" si="268"/>
        <v>-54</v>
      </c>
      <c r="W122" s="383">
        <f>W123-SUM(W98:W121)</f>
        <v>495</v>
      </c>
      <c r="X122" s="390">
        <f>X123-SUM(X98:X121)</f>
        <v>214</v>
      </c>
      <c r="Y122" s="242">
        <f t="shared" si="269"/>
        <v>-56.8</v>
      </c>
      <c r="Z122" s="527">
        <f>Z123-SUM(Z98:Z121)</f>
        <v>70</v>
      </c>
      <c r="AA122" s="390">
        <f>AA123-SUM(AA98:AA121)</f>
        <v>135</v>
      </c>
      <c r="AB122" s="242">
        <f t="shared" ref="AB122:AB126" si="279">ROUND(((AA122/Z122-1)*100), 1)</f>
        <v>92.9</v>
      </c>
      <c r="AC122" s="527">
        <f>AC123-SUM(AC98:AC121)</f>
        <v>565</v>
      </c>
      <c r="AD122" s="390">
        <f>AD123-SUM(AD98:AD121)</f>
        <v>349</v>
      </c>
      <c r="AE122" s="242">
        <f t="shared" si="270"/>
        <v>-38.200000000000003</v>
      </c>
      <c r="AF122" s="527">
        <f>AF123-SUM(AF98:AF121)</f>
        <v>143</v>
      </c>
      <c r="AG122" s="390">
        <f>AG123-SUM(AG98:AG121)</f>
        <v>107</v>
      </c>
      <c r="AH122" s="242">
        <f t="shared" ref="AH122:AH126" si="280">ROUND(((AG122/AF122-1)*100), 1)</f>
        <v>-25.2</v>
      </c>
      <c r="AI122" s="527">
        <f>AI123-SUM(AI98:AI121)</f>
        <v>708</v>
      </c>
      <c r="AJ122" s="390">
        <f>AJ123-SUM(AJ98:AJ121)</f>
        <v>456</v>
      </c>
      <c r="AK122" s="242">
        <f t="shared" si="272"/>
        <v>-35.6</v>
      </c>
      <c r="AL122" s="766">
        <f>AL123-SUM(AL98:AL121)</f>
        <v>101</v>
      </c>
      <c r="AM122" s="769">
        <f>AM123-SUM(AM98:AM121)</f>
        <v>216</v>
      </c>
      <c r="AN122" s="753">
        <f t="shared" ref="AN122:AN126" si="281">ROUND(((AM122/AL122-1)*100), 1)</f>
        <v>113.9</v>
      </c>
      <c r="AO122" s="817">
        <f>AO123-SUM(AO98:AO121)</f>
        <v>809</v>
      </c>
      <c r="AP122" s="819">
        <f>AP123-SUM(AP98:AP121)</f>
        <v>672</v>
      </c>
      <c r="AQ122" s="753">
        <f t="shared" si="273"/>
        <v>-16.899999999999999</v>
      </c>
      <c r="AR122" s="817">
        <f>AR123-SUM(AR98:AR121)</f>
        <v>196</v>
      </c>
      <c r="AS122" s="819">
        <f>AS123-SUM(AS98:AS121)</f>
        <v>377</v>
      </c>
      <c r="AT122" s="753">
        <f>ROUND(((AS122/AR122-1)*100), 1)</f>
        <v>92.3</v>
      </c>
      <c r="AU122" s="969">
        <f>AU123-SUM(AU98:AU121)</f>
        <v>1005</v>
      </c>
      <c r="AV122" s="970">
        <f>AV123-SUM(AV98:AV121)</f>
        <v>1049</v>
      </c>
      <c r="AW122" s="753">
        <f t="shared" si="233"/>
        <v>4.4000000000000004</v>
      </c>
      <c r="AX122" s="817">
        <f>AX123-SUM(AX98:AX121)</f>
        <v>54</v>
      </c>
      <c r="AY122" s="819">
        <f>AY123-SUM(AY98:AY121)</f>
        <v>431</v>
      </c>
      <c r="AZ122" s="753">
        <f>ROUND(((AY122/AX122-1)*100), 1)</f>
        <v>698.1</v>
      </c>
      <c r="BA122" s="817">
        <f>BA123-SUM(BA98:BA121)</f>
        <v>1059</v>
      </c>
      <c r="BB122" s="819">
        <f>BB123-SUM(BB98:BB121)</f>
        <v>1480</v>
      </c>
      <c r="BC122" s="753">
        <f t="shared" si="237"/>
        <v>39.799999999999997</v>
      </c>
      <c r="BD122" s="817">
        <f>BD123-SUM(BD98:BD121)</f>
        <v>54</v>
      </c>
      <c r="BE122" s="819">
        <f>BE123-SUM(BE98:BE121)</f>
        <v>243</v>
      </c>
      <c r="BF122" s="753">
        <f>ROUND(((BE122/BD122-1)*100), 1)</f>
        <v>350</v>
      </c>
      <c r="BG122" s="817">
        <f>BG123-SUM(BG98:BG121)</f>
        <v>1113</v>
      </c>
      <c r="BH122" s="819">
        <f>BH123-SUM(BH98:BH121)</f>
        <v>1723</v>
      </c>
      <c r="BI122" s="753">
        <f t="shared" si="240"/>
        <v>54.8</v>
      </c>
      <c r="BJ122" s="817">
        <f>BJ123-SUM(BJ98:BJ121)</f>
        <v>106</v>
      </c>
      <c r="BK122" s="819">
        <f>BK123-SUM(BK98:BK121)</f>
        <v>193</v>
      </c>
      <c r="BL122" s="753">
        <f>ROUND(((BK122/BJ122-1)*100), 1)</f>
        <v>82.1</v>
      </c>
      <c r="BM122" s="817">
        <f>BM123-SUM(BM98:BM121)</f>
        <v>1219</v>
      </c>
      <c r="BN122" s="819">
        <f>BN123-SUM(BN98:BN121)</f>
        <v>1916</v>
      </c>
      <c r="BO122" s="753">
        <f t="shared" si="243"/>
        <v>57.2</v>
      </c>
      <c r="BP122" s="817">
        <f>BP123-SUM(BP98:BP121)</f>
        <v>49</v>
      </c>
      <c r="BQ122" s="819">
        <f>BQ123-SUM(BQ98:BQ121)</f>
        <v>133</v>
      </c>
      <c r="BR122" s="753">
        <f>ROUND(((BQ122/BP122-1)*100), 1)</f>
        <v>171.4</v>
      </c>
      <c r="BS122" s="817">
        <f>BS123-SUM(BS98:BS121)</f>
        <v>1268</v>
      </c>
      <c r="BT122" s="819">
        <f>BT123-SUM(BT98:BT121)</f>
        <v>2049</v>
      </c>
      <c r="BU122" s="753">
        <f t="shared" si="246"/>
        <v>61.6</v>
      </c>
    </row>
    <row r="123" spans="1:73">
      <c r="A123" s="9"/>
      <c r="B123" s="67" t="s">
        <v>108</v>
      </c>
      <c r="C123" s="46">
        <v>21407</v>
      </c>
      <c r="D123" s="46">
        <v>23019</v>
      </c>
      <c r="E123" s="46">
        <v>28537</v>
      </c>
      <c r="F123" s="46">
        <v>29068</v>
      </c>
      <c r="G123" s="46">
        <v>25668</v>
      </c>
      <c r="H123" s="46">
        <v>30038</v>
      </c>
      <c r="I123" s="46">
        <v>52161</v>
      </c>
      <c r="J123" s="46">
        <v>40147</v>
      </c>
      <c r="K123" s="281">
        <v>4482</v>
      </c>
      <c r="L123" s="295">
        <v>1925</v>
      </c>
      <c r="M123" s="243">
        <f t="shared" si="276"/>
        <v>-57.1</v>
      </c>
      <c r="N123" s="281">
        <f t="shared" ref="N123:N138" si="282">Q123-K123</f>
        <v>3943</v>
      </c>
      <c r="O123" s="295">
        <f t="shared" ref="O123:O138" si="283">R123-L123</f>
        <v>2270</v>
      </c>
      <c r="P123" s="243">
        <f t="shared" si="278"/>
        <v>-42.4</v>
      </c>
      <c r="Q123" s="281">
        <v>8425</v>
      </c>
      <c r="R123" s="295">
        <v>4195</v>
      </c>
      <c r="S123" s="243">
        <f t="shared" si="267"/>
        <v>-50.2</v>
      </c>
      <c r="T123" s="281">
        <f t="shared" ref="T123:T138" si="284">W123-Q123</f>
        <v>4171</v>
      </c>
      <c r="U123" s="295">
        <f t="shared" ref="U123:U138" si="285">X123-R123</f>
        <v>2366</v>
      </c>
      <c r="V123" s="243">
        <f t="shared" si="268"/>
        <v>-43.3</v>
      </c>
      <c r="W123" s="281">
        <v>12596</v>
      </c>
      <c r="X123" s="295">
        <v>6561</v>
      </c>
      <c r="Y123" s="243">
        <f t="shared" si="269"/>
        <v>-47.9</v>
      </c>
      <c r="Z123" s="281">
        <f t="shared" ref="Z123:Z138" si="286">AC123-W123</f>
        <v>4163</v>
      </c>
      <c r="AA123" s="295">
        <f t="shared" ref="AA123:AA138" si="287">AD123-X123</f>
        <v>2326</v>
      </c>
      <c r="AB123" s="243">
        <f t="shared" si="279"/>
        <v>-44.1</v>
      </c>
      <c r="AC123" s="281">
        <v>16759</v>
      </c>
      <c r="AD123" s="295">
        <v>8887</v>
      </c>
      <c r="AE123" s="243">
        <f t="shared" si="270"/>
        <v>-47</v>
      </c>
      <c r="AF123" s="281">
        <f t="shared" ref="AF123:AG138" si="288">AI123-AC123</f>
        <v>3908</v>
      </c>
      <c r="AG123" s="295">
        <f t="shared" si="288"/>
        <v>1774</v>
      </c>
      <c r="AH123" s="243">
        <f t="shared" si="280"/>
        <v>-54.6</v>
      </c>
      <c r="AI123" s="281">
        <v>20667</v>
      </c>
      <c r="AJ123" s="295">
        <v>10661</v>
      </c>
      <c r="AK123" s="243">
        <f t="shared" si="272"/>
        <v>-48.4</v>
      </c>
      <c r="AL123" s="760">
        <f t="shared" ref="AL123:AL138" si="289">AO123-AI123</f>
        <v>3138</v>
      </c>
      <c r="AM123" s="763">
        <f t="shared" ref="AM123:AM138" si="290">AP123-AJ123</f>
        <v>2363</v>
      </c>
      <c r="AN123" s="754">
        <f t="shared" si="281"/>
        <v>-24.7</v>
      </c>
      <c r="AO123" s="760">
        <v>23805</v>
      </c>
      <c r="AP123" s="808">
        <v>13024</v>
      </c>
      <c r="AQ123" s="754">
        <f t="shared" si="273"/>
        <v>-45.3</v>
      </c>
      <c r="AR123" s="760">
        <f t="shared" ref="AR123:AS138" si="291">AU123-AO123</f>
        <v>3653</v>
      </c>
      <c r="AS123" s="808">
        <f t="shared" si="291"/>
        <v>2576</v>
      </c>
      <c r="AT123" s="754">
        <f>ROUND(((AS123/AR123-1)*100), 1)</f>
        <v>-29.5</v>
      </c>
      <c r="AU123" s="986">
        <v>27458</v>
      </c>
      <c r="AV123" s="972">
        <v>15600</v>
      </c>
      <c r="AW123" s="754">
        <f t="shared" si="233"/>
        <v>-43.2</v>
      </c>
      <c r="AX123" s="760">
        <f t="shared" ref="AX123:AX138" si="292">BA123-AU123</f>
        <v>2580</v>
      </c>
      <c r="AY123" s="808">
        <f t="shared" ref="AY123:AY138" si="293">BB123-AV123</f>
        <v>1891</v>
      </c>
      <c r="AZ123" s="754">
        <f>ROUND(((AY123/AX123-1)*100), 1)</f>
        <v>-26.7</v>
      </c>
      <c r="BA123" s="760">
        <v>30038</v>
      </c>
      <c r="BB123" s="808">
        <v>17491</v>
      </c>
      <c r="BC123" s="754">
        <f t="shared" si="237"/>
        <v>-41.8</v>
      </c>
      <c r="BD123" s="760">
        <f t="shared" ref="BD123:BE138" si="294">BG123-BA123</f>
        <v>2581</v>
      </c>
      <c r="BE123" s="808">
        <f t="shared" si="294"/>
        <v>1875</v>
      </c>
      <c r="BF123" s="754">
        <f>ROUND(((BE123/BD123-1)*100), 1)</f>
        <v>-27.4</v>
      </c>
      <c r="BG123" s="760">
        <v>32619</v>
      </c>
      <c r="BH123" s="808">
        <v>19366</v>
      </c>
      <c r="BI123" s="754">
        <f t="shared" si="240"/>
        <v>-40.6</v>
      </c>
      <c r="BJ123" s="760">
        <f t="shared" ref="BJ123:BK138" si="295">BM123-BG123</f>
        <v>2815</v>
      </c>
      <c r="BK123" s="808">
        <f t="shared" si="295"/>
        <v>2077</v>
      </c>
      <c r="BL123" s="754">
        <f>ROUND(((BK123/BJ123-1)*100), 1)</f>
        <v>-26.2</v>
      </c>
      <c r="BM123" s="760">
        <v>35434</v>
      </c>
      <c r="BN123" s="808">
        <v>21443</v>
      </c>
      <c r="BO123" s="754">
        <f t="shared" si="243"/>
        <v>-39.5</v>
      </c>
      <c r="BP123" s="760">
        <f t="shared" ref="BP123:BQ138" si="296">BS123-BM123</f>
        <v>1998</v>
      </c>
      <c r="BQ123" s="808">
        <f t="shared" si="296"/>
        <v>2536</v>
      </c>
      <c r="BR123" s="754">
        <f>ROUND(((BQ123/BP123-1)*100), 1)</f>
        <v>26.9</v>
      </c>
      <c r="BS123" s="760">
        <v>37432</v>
      </c>
      <c r="BT123" s="808">
        <v>23979</v>
      </c>
      <c r="BU123" s="754">
        <f t="shared" si="246"/>
        <v>-35.9</v>
      </c>
    </row>
    <row r="124" spans="1:73">
      <c r="A124" s="4"/>
      <c r="B124" s="43" t="s">
        <v>51</v>
      </c>
      <c r="C124" s="44">
        <v>0</v>
      </c>
      <c r="D124" s="44">
        <v>844</v>
      </c>
      <c r="E124" s="44">
        <v>2943</v>
      </c>
      <c r="F124" s="44">
        <v>4244</v>
      </c>
      <c r="G124" s="44">
        <v>4476</v>
      </c>
      <c r="H124" s="44">
        <v>5317</v>
      </c>
      <c r="I124" s="44">
        <v>3297</v>
      </c>
      <c r="J124" s="44">
        <v>5422</v>
      </c>
      <c r="K124" s="283">
        <v>426</v>
      </c>
      <c r="L124" s="390">
        <v>662</v>
      </c>
      <c r="M124" s="242">
        <f t="shared" si="276"/>
        <v>55.4</v>
      </c>
      <c r="N124" s="283">
        <f t="shared" si="282"/>
        <v>284</v>
      </c>
      <c r="O124" s="390">
        <f t="shared" si="283"/>
        <v>806</v>
      </c>
      <c r="P124" s="242">
        <f t="shared" si="278"/>
        <v>183.8</v>
      </c>
      <c r="Q124" s="283">
        <v>710</v>
      </c>
      <c r="R124" s="390">
        <v>1468</v>
      </c>
      <c r="S124" s="242">
        <f t="shared" si="267"/>
        <v>106.8</v>
      </c>
      <c r="T124" s="283">
        <f t="shared" si="284"/>
        <v>700</v>
      </c>
      <c r="U124" s="390">
        <f t="shared" si="285"/>
        <v>883</v>
      </c>
      <c r="V124" s="242">
        <f t="shared" si="268"/>
        <v>26.1</v>
      </c>
      <c r="W124" s="283">
        <v>1410</v>
      </c>
      <c r="X124" s="390">
        <v>2351</v>
      </c>
      <c r="Y124" s="242">
        <f t="shared" si="269"/>
        <v>66.7</v>
      </c>
      <c r="Z124" s="283">
        <f t="shared" si="286"/>
        <v>474</v>
      </c>
      <c r="AA124" s="390">
        <f t="shared" si="287"/>
        <v>675</v>
      </c>
      <c r="AB124" s="242">
        <f t="shared" si="279"/>
        <v>42.4</v>
      </c>
      <c r="AC124" s="283">
        <v>1884</v>
      </c>
      <c r="AD124" s="390">
        <v>3026</v>
      </c>
      <c r="AE124" s="242">
        <f t="shared" si="270"/>
        <v>60.6</v>
      </c>
      <c r="AF124" s="283">
        <f t="shared" si="288"/>
        <v>361</v>
      </c>
      <c r="AG124" s="390">
        <f t="shared" si="288"/>
        <v>939</v>
      </c>
      <c r="AH124" s="242">
        <f t="shared" si="280"/>
        <v>160.1</v>
      </c>
      <c r="AI124" s="283">
        <v>2245</v>
      </c>
      <c r="AJ124" s="390">
        <v>3965</v>
      </c>
      <c r="AK124" s="242">
        <f t="shared" si="272"/>
        <v>76.599999999999994</v>
      </c>
      <c r="AL124" s="762">
        <f t="shared" si="289"/>
        <v>450</v>
      </c>
      <c r="AM124" s="769">
        <f t="shared" si="290"/>
        <v>1114</v>
      </c>
      <c r="AN124" s="753">
        <f t="shared" si="281"/>
        <v>147.6</v>
      </c>
      <c r="AO124" s="779">
        <v>2695</v>
      </c>
      <c r="AP124" s="819">
        <v>5079</v>
      </c>
      <c r="AQ124" s="753">
        <f t="shared" si="273"/>
        <v>88.5</v>
      </c>
      <c r="AR124" s="779">
        <f t="shared" si="291"/>
        <v>537</v>
      </c>
      <c r="AS124" s="819">
        <f t="shared" si="291"/>
        <v>631</v>
      </c>
      <c r="AT124" s="753">
        <f>ROUND(((AS124/AR124-1)*100), 1)</f>
        <v>17.5</v>
      </c>
      <c r="AU124" s="975">
        <v>3232</v>
      </c>
      <c r="AV124" s="970">
        <v>5710</v>
      </c>
      <c r="AW124" s="753">
        <f t="shared" si="233"/>
        <v>76.7</v>
      </c>
      <c r="AX124" s="779">
        <f t="shared" si="292"/>
        <v>699</v>
      </c>
      <c r="AY124" s="819">
        <f t="shared" si="293"/>
        <v>926</v>
      </c>
      <c r="AZ124" s="753">
        <f>ROUND(((AY124/AX124-1)*100), 1)</f>
        <v>32.5</v>
      </c>
      <c r="BA124" s="779">
        <v>3931</v>
      </c>
      <c r="BB124" s="819">
        <v>6636</v>
      </c>
      <c r="BC124" s="753">
        <f t="shared" si="237"/>
        <v>68.8</v>
      </c>
      <c r="BD124" s="779">
        <f t="shared" si="294"/>
        <v>511</v>
      </c>
      <c r="BE124" s="819">
        <f t="shared" si="294"/>
        <v>814</v>
      </c>
      <c r="BF124" s="753">
        <f>ROUND(((BE124/BD124-1)*100), 1)</f>
        <v>59.3</v>
      </c>
      <c r="BG124" s="779">
        <v>4442</v>
      </c>
      <c r="BH124" s="819">
        <v>7450</v>
      </c>
      <c r="BI124" s="753">
        <f t="shared" si="240"/>
        <v>67.7</v>
      </c>
      <c r="BJ124" s="779">
        <f t="shared" si="295"/>
        <v>403</v>
      </c>
      <c r="BK124" s="819">
        <f t="shared" si="295"/>
        <v>742</v>
      </c>
      <c r="BL124" s="753">
        <f>ROUND(((BK124/BJ124-1)*100), 1)</f>
        <v>84.1</v>
      </c>
      <c r="BM124" s="779">
        <v>4845</v>
      </c>
      <c r="BN124" s="819">
        <v>8192</v>
      </c>
      <c r="BO124" s="753">
        <f t="shared" si="243"/>
        <v>69.099999999999994</v>
      </c>
      <c r="BP124" s="779">
        <f t="shared" si="296"/>
        <v>208</v>
      </c>
      <c r="BQ124" s="819">
        <f t="shared" si="296"/>
        <v>719</v>
      </c>
      <c r="BR124" s="753">
        <f>ROUND(((BQ124/BP124-1)*100), 1)</f>
        <v>245.7</v>
      </c>
      <c r="BS124" s="779">
        <v>5053</v>
      </c>
      <c r="BT124" s="819">
        <v>8911</v>
      </c>
      <c r="BU124" s="753">
        <f t="shared" si="246"/>
        <v>76.400000000000006</v>
      </c>
    </row>
    <row r="125" spans="1:73">
      <c r="A125" s="4" t="s">
        <v>110</v>
      </c>
      <c r="B125" s="43" t="s">
        <v>50</v>
      </c>
      <c r="C125" s="44">
        <v>1091</v>
      </c>
      <c r="D125" s="44">
        <v>1127</v>
      </c>
      <c r="E125" s="44">
        <v>1713</v>
      </c>
      <c r="F125" s="44">
        <v>1961</v>
      </c>
      <c r="G125" s="44">
        <v>2338</v>
      </c>
      <c r="H125" s="44">
        <v>2106</v>
      </c>
      <c r="I125" s="44">
        <v>3436</v>
      </c>
      <c r="J125" s="44">
        <v>4893</v>
      </c>
      <c r="K125" s="283">
        <v>360</v>
      </c>
      <c r="L125" s="390">
        <v>426</v>
      </c>
      <c r="M125" s="242">
        <f t="shared" si="276"/>
        <v>18.3</v>
      </c>
      <c r="N125" s="283">
        <f t="shared" si="282"/>
        <v>222</v>
      </c>
      <c r="O125" s="390">
        <f t="shared" si="283"/>
        <v>103</v>
      </c>
      <c r="P125" s="242">
        <f t="shared" si="278"/>
        <v>-53.6</v>
      </c>
      <c r="Q125" s="283">
        <v>582</v>
      </c>
      <c r="R125" s="390">
        <v>529</v>
      </c>
      <c r="S125" s="242">
        <f t="shared" si="267"/>
        <v>-9.1</v>
      </c>
      <c r="T125" s="283">
        <f t="shared" si="284"/>
        <v>324</v>
      </c>
      <c r="U125" s="390">
        <f t="shared" si="285"/>
        <v>367</v>
      </c>
      <c r="V125" s="242">
        <f t="shared" si="268"/>
        <v>13.3</v>
      </c>
      <c r="W125" s="283">
        <v>906</v>
      </c>
      <c r="X125" s="390">
        <v>896</v>
      </c>
      <c r="Y125" s="242">
        <f t="shared" si="269"/>
        <v>-1.1000000000000001</v>
      </c>
      <c r="Z125" s="283">
        <f t="shared" si="286"/>
        <v>316</v>
      </c>
      <c r="AA125" s="390">
        <f t="shared" si="287"/>
        <v>434</v>
      </c>
      <c r="AB125" s="242">
        <f t="shared" si="279"/>
        <v>37.299999999999997</v>
      </c>
      <c r="AC125" s="283">
        <v>1222</v>
      </c>
      <c r="AD125" s="390">
        <v>1330</v>
      </c>
      <c r="AE125" s="242">
        <f t="shared" si="270"/>
        <v>8.8000000000000007</v>
      </c>
      <c r="AF125" s="283">
        <f t="shared" si="288"/>
        <v>722</v>
      </c>
      <c r="AG125" s="390">
        <f t="shared" si="288"/>
        <v>422</v>
      </c>
      <c r="AH125" s="242">
        <f t="shared" si="280"/>
        <v>-41.6</v>
      </c>
      <c r="AI125" s="283">
        <v>1944</v>
      </c>
      <c r="AJ125" s="390">
        <v>1752</v>
      </c>
      <c r="AK125" s="242">
        <f t="shared" si="272"/>
        <v>-9.9</v>
      </c>
      <c r="AL125" s="762">
        <f t="shared" si="289"/>
        <v>413</v>
      </c>
      <c r="AM125" s="769">
        <f t="shared" si="290"/>
        <v>350</v>
      </c>
      <c r="AN125" s="753">
        <f t="shared" si="281"/>
        <v>-15.3</v>
      </c>
      <c r="AO125" s="779">
        <v>2357</v>
      </c>
      <c r="AP125" s="819">
        <v>2102</v>
      </c>
      <c r="AQ125" s="753">
        <f t="shared" si="273"/>
        <v>-10.8</v>
      </c>
      <c r="AR125" s="779">
        <f t="shared" si="291"/>
        <v>433</v>
      </c>
      <c r="AS125" s="819">
        <f t="shared" si="291"/>
        <v>426</v>
      </c>
      <c r="AT125" s="753">
        <f>ROUND(((AS125/AR125-1)*100), 1)</f>
        <v>-1.6</v>
      </c>
      <c r="AU125" s="975">
        <v>2790</v>
      </c>
      <c r="AV125" s="970">
        <v>2528</v>
      </c>
      <c r="AW125" s="753">
        <f t="shared" si="233"/>
        <v>-9.4</v>
      </c>
      <c r="AX125" s="779">
        <f t="shared" si="292"/>
        <v>441</v>
      </c>
      <c r="AY125" s="819">
        <f t="shared" si="293"/>
        <v>293</v>
      </c>
      <c r="AZ125" s="753">
        <f>ROUND(((AY125/AX125-1)*100), 1)</f>
        <v>-33.6</v>
      </c>
      <c r="BA125" s="779">
        <v>3231</v>
      </c>
      <c r="BB125" s="819">
        <v>2821</v>
      </c>
      <c r="BC125" s="753">
        <f t="shared" si="237"/>
        <v>-12.7</v>
      </c>
      <c r="BD125" s="779">
        <f t="shared" si="294"/>
        <v>487</v>
      </c>
      <c r="BE125" s="819">
        <f t="shared" si="294"/>
        <v>387</v>
      </c>
      <c r="BF125" s="753">
        <f>ROUND(((BE125/BD125-1)*100), 1)</f>
        <v>-20.5</v>
      </c>
      <c r="BG125" s="779">
        <v>3718</v>
      </c>
      <c r="BH125" s="819">
        <v>3208</v>
      </c>
      <c r="BI125" s="753">
        <f t="shared" si="240"/>
        <v>-13.7</v>
      </c>
      <c r="BJ125" s="779">
        <f t="shared" si="295"/>
        <v>408</v>
      </c>
      <c r="BK125" s="819">
        <f t="shared" si="295"/>
        <v>375</v>
      </c>
      <c r="BL125" s="753">
        <f>ROUND(((BK125/BJ125-1)*100), 1)</f>
        <v>-8.1</v>
      </c>
      <c r="BM125" s="779">
        <v>4126</v>
      </c>
      <c r="BN125" s="819">
        <v>3583</v>
      </c>
      <c r="BO125" s="753">
        <f t="shared" si="243"/>
        <v>-13.2</v>
      </c>
      <c r="BP125" s="779">
        <f t="shared" si="296"/>
        <v>441</v>
      </c>
      <c r="BQ125" s="819">
        <f t="shared" si="296"/>
        <v>581</v>
      </c>
      <c r="BR125" s="753">
        <f>ROUND(((BQ125/BP125-1)*100), 1)</f>
        <v>31.7</v>
      </c>
      <c r="BS125" s="779">
        <v>4567</v>
      </c>
      <c r="BT125" s="819">
        <v>4164</v>
      </c>
      <c r="BU125" s="753">
        <f t="shared" si="246"/>
        <v>-8.8000000000000007</v>
      </c>
    </row>
    <row r="126" spans="1:73">
      <c r="A126" s="4"/>
      <c r="B126" s="43" t="s">
        <v>53</v>
      </c>
      <c r="C126" s="44">
        <v>608</v>
      </c>
      <c r="D126" s="44">
        <v>213</v>
      </c>
      <c r="E126" s="44">
        <v>269</v>
      </c>
      <c r="F126" s="44">
        <v>351</v>
      </c>
      <c r="G126" s="44">
        <v>288</v>
      </c>
      <c r="H126" s="44">
        <v>292</v>
      </c>
      <c r="I126" s="44">
        <v>161</v>
      </c>
      <c r="J126" s="44">
        <v>286</v>
      </c>
      <c r="K126" s="283">
        <v>9</v>
      </c>
      <c r="L126" s="390">
        <v>13</v>
      </c>
      <c r="M126" s="242">
        <f t="shared" si="276"/>
        <v>44.4</v>
      </c>
      <c r="N126" s="283">
        <f t="shared" si="282"/>
        <v>5</v>
      </c>
      <c r="O126" s="390">
        <f t="shared" si="283"/>
        <v>11</v>
      </c>
      <c r="P126" s="242">
        <f t="shared" si="278"/>
        <v>120</v>
      </c>
      <c r="Q126" s="283">
        <v>14</v>
      </c>
      <c r="R126" s="390">
        <v>24</v>
      </c>
      <c r="S126" s="242">
        <f t="shared" si="267"/>
        <v>71.400000000000006</v>
      </c>
      <c r="T126" s="283">
        <f t="shared" si="284"/>
        <v>32</v>
      </c>
      <c r="U126" s="390">
        <f t="shared" si="285"/>
        <v>20</v>
      </c>
      <c r="V126" s="242">
        <f t="shared" si="268"/>
        <v>-37.5</v>
      </c>
      <c r="W126" s="283">
        <v>46</v>
      </c>
      <c r="X126" s="390">
        <v>44</v>
      </c>
      <c r="Y126" s="242">
        <f t="shared" si="269"/>
        <v>-4.3</v>
      </c>
      <c r="Z126" s="283">
        <f t="shared" si="286"/>
        <v>22</v>
      </c>
      <c r="AA126" s="390">
        <f t="shared" si="287"/>
        <v>18</v>
      </c>
      <c r="AB126" s="242">
        <f t="shared" si="279"/>
        <v>-18.2</v>
      </c>
      <c r="AC126" s="283">
        <v>68</v>
      </c>
      <c r="AD126" s="390">
        <v>62</v>
      </c>
      <c r="AE126" s="242">
        <f t="shared" si="270"/>
        <v>-8.8000000000000007</v>
      </c>
      <c r="AF126" s="283">
        <f t="shared" si="288"/>
        <v>10</v>
      </c>
      <c r="AG126" s="390">
        <f t="shared" si="288"/>
        <v>13</v>
      </c>
      <c r="AH126" s="242">
        <f t="shared" si="280"/>
        <v>30</v>
      </c>
      <c r="AI126" s="283">
        <v>78</v>
      </c>
      <c r="AJ126" s="390">
        <v>75</v>
      </c>
      <c r="AK126" s="242">
        <f t="shared" si="272"/>
        <v>-3.8</v>
      </c>
      <c r="AL126" s="762">
        <f t="shared" si="289"/>
        <v>18</v>
      </c>
      <c r="AM126" s="769">
        <f t="shared" si="290"/>
        <v>11</v>
      </c>
      <c r="AN126" s="753">
        <f t="shared" si="281"/>
        <v>-38.9</v>
      </c>
      <c r="AO126" s="779">
        <v>96</v>
      </c>
      <c r="AP126" s="819">
        <v>86</v>
      </c>
      <c r="AQ126" s="753">
        <f t="shared" si="273"/>
        <v>-10.4</v>
      </c>
      <c r="AR126" s="779">
        <f t="shared" si="291"/>
        <v>30</v>
      </c>
      <c r="AS126" s="819">
        <f t="shared" si="291"/>
        <v>22</v>
      </c>
      <c r="AT126" s="753">
        <f>ROUND(((AS126/AR126-1)*100), 1)</f>
        <v>-26.7</v>
      </c>
      <c r="AU126" s="975">
        <v>126</v>
      </c>
      <c r="AV126" s="970">
        <v>108</v>
      </c>
      <c r="AW126" s="753">
        <f t="shared" si="233"/>
        <v>-14.3</v>
      </c>
      <c r="AX126" s="779">
        <f t="shared" si="292"/>
        <v>21</v>
      </c>
      <c r="AY126" s="819">
        <f t="shared" si="293"/>
        <v>27</v>
      </c>
      <c r="AZ126" s="753">
        <f>ROUND(((AY126/AX126-1)*100), 1)</f>
        <v>28.6</v>
      </c>
      <c r="BA126" s="779">
        <v>147</v>
      </c>
      <c r="BB126" s="819">
        <v>135</v>
      </c>
      <c r="BC126" s="753">
        <f t="shared" si="237"/>
        <v>-8.1999999999999993</v>
      </c>
      <c r="BD126" s="779">
        <f t="shared" si="294"/>
        <v>63</v>
      </c>
      <c r="BE126" s="819">
        <f t="shared" si="294"/>
        <v>19</v>
      </c>
      <c r="BF126" s="753">
        <f>ROUND(((BE126/BD126-1)*100), 1)</f>
        <v>-69.8</v>
      </c>
      <c r="BG126" s="779">
        <v>210</v>
      </c>
      <c r="BH126" s="819">
        <v>154</v>
      </c>
      <c r="BI126" s="753">
        <f t="shared" si="240"/>
        <v>-26.7</v>
      </c>
      <c r="BJ126" s="779">
        <f t="shared" si="295"/>
        <v>27</v>
      </c>
      <c r="BK126" s="819">
        <f t="shared" si="295"/>
        <v>7</v>
      </c>
      <c r="BL126" s="753">
        <f>ROUND(((BK126/BJ126-1)*100), 1)</f>
        <v>-74.099999999999994</v>
      </c>
      <c r="BM126" s="779">
        <v>237</v>
      </c>
      <c r="BN126" s="819">
        <v>161</v>
      </c>
      <c r="BO126" s="753">
        <f t="shared" si="243"/>
        <v>-32.1</v>
      </c>
      <c r="BP126" s="779">
        <f t="shared" si="296"/>
        <v>27</v>
      </c>
      <c r="BQ126" s="819">
        <f t="shared" si="296"/>
        <v>16</v>
      </c>
      <c r="BR126" s="753">
        <f>ROUND(((BQ126/BP126-1)*100), 1)</f>
        <v>-40.700000000000003</v>
      </c>
      <c r="BS126" s="779">
        <v>264</v>
      </c>
      <c r="BT126" s="819">
        <v>177</v>
      </c>
      <c r="BU126" s="753">
        <f t="shared" si="246"/>
        <v>-33</v>
      </c>
    </row>
    <row r="127" spans="1:73">
      <c r="A127" s="4"/>
      <c r="B127" s="43" t="s">
        <v>69</v>
      </c>
      <c r="C127" s="44">
        <v>166</v>
      </c>
      <c r="D127" s="44">
        <v>365</v>
      </c>
      <c r="E127" s="44">
        <v>192</v>
      </c>
      <c r="F127" s="44">
        <v>383</v>
      </c>
      <c r="G127" s="44">
        <v>477</v>
      </c>
      <c r="H127" s="44">
        <v>232</v>
      </c>
      <c r="I127" s="44">
        <v>106</v>
      </c>
      <c r="J127" s="44">
        <v>200</v>
      </c>
      <c r="K127" s="283">
        <v>0</v>
      </c>
      <c r="L127" s="390">
        <v>1</v>
      </c>
      <c r="M127" s="476">
        <v>0</v>
      </c>
      <c r="N127" s="283">
        <f t="shared" si="282"/>
        <v>3</v>
      </c>
      <c r="O127" s="390">
        <f t="shared" si="283"/>
        <v>51</v>
      </c>
      <c r="P127" s="476">
        <v>0</v>
      </c>
      <c r="Q127" s="283">
        <v>3</v>
      </c>
      <c r="R127" s="390">
        <v>52</v>
      </c>
      <c r="S127" s="476">
        <v>0</v>
      </c>
      <c r="T127" s="283">
        <f t="shared" si="284"/>
        <v>3</v>
      </c>
      <c r="U127" s="390">
        <f t="shared" si="285"/>
        <v>3</v>
      </c>
      <c r="V127" s="476">
        <v>0</v>
      </c>
      <c r="W127" s="283">
        <v>6</v>
      </c>
      <c r="X127" s="390">
        <v>55</v>
      </c>
      <c r="Y127" s="476">
        <v>0</v>
      </c>
      <c r="Z127" s="283">
        <f t="shared" si="286"/>
        <v>0</v>
      </c>
      <c r="AA127" s="390">
        <f t="shared" si="287"/>
        <v>9</v>
      </c>
      <c r="AB127" s="476">
        <v>0</v>
      </c>
      <c r="AC127" s="283">
        <v>6</v>
      </c>
      <c r="AD127" s="390">
        <v>64</v>
      </c>
      <c r="AE127" s="476">
        <v>0</v>
      </c>
      <c r="AF127" s="283">
        <f t="shared" si="288"/>
        <v>0</v>
      </c>
      <c r="AG127" s="390">
        <f t="shared" si="288"/>
        <v>6</v>
      </c>
      <c r="AH127" s="476">
        <v>0</v>
      </c>
      <c r="AI127" s="283">
        <v>6</v>
      </c>
      <c r="AJ127" s="390">
        <v>70</v>
      </c>
      <c r="AK127" s="476">
        <v>0</v>
      </c>
      <c r="AL127" s="762">
        <f t="shared" si="289"/>
        <v>25</v>
      </c>
      <c r="AM127" s="769">
        <f t="shared" si="290"/>
        <v>2</v>
      </c>
      <c r="AN127" s="776">
        <v>0</v>
      </c>
      <c r="AO127" s="779">
        <v>31</v>
      </c>
      <c r="AP127" s="819">
        <v>72</v>
      </c>
      <c r="AQ127" s="776">
        <v>0</v>
      </c>
      <c r="AR127" s="779">
        <f t="shared" si="291"/>
        <v>1</v>
      </c>
      <c r="AS127" s="819">
        <f t="shared" si="291"/>
        <v>0</v>
      </c>
      <c r="AT127" s="776">
        <v>0</v>
      </c>
      <c r="AU127" s="975">
        <v>32</v>
      </c>
      <c r="AV127" s="970">
        <v>72</v>
      </c>
      <c r="AW127" s="776">
        <f t="shared" si="233"/>
        <v>125</v>
      </c>
      <c r="AX127" s="779">
        <f t="shared" si="292"/>
        <v>1</v>
      </c>
      <c r="AY127" s="819">
        <f t="shared" si="293"/>
        <v>2</v>
      </c>
      <c r="AZ127" s="776">
        <v>0</v>
      </c>
      <c r="BA127" s="779">
        <v>33</v>
      </c>
      <c r="BB127" s="819">
        <v>74</v>
      </c>
      <c r="BC127" s="776">
        <f t="shared" si="237"/>
        <v>124.2</v>
      </c>
      <c r="BD127" s="779">
        <f t="shared" si="294"/>
        <v>91</v>
      </c>
      <c r="BE127" s="819">
        <f t="shared" si="294"/>
        <v>21</v>
      </c>
      <c r="BF127" s="776">
        <v>0</v>
      </c>
      <c r="BG127" s="779">
        <v>124</v>
      </c>
      <c r="BH127" s="819">
        <v>95</v>
      </c>
      <c r="BI127" s="776">
        <f t="shared" si="240"/>
        <v>-23.4</v>
      </c>
      <c r="BJ127" s="779">
        <f t="shared" si="295"/>
        <v>74</v>
      </c>
      <c r="BK127" s="819">
        <f t="shared" si="295"/>
        <v>0</v>
      </c>
      <c r="BL127" s="776">
        <v>0</v>
      </c>
      <c r="BM127" s="779">
        <v>198</v>
      </c>
      <c r="BN127" s="819">
        <v>95</v>
      </c>
      <c r="BO127" s="776">
        <f t="shared" si="243"/>
        <v>-52</v>
      </c>
      <c r="BP127" s="779">
        <f t="shared" si="296"/>
        <v>0</v>
      </c>
      <c r="BQ127" s="819">
        <f t="shared" si="296"/>
        <v>2</v>
      </c>
      <c r="BR127" s="776">
        <v>0</v>
      </c>
      <c r="BS127" s="779">
        <v>198</v>
      </c>
      <c r="BT127" s="819">
        <v>97</v>
      </c>
      <c r="BU127" s="776">
        <f t="shared" si="246"/>
        <v>-51</v>
      </c>
    </row>
    <row r="128" spans="1:73">
      <c r="A128" s="4"/>
      <c r="B128" s="43" t="s">
        <v>73</v>
      </c>
      <c r="C128" s="44">
        <v>236</v>
      </c>
      <c r="D128" s="44">
        <v>348</v>
      </c>
      <c r="E128" s="44">
        <v>204</v>
      </c>
      <c r="F128" s="44">
        <v>144</v>
      </c>
      <c r="G128" s="44">
        <v>89</v>
      </c>
      <c r="H128" s="44">
        <v>137</v>
      </c>
      <c r="I128" s="44">
        <v>91</v>
      </c>
      <c r="J128" s="44">
        <v>117</v>
      </c>
      <c r="K128" s="283">
        <v>16</v>
      </c>
      <c r="L128" s="390">
        <v>12</v>
      </c>
      <c r="M128" s="242">
        <f>ROUND(((L128/K128-1)*100), 1)</f>
        <v>-25</v>
      </c>
      <c r="N128" s="283">
        <f t="shared" si="282"/>
        <v>1</v>
      </c>
      <c r="O128" s="390">
        <f t="shared" si="283"/>
        <v>1</v>
      </c>
      <c r="P128" s="242">
        <f>ROUND(((O128/N128-1)*100), 1)</f>
        <v>0</v>
      </c>
      <c r="Q128" s="283">
        <v>17</v>
      </c>
      <c r="R128" s="390">
        <v>13</v>
      </c>
      <c r="S128" s="242">
        <f>ROUND(((R128/Q128-1)*100), 1)</f>
        <v>-23.5</v>
      </c>
      <c r="T128" s="283">
        <f t="shared" si="284"/>
        <v>3</v>
      </c>
      <c r="U128" s="390">
        <f t="shared" si="285"/>
        <v>18</v>
      </c>
      <c r="V128" s="242">
        <f t="shared" ref="V128:V132" si="297">ROUND(((U128/T128-1)*100), 1)</f>
        <v>500</v>
      </c>
      <c r="W128" s="283">
        <v>20</v>
      </c>
      <c r="X128" s="390">
        <v>31</v>
      </c>
      <c r="Y128" s="242">
        <f t="shared" ref="Y128:Y134" si="298">ROUND(((X128/W128-1)*100), 1)</f>
        <v>55</v>
      </c>
      <c r="Z128" s="283">
        <f t="shared" si="286"/>
        <v>14</v>
      </c>
      <c r="AA128" s="390">
        <f t="shared" si="287"/>
        <v>8</v>
      </c>
      <c r="AB128" s="242">
        <f t="shared" ref="AB128:AB132" si="299">ROUND(((AA128/Z128-1)*100), 1)</f>
        <v>-42.9</v>
      </c>
      <c r="AC128" s="283">
        <v>34</v>
      </c>
      <c r="AD128" s="390">
        <v>39</v>
      </c>
      <c r="AE128" s="242">
        <f t="shared" ref="AE128:AE135" si="300">ROUND(((AD128/AC128-1)*100), 1)</f>
        <v>14.7</v>
      </c>
      <c r="AF128" s="283">
        <f t="shared" si="288"/>
        <v>11</v>
      </c>
      <c r="AG128" s="390">
        <f t="shared" si="288"/>
        <v>0</v>
      </c>
      <c r="AH128" s="242">
        <f t="shared" ref="AH128:AH132" si="301">ROUND(((AG128/AF128-1)*100), 1)</f>
        <v>-100</v>
      </c>
      <c r="AI128" s="283">
        <v>45</v>
      </c>
      <c r="AJ128" s="390">
        <v>39</v>
      </c>
      <c r="AK128" s="242">
        <f t="shared" ref="AK128:AK135" si="302">ROUND(((AJ128/AI128-1)*100), 1)</f>
        <v>-13.3</v>
      </c>
      <c r="AL128" s="762">
        <f t="shared" si="289"/>
        <v>8</v>
      </c>
      <c r="AM128" s="769">
        <f t="shared" si="290"/>
        <v>31</v>
      </c>
      <c r="AN128" s="753">
        <f t="shared" ref="AN128:AN132" si="303">ROUND(((AM128/AL128-1)*100), 1)</f>
        <v>287.5</v>
      </c>
      <c r="AO128" s="779">
        <v>53</v>
      </c>
      <c r="AP128" s="819">
        <v>70</v>
      </c>
      <c r="AQ128" s="753">
        <f t="shared" ref="AQ128:AQ135" si="304">ROUND(((AP128/AO128-1)*100), 1)</f>
        <v>32.1</v>
      </c>
      <c r="AR128" s="779">
        <f t="shared" si="291"/>
        <v>11</v>
      </c>
      <c r="AS128" s="819">
        <f t="shared" si="291"/>
        <v>0</v>
      </c>
      <c r="AT128" s="753">
        <f>ROUND(((AS128/AR128-1)*100), 1)</f>
        <v>-100</v>
      </c>
      <c r="AU128" s="975">
        <v>64</v>
      </c>
      <c r="AV128" s="970">
        <v>70</v>
      </c>
      <c r="AW128" s="753">
        <f t="shared" si="233"/>
        <v>9.4</v>
      </c>
      <c r="AX128" s="779">
        <f t="shared" si="292"/>
        <v>9</v>
      </c>
      <c r="AY128" s="819">
        <f t="shared" si="293"/>
        <v>3</v>
      </c>
      <c r="AZ128" s="753">
        <f>ROUND(((AY128/AX128-1)*100), 1)</f>
        <v>-66.7</v>
      </c>
      <c r="BA128" s="779">
        <v>73</v>
      </c>
      <c r="BB128" s="819">
        <v>73</v>
      </c>
      <c r="BC128" s="753">
        <f t="shared" si="237"/>
        <v>0</v>
      </c>
      <c r="BD128" s="779">
        <f t="shared" si="294"/>
        <v>18</v>
      </c>
      <c r="BE128" s="819">
        <f t="shared" si="294"/>
        <v>9</v>
      </c>
      <c r="BF128" s="753">
        <f>ROUND(((BE128/BD128-1)*100), 1)</f>
        <v>-50</v>
      </c>
      <c r="BG128" s="779">
        <v>91</v>
      </c>
      <c r="BH128" s="819">
        <v>82</v>
      </c>
      <c r="BI128" s="753">
        <f t="shared" si="240"/>
        <v>-9.9</v>
      </c>
      <c r="BJ128" s="779">
        <f t="shared" si="295"/>
        <v>5</v>
      </c>
      <c r="BK128" s="819">
        <f t="shared" si="295"/>
        <v>3</v>
      </c>
      <c r="BL128" s="753">
        <f>ROUND(((BK128/BJ128-1)*100), 1)</f>
        <v>-40</v>
      </c>
      <c r="BM128" s="779">
        <v>96</v>
      </c>
      <c r="BN128" s="819">
        <v>85</v>
      </c>
      <c r="BO128" s="753">
        <f t="shared" si="243"/>
        <v>-11.5</v>
      </c>
      <c r="BP128" s="779">
        <f t="shared" si="296"/>
        <v>5</v>
      </c>
      <c r="BQ128" s="819">
        <f t="shared" si="296"/>
        <v>2</v>
      </c>
      <c r="BR128" s="753">
        <f t="shared" ref="BR128:BR134" si="305">ROUND(((BQ128/BP128-1)*100), 1)</f>
        <v>-60</v>
      </c>
      <c r="BS128" s="779">
        <v>101</v>
      </c>
      <c r="BT128" s="819">
        <v>87</v>
      </c>
      <c r="BU128" s="753">
        <f t="shared" si="246"/>
        <v>-13.9</v>
      </c>
    </row>
    <row r="129" spans="1:73">
      <c r="A129" s="4"/>
      <c r="B129" s="43" t="s">
        <v>54</v>
      </c>
      <c r="C129" s="44">
        <v>187</v>
      </c>
      <c r="D129" s="44">
        <v>100</v>
      </c>
      <c r="E129" s="44">
        <v>399</v>
      </c>
      <c r="F129" s="44">
        <v>507</v>
      </c>
      <c r="G129" s="44">
        <v>394</v>
      </c>
      <c r="H129" s="44">
        <v>211</v>
      </c>
      <c r="I129" s="44">
        <v>207</v>
      </c>
      <c r="J129" s="44">
        <v>78</v>
      </c>
      <c r="K129" s="283">
        <v>6</v>
      </c>
      <c r="L129" s="390">
        <v>3</v>
      </c>
      <c r="M129" s="242">
        <f>ROUND(((L129/K129-1)*100), 1)</f>
        <v>-50</v>
      </c>
      <c r="N129" s="283">
        <f t="shared" si="282"/>
        <v>3</v>
      </c>
      <c r="O129" s="390">
        <f t="shared" si="283"/>
        <v>10</v>
      </c>
      <c r="P129" s="242">
        <f>ROUND(((O129/N129-1)*100), 1)</f>
        <v>233.3</v>
      </c>
      <c r="Q129" s="283">
        <v>9</v>
      </c>
      <c r="R129" s="390">
        <v>13</v>
      </c>
      <c r="S129" s="242">
        <f>ROUND(((R129/Q129-1)*100), 1)</f>
        <v>44.4</v>
      </c>
      <c r="T129" s="283">
        <f t="shared" si="284"/>
        <v>2</v>
      </c>
      <c r="U129" s="390">
        <f t="shared" si="285"/>
        <v>3</v>
      </c>
      <c r="V129" s="242">
        <f t="shared" si="297"/>
        <v>50</v>
      </c>
      <c r="W129" s="283">
        <v>11</v>
      </c>
      <c r="X129" s="390">
        <v>16</v>
      </c>
      <c r="Y129" s="242">
        <f t="shared" si="298"/>
        <v>45.5</v>
      </c>
      <c r="Z129" s="283">
        <f t="shared" si="286"/>
        <v>15</v>
      </c>
      <c r="AA129" s="390">
        <f t="shared" si="287"/>
        <v>5</v>
      </c>
      <c r="AB129" s="242">
        <f t="shared" si="299"/>
        <v>-66.7</v>
      </c>
      <c r="AC129" s="283">
        <v>26</v>
      </c>
      <c r="AD129" s="390">
        <v>21</v>
      </c>
      <c r="AE129" s="242">
        <f t="shared" si="300"/>
        <v>-19.2</v>
      </c>
      <c r="AF129" s="283">
        <f t="shared" si="288"/>
        <v>5</v>
      </c>
      <c r="AG129" s="390">
        <f t="shared" si="288"/>
        <v>1</v>
      </c>
      <c r="AH129" s="242">
        <f t="shared" si="301"/>
        <v>-80</v>
      </c>
      <c r="AI129" s="283">
        <v>31</v>
      </c>
      <c r="AJ129" s="390">
        <v>22</v>
      </c>
      <c r="AK129" s="242">
        <f t="shared" si="302"/>
        <v>-29</v>
      </c>
      <c r="AL129" s="762">
        <f t="shared" si="289"/>
        <v>3</v>
      </c>
      <c r="AM129" s="769">
        <f t="shared" si="290"/>
        <v>49</v>
      </c>
      <c r="AN129" s="753">
        <f t="shared" si="303"/>
        <v>1533.3</v>
      </c>
      <c r="AO129" s="779">
        <v>34</v>
      </c>
      <c r="AP129" s="819">
        <v>71</v>
      </c>
      <c r="AQ129" s="753">
        <f t="shared" si="304"/>
        <v>108.8</v>
      </c>
      <c r="AR129" s="779">
        <f t="shared" si="291"/>
        <v>13</v>
      </c>
      <c r="AS129" s="819">
        <f t="shared" si="291"/>
        <v>133</v>
      </c>
      <c r="AT129" s="753">
        <f>ROUND(((AS129/AR129-1)*100), 1)</f>
        <v>923.1</v>
      </c>
      <c r="AU129" s="975">
        <v>47</v>
      </c>
      <c r="AV129" s="970">
        <v>204</v>
      </c>
      <c r="AW129" s="753">
        <f t="shared" si="233"/>
        <v>334</v>
      </c>
      <c r="AX129" s="779">
        <f t="shared" si="292"/>
        <v>12</v>
      </c>
      <c r="AY129" s="819">
        <f t="shared" si="293"/>
        <v>165</v>
      </c>
      <c r="AZ129" s="753">
        <f>ROUND(((AY129/AX129-1)*100), 1)</f>
        <v>1275</v>
      </c>
      <c r="BA129" s="779">
        <v>59</v>
      </c>
      <c r="BB129" s="819">
        <v>369</v>
      </c>
      <c r="BC129" s="753">
        <f t="shared" si="237"/>
        <v>525.4</v>
      </c>
      <c r="BD129" s="779">
        <f t="shared" si="294"/>
        <v>2</v>
      </c>
      <c r="BE129" s="819">
        <f t="shared" si="294"/>
        <v>197</v>
      </c>
      <c r="BF129" s="753">
        <f>ROUND(((BE129/BD129-1)*100), 1)</f>
        <v>9750</v>
      </c>
      <c r="BG129" s="779">
        <v>61</v>
      </c>
      <c r="BH129" s="819">
        <v>566</v>
      </c>
      <c r="BI129" s="753">
        <f t="shared" si="240"/>
        <v>827.9</v>
      </c>
      <c r="BJ129" s="779">
        <f t="shared" si="295"/>
        <v>4</v>
      </c>
      <c r="BK129" s="819">
        <f t="shared" si="295"/>
        <v>200</v>
      </c>
      <c r="BL129" s="753">
        <f>ROUND(((BK129/BJ129-1)*100), 1)</f>
        <v>4900</v>
      </c>
      <c r="BM129" s="779">
        <v>65</v>
      </c>
      <c r="BN129" s="819">
        <v>766</v>
      </c>
      <c r="BO129" s="753">
        <f t="shared" si="243"/>
        <v>1078.5</v>
      </c>
      <c r="BP129" s="779">
        <f t="shared" si="296"/>
        <v>5</v>
      </c>
      <c r="BQ129" s="819">
        <f t="shared" si="296"/>
        <v>158</v>
      </c>
      <c r="BR129" s="753">
        <f t="shared" si="305"/>
        <v>3060</v>
      </c>
      <c r="BS129" s="779">
        <v>70</v>
      </c>
      <c r="BT129" s="819">
        <v>924</v>
      </c>
      <c r="BU129" s="753">
        <f t="shared" si="246"/>
        <v>1220</v>
      </c>
    </row>
    <row r="130" spans="1:73">
      <c r="A130" s="4"/>
      <c r="B130" s="43" t="s">
        <v>68</v>
      </c>
      <c r="C130" s="44">
        <v>660</v>
      </c>
      <c r="D130" s="44">
        <v>616</v>
      </c>
      <c r="E130" s="44">
        <v>347</v>
      </c>
      <c r="F130" s="44">
        <v>91</v>
      </c>
      <c r="G130" s="44">
        <v>298</v>
      </c>
      <c r="H130" s="44">
        <v>94</v>
      </c>
      <c r="I130" s="44">
        <v>166</v>
      </c>
      <c r="J130" s="44">
        <v>70</v>
      </c>
      <c r="K130" s="283">
        <v>7</v>
      </c>
      <c r="L130" s="390">
        <v>2</v>
      </c>
      <c r="M130" s="242">
        <f>ROUND(((L130/K130-1)*100), 1)</f>
        <v>-71.400000000000006</v>
      </c>
      <c r="N130" s="283">
        <f t="shared" si="282"/>
        <v>6</v>
      </c>
      <c r="O130" s="390">
        <f t="shared" si="283"/>
        <v>15</v>
      </c>
      <c r="P130" s="242">
        <f>ROUND(((O130/N130-1)*100), 1)</f>
        <v>150</v>
      </c>
      <c r="Q130" s="283">
        <v>13</v>
      </c>
      <c r="R130" s="390">
        <v>17</v>
      </c>
      <c r="S130" s="242">
        <f>ROUND(((R130/Q130-1)*100), 1)</f>
        <v>30.8</v>
      </c>
      <c r="T130" s="283">
        <f t="shared" si="284"/>
        <v>6</v>
      </c>
      <c r="U130" s="390">
        <f t="shared" si="285"/>
        <v>19</v>
      </c>
      <c r="V130" s="242">
        <f t="shared" si="297"/>
        <v>216.7</v>
      </c>
      <c r="W130" s="283">
        <v>19</v>
      </c>
      <c r="X130" s="390">
        <v>36</v>
      </c>
      <c r="Y130" s="242">
        <f t="shared" si="298"/>
        <v>89.5</v>
      </c>
      <c r="Z130" s="283">
        <f t="shared" si="286"/>
        <v>17</v>
      </c>
      <c r="AA130" s="390">
        <f t="shared" si="287"/>
        <v>4</v>
      </c>
      <c r="AB130" s="242">
        <f t="shared" si="299"/>
        <v>-76.5</v>
      </c>
      <c r="AC130" s="283">
        <v>36</v>
      </c>
      <c r="AD130" s="390">
        <v>40</v>
      </c>
      <c r="AE130" s="242">
        <f t="shared" si="300"/>
        <v>11.1</v>
      </c>
      <c r="AF130" s="283">
        <f t="shared" si="288"/>
        <v>1</v>
      </c>
      <c r="AG130" s="390">
        <f t="shared" si="288"/>
        <v>9</v>
      </c>
      <c r="AH130" s="242">
        <f t="shared" si="301"/>
        <v>800</v>
      </c>
      <c r="AI130" s="283">
        <v>37</v>
      </c>
      <c r="AJ130" s="390">
        <v>49</v>
      </c>
      <c r="AK130" s="242">
        <f t="shared" si="302"/>
        <v>32.4</v>
      </c>
      <c r="AL130" s="762">
        <f t="shared" si="289"/>
        <v>3</v>
      </c>
      <c r="AM130" s="769">
        <f t="shared" si="290"/>
        <v>5</v>
      </c>
      <c r="AN130" s="753">
        <f t="shared" si="303"/>
        <v>66.7</v>
      </c>
      <c r="AO130" s="779">
        <v>40</v>
      </c>
      <c r="AP130" s="819">
        <v>54</v>
      </c>
      <c r="AQ130" s="753">
        <f t="shared" si="304"/>
        <v>35</v>
      </c>
      <c r="AR130" s="779">
        <f t="shared" si="291"/>
        <v>9</v>
      </c>
      <c r="AS130" s="819">
        <f t="shared" si="291"/>
        <v>0</v>
      </c>
      <c r="AT130" s="753">
        <f>ROUND(((AS130/AR130-1)*100), 1)</f>
        <v>-100</v>
      </c>
      <c r="AU130" s="975">
        <v>49</v>
      </c>
      <c r="AV130" s="970">
        <v>54</v>
      </c>
      <c r="AW130" s="753">
        <f t="shared" si="233"/>
        <v>10.199999999999999</v>
      </c>
      <c r="AX130" s="779">
        <f t="shared" si="292"/>
        <v>4</v>
      </c>
      <c r="AY130" s="819">
        <f t="shared" si="293"/>
        <v>1</v>
      </c>
      <c r="AZ130" s="753">
        <f>ROUND(((AY130/AX130-1)*100), 1)</f>
        <v>-75</v>
      </c>
      <c r="BA130" s="779">
        <v>53</v>
      </c>
      <c r="BB130" s="819">
        <v>55</v>
      </c>
      <c r="BC130" s="753">
        <f t="shared" si="237"/>
        <v>3.8</v>
      </c>
      <c r="BD130" s="779">
        <f t="shared" si="294"/>
        <v>3</v>
      </c>
      <c r="BE130" s="819">
        <f t="shared" si="294"/>
        <v>0</v>
      </c>
      <c r="BF130" s="753">
        <f>ROUND(((BE130/BD130-1)*100), 1)</f>
        <v>-100</v>
      </c>
      <c r="BG130" s="779">
        <v>56</v>
      </c>
      <c r="BH130" s="819">
        <v>55</v>
      </c>
      <c r="BI130" s="753">
        <f t="shared" si="240"/>
        <v>-1.8</v>
      </c>
      <c r="BJ130" s="779">
        <f t="shared" si="295"/>
        <v>1</v>
      </c>
      <c r="BK130" s="819">
        <f t="shared" si="295"/>
        <v>1</v>
      </c>
      <c r="BL130" s="753">
        <f>ROUND(((BK130/BJ130-1)*100), 1)</f>
        <v>0</v>
      </c>
      <c r="BM130" s="779">
        <v>57</v>
      </c>
      <c r="BN130" s="819">
        <v>56</v>
      </c>
      <c r="BO130" s="753">
        <f t="shared" si="243"/>
        <v>-1.8</v>
      </c>
      <c r="BP130" s="779">
        <f t="shared" si="296"/>
        <v>1</v>
      </c>
      <c r="BQ130" s="819">
        <f t="shared" si="296"/>
        <v>4</v>
      </c>
      <c r="BR130" s="753">
        <f t="shared" si="305"/>
        <v>300</v>
      </c>
      <c r="BS130" s="779">
        <v>58</v>
      </c>
      <c r="BT130" s="819">
        <v>60</v>
      </c>
      <c r="BU130" s="753">
        <f t="shared" si="246"/>
        <v>3.4</v>
      </c>
    </row>
    <row r="131" spans="1:73">
      <c r="A131" s="4"/>
      <c r="B131" s="43" t="s">
        <v>211</v>
      </c>
      <c r="C131" s="44">
        <v>0</v>
      </c>
      <c r="D131" s="44">
        <v>2</v>
      </c>
      <c r="E131" s="44">
        <v>18</v>
      </c>
      <c r="F131" s="44">
        <v>4</v>
      </c>
      <c r="G131" s="44">
        <v>9</v>
      </c>
      <c r="H131" s="44">
        <v>7</v>
      </c>
      <c r="I131" s="44">
        <v>6</v>
      </c>
      <c r="J131" s="44">
        <v>26</v>
      </c>
      <c r="K131" s="283">
        <v>0</v>
      </c>
      <c r="L131" s="390">
        <v>1</v>
      </c>
      <c r="M131" s="177">
        <v>0</v>
      </c>
      <c r="N131" s="283">
        <f t="shared" si="282"/>
        <v>0</v>
      </c>
      <c r="O131" s="390">
        <f t="shared" si="283"/>
        <v>0</v>
      </c>
      <c r="P131" s="177">
        <v>0</v>
      </c>
      <c r="Q131" s="283">
        <v>0</v>
      </c>
      <c r="R131" s="390">
        <v>1</v>
      </c>
      <c r="S131" s="177">
        <v>0</v>
      </c>
      <c r="T131" s="283">
        <f t="shared" si="284"/>
        <v>2</v>
      </c>
      <c r="U131" s="390">
        <f t="shared" si="285"/>
        <v>2</v>
      </c>
      <c r="V131" s="242">
        <f t="shared" si="297"/>
        <v>0</v>
      </c>
      <c r="W131" s="283">
        <v>2</v>
      </c>
      <c r="X131" s="390">
        <v>3</v>
      </c>
      <c r="Y131" s="242">
        <f t="shared" si="298"/>
        <v>50</v>
      </c>
      <c r="Z131" s="283">
        <f t="shared" si="286"/>
        <v>8</v>
      </c>
      <c r="AA131" s="390">
        <f t="shared" si="287"/>
        <v>11</v>
      </c>
      <c r="AB131" s="242">
        <f t="shared" si="299"/>
        <v>37.5</v>
      </c>
      <c r="AC131" s="283">
        <v>10</v>
      </c>
      <c r="AD131" s="390">
        <v>14</v>
      </c>
      <c r="AE131" s="242">
        <f t="shared" si="300"/>
        <v>40</v>
      </c>
      <c r="AF131" s="283">
        <f t="shared" si="288"/>
        <v>1</v>
      </c>
      <c r="AG131" s="390">
        <f t="shared" si="288"/>
        <v>2</v>
      </c>
      <c r="AH131" s="242">
        <f t="shared" si="301"/>
        <v>100</v>
      </c>
      <c r="AI131" s="283">
        <v>11</v>
      </c>
      <c r="AJ131" s="390">
        <v>16</v>
      </c>
      <c r="AK131" s="242">
        <f t="shared" si="302"/>
        <v>45.5</v>
      </c>
      <c r="AL131" s="762">
        <f t="shared" si="289"/>
        <v>0</v>
      </c>
      <c r="AM131" s="769">
        <f t="shared" si="290"/>
        <v>7</v>
      </c>
      <c r="AN131" s="799">
        <v>0</v>
      </c>
      <c r="AO131" s="779">
        <v>11</v>
      </c>
      <c r="AP131" s="819">
        <v>23</v>
      </c>
      <c r="AQ131" s="753">
        <f t="shared" si="304"/>
        <v>109.1</v>
      </c>
      <c r="AR131" s="779">
        <f t="shared" si="291"/>
        <v>0</v>
      </c>
      <c r="AS131" s="819">
        <f t="shared" si="291"/>
        <v>0</v>
      </c>
      <c r="AT131" s="799">
        <v>0</v>
      </c>
      <c r="AU131" s="975">
        <v>11</v>
      </c>
      <c r="AV131" s="970">
        <v>23</v>
      </c>
      <c r="AW131" s="753">
        <f t="shared" si="233"/>
        <v>109.1</v>
      </c>
      <c r="AX131" s="779">
        <f t="shared" si="292"/>
        <v>0</v>
      </c>
      <c r="AY131" s="819">
        <f t="shared" si="293"/>
        <v>0</v>
      </c>
      <c r="AZ131" s="799">
        <v>0</v>
      </c>
      <c r="BA131" s="779">
        <v>11</v>
      </c>
      <c r="BB131" s="819">
        <v>23</v>
      </c>
      <c r="BC131" s="753">
        <f t="shared" si="237"/>
        <v>109.1</v>
      </c>
      <c r="BD131" s="779">
        <f t="shared" si="294"/>
        <v>0</v>
      </c>
      <c r="BE131" s="819">
        <f t="shared" si="294"/>
        <v>16</v>
      </c>
      <c r="BF131" s="799">
        <v>0</v>
      </c>
      <c r="BG131" s="779">
        <v>11</v>
      </c>
      <c r="BH131" s="819">
        <v>39</v>
      </c>
      <c r="BI131" s="753">
        <f t="shared" si="240"/>
        <v>254.5</v>
      </c>
      <c r="BJ131" s="779">
        <f t="shared" si="295"/>
        <v>5</v>
      </c>
      <c r="BK131" s="819">
        <f t="shared" si="295"/>
        <v>3</v>
      </c>
      <c r="BL131" s="753">
        <f t="shared" ref="BL131:BL133" si="306">ROUND(((BK131/BJ131-1)*100), 1)</f>
        <v>-40</v>
      </c>
      <c r="BM131" s="779">
        <v>16</v>
      </c>
      <c r="BN131" s="819">
        <v>42</v>
      </c>
      <c r="BO131" s="753">
        <f t="shared" si="243"/>
        <v>162.5</v>
      </c>
      <c r="BP131" s="779">
        <f t="shared" si="296"/>
        <v>4</v>
      </c>
      <c r="BQ131" s="819">
        <f t="shared" si="296"/>
        <v>4</v>
      </c>
      <c r="BR131" s="753">
        <f t="shared" si="305"/>
        <v>0</v>
      </c>
      <c r="BS131" s="779">
        <v>20</v>
      </c>
      <c r="BT131" s="819">
        <v>46</v>
      </c>
      <c r="BU131" s="753">
        <f t="shared" si="246"/>
        <v>130</v>
      </c>
    </row>
    <row r="132" spans="1:73">
      <c r="A132" s="4"/>
      <c r="B132" s="43" t="s">
        <v>57</v>
      </c>
      <c r="C132" s="44">
        <v>105</v>
      </c>
      <c r="D132" s="44">
        <v>103</v>
      </c>
      <c r="E132" s="44">
        <v>212</v>
      </c>
      <c r="F132" s="44">
        <v>297</v>
      </c>
      <c r="G132" s="44">
        <v>147</v>
      </c>
      <c r="H132" s="44">
        <v>83</v>
      </c>
      <c r="I132" s="44">
        <v>26</v>
      </c>
      <c r="J132" s="44">
        <v>21</v>
      </c>
      <c r="K132" s="283">
        <v>0</v>
      </c>
      <c r="L132" s="390">
        <v>0</v>
      </c>
      <c r="M132" s="177">
        <v>0</v>
      </c>
      <c r="N132" s="283">
        <f t="shared" si="282"/>
        <v>0</v>
      </c>
      <c r="O132" s="390">
        <f t="shared" si="283"/>
        <v>0</v>
      </c>
      <c r="P132" s="177">
        <v>0</v>
      </c>
      <c r="Q132" s="283">
        <v>0</v>
      </c>
      <c r="R132" s="390">
        <v>0</v>
      </c>
      <c r="S132" s="177">
        <v>0</v>
      </c>
      <c r="T132" s="283">
        <f t="shared" si="284"/>
        <v>1</v>
      </c>
      <c r="U132" s="390">
        <f t="shared" si="285"/>
        <v>1</v>
      </c>
      <c r="V132" s="242">
        <f t="shared" si="297"/>
        <v>0</v>
      </c>
      <c r="W132" s="283">
        <v>1</v>
      </c>
      <c r="X132" s="390">
        <v>1</v>
      </c>
      <c r="Y132" s="242">
        <f t="shared" si="298"/>
        <v>0</v>
      </c>
      <c r="Z132" s="283">
        <f t="shared" si="286"/>
        <v>2</v>
      </c>
      <c r="AA132" s="390">
        <f t="shared" si="287"/>
        <v>1</v>
      </c>
      <c r="AB132" s="242">
        <f t="shared" si="299"/>
        <v>-50</v>
      </c>
      <c r="AC132" s="283">
        <v>3</v>
      </c>
      <c r="AD132" s="390">
        <v>2</v>
      </c>
      <c r="AE132" s="242">
        <f t="shared" si="300"/>
        <v>-33.299999999999997</v>
      </c>
      <c r="AF132" s="283">
        <f t="shared" si="288"/>
        <v>1</v>
      </c>
      <c r="AG132" s="390">
        <f t="shared" si="288"/>
        <v>2</v>
      </c>
      <c r="AH132" s="242">
        <f t="shared" si="301"/>
        <v>100</v>
      </c>
      <c r="AI132" s="283">
        <v>4</v>
      </c>
      <c r="AJ132" s="390">
        <v>4</v>
      </c>
      <c r="AK132" s="242">
        <f t="shared" si="302"/>
        <v>0</v>
      </c>
      <c r="AL132" s="762">
        <f t="shared" si="289"/>
        <v>6</v>
      </c>
      <c r="AM132" s="769">
        <f t="shared" si="290"/>
        <v>0</v>
      </c>
      <c r="AN132" s="753">
        <f t="shared" si="303"/>
        <v>-100</v>
      </c>
      <c r="AO132" s="779">
        <v>10</v>
      </c>
      <c r="AP132" s="819">
        <v>4</v>
      </c>
      <c r="AQ132" s="753">
        <f t="shared" si="304"/>
        <v>-60</v>
      </c>
      <c r="AR132" s="779">
        <f t="shared" si="291"/>
        <v>1</v>
      </c>
      <c r="AS132" s="819">
        <f t="shared" si="291"/>
        <v>1</v>
      </c>
      <c r="AT132" s="753">
        <f>ROUND(((AS132/AR132-1)*100), 1)</f>
        <v>0</v>
      </c>
      <c r="AU132" s="975">
        <v>11</v>
      </c>
      <c r="AV132" s="970">
        <v>5</v>
      </c>
      <c r="AW132" s="753">
        <f t="shared" si="233"/>
        <v>-54.5</v>
      </c>
      <c r="AX132" s="779">
        <f t="shared" si="292"/>
        <v>0</v>
      </c>
      <c r="AY132" s="819">
        <f t="shared" si="293"/>
        <v>0</v>
      </c>
      <c r="AZ132" s="751">
        <v>0</v>
      </c>
      <c r="BA132" s="779">
        <v>11</v>
      </c>
      <c r="BB132" s="819">
        <v>5</v>
      </c>
      <c r="BC132" s="753">
        <f t="shared" si="237"/>
        <v>-54.5</v>
      </c>
      <c r="BD132" s="779">
        <f t="shared" si="294"/>
        <v>0</v>
      </c>
      <c r="BE132" s="819">
        <f t="shared" si="294"/>
        <v>1</v>
      </c>
      <c r="BF132" s="751">
        <v>0</v>
      </c>
      <c r="BG132" s="779">
        <v>11</v>
      </c>
      <c r="BH132" s="819">
        <v>6</v>
      </c>
      <c r="BI132" s="753">
        <f t="shared" si="240"/>
        <v>-45.5</v>
      </c>
      <c r="BJ132" s="779">
        <f t="shared" si="295"/>
        <v>10</v>
      </c>
      <c r="BK132" s="819">
        <f t="shared" si="295"/>
        <v>0</v>
      </c>
      <c r="BL132" s="753">
        <f t="shared" si="306"/>
        <v>-100</v>
      </c>
      <c r="BM132" s="779">
        <v>21</v>
      </c>
      <c r="BN132" s="819">
        <v>6</v>
      </c>
      <c r="BO132" s="753">
        <f t="shared" si="243"/>
        <v>-71.400000000000006</v>
      </c>
      <c r="BP132" s="779">
        <f t="shared" si="296"/>
        <v>0</v>
      </c>
      <c r="BQ132" s="819">
        <f t="shared" si="296"/>
        <v>4</v>
      </c>
      <c r="BR132" s="799">
        <v>0</v>
      </c>
      <c r="BS132" s="779">
        <v>21</v>
      </c>
      <c r="BT132" s="819">
        <v>10</v>
      </c>
      <c r="BU132" s="753">
        <f t="shared" si="246"/>
        <v>-52.4</v>
      </c>
    </row>
    <row r="133" spans="1:73">
      <c r="A133" s="4"/>
      <c r="B133" s="43" t="s">
        <v>71</v>
      </c>
      <c r="C133" s="44">
        <v>2</v>
      </c>
      <c r="D133" s="44">
        <v>2</v>
      </c>
      <c r="E133" s="44">
        <v>5</v>
      </c>
      <c r="F133" s="44">
        <v>22</v>
      </c>
      <c r="G133" s="44">
        <v>6</v>
      </c>
      <c r="H133" s="44">
        <v>27</v>
      </c>
      <c r="I133" s="44">
        <v>8</v>
      </c>
      <c r="J133" s="44">
        <v>20</v>
      </c>
      <c r="K133" s="283">
        <v>0</v>
      </c>
      <c r="L133" s="390">
        <v>0</v>
      </c>
      <c r="M133" s="177">
        <v>0</v>
      </c>
      <c r="N133" s="283">
        <f t="shared" si="282"/>
        <v>1</v>
      </c>
      <c r="O133" s="390">
        <f t="shared" si="283"/>
        <v>1</v>
      </c>
      <c r="P133" s="242">
        <f>ROUND(((O133/N133-1)*100), 1)</f>
        <v>0</v>
      </c>
      <c r="Q133" s="283">
        <v>1</v>
      </c>
      <c r="R133" s="390">
        <v>1</v>
      </c>
      <c r="S133" s="242">
        <f>ROUND(((R133/Q133-1)*100), 1)</f>
        <v>0</v>
      </c>
      <c r="T133" s="283">
        <f t="shared" si="284"/>
        <v>0</v>
      </c>
      <c r="U133" s="390">
        <f t="shared" si="285"/>
        <v>0</v>
      </c>
      <c r="V133" s="523">
        <v>0</v>
      </c>
      <c r="W133" s="283">
        <v>1</v>
      </c>
      <c r="X133" s="390">
        <v>1</v>
      </c>
      <c r="Y133" s="242">
        <f t="shared" si="298"/>
        <v>0</v>
      </c>
      <c r="Z133" s="283">
        <f t="shared" si="286"/>
        <v>0</v>
      </c>
      <c r="AA133" s="390">
        <f t="shared" si="287"/>
        <v>0</v>
      </c>
      <c r="AB133" s="523">
        <v>0</v>
      </c>
      <c r="AC133" s="283">
        <v>1</v>
      </c>
      <c r="AD133" s="390">
        <v>1</v>
      </c>
      <c r="AE133" s="242">
        <f t="shared" si="300"/>
        <v>0</v>
      </c>
      <c r="AF133" s="283">
        <f t="shared" si="288"/>
        <v>1</v>
      </c>
      <c r="AG133" s="390">
        <f t="shared" si="288"/>
        <v>0</v>
      </c>
      <c r="AH133" s="242">
        <f>ROUND(((AG133/AF133-1)*100), 1)</f>
        <v>-100</v>
      </c>
      <c r="AI133" s="283">
        <v>2</v>
      </c>
      <c r="AJ133" s="390">
        <v>1</v>
      </c>
      <c r="AK133" s="242">
        <f t="shared" si="302"/>
        <v>-50</v>
      </c>
      <c r="AL133" s="762">
        <f t="shared" si="289"/>
        <v>0</v>
      </c>
      <c r="AM133" s="769">
        <f t="shared" si="290"/>
        <v>0</v>
      </c>
      <c r="AN133" s="799">
        <v>0</v>
      </c>
      <c r="AO133" s="779">
        <v>2</v>
      </c>
      <c r="AP133" s="819">
        <v>1</v>
      </c>
      <c r="AQ133" s="753">
        <f t="shared" si="304"/>
        <v>-50</v>
      </c>
      <c r="AR133" s="779">
        <f t="shared" si="291"/>
        <v>0</v>
      </c>
      <c r="AS133" s="819">
        <f t="shared" si="291"/>
        <v>0</v>
      </c>
      <c r="AT133" s="799">
        <v>0</v>
      </c>
      <c r="AU133" s="975">
        <v>2</v>
      </c>
      <c r="AV133" s="970">
        <v>1</v>
      </c>
      <c r="AW133" s="753">
        <f t="shared" si="233"/>
        <v>-50</v>
      </c>
      <c r="AX133" s="779">
        <f t="shared" si="292"/>
        <v>14</v>
      </c>
      <c r="AY133" s="819">
        <f t="shared" si="293"/>
        <v>1</v>
      </c>
      <c r="AZ133" s="753">
        <f>ROUND(((AY133/AX133-1)*100), 1)</f>
        <v>-92.9</v>
      </c>
      <c r="BA133" s="779">
        <v>16</v>
      </c>
      <c r="BB133" s="819">
        <v>2</v>
      </c>
      <c r="BC133" s="753">
        <f t="shared" si="237"/>
        <v>-87.5</v>
      </c>
      <c r="BD133" s="779">
        <f t="shared" si="294"/>
        <v>0</v>
      </c>
      <c r="BE133" s="819">
        <f t="shared" si="294"/>
        <v>0</v>
      </c>
      <c r="BF133" s="799">
        <v>0</v>
      </c>
      <c r="BG133" s="779">
        <v>16</v>
      </c>
      <c r="BH133" s="819">
        <v>2</v>
      </c>
      <c r="BI133" s="753">
        <f t="shared" si="240"/>
        <v>-87.5</v>
      </c>
      <c r="BJ133" s="779">
        <f t="shared" si="295"/>
        <v>1</v>
      </c>
      <c r="BK133" s="819">
        <f t="shared" si="295"/>
        <v>3</v>
      </c>
      <c r="BL133" s="753">
        <f t="shared" si="306"/>
        <v>200</v>
      </c>
      <c r="BM133" s="779">
        <v>17</v>
      </c>
      <c r="BN133" s="819">
        <v>5</v>
      </c>
      <c r="BO133" s="753">
        <f t="shared" si="243"/>
        <v>-70.599999999999994</v>
      </c>
      <c r="BP133" s="779">
        <f t="shared" si="296"/>
        <v>2</v>
      </c>
      <c r="BQ133" s="819">
        <f t="shared" si="296"/>
        <v>0</v>
      </c>
      <c r="BR133" s="753">
        <f t="shared" si="305"/>
        <v>-100</v>
      </c>
      <c r="BS133" s="779">
        <v>19</v>
      </c>
      <c r="BT133" s="819">
        <v>5</v>
      </c>
      <c r="BU133" s="753">
        <f t="shared" si="246"/>
        <v>-73.7</v>
      </c>
    </row>
    <row r="134" spans="1:73">
      <c r="A134" s="4"/>
      <c r="B134" s="43" t="s">
        <v>244</v>
      </c>
      <c r="C134" s="44">
        <v>7</v>
      </c>
      <c r="D134" s="44">
        <v>4</v>
      </c>
      <c r="E134" s="44">
        <v>7</v>
      </c>
      <c r="F134" s="44">
        <v>12</v>
      </c>
      <c r="G134" s="44">
        <v>23</v>
      </c>
      <c r="H134" s="44">
        <v>14</v>
      </c>
      <c r="I134" s="44">
        <v>13</v>
      </c>
      <c r="J134" s="44">
        <v>19</v>
      </c>
      <c r="K134" s="283">
        <v>5</v>
      </c>
      <c r="L134" s="390">
        <v>2</v>
      </c>
      <c r="M134" s="242">
        <f>ROUND(((L134/K134-1)*100), 1)</f>
        <v>-60</v>
      </c>
      <c r="N134" s="283">
        <f t="shared" si="282"/>
        <v>0</v>
      </c>
      <c r="O134" s="390">
        <f t="shared" si="283"/>
        <v>0</v>
      </c>
      <c r="P134" s="523">
        <v>0</v>
      </c>
      <c r="Q134" s="283">
        <v>5</v>
      </c>
      <c r="R134" s="390">
        <v>2</v>
      </c>
      <c r="S134" s="242">
        <f>ROUND(((R134/Q134-1)*100), 1)</f>
        <v>-60</v>
      </c>
      <c r="T134" s="283">
        <f t="shared" si="284"/>
        <v>0</v>
      </c>
      <c r="U134" s="390">
        <f t="shared" si="285"/>
        <v>0</v>
      </c>
      <c r="V134" s="523">
        <v>0</v>
      </c>
      <c r="W134" s="283">
        <v>5</v>
      </c>
      <c r="X134" s="390">
        <v>2</v>
      </c>
      <c r="Y134" s="242">
        <f t="shared" si="298"/>
        <v>-60</v>
      </c>
      <c r="Z134" s="283">
        <f t="shared" si="286"/>
        <v>0</v>
      </c>
      <c r="AA134" s="390">
        <f t="shared" si="287"/>
        <v>0</v>
      </c>
      <c r="AB134" s="523">
        <v>0</v>
      </c>
      <c r="AC134" s="283">
        <v>5</v>
      </c>
      <c r="AD134" s="390">
        <v>2</v>
      </c>
      <c r="AE134" s="242">
        <f t="shared" si="300"/>
        <v>-60</v>
      </c>
      <c r="AF134" s="283">
        <f t="shared" si="288"/>
        <v>0</v>
      </c>
      <c r="AG134" s="390">
        <f t="shared" si="288"/>
        <v>0</v>
      </c>
      <c r="AH134" s="523">
        <v>0</v>
      </c>
      <c r="AI134" s="283">
        <v>5</v>
      </c>
      <c r="AJ134" s="390">
        <v>2</v>
      </c>
      <c r="AK134" s="242">
        <f t="shared" si="302"/>
        <v>-60</v>
      </c>
      <c r="AL134" s="762">
        <f t="shared" si="289"/>
        <v>0</v>
      </c>
      <c r="AM134" s="769">
        <f t="shared" si="290"/>
        <v>0</v>
      </c>
      <c r="AN134" s="751">
        <v>0</v>
      </c>
      <c r="AO134" s="779">
        <v>5</v>
      </c>
      <c r="AP134" s="819">
        <v>2</v>
      </c>
      <c r="AQ134" s="753">
        <f t="shared" si="304"/>
        <v>-60</v>
      </c>
      <c r="AR134" s="779">
        <f t="shared" si="291"/>
        <v>7</v>
      </c>
      <c r="AS134" s="819">
        <f t="shared" si="291"/>
        <v>0</v>
      </c>
      <c r="AT134" s="753">
        <f>ROUND(((AS134/AR134-1)*100), 1)</f>
        <v>-100</v>
      </c>
      <c r="AU134" s="975">
        <v>12</v>
      </c>
      <c r="AV134" s="970">
        <v>2</v>
      </c>
      <c r="AW134" s="753">
        <f t="shared" si="233"/>
        <v>-83.3</v>
      </c>
      <c r="AX134" s="779">
        <f t="shared" si="292"/>
        <v>2</v>
      </c>
      <c r="AY134" s="819">
        <f t="shared" si="293"/>
        <v>1</v>
      </c>
      <c r="AZ134" s="753">
        <f>ROUND(((AY134/AX134-1)*100), 1)</f>
        <v>-50</v>
      </c>
      <c r="BA134" s="779">
        <v>14</v>
      </c>
      <c r="BB134" s="819">
        <v>3</v>
      </c>
      <c r="BC134" s="753">
        <f t="shared" si="237"/>
        <v>-78.599999999999994</v>
      </c>
      <c r="BD134" s="779">
        <f t="shared" si="294"/>
        <v>0</v>
      </c>
      <c r="BE134" s="819">
        <f t="shared" si="294"/>
        <v>0</v>
      </c>
      <c r="BF134" s="799">
        <v>0</v>
      </c>
      <c r="BG134" s="779">
        <v>14</v>
      </c>
      <c r="BH134" s="819">
        <v>3</v>
      </c>
      <c r="BI134" s="753">
        <f t="shared" si="240"/>
        <v>-78.599999999999994</v>
      </c>
      <c r="BJ134" s="779">
        <f t="shared" si="295"/>
        <v>0</v>
      </c>
      <c r="BK134" s="819">
        <f t="shared" si="295"/>
        <v>0</v>
      </c>
      <c r="BL134" s="799">
        <v>0</v>
      </c>
      <c r="BM134" s="779">
        <v>14</v>
      </c>
      <c r="BN134" s="819">
        <v>3</v>
      </c>
      <c r="BO134" s="753">
        <f t="shared" si="243"/>
        <v>-78.599999999999994</v>
      </c>
      <c r="BP134" s="779">
        <f t="shared" si="296"/>
        <v>3</v>
      </c>
      <c r="BQ134" s="819">
        <f t="shared" si="296"/>
        <v>0</v>
      </c>
      <c r="BR134" s="705">
        <f t="shared" si="305"/>
        <v>-100</v>
      </c>
      <c r="BS134" s="779">
        <v>17</v>
      </c>
      <c r="BT134" s="819">
        <v>3</v>
      </c>
      <c r="BU134" s="753">
        <f t="shared" si="246"/>
        <v>-82.4</v>
      </c>
    </row>
    <row r="135" spans="1:73">
      <c r="A135" s="4"/>
      <c r="B135" s="43" t="s">
        <v>56</v>
      </c>
      <c r="C135" s="44">
        <v>26</v>
      </c>
      <c r="D135" s="44">
        <v>8</v>
      </c>
      <c r="E135" s="44">
        <v>8</v>
      </c>
      <c r="F135" s="44">
        <v>15</v>
      </c>
      <c r="G135" s="44">
        <v>22</v>
      </c>
      <c r="H135" s="44">
        <v>10</v>
      </c>
      <c r="I135" s="44">
        <v>61</v>
      </c>
      <c r="J135" s="44">
        <v>4</v>
      </c>
      <c r="K135" s="283">
        <v>0</v>
      </c>
      <c r="L135" s="390">
        <v>0</v>
      </c>
      <c r="M135" s="177">
        <v>0</v>
      </c>
      <c r="N135" s="283">
        <f t="shared" si="282"/>
        <v>0</v>
      </c>
      <c r="O135" s="390">
        <f t="shared" si="283"/>
        <v>1</v>
      </c>
      <c r="P135" s="523">
        <v>0</v>
      </c>
      <c r="Q135" s="283">
        <v>0</v>
      </c>
      <c r="R135" s="390">
        <v>1</v>
      </c>
      <c r="S135" s="177">
        <v>0</v>
      </c>
      <c r="T135" s="283">
        <f t="shared" si="284"/>
        <v>0</v>
      </c>
      <c r="U135" s="390">
        <f t="shared" si="285"/>
        <v>0</v>
      </c>
      <c r="V135" s="523">
        <v>0</v>
      </c>
      <c r="W135" s="283">
        <v>0</v>
      </c>
      <c r="X135" s="390">
        <v>1</v>
      </c>
      <c r="Y135" s="177">
        <v>0</v>
      </c>
      <c r="Z135" s="283">
        <f t="shared" si="286"/>
        <v>1</v>
      </c>
      <c r="AA135" s="390">
        <f t="shared" si="287"/>
        <v>0</v>
      </c>
      <c r="AB135" s="242">
        <f t="shared" ref="AB135" si="307">ROUND(((AA135/Z135-1)*100), 1)</f>
        <v>-100</v>
      </c>
      <c r="AC135" s="283">
        <v>1</v>
      </c>
      <c r="AD135" s="390">
        <v>1</v>
      </c>
      <c r="AE135" s="242">
        <f t="shared" si="300"/>
        <v>0</v>
      </c>
      <c r="AF135" s="283">
        <f t="shared" si="288"/>
        <v>0</v>
      </c>
      <c r="AG135" s="390">
        <f t="shared" si="288"/>
        <v>0</v>
      </c>
      <c r="AH135" s="521">
        <v>0</v>
      </c>
      <c r="AI135" s="283">
        <v>1</v>
      </c>
      <c r="AJ135" s="390">
        <v>1</v>
      </c>
      <c r="AK135" s="242">
        <f t="shared" si="302"/>
        <v>0</v>
      </c>
      <c r="AL135" s="762">
        <f t="shared" si="289"/>
        <v>1</v>
      </c>
      <c r="AM135" s="769">
        <f t="shared" si="290"/>
        <v>0</v>
      </c>
      <c r="AN135" s="753">
        <f t="shared" ref="AN135" si="308">ROUND(((AM135/AL135-1)*100), 1)</f>
        <v>-100</v>
      </c>
      <c r="AO135" s="779">
        <v>2</v>
      </c>
      <c r="AP135" s="819">
        <v>1</v>
      </c>
      <c r="AQ135" s="753">
        <f t="shared" si="304"/>
        <v>-50</v>
      </c>
      <c r="AR135" s="779">
        <f t="shared" si="291"/>
        <v>0</v>
      </c>
      <c r="AS135" s="819">
        <f t="shared" si="291"/>
        <v>1</v>
      </c>
      <c r="AT135" s="799">
        <v>0</v>
      </c>
      <c r="AU135" s="975">
        <v>2</v>
      </c>
      <c r="AV135" s="970">
        <v>2</v>
      </c>
      <c r="AW135" s="753">
        <f t="shared" si="233"/>
        <v>0</v>
      </c>
      <c r="AX135" s="779">
        <f t="shared" si="292"/>
        <v>1</v>
      </c>
      <c r="AY135" s="819">
        <f t="shared" si="293"/>
        <v>0</v>
      </c>
      <c r="AZ135" s="753">
        <f>ROUND(((AY135/AX135-1)*100), 1)</f>
        <v>-100</v>
      </c>
      <c r="BA135" s="779">
        <v>3</v>
      </c>
      <c r="BB135" s="819">
        <v>2</v>
      </c>
      <c r="BC135" s="753">
        <f t="shared" si="237"/>
        <v>-33.299999999999997</v>
      </c>
      <c r="BD135" s="779">
        <f t="shared" si="294"/>
        <v>0</v>
      </c>
      <c r="BE135" s="819">
        <f t="shared" si="294"/>
        <v>0</v>
      </c>
      <c r="BF135" s="799">
        <v>0</v>
      </c>
      <c r="BG135" s="779">
        <v>3</v>
      </c>
      <c r="BH135" s="819">
        <v>2</v>
      </c>
      <c r="BI135" s="753">
        <f t="shared" si="240"/>
        <v>-33.299999999999997</v>
      </c>
      <c r="BJ135" s="779">
        <f t="shared" si="295"/>
        <v>0</v>
      </c>
      <c r="BK135" s="819">
        <f t="shared" si="295"/>
        <v>0</v>
      </c>
      <c r="BL135" s="799">
        <v>0</v>
      </c>
      <c r="BM135" s="779">
        <v>3</v>
      </c>
      <c r="BN135" s="819">
        <v>2</v>
      </c>
      <c r="BO135" s="753">
        <f t="shared" si="243"/>
        <v>-33.299999999999997</v>
      </c>
      <c r="BP135" s="779">
        <f t="shared" si="296"/>
        <v>0</v>
      </c>
      <c r="BQ135" s="819">
        <f t="shared" si="296"/>
        <v>1</v>
      </c>
      <c r="BR135" s="799">
        <v>0</v>
      </c>
      <c r="BS135" s="779">
        <v>3</v>
      </c>
      <c r="BT135" s="819">
        <v>3</v>
      </c>
      <c r="BU135" s="753">
        <f t="shared" si="246"/>
        <v>0</v>
      </c>
    </row>
    <row r="136" spans="1:73">
      <c r="A136" s="4"/>
      <c r="B136" s="43" t="s">
        <v>72</v>
      </c>
      <c r="C136" s="44">
        <v>8</v>
      </c>
      <c r="D136" s="44">
        <v>7</v>
      </c>
      <c r="E136" s="44">
        <v>1</v>
      </c>
      <c r="F136" s="44">
        <v>26</v>
      </c>
      <c r="G136" s="44">
        <v>10</v>
      </c>
      <c r="H136" s="44">
        <v>7</v>
      </c>
      <c r="I136" s="44">
        <v>34</v>
      </c>
      <c r="J136" s="44">
        <v>3</v>
      </c>
      <c r="K136" s="283">
        <v>2</v>
      </c>
      <c r="L136" s="390">
        <v>0</v>
      </c>
      <c r="M136" s="242">
        <f>ROUND(((L136/K136-1)*100), 1)</f>
        <v>-100</v>
      </c>
      <c r="N136" s="283">
        <f t="shared" si="282"/>
        <v>0</v>
      </c>
      <c r="O136" s="390">
        <f t="shared" si="283"/>
        <v>0</v>
      </c>
      <c r="P136" s="523">
        <v>0</v>
      </c>
      <c r="Q136" s="283">
        <v>2</v>
      </c>
      <c r="R136" s="390">
        <v>0</v>
      </c>
      <c r="S136" s="242">
        <f>ROUND(((R136/Q136-1)*100), 1)</f>
        <v>-100</v>
      </c>
      <c r="T136" s="283">
        <f t="shared" si="284"/>
        <v>0</v>
      </c>
      <c r="U136" s="390">
        <f t="shared" si="285"/>
        <v>0</v>
      </c>
      <c r="V136" s="523">
        <v>0</v>
      </c>
      <c r="W136" s="283">
        <v>2</v>
      </c>
      <c r="X136" s="390">
        <v>0</v>
      </c>
      <c r="Y136" s="242">
        <f>ROUND(((X136/W136-1)*100), 1)</f>
        <v>-100</v>
      </c>
      <c r="Z136" s="283">
        <f t="shared" si="286"/>
        <v>0</v>
      </c>
      <c r="AA136" s="390">
        <f t="shared" si="287"/>
        <v>0</v>
      </c>
      <c r="AB136" s="523">
        <v>0</v>
      </c>
      <c r="AC136" s="283">
        <v>2</v>
      </c>
      <c r="AD136" s="390">
        <v>0</v>
      </c>
      <c r="AE136" s="242">
        <f>ROUND(((AD136/AC136-1)*100), 1)</f>
        <v>-100</v>
      </c>
      <c r="AF136" s="283">
        <f t="shared" si="288"/>
        <v>0</v>
      </c>
      <c r="AG136" s="390">
        <f t="shared" si="288"/>
        <v>1</v>
      </c>
      <c r="AH136" s="523">
        <v>0</v>
      </c>
      <c r="AI136" s="283">
        <v>2</v>
      </c>
      <c r="AJ136" s="390">
        <v>1</v>
      </c>
      <c r="AK136" s="242">
        <f>ROUND(((AJ136/AI136-1)*100), 1)</f>
        <v>-50</v>
      </c>
      <c r="AL136" s="762">
        <f t="shared" si="289"/>
        <v>0</v>
      </c>
      <c r="AM136" s="769">
        <f t="shared" si="290"/>
        <v>0</v>
      </c>
      <c r="AN136" s="751">
        <v>0</v>
      </c>
      <c r="AO136" s="779">
        <v>2</v>
      </c>
      <c r="AP136" s="819">
        <v>1</v>
      </c>
      <c r="AQ136" s="753">
        <f>ROUND(((AP136/AO136-1)*100), 1)</f>
        <v>-50</v>
      </c>
      <c r="AR136" s="779">
        <f t="shared" si="291"/>
        <v>0</v>
      </c>
      <c r="AS136" s="819">
        <f t="shared" si="291"/>
        <v>0</v>
      </c>
      <c r="AT136" s="751">
        <v>0</v>
      </c>
      <c r="AU136" s="975">
        <v>2</v>
      </c>
      <c r="AV136" s="970">
        <v>1</v>
      </c>
      <c r="AW136" s="753">
        <f t="shared" si="233"/>
        <v>-50</v>
      </c>
      <c r="AX136" s="779">
        <f t="shared" si="292"/>
        <v>0</v>
      </c>
      <c r="AY136" s="819">
        <f t="shared" si="293"/>
        <v>0</v>
      </c>
      <c r="AZ136" s="751">
        <v>0</v>
      </c>
      <c r="BA136" s="779">
        <v>2</v>
      </c>
      <c r="BB136" s="819">
        <v>1</v>
      </c>
      <c r="BC136" s="753">
        <f t="shared" si="237"/>
        <v>-50</v>
      </c>
      <c r="BD136" s="779">
        <f t="shared" si="294"/>
        <v>0</v>
      </c>
      <c r="BE136" s="819">
        <f t="shared" si="294"/>
        <v>0</v>
      </c>
      <c r="BF136" s="751">
        <v>0</v>
      </c>
      <c r="BG136" s="779">
        <v>2</v>
      </c>
      <c r="BH136" s="819">
        <v>1</v>
      </c>
      <c r="BI136" s="753">
        <f t="shared" si="240"/>
        <v>-50</v>
      </c>
      <c r="BJ136" s="779">
        <f t="shared" si="295"/>
        <v>0</v>
      </c>
      <c r="BK136" s="819">
        <f t="shared" si="295"/>
        <v>0</v>
      </c>
      <c r="BL136" s="751">
        <v>0</v>
      </c>
      <c r="BM136" s="779">
        <v>2</v>
      </c>
      <c r="BN136" s="819">
        <v>1</v>
      </c>
      <c r="BO136" s="753">
        <f t="shared" si="243"/>
        <v>-50</v>
      </c>
      <c r="BP136" s="779">
        <f t="shared" si="296"/>
        <v>1</v>
      </c>
      <c r="BQ136" s="819">
        <f t="shared" si="296"/>
        <v>0</v>
      </c>
      <c r="BR136" s="705">
        <f t="shared" ref="BR136:BR137" si="309">ROUND(((BQ136/BP136-1)*100), 1)</f>
        <v>-100</v>
      </c>
      <c r="BS136" s="779">
        <v>3</v>
      </c>
      <c r="BT136" s="819">
        <v>1</v>
      </c>
      <c r="BU136" s="753">
        <f t="shared" si="246"/>
        <v>-66.7</v>
      </c>
    </row>
    <row r="137" spans="1:73">
      <c r="A137" s="4"/>
      <c r="B137" s="43" t="s">
        <v>257</v>
      </c>
      <c r="C137" s="44">
        <v>0</v>
      </c>
      <c r="D137" s="44">
        <v>4</v>
      </c>
      <c r="E137" s="44">
        <v>7</v>
      </c>
      <c r="F137" s="44">
        <v>2</v>
      </c>
      <c r="G137" s="44">
        <v>14</v>
      </c>
      <c r="H137" s="44">
        <v>24</v>
      </c>
      <c r="I137" s="44">
        <v>5</v>
      </c>
      <c r="J137" s="44">
        <v>3</v>
      </c>
      <c r="K137" s="283">
        <v>1</v>
      </c>
      <c r="L137" s="390">
        <v>1</v>
      </c>
      <c r="M137" s="242">
        <f>ROUND(((L137/K137-1)*100), 1)</f>
        <v>0</v>
      </c>
      <c r="N137" s="283">
        <f t="shared" si="282"/>
        <v>1</v>
      </c>
      <c r="O137" s="390">
        <f t="shared" si="283"/>
        <v>0</v>
      </c>
      <c r="P137" s="242">
        <f>ROUND(((O137/N137-1)*100), 1)</f>
        <v>-100</v>
      </c>
      <c r="Q137" s="283">
        <v>2</v>
      </c>
      <c r="R137" s="390">
        <v>1</v>
      </c>
      <c r="S137" s="242">
        <f>ROUND(((R137/Q137-1)*100), 1)</f>
        <v>-50</v>
      </c>
      <c r="T137" s="283">
        <f t="shared" si="284"/>
        <v>0</v>
      </c>
      <c r="U137" s="390">
        <f t="shared" si="285"/>
        <v>0</v>
      </c>
      <c r="V137" s="523">
        <v>0</v>
      </c>
      <c r="W137" s="283">
        <v>2</v>
      </c>
      <c r="X137" s="390">
        <v>1</v>
      </c>
      <c r="Y137" s="242">
        <f>ROUND(((X137/W137-1)*100), 1)</f>
        <v>-50</v>
      </c>
      <c r="Z137" s="283">
        <f t="shared" si="286"/>
        <v>0</v>
      </c>
      <c r="AA137" s="390">
        <f t="shared" si="287"/>
        <v>0</v>
      </c>
      <c r="AB137" s="523">
        <v>0</v>
      </c>
      <c r="AC137" s="283">
        <v>2</v>
      </c>
      <c r="AD137" s="390">
        <v>1</v>
      </c>
      <c r="AE137" s="242">
        <f>ROUND(((AD137/AC137-1)*100), 1)</f>
        <v>-50</v>
      </c>
      <c r="AF137" s="283">
        <f t="shared" si="288"/>
        <v>0</v>
      </c>
      <c r="AG137" s="390">
        <f t="shared" si="288"/>
        <v>0</v>
      </c>
      <c r="AH137" s="523">
        <v>0</v>
      </c>
      <c r="AI137" s="283">
        <v>2</v>
      </c>
      <c r="AJ137" s="390">
        <v>1</v>
      </c>
      <c r="AK137" s="242">
        <f>ROUND(((AJ137/AI137-1)*100), 1)</f>
        <v>-50</v>
      </c>
      <c r="AL137" s="762">
        <f t="shared" si="289"/>
        <v>0</v>
      </c>
      <c r="AM137" s="769">
        <f t="shared" si="290"/>
        <v>1</v>
      </c>
      <c r="AN137" s="751">
        <v>0</v>
      </c>
      <c r="AO137" s="779">
        <v>2</v>
      </c>
      <c r="AP137" s="819">
        <v>2</v>
      </c>
      <c r="AQ137" s="753">
        <f>ROUND(((AP137/AO137-1)*100), 1)</f>
        <v>0</v>
      </c>
      <c r="AR137" s="779">
        <f t="shared" si="291"/>
        <v>0</v>
      </c>
      <c r="AS137" s="819">
        <f t="shared" si="291"/>
        <v>2</v>
      </c>
      <c r="AT137" s="751">
        <v>0</v>
      </c>
      <c r="AU137" s="975">
        <v>2</v>
      </c>
      <c r="AV137" s="970">
        <v>4</v>
      </c>
      <c r="AW137" s="753">
        <f t="shared" si="233"/>
        <v>100</v>
      </c>
      <c r="AX137" s="779">
        <f t="shared" si="292"/>
        <v>0</v>
      </c>
      <c r="AY137" s="819">
        <f t="shared" si="293"/>
        <v>0</v>
      </c>
      <c r="AZ137" s="751">
        <v>0</v>
      </c>
      <c r="BA137" s="779">
        <v>2</v>
      </c>
      <c r="BB137" s="819">
        <v>4</v>
      </c>
      <c r="BC137" s="753">
        <f t="shared" si="237"/>
        <v>100</v>
      </c>
      <c r="BD137" s="779">
        <f t="shared" si="294"/>
        <v>0</v>
      </c>
      <c r="BE137" s="819">
        <f t="shared" si="294"/>
        <v>0</v>
      </c>
      <c r="BF137" s="751">
        <v>0</v>
      </c>
      <c r="BG137" s="779">
        <v>2</v>
      </c>
      <c r="BH137" s="819">
        <v>4</v>
      </c>
      <c r="BI137" s="753">
        <f t="shared" si="240"/>
        <v>100</v>
      </c>
      <c r="BJ137" s="779">
        <f t="shared" si="295"/>
        <v>0</v>
      </c>
      <c r="BK137" s="819">
        <f t="shared" si="295"/>
        <v>0</v>
      </c>
      <c r="BL137" s="751">
        <v>0</v>
      </c>
      <c r="BM137" s="779">
        <v>2</v>
      </c>
      <c r="BN137" s="819">
        <v>4</v>
      </c>
      <c r="BO137" s="753">
        <f t="shared" si="243"/>
        <v>100</v>
      </c>
      <c r="BP137" s="779">
        <f t="shared" si="296"/>
        <v>1</v>
      </c>
      <c r="BQ137" s="819">
        <f t="shared" si="296"/>
        <v>0</v>
      </c>
      <c r="BR137" s="705">
        <f t="shared" si="309"/>
        <v>-100</v>
      </c>
      <c r="BS137" s="779">
        <v>3</v>
      </c>
      <c r="BT137" s="819">
        <v>4</v>
      </c>
      <c r="BU137" s="753">
        <f t="shared" si="246"/>
        <v>33.299999999999997</v>
      </c>
    </row>
    <row r="138" spans="1:73">
      <c r="A138" s="4"/>
      <c r="B138" s="43" t="s">
        <v>243</v>
      </c>
      <c r="C138" s="44">
        <v>0</v>
      </c>
      <c r="D138" s="44">
        <v>0</v>
      </c>
      <c r="E138" s="44">
        <v>4</v>
      </c>
      <c r="F138" s="44">
        <v>2</v>
      </c>
      <c r="G138" s="44">
        <v>16</v>
      </c>
      <c r="H138" s="44">
        <v>1</v>
      </c>
      <c r="I138" s="44">
        <v>24</v>
      </c>
      <c r="J138" s="44">
        <v>0</v>
      </c>
      <c r="K138" s="283">
        <v>0</v>
      </c>
      <c r="L138" s="390">
        <v>0</v>
      </c>
      <c r="M138" s="177">
        <v>0</v>
      </c>
      <c r="N138" s="283">
        <f t="shared" si="282"/>
        <v>0</v>
      </c>
      <c r="O138" s="390">
        <f t="shared" si="283"/>
        <v>0</v>
      </c>
      <c r="P138" s="177">
        <v>0</v>
      </c>
      <c r="Q138" s="283">
        <v>0</v>
      </c>
      <c r="R138" s="390">
        <v>0</v>
      </c>
      <c r="S138" s="177">
        <v>0</v>
      </c>
      <c r="T138" s="283">
        <f t="shared" si="284"/>
        <v>0</v>
      </c>
      <c r="U138" s="390">
        <f t="shared" si="285"/>
        <v>0</v>
      </c>
      <c r="V138" s="177">
        <v>0</v>
      </c>
      <c r="W138" s="283">
        <v>0</v>
      </c>
      <c r="X138" s="390">
        <v>0</v>
      </c>
      <c r="Y138" s="177">
        <v>0</v>
      </c>
      <c r="Z138" s="283">
        <f t="shared" si="286"/>
        <v>0</v>
      </c>
      <c r="AA138" s="390">
        <f t="shared" si="287"/>
        <v>0</v>
      </c>
      <c r="AB138" s="521">
        <v>0</v>
      </c>
      <c r="AC138" s="283">
        <v>0</v>
      </c>
      <c r="AD138" s="390">
        <v>0</v>
      </c>
      <c r="AE138" s="521">
        <v>0</v>
      </c>
      <c r="AF138" s="283">
        <f t="shared" si="288"/>
        <v>0</v>
      </c>
      <c r="AG138" s="390">
        <f t="shared" si="288"/>
        <v>0</v>
      </c>
      <c r="AH138" s="521">
        <v>0</v>
      </c>
      <c r="AI138" s="283">
        <v>0</v>
      </c>
      <c r="AJ138" s="390">
        <v>0</v>
      </c>
      <c r="AK138" s="521">
        <v>0</v>
      </c>
      <c r="AL138" s="762">
        <f t="shared" si="289"/>
        <v>0</v>
      </c>
      <c r="AM138" s="769">
        <f t="shared" si="290"/>
        <v>0</v>
      </c>
      <c r="AN138" s="749">
        <v>0</v>
      </c>
      <c r="AO138" s="779">
        <v>0</v>
      </c>
      <c r="AP138" s="819">
        <v>0</v>
      </c>
      <c r="AQ138" s="749">
        <v>0</v>
      </c>
      <c r="AR138" s="779">
        <f t="shared" si="291"/>
        <v>0</v>
      </c>
      <c r="AS138" s="819">
        <f t="shared" si="291"/>
        <v>0</v>
      </c>
      <c r="AT138" s="799">
        <v>0</v>
      </c>
      <c r="AU138" s="975">
        <v>0</v>
      </c>
      <c r="AV138" s="970">
        <v>0</v>
      </c>
      <c r="AW138" s="799">
        <v>0</v>
      </c>
      <c r="AX138" s="779">
        <f t="shared" si="292"/>
        <v>0</v>
      </c>
      <c r="AY138" s="819">
        <f t="shared" si="293"/>
        <v>0</v>
      </c>
      <c r="AZ138" s="799">
        <v>0</v>
      </c>
      <c r="BA138" s="779">
        <v>0</v>
      </c>
      <c r="BB138" s="819">
        <v>0</v>
      </c>
      <c r="BC138" s="799">
        <v>0</v>
      </c>
      <c r="BD138" s="779">
        <f t="shared" si="294"/>
        <v>0</v>
      </c>
      <c r="BE138" s="819">
        <f t="shared" si="294"/>
        <v>0</v>
      </c>
      <c r="BF138" s="799">
        <v>0</v>
      </c>
      <c r="BG138" s="779">
        <v>0</v>
      </c>
      <c r="BH138" s="819">
        <v>0</v>
      </c>
      <c r="BI138" s="799">
        <v>0</v>
      </c>
      <c r="BJ138" s="779">
        <f t="shared" si="295"/>
        <v>0</v>
      </c>
      <c r="BK138" s="819">
        <f t="shared" si="295"/>
        <v>0</v>
      </c>
      <c r="BL138" s="799">
        <v>0</v>
      </c>
      <c r="BM138" s="779">
        <v>0</v>
      </c>
      <c r="BN138" s="819">
        <v>0</v>
      </c>
      <c r="BO138" s="799">
        <v>0</v>
      </c>
      <c r="BP138" s="779">
        <f t="shared" si="296"/>
        <v>0</v>
      </c>
      <c r="BQ138" s="819">
        <f t="shared" si="296"/>
        <v>0</v>
      </c>
      <c r="BR138" s="799">
        <v>0</v>
      </c>
      <c r="BS138" s="779">
        <v>0</v>
      </c>
      <c r="BT138" s="819">
        <v>0</v>
      </c>
      <c r="BU138" s="799">
        <v>0</v>
      </c>
    </row>
    <row r="139" spans="1:73">
      <c r="A139" s="4"/>
      <c r="B139" s="43" t="s">
        <v>24</v>
      </c>
      <c r="C139" s="44">
        <f t="shared" ref="C139:L139" si="310">C140-SUM(C124:C138)</f>
        <v>438</v>
      </c>
      <c r="D139" s="44">
        <f t="shared" si="310"/>
        <v>570</v>
      </c>
      <c r="E139" s="44">
        <f t="shared" si="310"/>
        <v>233</v>
      </c>
      <c r="F139" s="44">
        <f t="shared" si="310"/>
        <v>270</v>
      </c>
      <c r="G139" s="44">
        <f t="shared" si="310"/>
        <v>134</v>
      </c>
      <c r="H139" s="44">
        <f t="shared" si="310"/>
        <v>275</v>
      </c>
      <c r="I139" s="44">
        <f t="shared" si="310"/>
        <v>182</v>
      </c>
      <c r="J139" s="44">
        <f t="shared" si="310"/>
        <v>155</v>
      </c>
      <c r="K139" s="383">
        <f t="shared" si="310"/>
        <v>8</v>
      </c>
      <c r="L139" s="390">
        <f t="shared" si="310"/>
        <v>11</v>
      </c>
      <c r="M139" s="242">
        <f>ROUND(((L139/K139-1)*100), 1)</f>
        <v>37.5</v>
      </c>
      <c r="N139" s="383">
        <f>N140-SUM(N124:N138)</f>
        <v>6</v>
      </c>
      <c r="O139" s="390">
        <f>O140-SUM(O124:O138)</f>
        <v>5</v>
      </c>
      <c r="P139" s="242">
        <f>ROUND(((O139/N139-1)*100), 1)</f>
        <v>-16.7</v>
      </c>
      <c r="Q139" s="383">
        <f>Q140-SUM(Q124:Q138)</f>
        <v>14</v>
      </c>
      <c r="R139" s="390">
        <f>R140-SUM(R124:R138)</f>
        <v>16</v>
      </c>
      <c r="S139" s="242">
        <f>ROUND(((R139/Q139-1)*100), 1)</f>
        <v>14.3</v>
      </c>
      <c r="T139" s="383">
        <f>T140-SUM(T124:T138)</f>
        <v>1</v>
      </c>
      <c r="U139" s="390">
        <f>U140-SUM(U124:U138)</f>
        <v>9</v>
      </c>
      <c r="V139" s="242">
        <f>ROUND(((U139/T139-1)*100), 1)</f>
        <v>800</v>
      </c>
      <c r="W139" s="383">
        <f>W140-SUM(W124:W138)</f>
        <v>15</v>
      </c>
      <c r="X139" s="390">
        <f>X140-SUM(X124:X138)</f>
        <v>25</v>
      </c>
      <c r="Y139" s="242">
        <f>ROUND(((X139/W139-1)*100), 1)</f>
        <v>66.7</v>
      </c>
      <c r="Z139" s="527">
        <f>Z140-SUM(Z124:Z138)</f>
        <v>38</v>
      </c>
      <c r="AA139" s="390">
        <f>AA140-SUM(AA124:AA138)</f>
        <v>7</v>
      </c>
      <c r="AB139" s="242">
        <f>ROUND(((AA139/Z139-1)*100), 1)</f>
        <v>-81.599999999999994</v>
      </c>
      <c r="AC139" s="527">
        <f>AC140-SUM(AC124:AC138)</f>
        <v>53</v>
      </c>
      <c r="AD139" s="390">
        <f>AD140-SUM(AD124:AD138)</f>
        <v>32</v>
      </c>
      <c r="AE139" s="242">
        <f>ROUND(((AD139/AC139-1)*100), 1)</f>
        <v>-39.6</v>
      </c>
      <c r="AF139" s="527">
        <f>AF140-SUM(AF124:AF138)</f>
        <v>1</v>
      </c>
      <c r="AG139" s="390">
        <f>AG140-SUM(AG124:AG138)</f>
        <v>19</v>
      </c>
      <c r="AH139" s="242">
        <f>ROUND(((AG139/AF139-1)*100), 1)</f>
        <v>1800</v>
      </c>
      <c r="AI139" s="527">
        <f>AI140-SUM(AI124:AI138)</f>
        <v>54</v>
      </c>
      <c r="AJ139" s="390">
        <f>AJ140-SUM(AJ124:AJ138)</f>
        <v>51</v>
      </c>
      <c r="AK139" s="242">
        <f>ROUND(((AJ139/AI139-1)*100), 1)</f>
        <v>-5.6</v>
      </c>
      <c r="AL139" s="766">
        <f>AL140-SUM(AL124:AL138)</f>
        <v>6</v>
      </c>
      <c r="AM139" s="769">
        <f>AM140-SUM(AM124:AM138)</f>
        <v>6</v>
      </c>
      <c r="AN139" s="753">
        <f>ROUND(((AM139/AL139-1)*100), 1)</f>
        <v>0</v>
      </c>
      <c r="AO139" s="817">
        <f>AO140-SUM(AO124:AO138)</f>
        <v>60</v>
      </c>
      <c r="AP139" s="819">
        <f>AP140-SUM(AP124:AP138)</f>
        <v>57</v>
      </c>
      <c r="AQ139" s="753">
        <f>ROUND(((AP139/AO139-1)*100), 1)</f>
        <v>-5</v>
      </c>
      <c r="AR139" s="817">
        <f>AR140-SUM(AR124:AR138)</f>
        <v>23</v>
      </c>
      <c r="AS139" s="819">
        <f>AS140-SUM(AS124:AS138)</f>
        <v>63</v>
      </c>
      <c r="AT139" s="753">
        <f>ROUND(((AS139/AR139-1)*100), 1)</f>
        <v>173.9</v>
      </c>
      <c r="AU139" s="969">
        <f>AU140-SUM(AU124:AU138)</f>
        <v>83</v>
      </c>
      <c r="AV139" s="970">
        <f>AV140-SUM(AV124:AV138)</f>
        <v>120</v>
      </c>
      <c r="AW139" s="753">
        <f>ROUND(((AV139/AU139-1)*100), 1)</f>
        <v>44.6</v>
      </c>
      <c r="AX139" s="817">
        <f>AX140-SUM(AX124:AX138)</f>
        <v>15</v>
      </c>
      <c r="AY139" s="819">
        <f>AY140-SUM(AY124:AY138)</f>
        <v>10</v>
      </c>
      <c r="AZ139" s="753">
        <f>ROUND(((AY139/AX139-1)*100), 1)</f>
        <v>-33.299999999999997</v>
      </c>
      <c r="BA139" s="817">
        <f>BA140-SUM(BA124:BA138)</f>
        <v>98</v>
      </c>
      <c r="BB139" s="819">
        <f>BB140-SUM(BB124:BB138)</f>
        <v>130</v>
      </c>
      <c r="BC139" s="753">
        <f>ROUND(((BB139/BA139-1)*100), 1)</f>
        <v>32.700000000000003</v>
      </c>
      <c r="BD139" s="817">
        <f>BD140-SUM(BD124:BD138)</f>
        <v>19</v>
      </c>
      <c r="BE139" s="819">
        <f>BE140-SUM(BE124:BE138)</f>
        <v>60</v>
      </c>
      <c r="BF139" s="753">
        <f>ROUND(((BE139/BD139-1)*100), 1)</f>
        <v>215.8</v>
      </c>
      <c r="BG139" s="817">
        <f>BG140-SUM(BG124:BG138)</f>
        <v>117</v>
      </c>
      <c r="BH139" s="819">
        <f>BH140-SUM(BH124:BH138)</f>
        <v>190</v>
      </c>
      <c r="BI139" s="753">
        <f>ROUND(((BH139/BG139-1)*100), 1)</f>
        <v>62.4</v>
      </c>
      <c r="BJ139" s="817">
        <f>BJ140-SUM(BJ124:BJ138)</f>
        <v>11</v>
      </c>
      <c r="BK139" s="819">
        <f>BK140-SUM(BK124:BK138)</f>
        <v>34</v>
      </c>
      <c r="BL139" s="753">
        <f>ROUND(((BK139/BJ139-1)*100), 1)</f>
        <v>209.1</v>
      </c>
      <c r="BM139" s="817">
        <f>BM140-SUM(BM124:BM138)</f>
        <v>128</v>
      </c>
      <c r="BN139" s="819">
        <f>BN140-SUM(BN124:BN138)</f>
        <v>224</v>
      </c>
      <c r="BO139" s="753">
        <f>ROUND(((BN139/BM139-1)*100), 1)</f>
        <v>75</v>
      </c>
      <c r="BP139" s="817">
        <f>BP140-SUM(BP124:BP138)</f>
        <v>21</v>
      </c>
      <c r="BQ139" s="819">
        <f>BQ140-SUM(BQ124:BQ138)</f>
        <v>3</v>
      </c>
      <c r="BR139" s="753">
        <f>ROUND(((BQ139/BP139-1)*100), 1)</f>
        <v>-85.7</v>
      </c>
      <c r="BS139" s="817">
        <f>BS140-SUM(BS124:BS138)</f>
        <v>149</v>
      </c>
      <c r="BT139" s="819">
        <f>BT140-SUM(BT124:BT138)</f>
        <v>227</v>
      </c>
      <c r="BU139" s="753">
        <f>ROUND(((BT139/BS139-1)*100), 1)</f>
        <v>52.3</v>
      </c>
    </row>
    <row r="140" spans="1:73">
      <c r="A140" s="9"/>
      <c r="B140" s="67" t="s">
        <v>108</v>
      </c>
      <c r="C140" s="46">
        <v>3534</v>
      </c>
      <c r="D140" s="46">
        <v>4313</v>
      </c>
      <c r="E140" s="46">
        <v>6562</v>
      </c>
      <c r="F140" s="46">
        <v>8331</v>
      </c>
      <c r="G140" s="46">
        <v>8741</v>
      </c>
      <c r="H140" s="46">
        <v>8837</v>
      </c>
      <c r="I140" s="46">
        <v>7823</v>
      </c>
      <c r="J140" s="46">
        <v>11317</v>
      </c>
      <c r="K140" s="281">
        <v>840</v>
      </c>
      <c r="L140" s="295">
        <v>1134</v>
      </c>
      <c r="M140" s="243">
        <f>ROUND(((L140/K140-1)*100), 1)</f>
        <v>35</v>
      </c>
      <c r="N140" s="281">
        <f>Q140-K140</f>
        <v>532</v>
      </c>
      <c r="O140" s="295">
        <f>R140-L140</f>
        <v>1004</v>
      </c>
      <c r="P140" s="243">
        <f>ROUND(((O140/N140-1)*100), 1)</f>
        <v>88.7</v>
      </c>
      <c r="Q140" s="281">
        <v>1372</v>
      </c>
      <c r="R140" s="295">
        <v>2138</v>
      </c>
      <c r="S140" s="243">
        <f>ROUND(((R140/Q140-1)*100), 1)</f>
        <v>55.8</v>
      </c>
      <c r="T140" s="281">
        <f>W140-Q140</f>
        <v>1074</v>
      </c>
      <c r="U140" s="295">
        <f>X140-R140</f>
        <v>1325</v>
      </c>
      <c r="V140" s="243">
        <f>ROUND(((U140/T140-1)*100), 1)</f>
        <v>23.4</v>
      </c>
      <c r="W140" s="281">
        <v>2446</v>
      </c>
      <c r="X140" s="295">
        <v>3463</v>
      </c>
      <c r="Y140" s="243">
        <f>ROUND(((X140/W140-1)*100), 1)</f>
        <v>41.6</v>
      </c>
      <c r="Z140" s="281">
        <f>AC140-W140</f>
        <v>907</v>
      </c>
      <c r="AA140" s="295">
        <f>AD140-X140</f>
        <v>1172</v>
      </c>
      <c r="AB140" s="243">
        <f>ROUND(((AA140/Z140-1)*100), 1)</f>
        <v>29.2</v>
      </c>
      <c r="AC140" s="281">
        <v>3353</v>
      </c>
      <c r="AD140" s="295">
        <v>4635</v>
      </c>
      <c r="AE140" s="243">
        <f>ROUND(((AD140/AC140-1)*100), 1)</f>
        <v>38.200000000000003</v>
      </c>
      <c r="AF140" s="281">
        <f>AI140-AC140</f>
        <v>1114</v>
      </c>
      <c r="AG140" s="295">
        <f>AJ140-AD140</f>
        <v>1414</v>
      </c>
      <c r="AH140" s="243">
        <f>ROUND(((AG140/AF140-1)*100), 1)</f>
        <v>26.9</v>
      </c>
      <c r="AI140" s="281">
        <v>4467</v>
      </c>
      <c r="AJ140" s="295">
        <v>6049</v>
      </c>
      <c r="AK140" s="243">
        <f>ROUND(((AJ140/AI140-1)*100), 1)</f>
        <v>35.4</v>
      </c>
      <c r="AL140" s="760">
        <f>AO140-AI140</f>
        <v>933</v>
      </c>
      <c r="AM140" s="763">
        <f>AP140-AJ140</f>
        <v>1576</v>
      </c>
      <c r="AN140" s="754">
        <f>ROUND(((AM140/AL140-1)*100), 1)</f>
        <v>68.900000000000006</v>
      </c>
      <c r="AO140" s="760">
        <v>5400</v>
      </c>
      <c r="AP140" s="808">
        <v>7625</v>
      </c>
      <c r="AQ140" s="754">
        <f>ROUND(((AP140/AO140-1)*100), 1)</f>
        <v>41.2</v>
      </c>
      <c r="AR140" s="760">
        <f>AU140-AO140</f>
        <v>1065</v>
      </c>
      <c r="AS140" s="808">
        <f>AV140-AP140</f>
        <v>1279</v>
      </c>
      <c r="AT140" s="754">
        <f>ROUND(((AS140/AR140-1)*100), 1)</f>
        <v>20.100000000000001</v>
      </c>
      <c r="AU140" s="986">
        <v>6465</v>
      </c>
      <c r="AV140" s="972">
        <v>8904</v>
      </c>
      <c r="AW140" s="754">
        <f>ROUND(((AV140/AU140-1)*100), 1)</f>
        <v>37.700000000000003</v>
      </c>
      <c r="AX140" s="760">
        <f>BA140-AU140</f>
        <v>1219</v>
      </c>
      <c r="AY140" s="808">
        <f>BB140-AV140</f>
        <v>1429</v>
      </c>
      <c r="AZ140" s="754">
        <f>ROUND(((AY140/AX140-1)*100), 1)</f>
        <v>17.2</v>
      </c>
      <c r="BA140" s="760">
        <v>7684</v>
      </c>
      <c r="BB140" s="808">
        <v>10333</v>
      </c>
      <c r="BC140" s="754">
        <f>ROUND(((BB140/BA140-1)*100), 1)</f>
        <v>34.5</v>
      </c>
      <c r="BD140" s="760">
        <f>BG140-BA140</f>
        <v>1194</v>
      </c>
      <c r="BE140" s="808">
        <f>BH140-BB140</f>
        <v>1524</v>
      </c>
      <c r="BF140" s="754">
        <f>ROUND(((BE140/BD140-1)*100), 1)</f>
        <v>27.6</v>
      </c>
      <c r="BG140" s="760">
        <v>8878</v>
      </c>
      <c r="BH140" s="808">
        <v>11857</v>
      </c>
      <c r="BI140" s="754">
        <f>ROUND(((BH140/BG140-1)*100), 1)</f>
        <v>33.6</v>
      </c>
      <c r="BJ140" s="760">
        <f>BM140-BG140</f>
        <v>949</v>
      </c>
      <c r="BK140" s="808">
        <f>BN140-BH140</f>
        <v>1368</v>
      </c>
      <c r="BL140" s="754">
        <f>ROUND(((BK140/BJ140-1)*100), 1)</f>
        <v>44.2</v>
      </c>
      <c r="BM140" s="760">
        <v>9827</v>
      </c>
      <c r="BN140" s="808">
        <v>13225</v>
      </c>
      <c r="BO140" s="754">
        <f>ROUND(((BN140/BM140-1)*100), 1)</f>
        <v>34.6</v>
      </c>
      <c r="BP140" s="760">
        <f>BS140-BM140</f>
        <v>719</v>
      </c>
      <c r="BQ140" s="808">
        <f>BT140-BN140</f>
        <v>1494</v>
      </c>
      <c r="BR140" s="754">
        <f>ROUND(((BQ140/BP140-1)*100), 1)</f>
        <v>107.8</v>
      </c>
      <c r="BS140" s="760">
        <v>10546</v>
      </c>
      <c r="BT140" s="808">
        <v>14719</v>
      </c>
      <c r="BU140" s="754">
        <f>ROUND(((BT140/BS140-1)*100), 1)</f>
        <v>39.6</v>
      </c>
    </row>
    <row r="141" spans="1:73">
      <c r="A141" s="112" t="s">
        <v>118</v>
      </c>
      <c r="M141" s="273"/>
    </row>
    <row r="142" spans="1:73">
      <c r="M142" s="273"/>
    </row>
    <row r="143" spans="1:73">
      <c r="A143" s="216" t="s">
        <v>307</v>
      </c>
      <c r="B143" s="84"/>
      <c r="C143" s="83"/>
      <c r="D143" s="83"/>
      <c r="E143" s="83"/>
      <c r="F143" s="83"/>
      <c r="G143" s="83"/>
      <c r="I143" s="83"/>
      <c r="J143" s="280" t="s">
        <v>258</v>
      </c>
      <c r="K143" s="280"/>
      <c r="L143" s="280"/>
      <c r="M143" s="278"/>
      <c r="N143" s="280"/>
      <c r="O143" s="280"/>
      <c r="P143" s="278"/>
      <c r="Q143" s="280"/>
      <c r="R143" s="280"/>
      <c r="S143" s="278"/>
      <c r="T143" s="280"/>
      <c r="U143" s="280"/>
      <c r="V143" s="278"/>
      <c r="W143" s="280"/>
      <c r="X143" s="280"/>
      <c r="Y143" s="278"/>
      <c r="Z143" s="280"/>
      <c r="AA143" s="280"/>
      <c r="AB143" s="278"/>
      <c r="AC143" s="280"/>
      <c r="AD143" s="280"/>
      <c r="AE143" s="278"/>
      <c r="AF143" s="280"/>
      <c r="AG143" s="280"/>
      <c r="AH143" s="278"/>
      <c r="AI143" s="280"/>
      <c r="AJ143" s="280"/>
      <c r="AK143" s="278"/>
      <c r="AL143" s="747"/>
      <c r="AM143" s="747"/>
      <c r="AN143" s="759"/>
      <c r="AO143" s="747"/>
      <c r="AP143" s="747"/>
      <c r="AQ143" s="759"/>
      <c r="AR143" s="747"/>
      <c r="AS143" s="747"/>
      <c r="AT143" s="759"/>
      <c r="AU143" s="962"/>
      <c r="AV143" s="962"/>
      <c r="AW143" s="759"/>
      <c r="AX143" s="747"/>
      <c r="AY143" s="747"/>
      <c r="AZ143" s="759"/>
      <c r="BA143" s="747"/>
      <c r="BB143" s="747"/>
      <c r="BC143" s="759"/>
      <c r="BD143" s="747"/>
      <c r="BE143" s="747"/>
      <c r="BF143" s="759"/>
      <c r="BG143" s="747"/>
      <c r="BH143" s="747"/>
      <c r="BI143" s="759"/>
      <c r="BJ143" s="747"/>
      <c r="BK143" s="747"/>
      <c r="BL143" s="759"/>
      <c r="BM143" s="747"/>
      <c r="BN143" s="747"/>
      <c r="BO143" s="759"/>
      <c r="BP143" s="747"/>
      <c r="BQ143" s="747"/>
      <c r="BR143" s="759"/>
      <c r="BS143" s="747"/>
      <c r="BT143" s="747"/>
      <c r="BU143" s="759"/>
    </row>
    <row r="144" spans="1:73">
      <c r="B144" s="30"/>
      <c r="C144" s="75"/>
      <c r="D144" s="75"/>
      <c r="E144" s="75"/>
      <c r="F144" s="75"/>
      <c r="G144" s="75"/>
      <c r="H144" s="75"/>
      <c r="I144" s="279"/>
      <c r="J144" s="279"/>
      <c r="K144" s="279"/>
      <c r="L144" s="279"/>
      <c r="M144" s="274" t="s">
        <v>94</v>
      </c>
      <c r="N144" s="279"/>
      <c r="O144" s="279"/>
      <c r="P144" s="274"/>
      <c r="Q144" s="279"/>
      <c r="R144" s="279"/>
      <c r="S144" s="274" t="s">
        <v>94</v>
      </c>
      <c r="T144" s="279"/>
      <c r="U144" s="279"/>
      <c r="V144" s="274"/>
      <c r="W144" s="279"/>
      <c r="X144" s="279"/>
      <c r="Y144" s="274" t="s">
        <v>94</v>
      </c>
      <c r="Z144" s="279"/>
      <c r="AA144" s="279"/>
      <c r="AB144" s="274"/>
      <c r="AC144" s="279"/>
      <c r="AD144" s="279"/>
      <c r="AE144" s="274" t="s">
        <v>94</v>
      </c>
      <c r="AF144" s="279"/>
      <c r="AG144" s="279"/>
      <c r="AH144" s="274"/>
      <c r="AI144" s="279"/>
      <c r="AJ144" s="279"/>
      <c r="AK144" s="274" t="s">
        <v>94</v>
      </c>
      <c r="AL144" s="746"/>
      <c r="AM144" s="746"/>
      <c r="AN144" s="755"/>
      <c r="AO144" s="746"/>
      <c r="AP144" s="746"/>
      <c r="AQ144" s="755" t="s">
        <v>94</v>
      </c>
      <c r="AR144" s="746"/>
      <c r="AS144" s="746"/>
      <c r="AT144" s="755"/>
      <c r="AU144" s="961"/>
      <c r="AV144" s="961"/>
      <c r="AW144" s="755" t="s">
        <v>94</v>
      </c>
      <c r="AX144" s="746"/>
      <c r="AY144" s="746"/>
      <c r="AZ144" s="755"/>
      <c r="BA144" s="746"/>
      <c r="BB144" s="746"/>
      <c r="BC144" s="755" t="s">
        <v>94</v>
      </c>
      <c r="BD144" s="746"/>
      <c r="BE144" s="746"/>
      <c r="BF144" s="755"/>
      <c r="BG144" s="746"/>
      <c r="BH144" s="746"/>
      <c r="BI144" s="755" t="s">
        <v>94</v>
      </c>
      <c r="BJ144" s="746"/>
      <c r="BK144" s="746"/>
      <c r="BL144" s="755"/>
      <c r="BM144" s="746"/>
      <c r="BN144" s="746"/>
      <c r="BO144" s="755" t="s">
        <v>94</v>
      </c>
      <c r="BP144" s="746"/>
      <c r="BQ144" s="746"/>
      <c r="BR144" s="755"/>
      <c r="BS144" s="746"/>
      <c r="BT144" s="746"/>
      <c r="BU144" s="755" t="s">
        <v>94</v>
      </c>
    </row>
    <row r="145" spans="1:73">
      <c r="A145" s="1082" t="s">
        <v>95</v>
      </c>
      <c r="B145" s="1082"/>
      <c r="C145" s="1170" t="s">
        <v>3</v>
      </c>
      <c r="D145" s="1170" t="s">
        <v>4</v>
      </c>
      <c r="E145" s="1170" t="s">
        <v>5</v>
      </c>
      <c r="F145" s="1170" t="s">
        <v>6</v>
      </c>
      <c r="G145" s="1170" t="s">
        <v>7</v>
      </c>
      <c r="H145" s="1170" t="s">
        <v>81</v>
      </c>
      <c r="I145" s="1170" t="s">
        <v>83</v>
      </c>
      <c r="J145" s="1172" t="s">
        <v>315</v>
      </c>
      <c r="K145" s="1180" t="s">
        <v>40</v>
      </c>
      <c r="L145" s="1115"/>
      <c r="M145" s="1082"/>
      <c r="N145" s="1155" t="s">
        <v>505</v>
      </c>
      <c r="O145" s="1156"/>
      <c r="P145" s="1157"/>
      <c r="Q145" s="1155" t="s">
        <v>506</v>
      </c>
      <c r="R145" s="1156"/>
      <c r="S145" s="1157"/>
      <c r="T145" s="1155" t="s">
        <v>513</v>
      </c>
      <c r="U145" s="1156"/>
      <c r="V145" s="1157"/>
      <c r="W145" s="1155" t="s">
        <v>514</v>
      </c>
      <c r="X145" s="1156"/>
      <c r="Y145" s="1157"/>
      <c r="Z145" s="1155" t="s">
        <v>531</v>
      </c>
      <c r="AA145" s="1156"/>
      <c r="AB145" s="1157"/>
      <c r="AC145" s="1155" t="s">
        <v>533</v>
      </c>
      <c r="AD145" s="1156"/>
      <c r="AE145" s="1157"/>
      <c r="AF145" s="1155" t="s">
        <v>555</v>
      </c>
      <c r="AG145" s="1156"/>
      <c r="AH145" s="1157"/>
      <c r="AI145" s="1155" t="s">
        <v>556</v>
      </c>
      <c r="AJ145" s="1156"/>
      <c r="AK145" s="1157"/>
      <c r="AL145" s="1155" t="s">
        <v>583</v>
      </c>
      <c r="AM145" s="1156"/>
      <c r="AN145" s="1157"/>
      <c r="AO145" s="1155" t="s">
        <v>584</v>
      </c>
      <c r="AP145" s="1156"/>
      <c r="AQ145" s="1157"/>
      <c r="AR145" s="1155" t="s">
        <v>621</v>
      </c>
      <c r="AS145" s="1156"/>
      <c r="AT145" s="1157"/>
      <c r="AU145" s="1155" t="s">
        <v>622</v>
      </c>
      <c r="AV145" s="1156"/>
      <c r="AW145" s="1157"/>
      <c r="AX145" s="1155" t="s">
        <v>626</v>
      </c>
      <c r="AY145" s="1156"/>
      <c r="AZ145" s="1157"/>
      <c r="BA145" s="1155" t="s">
        <v>628</v>
      </c>
      <c r="BB145" s="1156"/>
      <c r="BC145" s="1157"/>
      <c r="BD145" s="1155" t="s">
        <v>650</v>
      </c>
      <c r="BE145" s="1156"/>
      <c r="BF145" s="1157"/>
      <c r="BG145" s="1155" t="s">
        <v>651</v>
      </c>
      <c r="BH145" s="1156"/>
      <c r="BI145" s="1157"/>
      <c r="BJ145" s="1155" t="s">
        <v>676</v>
      </c>
      <c r="BK145" s="1156"/>
      <c r="BL145" s="1157"/>
      <c r="BM145" s="1155" t="s">
        <v>677</v>
      </c>
      <c r="BN145" s="1156"/>
      <c r="BO145" s="1157"/>
      <c r="BP145" s="1155" t="s">
        <v>707</v>
      </c>
      <c r="BQ145" s="1156"/>
      <c r="BR145" s="1157"/>
      <c r="BS145" s="1155" t="s">
        <v>711</v>
      </c>
      <c r="BT145" s="1156"/>
      <c r="BU145" s="1157"/>
    </row>
    <row r="146" spans="1:73">
      <c r="A146" s="1082"/>
      <c r="B146" s="1082"/>
      <c r="C146" s="1170"/>
      <c r="D146" s="1170"/>
      <c r="E146" s="1170"/>
      <c r="F146" s="1170"/>
      <c r="G146" s="1170"/>
      <c r="H146" s="1170"/>
      <c r="I146" s="1170"/>
      <c r="J146" s="1173"/>
      <c r="K146" s="418" t="s">
        <v>445</v>
      </c>
      <c r="L146" s="427" t="s">
        <v>446</v>
      </c>
      <c r="M146" s="277" t="s">
        <v>10</v>
      </c>
      <c r="N146" s="418" t="s">
        <v>445</v>
      </c>
      <c r="O146" s="427" t="s">
        <v>446</v>
      </c>
      <c r="P146" s="277" t="s">
        <v>10</v>
      </c>
      <c r="Q146" s="418" t="s">
        <v>445</v>
      </c>
      <c r="R146" s="427" t="s">
        <v>446</v>
      </c>
      <c r="S146" s="277" t="s">
        <v>10</v>
      </c>
      <c r="T146" s="418" t="s">
        <v>445</v>
      </c>
      <c r="U146" s="427" t="s">
        <v>446</v>
      </c>
      <c r="V146" s="277" t="s">
        <v>10</v>
      </c>
      <c r="W146" s="418" t="s">
        <v>445</v>
      </c>
      <c r="X146" s="427" t="s">
        <v>446</v>
      </c>
      <c r="Y146" s="277" t="s">
        <v>10</v>
      </c>
      <c r="Z146" s="418" t="s">
        <v>445</v>
      </c>
      <c r="AA146" s="427" t="s">
        <v>446</v>
      </c>
      <c r="AB146" s="277" t="s">
        <v>10</v>
      </c>
      <c r="AC146" s="418" t="s">
        <v>445</v>
      </c>
      <c r="AD146" s="427" t="s">
        <v>446</v>
      </c>
      <c r="AE146" s="277" t="s">
        <v>10</v>
      </c>
      <c r="AF146" s="418" t="s">
        <v>445</v>
      </c>
      <c r="AG146" s="427" t="s">
        <v>446</v>
      </c>
      <c r="AH146" s="277" t="s">
        <v>10</v>
      </c>
      <c r="AI146" s="418" t="s">
        <v>445</v>
      </c>
      <c r="AJ146" s="427" t="s">
        <v>446</v>
      </c>
      <c r="AK146" s="277" t="s">
        <v>10</v>
      </c>
      <c r="AL146" s="771" t="s">
        <v>445</v>
      </c>
      <c r="AM146" s="772" t="s">
        <v>446</v>
      </c>
      <c r="AN146" s="757" t="s">
        <v>10</v>
      </c>
      <c r="AO146" s="815" t="s">
        <v>445</v>
      </c>
      <c r="AP146" s="816" t="s">
        <v>446</v>
      </c>
      <c r="AQ146" s="757" t="s">
        <v>10</v>
      </c>
      <c r="AR146" s="815" t="s">
        <v>445</v>
      </c>
      <c r="AS146" s="816" t="s">
        <v>446</v>
      </c>
      <c r="AT146" s="757" t="s">
        <v>10</v>
      </c>
      <c r="AU146" s="996" t="s">
        <v>445</v>
      </c>
      <c r="AV146" s="1009" t="s">
        <v>446</v>
      </c>
      <c r="AW146" s="757" t="s">
        <v>10</v>
      </c>
      <c r="AX146" s="815" t="s">
        <v>445</v>
      </c>
      <c r="AY146" s="816" t="s">
        <v>446</v>
      </c>
      <c r="AZ146" s="757" t="s">
        <v>10</v>
      </c>
      <c r="BA146" s="815" t="s">
        <v>445</v>
      </c>
      <c r="BB146" s="816" t="s">
        <v>446</v>
      </c>
      <c r="BC146" s="757" t="s">
        <v>10</v>
      </c>
      <c r="BD146" s="815" t="s">
        <v>669</v>
      </c>
      <c r="BE146" s="816" t="s">
        <v>671</v>
      </c>
      <c r="BF146" s="757" t="s">
        <v>10</v>
      </c>
      <c r="BG146" s="815" t="s">
        <v>669</v>
      </c>
      <c r="BH146" s="816" t="s">
        <v>671</v>
      </c>
      <c r="BI146" s="757" t="s">
        <v>10</v>
      </c>
      <c r="BJ146" s="815" t="s">
        <v>696</v>
      </c>
      <c r="BK146" s="816" t="s">
        <v>699</v>
      </c>
      <c r="BL146" s="757" t="s">
        <v>10</v>
      </c>
      <c r="BM146" s="815" t="s">
        <v>698</v>
      </c>
      <c r="BN146" s="816" t="s">
        <v>697</v>
      </c>
      <c r="BO146" s="757" t="s">
        <v>10</v>
      </c>
      <c r="BP146" s="815" t="s">
        <v>445</v>
      </c>
      <c r="BQ146" s="816" t="s">
        <v>446</v>
      </c>
      <c r="BR146" s="757" t="s">
        <v>10</v>
      </c>
      <c r="BS146" s="815" t="s">
        <v>748</v>
      </c>
      <c r="BT146" s="816" t="s">
        <v>446</v>
      </c>
      <c r="BU146" s="757" t="s">
        <v>10</v>
      </c>
    </row>
    <row r="147" spans="1:73">
      <c r="A147" s="8"/>
      <c r="B147" s="85" t="s">
        <v>54</v>
      </c>
      <c r="C147" s="66">
        <v>11753</v>
      </c>
      <c r="D147" s="66">
        <v>11153</v>
      </c>
      <c r="E147" s="66">
        <v>9406</v>
      </c>
      <c r="F147" s="66">
        <v>8379</v>
      </c>
      <c r="G147" s="66">
        <v>7431</v>
      </c>
      <c r="H147" s="66">
        <v>6584</v>
      </c>
      <c r="I147" s="66">
        <v>5773</v>
      </c>
      <c r="J147" s="66">
        <v>5834</v>
      </c>
      <c r="K147" s="282">
        <v>548</v>
      </c>
      <c r="L147" s="389">
        <v>540</v>
      </c>
      <c r="M147" s="475">
        <f t="shared" ref="M147:M166" si="311">ROUND(((L147/K147-1)*100), 1)</f>
        <v>-1.5</v>
      </c>
      <c r="N147" s="282">
        <f t="shared" ref="N147:N167" si="312">Q147-K147</f>
        <v>431</v>
      </c>
      <c r="O147" s="389">
        <f t="shared" ref="O147:O167" si="313">R147-L147</f>
        <v>459</v>
      </c>
      <c r="P147" s="475">
        <f t="shared" ref="P147:P163" si="314">ROUND(((O147/N147-1)*100), 1)</f>
        <v>6.5</v>
      </c>
      <c r="Q147" s="282">
        <v>979</v>
      </c>
      <c r="R147" s="389">
        <v>999</v>
      </c>
      <c r="S147" s="475">
        <f t="shared" ref="S147:S163" si="315">ROUND(((R147/Q147-1)*100), 1)</f>
        <v>2</v>
      </c>
      <c r="T147" s="282">
        <f t="shared" ref="T147:T167" si="316">W147-Q147</f>
        <v>507</v>
      </c>
      <c r="U147" s="389">
        <f t="shared" ref="U147:U167" si="317">X147-R147</f>
        <v>540</v>
      </c>
      <c r="V147" s="475">
        <f t="shared" ref="V147:V163" si="318">ROUND(((U147/T147-1)*100), 1)</f>
        <v>6.5</v>
      </c>
      <c r="W147" s="282">
        <v>1486</v>
      </c>
      <c r="X147" s="389">
        <v>1539</v>
      </c>
      <c r="Y147" s="475">
        <f t="shared" ref="Y147:Y163" si="319">ROUND(((X147/W147-1)*100), 1)</f>
        <v>3.6</v>
      </c>
      <c r="Z147" s="282">
        <f t="shared" ref="Z147:Z167" si="320">AC147-W147</f>
        <v>387</v>
      </c>
      <c r="AA147" s="389">
        <f t="shared" ref="AA147:AA167" si="321">AD147-X147</f>
        <v>538</v>
      </c>
      <c r="AB147" s="475">
        <f t="shared" ref="AB147:AB163" si="322">ROUND(((AA147/Z147-1)*100), 1)</f>
        <v>39</v>
      </c>
      <c r="AC147" s="282">
        <v>1873</v>
      </c>
      <c r="AD147" s="389">
        <v>2077</v>
      </c>
      <c r="AE147" s="475">
        <f t="shared" ref="AE147:AE163" si="323">ROUND(((AD147/AC147-1)*100), 1)</f>
        <v>10.9</v>
      </c>
      <c r="AF147" s="282">
        <f t="shared" ref="AF147:AG167" si="324">AI147-AC147</f>
        <v>404</v>
      </c>
      <c r="AG147" s="389">
        <f t="shared" si="324"/>
        <v>495</v>
      </c>
      <c r="AH147" s="475">
        <f t="shared" ref="AH147:AH163" si="325">ROUND(((AG147/AF147-1)*100), 1)</f>
        <v>22.5</v>
      </c>
      <c r="AI147" s="282">
        <v>2277</v>
      </c>
      <c r="AJ147" s="389">
        <v>2572</v>
      </c>
      <c r="AK147" s="475">
        <f t="shared" ref="AK147:AK163" si="326">ROUND(((AJ147/AI147-1)*100), 1)</f>
        <v>13</v>
      </c>
      <c r="AL147" s="761">
        <f t="shared" ref="AL147:AL167" si="327">AO147-AI147</f>
        <v>358</v>
      </c>
      <c r="AM147" s="768">
        <f t="shared" ref="AM147:AM167" si="328">AP147-AJ147</f>
        <v>606</v>
      </c>
      <c r="AN147" s="775">
        <f t="shared" ref="AN147:AN163" si="329">ROUND(((AM147/AL147-1)*100), 1)</f>
        <v>69.3</v>
      </c>
      <c r="AO147" s="778">
        <v>2635</v>
      </c>
      <c r="AP147" s="812">
        <v>3178</v>
      </c>
      <c r="AQ147" s="775">
        <f t="shared" ref="AQ147:AQ163" si="330">ROUND(((AP147/AO147-1)*100), 1)</f>
        <v>20.6</v>
      </c>
      <c r="AR147" s="778">
        <f t="shared" ref="AR147:AS167" si="331">AU147-AO147</f>
        <v>526</v>
      </c>
      <c r="AS147" s="812">
        <f t="shared" si="331"/>
        <v>629</v>
      </c>
      <c r="AT147" s="775">
        <f t="shared" ref="AT147:AT163" si="332">ROUND(((AS147/AR147-1)*100), 1)</f>
        <v>19.600000000000001</v>
      </c>
      <c r="AU147" s="1024">
        <v>3161</v>
      </c>
      <c r="AV147" s="974">
        <v>3807</v>
      </c>
      <c r="AW147" s="775">
        <f t="shared" ref="AW147:AW163" si="333">ROUND(((AV147/AU147-1)*100), 1)</f>
        <v>20.399999999999999</v>
      </c>
      <c r="AX147" s="778">
        <f t="shared" ref="AX147:AX167" si="334">BA147-AU147</f>
        <v>502</v>
      </c>
      <c r="AY147" s="812">
        <f t="shared" ref="AY147:AY167" si="335">BB147-AV147</f>
        <v>667</v>
      </c>
      <c r="AZ147" s="775">
        <f t="shared" ref="AZ147:AZ164" si="336">ROUND(((AY147/AX147-1)*100), 1)</f>
        <v>32.9</v>
      </c>
      <c r="BA147" s="778">
        <v>3663</v>
      </c>
      <c r="BB147" s="812">
        <v>4474</v>
      </c>
      <c r="BC147" s="775">
        <f t="shared" ref="BC147:BC163" si="337">ROUND(((BB147/BA147-1)*100), 1)</f>
        <v>22.1</v>
      </c>
      <c r="BD147" s="778">
        <f t="shared" ref="BD147:BE167" si="338">BG147-BA147</f>
        <v>499</v>
      </c>
      <c r="BE147" s="812">
        <f t="shared" si="338"/>
        <v>734</v>
      </c>
      <c r="BF147" s="775">
        <f t="shared" ref="BF147:BF163" si="339">ROUND(((BE147/BD147-1)*100), 1)</f>
        <v>47.1</v>
      </c>
      <c r="BG147" s="778">
        <v>4162</v>
      </c>
      <c r="BH147" s="812">
        <v>5208</v>
      </c>
      <c r="BI147" s="775">
        <f t="shared" ref="BI147:BI163" si="340">ROUND(((BH147/BG147-1)*100), 1)</f>
        <v>25.1</v>
      </c>
      <c r="BJ147" s="778">
        <f t="shared" ref="BJ147:BK167" si="341">BM147-BG147</f>
        <v>547</v>
      </c>
      <c r="BK147" s="812">
        <f t="shared" si="341"/>
        <v>713</v>
      </c>
      <c r="BL147" s="775">
        <f t="shared" ref="BL147:BL160" si="342">ROUND(((BK147/BJ147-1)*100), 1)</f>
        <v>30.3</v>
      </c>
      <c r="BM147" s="778">
        <v>4709</v>
      </c>
      <c r="BN147" s="812">
        <v>5921</v>
      </c>
      <c r="BO147" s="775">
        <f t="shared" ref="BO147:BO163" si="343">ROUND(((BN147/BM147-1)*100), 1)</f>
        <v>25.7</v>
      </c>
      <c r="BP147" s="778">
        <f t="shared" ref="BP147:BQ167" si="344">BS147-BM147</f>
        <v>579</v>
      </c>
      <c r="BQ147" s="812">
        <f t="shared" si="344"/>
        <v>630</v>
      </c>
      <c r="BR147" s="775">
        <f t="shared" ref="BR147:BR161" si="345">ROUND(((BQ147/BP147-1)*100), 1)</f>
        <v>8.8000000000000007</v>
      </c>
      <c r="BS147" s="778">
        <v>5288</v>
      </c>
      <c r="BT147" s="812">
        <v>6551</v>
      </c>
      <c r="BU147" s="775">
        <f t="shared" ref="BU147:BU163" si="346">ROUND(((BT147/BS147-1)*100), 1)</f>
        <v>23.9</v>
      </c>
    </row>
    <row r="148" spans="1:73">
      <c r="A148" s="4" t="s">
        <v>121</v>
      </c>
      <c r="B148" s="43" t="s">
        <v>50</v>
      </c>
      <c r="C148" s="44">
        <v>2475</v>
      </c>
      <c r="D148" s="44">
        <v>1661</v>
      </c>
      <c r="E148" s="44">
        <v>1680</v>
      </c>
      <c r="F148" s="44">
        <v>2013</v>
      </c>
      <c r="G148" s="44">
        <v>2864</v>
      </c>
      <c r="H148" s="44">
        <v>2086</v>
      </c>
      <c r="I148" s="44">
        <v>2079</v>
      </c>
      <c r="J148" s="44">
        <v>1381</v>
      </c>
      <c r="K148" s="283">
        <v>187</v>
      </c>
      <c r="L148" s="390">
        <v>81</v>
      </c>
      <c r="M148" s="242">
        <f t="shared" si="311"/>
        <v>-56.7</v>
      </c>
      <c r="N148" s="283">
        <f t="shared" si="312"/>
        <v>99</v>
      </c>
      <c r="O148" s="390">
        <f t="shared" si="313"/>
        <v>65</v>
      </c>
      <c r="P148" s="242">
        <f t="shared" si="314"/>
        <v>-34.299999999999997</v>
      </c>
      <c r="Q148" s="283">
        <v>286</v>
      </c>
      <c r="R148" s="390">
        <v>146</v>
      </c>
      <c r="S148" s="242">
        <f t="shared" si="315"/>
        <v>-49</v>
      </c>
      <c r="T148" s="283">
        <f t="shared" si="316"/>
        <v>115</v>
      </c>
      <c r="U148" s="390">
        <f t="shared" si="317"/>
        <v>175</v>
      </c>
      <c r="V148" s="242">
        <f t="shared" si="318"/>
        <v>52.2</v>
      </c>
      <c r="W148" s="283">
        <v>401</v>
      </c>
      <c r="X148" s="390">
        <v>321</v>
      </c>
      <c r="Y148" s="242">
        <f t="shared" si="319"/>
        <v>-20</v>
      </c>
      <c r="Z148" s="283">
        <f t="shared" si="320"/>
        <v>166</v>
      </c>
      <c r="AA148" s="390">
        <f t="shared" si="321"/>
        <v>125</v>
      </c>
      <c r="AB148" s="242">
        <f t="shared" si="322"/>
        <v>-24.7</v>
      </c>
      <c r="AC148" s="283">
        <v>567</v>
      </c>
      <c r="AD148" s="390">
        <v>446</v>
      </c>
      <c r="AE148" s="242">
        <f t="shared" si="323"/>
        <v>-21.3</v>
      </c>
      <c r="AF148" s="283">
        <f t="shared" si="324"/>
        <v>134</v>
      </c>
      <c r="AG148" s="390">
        <f t="shared" si="324"/>
        <v>132</v>
      </c>
      <c r="AH148" s="242">
        <f t="shared" si="325"/>
        <v>-1.5</v>
      </c>
      <c r="AI148" s="283">
        <v>701</v>
      </c>
      <c r="AJ148" s="390">
        <v>578</v>
      </c>
      <c r="AK148" s="242">
        <f t="shared" si="326"/>
        <v>-17.5</v>
      </c>
      <c r="AL148" s="762">
        <f t="shared" si="327"/>
        <v>58</v>
      </c>
      <c r="AM148" s="769">
        <f t="shared" si="328"/>
        <v>122</v>
      </c>
      <c r="AN148" s="753">
        <f t="shared" si="329"/>
        <v>110.3</v>
      </c>
      <c r="AO148" s="779">
        <v>759</v>
      </c>
      <c r="AP148" s="819">
        <v>700</v>
      </c>
      <c r="AQ148" s="753">
        <f t="shared" si="330"/>
        <v>-7.8</v>
      </c>
      <c r="AR148" s="779">
        <f t="shared" si="331"/>
        <v>101</v>
      </c>
      <c r="AS148" s="819">
        <f t="shared" si="331"/>
        <v>64</v>
      </c>
      <c r="AT148" s="753">
        <f t="shared" si="332"/>
        <v>-36.6</v>
      </c>
      <c r="AU148" s="975">
        <v>860</v>
      </c>
      <c r="AV148" s="970">
        <v>764</v>
      </c>
      <c r="AW148" s="753">
        <f t="shared" si="333"/>
        <v>-11.2</v>
      </c>
      <c r="AX148" s="779">
        <f t="shared" si="334"/>
        <v>64</v>
      </c>
      <c r="AY148" s="819">
        <f t="shared" si="335"/>
        <v>47</v>
      </c>
      <c r="AZ148" s="753">
        <f t="shared" si="336"/>
        <v>-26.6</v>
      </c>
      <c r="BA148" s="779">
        <v>924</v>
      </c>
      <c r="BB148" s="819">
        <v>811</v>
      </c>
      <c r="BC148" s="753">
        <f t="shared" si="337"/>
        <v>-12.2</v>
      </c>
      <c r="BD148" s="779">
        <f t="shared" si="338"/>
        <v>87</v>
      </c>
      <c r="BE148" s="819">
        <f t="shared" si="338"/>
        <v>88</v>
      </c>
      <c r="BF148" s="753">
        <f t="shared" si="339"/>
        <v>1.1000000000000001</v>
      </c>
      <c r="BG148" s="779">
        <v>1011</v>
      </c>
      <c r="BH148" s="819">
        <v>899</v>
      </c>
      <c r="BI148" s="753">
        <f t="shared" si="340"/>
        <v>-11.1</v>
      </c>
      <c r="BJ148" s="779">
        <f t="shared" si="341"/>
        <v>156</v>
      </c>
      <c r="BK148" s="819">
        <f t="shared" si="341"/>
        <v>67</v>
      </c>
      <c r="BL148" s="753">
        <f t="shared" si="342"/>
        <v>-57.1</v>
      </c>
      <c r="BM148" s="779">
        <v>1167</v>
      </c>
      <c r="BN148" s="819">
        <v>966</v>
      </c>
      <c r="BO148" s="753">
        <f t="shared" si="343"/>
        <v>-17.2</v>
      </c>
      <c r="BP148" s="779">
        <f t="shared" si="344"/>
        <v>91</v>
      </c>
      <c r="BQ148" s="819">
        <f t="shared" si="344"/>
        <v>91</v>
      </c>
      <c r="BR148" s="753">
        <f t="shared" si="345"/>
        <v>0</v>
      </c>
      <c r="BS148" s="779">
        <v>1258</v>
      </c>
      <c r="BT148" s="819">
        <v>1057</v>
      </c>
      <c r="BU148" s="753">
        <f t="shared" si="346"/>
        <v>-16</v>
      </c>
    </row>
    <row r="149" spans="1:73">
      <c r="A149" s="4"/>
      <c r="B149" s="43" t="s">
        <v>53</v>
      </c>
      <c r="C149" s="44">
        <v>1886</v>
      </c>
      <c r="D149" s="44">
        <v>2207</v>
      </c>
      <c r="E149" s="44">
        <v>1896</v>
      </c>
      <c r="F149" s="44">
        <v>1780</v>
      </c>
      <c r="G149" s="44">
        <v>1388</v>
      </c>
      <c r="H149" s="44">
        <v>1239</v>
      </c>
      <c r="I149" s="44">
        <v>1409</v>
      </c>
      <c r="J149" s="44">
        <v>1206</v>
      </c>
      <c r="K149" s="283">
        <v>67</v>
      </c>
      <c r="L149" s="390">
        <v>96</v>
      </c>
      <c r="M149" s="242">
        <f t="shared" si="311"/>
        <v>43.3</v>
      </c>
      <c r="N149" s="283">
        <f t="shared" si="312"/>
        <v>96</v>
      </c>
      <c r="O149" s="390">
        <f t="shared" si="313"/>
        <v>91</v>
      </c>
      <c r="P149" s="242">
        <f t="shared" si="314"/>
        <v>-5.2</v>
      </c>
      <c r="Q149" s="283">
        <v>163</v>
      </c>
      <c r="R149" s="390">
        <v>187</v>
      </c>
      <c r="S149" s="242">
        <f t="shared" si="315"/>
        <v>14.7</v>
      </c>
      <c r="T149" s="283">
        <f t="shared" si="316"/>
        <v>136</v>
      </c>
      <c r="U149" s="390">
        <f t="shared" si="317"/>
        <v>112</v>
      </c>
      <c r="V149" s="242">
        <f t="shared" si="318"/>
        <v>-17.600000000000001</v>
      </c>
      <c r="W149" s="283">
        <v>299</v>
      </c>
      <c r="X149" s="390">
        <v>299</v>
      </c>
      <c r="Y149" s="242">
        <f t="shared" si="319"/>
        <v>0</v>
      </c>
      <c r="Z149" s="283">
        <f t="shared" si="320"/>
        <v>112</v>
      </c>
      <c r="AA149" s="390">
        <f t="shared" si="321"/>
        <v>33</v>
      </c>
      <c r="AB149" s="242">
        <f t="shared" si="322"/>
        <v>-70.5</v>
      </c>
      <c r="AC149" s="283">
        <v>411</v>
      </c>
      <c r="AD149" s="390">
        <v>332</v>
      </c>
      <c r="AE149" s="242">
        <f t="shared" si="323"/>
        <v>-19.2</v>
      </c>
      <c r="AF149" s="283">
        <f t="shared" si="324"/>
        <v>85</v>
      </c>
      <c r="AG149" s="390">
        <f t="shared" si="324"/>
        <v>86</v>
      </c>
      <c r="AH149" s="242">
        <f t="shared" si="325"/>
        <v>1.2</v>
      </c>
      <c r="AI149" s="283">
        <v>496</v>
      </c>
      <c r="AJ149" s="390">
        <v>418</v>
      </c>
      <c r="AK149" s="242">
        <f t="shared" si="326"/>
        <v>-15.7</v>
      </c>
      <c r="AL149" s="762">
        <f t="shared" si="327"/>
        <v>75</v>
      </c>
      <c r="AM149" s="769">
        <f t="shared" si="328"/>
        <v>136</v>
      </c>
      <c r="AN149" s="753">
        <f t="shared" si="329"/>
        <v>81.3</v>
      </c>
      <c r="AO149" s="779">
        <v>571</v>
      </c>
      <c r="AP149" s="819">
        <v>554</v>
      </c>
      <c r="AQ149" s="753">
        <f t="shared" si="330"/>
        <v>-3</v>
      </c>
      <c r="AR149" s="779">
        <f t="shared" si="331"/>
        <v>108</v>
      </c>
      <c r="AS149" s="819">
        <f t="shared" si="331"/>
        <v>166</v>
      </c>
      <c r="AT149" s="753">
        <f t="shared" si="332"/>
        <v>53.7</v>
      </c>
      <c r="AU149" s="975">
        <v>679</v>
      </c>
      <c r="AV149" s="970">
        <v>720</v>
      </c>
      <c r="AW149" s="753">
        <f t="shared" si="333"/>
        <v>6</v>
      </c>
      <c r="AX149" s="779">
        <f t="shared" si="334"/>
        <v>86</v>
      </c>
      <c r="AY149" s="819">
        <f t="shared" si="335"/>
        <v>173</v>
      </c>
      <c r="AZ149" s="753">
        <f t="shared" si="336"/>
        <v>101.2</v>
      </c>
      <c r="BA149" s="779">
        <v>765</v>
      </c>
      <c r="BB149" s="819">
        <v>893</v>
      </c>
      <c r="BC149" s="753">
        <f t="shared" si="337"/>
        <v>16.7</v>
      </c>
      <c r="BD149" s="779">
        <f t="shared" si="338"/>
        <v>84</v>
      </c>
      <c r="BE149" s="819">
        <f t="shared" si="338"/>
        <v>245</v>
      </c>
      <c r="BF149" s="753">
        <f t="shared" si="339"/>
        <v>191.7</v>
      </c>
      <c r="BG149" s="779">
        <v>849</v>
      </c>
      <c r="BH149" s="819">
        <v>1138</v>
      </c>
      <c r="BI149" s="753">
        <f t="shared" si="340"/>
        <v>34</v>
      </c>
      <c r="BJ149" s="779">
        <f t="shared" si="341"/>
        <v>97</v>
      </c>
      <c r="BK149" s="819">
        <f t="shared" si="341"/>
        <v>138</v>
      </c>
      <c r="BL149" s="753">
        <f t="shared" si="342"/>
        <v>42.3</v>
      </c>
      <c r="BM149" s="779">
        <v>946</v>
      </c>
      <c r="BN149" s="819">
        <v>1276</v>
      </c>
      <c r="BO149" s="753">
        <f t="shared" si="343"/>
        <v>34.9</v>
      </c>
      <c r="BP149" s="779">
        <f t="shared" si="344"/>
        <v>135</v>
      </c>
      <c r="BQ149" s="819">
        <f t="shared" si="344"/>
        <v>162</v>
      </c>
      <c r="BR149" s="753">
        <f t="shared" si="345"/>
        <v>20</v>
      </c>
      <c r="BS149" s="779">
        <v>1081</v>
      </c>
      <c r="BT149" s="819">
        <v>1438</v>
      </c>
      <c r="BU149" s="753">
        <f t="shared" si="346"/>
        <v>33</v>
      </c>
    </row>
    <row r="150" spans="1:73">
      <c r="A150" s="4"/>
      <c r="B150" s="43" t="s">
        <v>57</v>
      </c>
      <c r="C150" s="44">
        <v>1192</v>
      </c>
      <c r="D150" s="44">
        <v>750</v>
      </c>
      <c r="E150" s="44">
        <v>685</v>
      </c>
      <c r="F150" s="44">
        <v>671</v>
      </c>
      <c r="G150" s="44">
        <v>992</v>
      </c>
      <c r="H150" s="44">
        <v>1602</v>
      </c>
      <c r="I150" s="44">
        <v>1385</v>
      </c>
      <c r="J150" s="44">
        <v>874</v>
      </c>
      <c r="K150" s="283">
        <v>48</v>
      </c>
      <c r="L150" s="390">
        <v>70</v>
      </c>
      <c r="M150" s="242">
        <f t="shared" si="311"/>
        <v>45.8</v>
      </c>
      <c r="N150" s="283">
        <f t="shared" si="312"/>
        <v>60</v>
      </c>
      <c r="O150" s="390">
        <f t="shared" si="313"/>
        <v>44</v>
      </c>
      <c r="P150" s="242">
        <f t="shared" si="314"/>
        <v>-26.7</v>
      </c>
      <c r="Q150" s="283">
        <v>108</v>
      </c>
      <c r="R150" s="390">
        <v>114</v>
      </c>
      <c r="S150" s="242">
        <f t="shared" si="315"/>
        <v>5.6</v>
      </c>
      <c r="T150" s="283">
        <f t="shared" si="316"/>
        <v>78</v>
      </c>
      <c r="U150" s="390">
        <f t="shared" si="317"/>
        <v>85</v>
      </c>
      <c r="V150" s="242">
        <f t="shared" si="318"/>
        <v>9</v>
      </c>
      <c r="W150" s="283">
        <v>186</v>
      </c>
      <c r="X150" s="390">
        <v>199</v>
      </c>
      <c r="Y150" s="242">
        <f t="shared" si="319"/>
        <v>7</v>
      </c>
      <c r="Z150" s="283">
        <f t="shared" si="320"/>
        <v>68</v>
      </c>
      <c r="AA150" s="390">
        <f t="shared" si="321"/>
        <v>104</v>
      </c>
      <c r="AB150" s="242">
        <f t="shared" si="322"/>
        <v>52.9</v>
      </c>
      <c r="AC150" s="283">
        <v>254</v>
      </c>
      <c r="AD150" s="390">
        <v>303</v>
      </c>
      <c r="AE150" s="242">
        <f t="shared" si="323"/>
        <v>19.3</v>
      </c>
      <c r="AF150" s="283">
        <f t="shared" si="324"/>
        <v>60</v>
      </c>
      <c r="AG150" s="390">
        <f t="shared" si="324"/>
        <v>66</v>
      </c>
      <c r="AH150" s="242">
        <f t="shared" si="325"/>
        <v>10</v>
      </c>
      <c r="AI150" s="283">
        <v>314</v>
      </c>
      <c r="AJ150" s="390">
        <v>369</v>
      </c>
      <c r="AK150" s="242">
        <f t="shared" si="326"/>
        <v>17.5</v>
      </c>
      <c r="AL150" s="762">
        <f t="shared" si="327"/>
        <v>53</v>
      </c>
      <c r="AM150" s="769">
        <f t="shared" si="328"/>
        <v>92</v>
      </c>
      <c r="AN150" s="753">
        <f t="shared" si="329"/>
        <v>73.599999999999994</v>
      </c>
      <c r="AO150" s="779">
        <v>367</v>
      </c>
      <c r="AP150" s="819">
        <v>461</v>
      </c>
      <c r="AQ150" s="753">
        <f t="shared" si="330"/>
        <v>25.6</v>
      </c>
      <c r="AR150" s="779">
        <f t="shared" si="331"/>
        <v>68</v>
      </c>
      <c r="AS150" s="819">
        <f t="shared" si="331"/>
        <v>52</v>
      </c>
      <c r="AT150" s="753">
        <f t="shared" si="332"/>
        <v>-23.5</v>
      </c>
      <c r="AU150" s="975">
        <v>435</v>
      </c>
      <c r="AV150" s="970">
        <v>513</v>
      </c>
      <c r="AW150" s="753">
        <f t="shared" si="333"/>
        <v>17.899999999999999</v>
      </c>
      <c r="AX150" s="779">
        <f t="shared" si="334"/>
        <v>71</v>
      </c>
      <c r="AY150" s="819">
        <f t="shared" si="335"/>
        <v>70</v>
      </c>
      <c r="AZ150" s="753">
        <f t="shared" si="336"/>
        <v>-1.4</v>
      </c>
      <c r="BA150" s="779">
        <v>506</v>
      </c>
      <c r="BB150" s="819">
        <v>583</v>
      </c>
      <c r="BC150" s="753">
        <f t="shared" si="337"/>
        <v>15.2</v>
      </c>
      <c r="BD150" s="779">
        <f t="shared" si="338"/>
        <v>71</v>
      </c>
      <c r="BE150" s="819">
        <f t="shared" si="338"/>
        <v>50</v>
      </c>
      <c r="BF150" s="753">
        <f t="shared" si="339"/>
        <v>-29.6</v>
      </c>
      <c r="BG150" s="779">
        <v>577</v>
      </c>
      <c r="BH150" s="819">
        <v>633</v>
      </c>
      <c r="BI150" s="753">
        <f t="shared" si="340"/>
        <v>9.6999999999999993</v>
      </c>
      <c r="BJ150" s="779">
        <f t="shared" si="341"/>
        <v>63</v>
      </c>
      <c r="BK150" s="819">
        <f t="shared" si="341"/>
        <v>140</v>
      </c>
      <c r="BL150" s="753">
        <f t="shared" si="342"/>
        <v>122.2</v>
      </c>
      <c r="BM150" s="779">
        <v>640</v>
      </c>
      <c r="BN150" s="819">
        <v>773</v>
      </c>
      <c r="BO150" s="753">
        <f t="shared" si="343"/>
        <v>20.8</v>
      </c>
      <c r="BP150" s="779">
        <f t="shared" si="344"/>
        <v>134</v>
      </c>
      <c r="BQ150" s="819">
        <f t="shared" si="344"/>
        <v>135</v>
      </c>
      <c r="BR150" s="753">
        <f t="shared" si="345"/>
        <v>0.7</v>
      </c>
      <c r="BS150" s="779">
        <v>774</v>
      </c>
      <c r="BT150" s="819">
        <v>908</v>
      </c>
      <c r="BU150" s="753">
        <f t="shared" si="346"/>
        <v>17.3</v>
      </c>
    </row>
    <row r="151" spans="1:73">
      <c r="A151" s="4"/>
      <c r="B151" s="43" t="s">
        <v>63</v>
      </c>
      <c r="C151" s="44">
        <v>378</v>
      </c>
      <c r="D151" s="44">
        <v>642</v>
      </c>
      <c r="E151" s="44">
        <v>786</v>
      </c>
      <c r="F151" s="44">
        <v>976</v>
      </c>
      <c r="G151" s="44">
        <v>1053</v>
      </c>
      <c r="H151" s="44">
        <v>1323</v>
      </c>
      <c r="I151" s="44">
        <v>768</v>
      </c>
      <c r="J151" s="44">
        <v>778</v>
      </c>
      <c r="K151" s="283">
        <v>25</v>
      </c>
      <c r="L151" s="390">
        <v>26</v>
      </c>
      <c r="M151" s="242">
        <f t="shared" si="311"/>
        <v>4</v>
      </c>
      <c r="N151" s="283">
        <f t="shared" si="312"/>
        <v>132</v>
      </c>
      <c r="O151" s="390">
        <f t="shared" si="313"/>
        <v>60</v>
      </c>
      <c r="P151" s="242">
        <f t="shared" si="314"/>
        <v>-54.5</v>
      </c>
      <c r="Q151" s="283">
        <v>157</v>
      </c>
      <c r="R151" s="390">
        <v>86</v>
      </c>
      <c r="S151" s="242">
        <f t="shared" si="315"/>
        <v>-45.2</v>
      </c>
      <c r="T151" s="283">
        <f t="shared" si="316"/>
        <v>47</v>
      </c>
      <c r="U151" s="390">
        <f t="shared" si="317"/>
        <v>207</v>
      </c>
      <c r="V151" s="242">
        <f t="shared" si="318"/>
        <v>340.4</v>
      </c>
      <c r="W151" s="283">
        <v>204</v>
      </c>
      <c r="X151" s="390">
        <v>293</v>
      </c>
      <c r="Y151" s="242">
        <f t="shared" si="319"/>
        <v>43.6</v>
      </c>
      <c r="Z151" s="283">
        <f t="shared" si="320"/>
        <v>58</v>
      </c>
      <c r="AA151" s="390">
        <f t="shared" si="321"/>
        <v>48</v>
      </c>
      <c r="AB151" s="242">
        <f t="shared" si="322"/>
        <v>-17.2</v>
      </c>
      <c r="AC151" s="283">
        <v>262</v>
      </c>
      <c r="AD151" s="390">
        <v>341</v>
      </c>
      <c r="AE151" s="242">
        <f t="shared" si="323"/>
        <v>30.2</v>
      </c>
      <c r="AF151" s="283">
        <f t="shared" si="324"/>
        <v>67</v>
      </c>
      <c r="AG151" s="390">
        <f t="shared" si="324"/>
        <v>10</v>
      </c>
      <c r="AH151" s="242">
        <f t="shared" si="325"/>
        <v>-85.1</v>
      </c>
      <c r="AI151" s="283">
        <v>329</v>
      </c>
      <c r="AJ151" s="390">
        <v>351</v>
      </c>
      <c r="AK151" s="242">
        <f t="shared" si="326"/>
        <v>6.7</v>
      </c>
      <c r="AL151" s="762">
        <f t="shared" si="327"/>
        <v>36</v>
      </c>
      <c r="AM151" s="769">
        <f t="shared" si="328"/>
        <v>9</v>
      </c>
      <c r="AN151" s="753">
        <f t="shared" si="329"/>
        <v>-75</v>
      </c>
      <c r="AO151" s="779">
        <v>365</v>
      </c>
      <c r="AP151" s="819">
        <v>360</v>
      </c>
      <c r="AQ151" s="753">
        <f t="shared" si="330"/>
        <v>-1.4</v>
      </c>
      <c r="AR151" s="779">
        <f t="shared" si="331"/>
        <v>66</v>
      </c>
      <c r="AS151" s="819">
        <f t="shared" si="331"/>
        <v>95</v>
      </c>
      <c r="AT151" s="753">
        <f t="shared" si="332"/>
        <v>43.9</v>
      </c>
      <c r="AU151" s="975">
        <v>431</v>
      </c>
      <c r="AV151" s="970">
        <v>455</v>
      </c>
      <c r="AW151" s="753">
        <f t="shared" si="333"/>
        <v>5.6</v>
      </c>
      <c r="AX151" s="779">
        <f t="shared" si="334"/>
        <v>87</v>
      </c>
      <c r="AY151" s="819">
        <f t="shared" si="335"/>
        <v>195</v>
      </c>
      <c r="AZ151" s="753">
        <f t="shared" si="336"/>
        <v>124.1</v>
      </c>
      <c r="BA151" s="779">
        <v>518</v>
      </c>
      <c r="BB151" s="819">
        <v>650</v>
      </c>
      <c r="BC151" s="753">
        <f t="shared" si="337"/>
        <v>25.5</v>
      </c>
      <c r="BD151" s="779">
        <f t="shared" si="338"/>
        <v>14</v>
      </c>
      <c r="BE151" s="819">
        <f t="shared" si="338"/>
        <v>20</v>
      </c>
      <c r="BF151" s="753">
        <f t="shared" si="339"/>
        <v>42.9</v>
      </c>
      <c r="BG151" s="779">
        <v>532</v>
      </c>
      <c r="BH151" s="819">
        <v>670</v>
      </c>
      <c r="BI151" s="753">
        <f t="shared" si="340"/>
        <v>25.9</v>
      </c>
      <c r="BJ151" s="779">
        <f t="shared" si="341"/>
        <v>30</v>
      </c>
      <c r="BK151" s="819">
        <f t="shared" si="341"/>
        <v>35</v>
      </c>
      <c r="BL151" s="753">
        <f t="shared" si="342"/>
        <v>16.7</v>
      </c>
      <c r="BM151" s="779">
        <v>562</v>
      </c>
      <c r="BN151" s="819">
        <v>705</v>
      </c>
      <c r="BO151" s="753">
        <f t="shared" si="343"/>
        <v>25.4</v>
      </c>
      <c r="BP151" s="779">
        <f t="shared" si="344"/>
        <v>53</v>
      </c>
      <c r="BQ151" s="819">
        <f t="shared" si="344"/>
        <v>114</v>
      </c>
      <c r="BR151" s="753">
        <f t="shared" si="345"/>
        <v>115.1</v>
      </c>
      <c r="BS151" s="779">
        <v>615</v>
      </c>
      <c r="BT151" s="819">
        <v>819</v>
      </c>
      <c r="BU151" s="753">
        <f t="shared" si="346"/>
        <v>33.200000000000003</v>
      </c>
    </row>
    <row r="152" spans="1:73">
      <c r="A152" s="4"/>
      <c r="B152" s="43" t="s">
        <v>60</v>
      </c>
      <c r="C152" s="44">
        <v>299</v>
      </c>
      <c r="D152" s="44">
        <v>332</v>
      </c>
      <c r="E152" s="44">
        <v>695</v>
      </c>
      <c r="F152" s="44">
        <v>1289</v>
      </c>
      <c r="G152" s="44">
        <v>1188</v>
      </c>
      <c r="H152" s="44">
        <v>792</v>
      </c>
      <c r="I152" s="44">
        <v>691</v>
      </c>
      <c r="J152" s="44">
        <v>778</v>
      </c>
      <c r="K152" s="283">
        <v>55</v>
      </c>
      <c r="L152" s="390">
        <v>42</v>
      </c>
      <c r="M152" s="242">
        <f t="shared" si="311"/>
        <v>-23.6</v>
      </c>
      <c r="N152" s="283">
        <f t="shared" si="312"/>
        <v>43</v>
      </c>
      <c r="O152" s="390">
        <f t="shared" si="313"/>
        <v>13</v>
      </c>
      <c r="P152" s="242">
        <f t="shared" si="314"/>
        <v>-69.8</v>
      </c>
      <c r="Q152" s="283">
        <v>98</v>
      </c>
      <c r="R152" s="390">
        <v>55</v>
      </c>
      <c r="S152" s="242">
        <f t="shared" si="315"/>
        <v>-43.9</v>
      </c>
      <c r="T152" s="283">
        <f t="shared" si="316"/>
        <v>24</v>
      </c>
      <c r="U152" s="390">
        <f t="shared" si="317"/>
        <v>64</v>
      </c>
      <c r="V152" s="242">
        <f t="shared" si="318"/>
        <v>166.7</v>
      </c>
      <c r="W152" s="283">
        <v>122</v>
      </c>
      <c r="X152" s="390">
        <v>119</v>
      </c>
      <c r="Y152" s="242">
        <f t="shared" si="319"/>
        <v>-2.5</v>
      </c>
      <c r="Z152" s="283">
        <f t="shared" si="320"/>
        <v>55</v>
      </c>
      <c r="AA152" s="390">
        <f t="shared" si="321"/>
        <v>81</v>
      </c>
      <c r="AB152" s="242">
        <f t="shared" si="322"/>
        <v>47.3</v>
      </c>
      <c r="AC152" s="283">
        <v>177</v>
      </c>
      <c r="AD152" s="390">
        <v>200</v>
      </c>
      <c r="AE152" s="242">
        <f t="shared" si="323"/>
        <v>13</v>
      </c>
      <c r="AF152" s="283">
        <f t="shared" si="324"/>
        <v>42</v>
      </c>
      <c r="AG152" s="390">
        <f t="shared" si="324"/>
        <v>81</v>
      </c>
      <c r="AH152" s="242">
        <f t="shared" si="325"/>
        <v>92.9</v>
      </c>
      <c r="AI152" s="283">
        <v>219</v>
      </c>
      <c r="AJ152" s="390">
        <v>281</v>
      </c>
      <c r="AK152" s="242">
        <f t="shared" si="326"/>
        <v>28.3</v>
      </c>
      <c r="AL152" s="762">
        <f t="shared" si="327"/>
        <v>118</v>
      </c>
      <c r="AM152" s="769">
        <f t="shared" si="328"/>
        <v>75</v>
      </c>
      <c r="AN152" s="753">
        <f t="shared" si="329"/>
        <v>-36.4</v>
      </c>
      <c r="AO152" s="779">
        <v>337</v>
      </c>
      <c r="AP152" s="819">
        <v>356</v>
      </c>
      <c r="AQ152" s="753">
        <f t="shared" si="330"/>
        <v>5.6</v>
      </c>
      <c r="AR152" s="779">
        <f t="shared" si="331"/>
        <v>126</v>
      </c>
      <c r="AS152" s="819">
        <f t="shared" si="331"/>
        <v>40</v>
      </c>
      <c r="AT152" s="753">
        <f t="shared" si="332"/>
        <v>-68.3</v>
      </c>
      <c r="AU152" s="975">
        <v>463</v>
      </c>
      <c r="AV152" s="970">
        <v>396</v>
      </c>
      <c r="AW152" s="753">
        <f t="shared" si="333"/>
        <v>-14.5</v>
      </c>
      <c r="AX152" s="779">
        <f t="shared" si="334"/>
        <v>82</v>
      </c>
      <c r="AY152" s="819">
        <f t="shared" si="335"/>
        <v>26</v>
      </c>
      <c r="AZ152" s="753">
        <f t="shared" si="336"/>
        <v>-68.3</v>
      </c>
      <c r="BA152" s="779">
        <v>545</v>
      </c>
      <c r="BB152" s="819">
        <v>422</v>
      </c>
      <c r="BC152" s="753">
        <f t="shared" si="337"/>
        <v>-22.6</v>
      </c>
      <c r="BD152" s="779">
        <f t="shared" si="338"/>
        <v>47</v>
      </c>
      <c r="BE152" s="819">
        <f t="shared" si="338"/>
        <v>69</v>
      </c>
      <c r="BF152" s="753">
        <f t="shared" si="339"/>
        <v>46.8</v>
      </c>
      <c r="BG152" s="779">
        <v>592</v>
      </c>
      <c r="BH152" s="819">
        <v>491</v>
      </c>
      <c r="BI152" s="753">
        <f t="shared" si="340"/>
        <v>-17.100000000000001</v>
      </c>
      <c r="BJ152" s="779">
        <f t="shared" si="341"/>
        <v>54</v>
      </c>
      <c r="BK152" s="819">
        <f t="shared" si="341"/>
        <v>52</v>
      </c>
      <c r="BL152" s="753">
        <f t="shared" si="342"/>
        <v>-3.7</v>
      </c>
      <c r="BM152" s="779">
        <v>646</v>
      </c>
      <c r="BN152" s="819">
        <v>543</v>
      </c>
      <c r="BO152" s="753">
        <f t="shared" si="343"/>
        <v>-15.9</v>
      </c>
      <c r="BP152" s="779">
        <f t="shared" si="344"/>
        <v>66</v>
      </c>
      <c r="BQ152" s="819">
        <f t="shared" si="344"/>
        <v>101</v>
      </c>
      <c r="BR152" s="753">
        <f t="shared" si="345"/>
        <v>53</v>
      </c>
      <c r="BS152" s="779">
        <v>712</v>
      </c>
      <c r="BT152" s="819">
        <v>644</v>
      </c>
      <c r="BU152" s="753">
        <f t="shared" si="346"/>
        <v>-9.6</v>
      </c>
    </row>
    <row r="153" spans="1:73">
      <c r="A153" s="4"/>
      <c r="B153" s="43" t="s">
        <v>133</v>
      </c>
      <c r="C153" s="44">
        <v>35</v>
      </c>
      <c r="D153" s="44">
        <v>24</v>
      </c>
      <c r="E153" s="44">
        <v>8</v>
      </c>
      <c r="F153" s="44">
        <v>107</v>
      </c>
      <c r="G153" s="44">
        <v>336</v>
      </c>
      <c r="H153" s="44">
        <v>252</v>
      </c>
      <c r="I153" s="44">
        <v>342</v>
      </c>
      <c r="J153" s="44">
        <v>644</v>
      </c>
      <c r="K153" s="283">
        <v>10</v>
      </c>
      <c r="L153" s="390">
        <v>56</v>
      </c>
      <c r="M153" s="242">
        <f t="shared" si="311"/>
        <v>460</v>
      </c>
      <c r="N153" s="283">
        <f t="shared" si="312"/>
        <v>16</v>
      </c>
      <c r="O153" s="390">
        <f t="shared" si="313"/>
        <v>68</v>
      </c>
      <c r="P153" s="242">
        <f t="shared" si="314"/>
        <v>325</v>
      </c>
      <c r="Q153" s="283">
        <v>26</v>
      </c>
      <c r="R153" s="390">
        <v>124</v>
      </c>
      <c r="S153" s="242">
        <f t="shared" si="315"/>
        <v>376.9</v>
      </c>
      <c r="T153" s="283">
        <f t="shared" si="316"/>
        <v>33</v>
      </c>
      <c r="U153" s="390">
        <f t="shared" si="317"/>
        <v>123</v>
      </c>
      <c r="V153" s="242">
        <f t="shared" si="318"/>
        <v>272.7</v>
      </c>
      <c r="W153" s="283">
        <v>59</v>
      </c>
      <c r="X153" s="390">
        <v>247</v>
      </c>
      <c r="Y153" s="242">
        <f t="shared" si="319"/>
        <v>318.60000000000002</v>
      </c>
      <c r="Z153" s="283">
        <f t="shared" si="320"/>
        <v>78</v>
      </c>
      <c r="AA153" s="390">
        <f t="shared" si="321"/>
        <v>9</v>
      </c>
      <c r="AB153" s="242">
        <f t="shared" si="322"/>
        <v>-88.5</v>
      </c>
      <c r="AC153" s="283">
        <v>137</v>
      </c>
      <c r="AD153" s="390">
        <v>256</v>
      </c>
      <c r="AE153" s="242">
        <f t="shared" si="323"/>
        <v>86.9</v>
      </c>
      <c r="AF153" s="283">
        <f t="shared" si="324"/>
        <v>89</v>
      </c>
      <c r="AG153" s="390">
        <f t="shared" si="324"/>
        <v>24</v>
      </c>
      <c r="AH153" s="242">
        <f t="shared" si="325"/>
        <v>-73</v>
      </c>
      <c r="AI153" s="283">
        <v>226</v>
      </c>
      <c r="AJ153" s="390">
        <v>280</v>
      </c>
      <c r="AK153" s="242">
        <f t="shared" si="326"/>
        <v>23.9</v>
      </c>
      <c r="AL153" s="762">
        <f t="shared" si="327"/>
        <v>15</v>
      </c>
      <c r="AM153" s="769">
        <f t="shared" si="328"/>
        <v>102</v>
      </c>
      <c r="AN153" s="753">
        <f t="shared" si="329"/>
        <v>580</v>
      </c>
      <c r="AO153" s="779">
        <v>241</v>
      </c>
      <c r="AP153" s="819">
        <v>382</v>
      </c>
      <c r="AQ153" s="753">
        <f t="shared" si="330"/>
        <v>58.5</v>
      </c>
      <c r="AR153" s="779">
        <f t="shared" si="331"/>
        <v>61</v>
      </c>
      <c r="AS153" s="819">
        <f t="shared" si="331"/>
        <v>89</v>
      </c>
      <c r="AT153" s="753">
        <f t="shared" si="332"/>
        <v>45.9</v>
      </c>
      <c r="AU153" s="975">
        <v>302</v>
      </c>
      <c r="AV153" s="970">
        <v>471</v>
      </c>
      <c r="AW153" s="753">
        <f t="shared" si="333"/>
        <v>56</v>
      </c>
      <c r="AX153" s="779">
        <f t="shared" si="334"/>
        <v>52</v>
      </c>
      <c r="AY153" s="819">
        <f t="shared" si="335"/>
        <v>77</v>
      </c>
      <c r="AZ153" s="753">
        <f t="shared" si="336"/>
        <v>48.1</v>
      </c>
      <c r="BA153" s="779">
        <v>354</v>
      </c>
      <c r="BB153" s="819">
        <v>548</v>
      </c>
      <c r="BC153" s="753">
        <f t="shared" si="337"/>
        <v>54.8</v>
      </c>
      <c r="BD153" s="779">
        <f t="shared" si="338"/>
        <v>83</v>
      </c>
      <c r="BE153" s="819">
        <f t="shared" si="338"/>
        <v>46</v>
      </c>
      <c r="BF153" s="753">
        <f t="shared" si="339"/>
        <v>-44.6</v>
      </c>
      <c r="BG153" s="779">
        <v>437</v>
      </c>
      <c r="BH153" s="819">
        <v>594</v>
      </c>
      <c r="BI153" s="753">
        <f t="shared" si="340"/>
        <v>35.9</v>
      </c>
      <c r="BJ153" s="779">
        <f t="shared" si="341"/>
        <v>91</v>
      </c>
      <c r="BK153" s="819">
        <f t="shared" si="341"/>
        <v>81</v>
      </c>
      <c r="BL153" s="753">
        <f t="shared" si="342"/>
        <v>-11</v>
      </c>
      <c r="BM153" s="779">
        <v>528</v>
      </c>
      <c r="BN153" s="819">
        <v>675</v>
      </c>
      <c r="BO153" s="753">
        <f t="shared" si="343"/>
        <v>27.8</v>
      </c>
      <c r="BP153" s="779">
        <f t="shared" si="344"/>
        <v>22</v>
      </c>
      <c r="BQ153" s="819">
        <f t="shared" si="344"/>
        <v>72</v>
      </c>
      <c r="BR153" s="753">
        <f t="shared" si="345"/>
        <v>227.3</v>
      </c>
      <c r="BS153" s="779">
        <v>550</v>
      </c>
      <c r="BT153" s="819">
        <v>747</v>
      </c>
      <c r="BU153" s="753">
        <f t="shared" si="346"/>
        <v>35.799999999999997</v>
      </c>
    </row>
    <row r="154" spans="1:73">
      <c r="A154" s="4"/>
      <c r="B154" s="43" t="s">
        <v>98</v>
      </c>
      <c r="C154" s="44">
        <v>1002</v>
      </c>
      <c r="D154" s="44">
        <v>1037</v>
      </c>
      <c r="E154" s="44">
        <v>710</v>
      </c>
      <c r="F154" s="44">
        <v>545</v>
      </c>
      <c r="G154" s="44">
        <v>821</v>
      </c>
      <c r="H154" s="44">
        <v>840</v>
      </c>
      <c r="I154" s="44">
        <v>618</v>
      </c>
      <c r="J154" s="44">
        <v>442</v>
      </c>
      <c r="K154" s="283">
        <v>32</v>
      </c>
      <c r="L154" s="390">
        <v>18</v>
      </c>
      <c r="M154" s="242">
        <f t="shared" si="311"/>
        <v>-43.8</v>
      </c>
      <c r="N154" s="283">
        <f t="shared" si="312"/>
        <v>19</v>
      </c>
      <c r="O154" s="390">
        <f t="shared" si="313"/>
        <v>30</v>
      </c>
      <c r="P154" s="242">
        <f t="shared" si="314"/>
        <v>57.9</v>
      </c>
      <c r="Q154" s="283">
        <v>51</v>
      </c>
      <c r="R154" s="390">
        <v>48</v>
      </c>
      <c r="S154" s="242">
        <f t="shared" si="315"/>
        <v>-5.9</v>
      </c>
      <c r="T154" s="283">
        <f t="shared" si="316"/>
        <v>20</v>
      </c>
      <c r="U154" s="390">
        <f t="shared" si="317"/>
        <v>54</v>
      </c>
      <c r="V154" s="242">
        <f t="shared" si="318"/>
        <v>170</v>
      </c>
      <c r="W154" s="283">
        <v>71</v>
      </c>
      <c r="X154" s="390">
        <v>102</v>
      </c>
      <c r="Y154" s="242">
        <f t="shared" si="319"/>
        <v>43.7</v>
      </c>
      <c r="Z154" s="283">
        <f t="shared" si="320"/>
        <v>40</v>
      </c>
      <c r="AA154" s="390">
        <f t="shared" si="321"/>
        <v>26</v>
      </c>
      <c r="AB154" s="242">
        <f t="shared" si="322"/>
        <v>-35</v>
      </c>
      <c r="AC154" s="283">
        <v>111</v>
      </c>
      <c r="AD154" s="390">
        <v>128</v>
      </c>
      <c r="AE154" s="242">
        <f t="shared" si="323"/>
        <v>15.3</v>
      </c>
      <c r="AF154" s="283">
        <f t="shared" si="324"/>
        <v>40</v>
      </c>
      <c r="AG154" s="390">
        <f t="shared" si="324"/>
        <v>7</v>
      </c>
      <c r="AH154" s="242">
        <f t="shared" si="325"/>
        <v>-82.5</v>
      </c>
      <c r="AI154" s="283">
        <v>151</v>
      </c>
      <c r="AJ154" s="390">
        <v>135</v>
      </c>
      <c r="AK154" s="242">
        <f t="shared" si="326"/>
        <v>-10.6</v>
      </c>
      <c r="AL154" s="762">
        <f t="shared" si="327"/>
        <v>31</v>
      </c>
      <c r="AM154" s="769">
        <f t="shared" si="328"/>
        <v>44</v>
      </c>
      <c r="AN154" s="753">
        <f t="shared" si="329"/>
        <v>41.9</v>
      </c>
      <c r="AO154" s="779">
        <v>182</v>
      </c>
      <c r="AP154" s="819">
        <v>179</v>
      </c>
      <c r="AQ154" s="753">
        <f t="shared" si="330"/>
        <v>-1.6</v>
      </c>
      <c r="AR154" s="779">
        <f t="shared" si="331"/>
        <v>31</v>
      </c>
      <c r="AS154" s="819">
        <f t="shared" si="331"/>
        <v>27</v>
      </c>
      <c r="AT154" s="753">
        <f t="shared" si="332"/>
        <v>-12.9</v>
      </c>
      <c r="AU154" s="975">
        <v>213</v>
      </c>
      <c r="AV154" s="970">
        <v>206</v>
      </c>
      <c r="AW154" s="753">
        <f t="shared" si="333"/>
        <v>-3.3</v>
      </c>
      <c r="AX154" s="779">
        <f t="shared" si="334"/>
        <v>23</v>
      </c>
      <c r="AY154" s="819">
        <f t="shared" si="335"/>
        <v>30</v>
      </c>
      <c r="AZ154" s="753">
        <f t="shared" si="336"/>
        <v>30.4</v>
      </c>
      <c r="BA154" s="779">
        <v>236</v>
      </c>
      <c r="BB154" s="819">
        <v>236</v>
      </c>
      <c r="BC154" s="753">
        <f t="shared" si="337"/>
        <v>0</v>
      </c>
      <c r="BD154" s="779">
        <f t="shared" si="338"/>
        <v>54</v>
      </c>
      <c r="BE154" s="819">
        <f t="shared" si="338"/>
        <v>16</v>
      </c>
      <c r="BF154" s="753">
        <f t="shared" si="339"/>
        <v>-70.400000000000006</v>
      </c>
      <c r="BG154" s="779">
        <v>290</v>
      </c>
      <c r="BH154" s="819">
        <v>252</v>
      </c>
      <c r="BI154" s="753">
        <f t="shared" si="340"/>
        <v>-13.1</v>
      </c>
      <c r="BJ154" s="779">
        <f t="shared" si="341"/>
        <v>48</v>
      </c>
      <c r="BK154" s="819">
        <f t="shared" si="341"/>
        <v>40</v>
      </c>
      <c r="BL154" s="753">
        <f t="shared" si="342"/>
        <v>-16.7</v>
      </c>
      <c r="BM154" s="779">
        <v>338</v>
      </c>
      <c r="BN154" s="819">
        <v>292</v>
      </c>
      <c r="BO154" s="753">
        <f t="shared" si="343"/>
        <v>-13.6</v>
      </c>
      <c r="BP154" s="779">
        <f t="shared" si="344"/>
        <v>58</v>
      </c>
      <c r="BQ154" s="819">
        <f t="shared" si="344"/>
        <v>21</v>
      </c>
      <c r="BR154" s="753">
        <f t="shared" si="345"/>
        <v>-63.8</v>
      </c>
      <c r="BS154" s="779">
        <v>396</v>
      </c>
      <c r="BT154" s="819">
        <v>313</v>
      </c>
      <c r="BU154" s="753">
        <f t="shared" si="346"/>
        <v>-21</v>
      </c>
    </row>
    <row r="155" spans="1:73">
      <c r="A155" s="4"/>
      <c r="B155" s="43" t="s">
        <v>56</v>
      </c>
      <c r="C155" s="44">
        <v>625</v>
      </c>
      <c r="D155" s="44">
        <v>412</v>
      </c>
      <c r="E155" s="44">
        <v>459</v>
      </c>
      <c r="F155" s="44">
        <v>729</v>
      </c>
      <c r="G155" s="44">
        <v>815</v>
      </c>
      <c r="H155" s="44">
        <v>353</v>
      </c>
      <c r="I155" s="44">
        <v>480</v>
      </c>
      <c r="J155" s="44">
        <v>438</v>
      </c>
      <c r="K155" s="283">
        <v>26</v>
      </c>
      <c r="L155" s="390">
        <v>21</v>
      </c>
      <c r="M155" s="242">
        <f t="shared" si="311"/>
        <v>-19.2</v>
      </c>
      <c r="N155" s="283">
        <f t="shared" si="312"/>
        <v>21</v>
      </c>
      <c r="O155" s="390">
        <f t="shared" si="313"/>
        <v>32</v>
      </c>
      <c r="P155" s="242">
        <f t="shared" si="314"/>
        <v>52.4</v>
      </c>
      <c r="Q155" s="283">
        <v>47</v>
      </c>
      <c r="R155" s="390">
        <v>53</v>
      </c>
      <c r="S155" s="242">
        <f t="shared" si="315"/>
        <v>12.8</v>
      </c>
      <c r="T155" s="283">
        <f t="shared" si="316"/>
        <v>9</v>
      </c>
      <c r="U155" s="390">
        <f t="shared" si="317"/>
        <v>33</v>
      </c>
      <c r="V155" s="242">
        <f t="shared" si="318"/>
        <v>266.7</v>
      </c>
      <c r="W155" s="283">
        <v>56</v>
      </c>
      <c r="X155" s="390">
        <v>86</v>
      </c>
      <c r="Y155" s="242">
        <f t="shared" si="319"/>
        <v>53.6</v>
      </c>
      <c r="Z155" s="283">
        <f t="shared" si="320"/>
        <v>49</v>
      </c>
      <c r="AA155" s="390">
        <f t="shared" si="321"/>
        <v>112</v>
      </c>
      <c r="AB155" s="242">
        <f t="shared" si="322"/>
        <v>128.6</v>
      </c>
      <c r="AC155" s="283">
        <v>105</v>
      </c>
      <c r="AD155" s="390">
        <v>198</v>
      </c>
      <c r="AE155" s="242">
        <f t="shared" si="323"/>
        <v>88.6</v>
      </c>
      <c r="AF155" s="283">
        <f t="shared" si="324"/>
        <v>13</v>
      </c>
      <c r="AG155" s="390">
        <f t="shared" si="324"/>
        <v>129</v>
      </c>
      <c r="AH155" s="242">
        <f t="shared" si="325"/>
        <v>892.3</v>
      </c>
      <c r="AI155" s="283">
        <v>118</v>
      </c>
      <c r="AJ155" s="390">
        <v>327</v>
      </c>
      <c r="AK155" s="242">
        <f t="shared" si="326"/>
        <v>177.1</v>
      </c>
      <c r="AL155" s="762">
        <f t="shared" si="327"/>
        <v>17</v>
      </c>
      <c r="AM155" s="769">
        <f t="shared" si="328"/>
        <v>63</v>
      </c>
      <c r="AN155" s="753">
        <f t="shared" si="329"/>
        <v>270.60000000000002</v>
      </c>
      <c r="AO155" s="779">
        <v>135</v>
      </c>
      <c r="AP155" s="819">
        <v>390</v>
      </c>
      <c r="AQ155" s="753">
        <f t="shared" si="330"/>
        <v>188.9</v>
      </c>
      <c r="AR155" s="779">
        <f t="shared" si="331"/>
        <v>26</v>
      </c>
      <c r="AS155" s="819">
        <f t="shared" si="331"/>
        <v>108</v>
      </c>
      <c r="AT155" s="753">
        <f t="shared" si="332"/>
        <v>315.39999999999998</v>
      </c>
      <c r="AU155" s="975">
        <v>161</v>
      </c>
      <c r="AV155" s="970">
        <v>498</v>
      </c>
      <c r="AW155" s="753">
        <f t="shared" si="333"/>
        <v>209.3</v>
      </c>
      <c r="AX155" s="779">
        <f t="shared" si="334"/>
        <v>21</v>
      </c>
      <c r="AY155" s="819">
        <f t="shared" si="335"/>
        <v>49</v>
      </c>
      <c r="AZ155" s="753">
        <f t="shared" si="336"/>
        <v>133.30000000000001</v>
      </c>
      <c r="BA155" s="779">
        <v>182</v>
      </c>
      <c r="BB155" s="819">
        <v>547</v>
      </c>
      <c r="BC155" s="753">
        <f t="shared" si="337"/>
        <v>200.5</v>
      </c>
      <c r="BD155" s="779">
        <f t="shared" si="338"/>
        <v>28</v>
      </c>
      <c r="BE155" s="819">
        <f t="shared" si="338"/>
        <v>43</v>
      </c>
      <c r="BF155" s="753">
        <f t="shared" si="339"/>
        <v>53.6</v>
      </c>
      <c r="BG155" s="779">
        <v>210</v>
      </c>
      <c r="BH155" s="819">
        <v>590</v>
      </c>
      <c r="BI155" s="753">
        <f t="shared" si="340"/>
        <v>181</v>
      </c>
      <c r="BJ155" s="779">
        <f t="shared" si="341"/>
        <v>62</v>
      </c>
      <c r="BK155" s="819">
        <f t="shared" si="341"/>
        <v>12</v>
      </c>
      <c r="BL155" s="753">
        <f t="shared" si="342"/>
        <v>-80.599999999999994</v>
      </c>
      <c r="BM155" s="779">
        <v>272</v>
      </c>
      <c r="BN155" s="819">
        <v>602</v>
      </c>
      <c r="BO155" s="753">
        <f t="shared" si="343"/>
        <v>121.3</v>
      </c>
      <c r="BP155" s="779">
        <f t="shared" si="344"/>
        <v>88</v>
      </c>
      <c r="BQ155" s="819">
        <f t="shared" si="344"/>
        <v>27</v>
      </c>
      <c r="BR155" s="753">
        <f t="shared" si="345"/>
        <v>-69.3</v>
      </c>
      <c r="BS155" s="779">
        <v>360</v>
      </c>
      <c r="BT155" s="819">
        <v>629</v>
      </c>
      <c r="BU155" s="753">
        <f t="shared" si="346"/>
        <v>74.7</v>
      </c>
    </row>
    <row r="156" spans="1:73">
      <c r="A156" s="4"/>
      <c r="B156" s="43" t="s">
        <v>109</v>
      </c>
      <c r="C156" s="44">
        <v>107</v>
      </c>
      <c r="D156" s="44">
        <v>157</v>
      </c>
      <c r="E156" s="44">
        <v>174</v>
      </c>
      <c r="F156" s="44">
        <v>131</v>
      </c>
      <c r="G156" s="44">
        <v>227</v>
      </c>
      <c r="H156" s="44">
        <v>292</v>
      </c>
      <c r="I156" s="44">
        <v>319</v>
      </c>
      <c r="J156" s="44">
        <v>332</v>
      </c>
      <c r="K156" s="283">
        <v>38</v>
      </c>
      <c r="L156" s="390">
        <v>0</v>
      </c>
      <c r="M156" s="242">
        <f t="shared" si="311"/>
        <v>-100</v>
      </c>
      <c r="N156" s="283">
        <f t="shared" si="312"/>
        <v>31</v>
      </c>
      <c r="O156" s="390">
        <f t="shared" si="313"/>
        <v>24</v>
      </c>
      <c r="P156" s="242">
        <f t="shared" si="314"/>
        <v>-22.6</v>
      </c>
      <c r="Q156" s="283">
        <v>69</v>
      </c>
      <c r="R156" s="390">
        <v>24</v>
      </c>
      <c r="S156" s="242">
        <f t="shared" si="315"/>
        <v>-65.2</v>
      </c>
      <c r="T156" s="283">
        <f t="shared" si="316"/>
        <v>38</v>
      </c>
      <c r="U156" s="390">
        <f t="shared" si="317"/>
        <v>0</v>
      </c>
      <c r="V156" s="242">
        <f t="shared" si="318"/>
        <v>-100</v>
      </c>
      <c r="W156" s="283">
        <v>107</v>
      </c>
      <c r="X156" s="390">
        <v>24</v>
      </c>
      <c r="Y156" s="242">
        <f t="shared" si="319"/>
        <v>-77.599999999999994</v>
      </c>
      <c r="Z156" s="283">
        <f t="shared" si="320"/>
        <v>50</v>
      </c>
      <c r="AA156" s="390">
        <f t="shared" si="321"/>
        <v>15</v>
      </c>
      <c r="AB156" s="242">
        <f t="shared" si="322"/>
        <v>-70</v>
      </c>
      <c r="AC156" s="283">
        <v>157</v>
      </c>
      <c r="AD156" s="390">
        <v>39</v>
      </c>
      <c r="AE156" s="242">
        <f t="shared" si="323"/>
        <v>-75.2</v>
      </c>
      <c r="AF156" s="283">
        <f t="shared" si="324"/>
        <v>16</v>
      </c>
      <c r="AG156" s="390">
        <f t="shared" si="324"/>
        <v>1</v>
      </c>
      <c r="AH156" s="242">
        <f t="shared" si="325"/>
        <v>-93.8</v>
      </c>
      <c r="AI156" s="283">
        <v>173</v>
      </c>
      <c r="AJ156" s="390">
        <v>40</v>
      </c>
      <c r="AK156" s="242">
        <f t="shared" si="326"/>
        <v>-76.900000000000006</v>
      </c>
      <c r="AL156" s="762">
        <f t="shared" si="327"/>
        <v>52</v>
      </c>
      <c r="AM156" s="769">
        <f t="shared" si="328"/>
        <v>0</v>
      </c>
      <c r="AN156" s="753">
        <f t="shared" si="329"/>
        <v>-100</v>
      </c>
      <c r="AO156" s="779">
        <v>225</v>
      </c>
      <c r="AP156" s="819">
        <v>40</v>
      </c>
      <c r="AQ156" s="753">
        <f t="shared" si="330"/>
        <v>-82.2</v>
      </c>
      <c r="AR156" s="779">
        <f t="shared" si="331"/>
        <v>10</v>
      </c>
      <c r="AS156" s="819">
        <f t="shared" si="331"/>
        <v>16</v>
      </c>
      <c r="AT156" s="753">
        <f t="shared" si="332"/>
        <v>60</v>
      </c>
      <c r="AU156" s="975">
        <v>235</v>
      </c>
      <c r="AV156" s="970">
        <v>56</v>
      </c>
      <c r="AW156" s="753">
        <f t="shared" si="333"/>
        <v>-76.2</v>
      </c>
      <c r="AX156" s="779">
        <f t="shared" si="334"/>
        <v>4</v>
      </c>
      <c r="AY156" s="819">
        <f t="shared" si="335"/>
        <v>9</v>
      </c>
      <c r="AZ156" s="753">
        <f t="shared" si="336"/>
        <v>125</v>
      </c>
      <c r="BA156" s="779">
        <v>239</v>
      </c>
      <c r="BB156" s="819">
        <v>65</v>
      </c>
      <c r="BC156" s="753">
        <f t="shared" si="337"/>
        <v>-72.8</v>
      </c>
      <c r="BD156" s="779">
        <f t="shared" si="338"/>
        <v>11</v>
      </c>
      <c r="BE156" s="819">
        <f t="shared" si="338"/>
        <v>26</v>
      </c>
      <c r="BF156" s="753">
        <f t="shared" si="339"/>
        <v>136.4</v>
      </c>
      <c r="BG156" s="779">
        <v>250</v>
      </c>
      <c r="BH156" s="819">
        <v>91</v>
      </c>
      <c r="BI156" s="753">
        <f t="shared" si="340"/>
        <v>-63.6</v>
      </c>
      <c r="BJ156" s="779">
        <f t="shared" si="341"/>
        <v>1</v>
      </c>
      <c r="BK156" s="819">
        <f t="shared" si="341"/>
        <v>9</v>
      </c>
      <c r="BL156" s="753">
        <f t="shared" si="342"/>
        <v>800</v>
      </c>
      <c r="BM156" s="779">
        <v>251</v>
      </c>
      <c r="BN156" s="819">
        <v>100</v>
      </c>
      <c r="BO156" s="753">
        <f t="shared" si="343"/>
        <v>-60.2</v>
      </c>
      <c r="BP156" s="779">
        <f t="shared" si="344"/>
        <v>22</v>
      </c>
      <c r="BQ156" s="819">
        <f t="shared" si="344"/>
        <v>35</v>
      </c>
      <c r="BR156" s="753">
        <f t="shared" si="345"/>
        <v>59.1</v>
      </c>
      <c r="BS156" s="779">
        <v>273</v>
      </c>
      <c r="BT156" s="819">
        <v>135</v>
      </c>
      <c r="BU156" s="753">
        <f t="shared" si="346"/>
        <v>-50.5</v>
      </c>
    </row>
    <row r="157" spans="1:73">
      <c r="A157" s="4"/>
      <c r="B157" s="43" t="s">
        <v>111</v>
      </c>
      <c r="C157" s="44">
        <v>98</v>
      </c>
      <c r="D157" s="44">
        <v>158</v>
      </c>
      <c r="E157" s="44">
        <v>287</v>
      </c>
      <c r="F157" s="44">
        <v>325</v>
      </c>
      <c r="G157" s="44">
        <v>378</v>
      </c>
      <c r="H157" s="44">
        <v>390</v>
      </c>
      <c r="I157" s="44">
        <v>295</v>
      </c>
      <c r="J157" s="44">
        <v>282</v>
      </c>
      <c r="K157" s="283">
        <v>37</v>
      </c>
      <c r="L157" s="390">
        <v>27</v>
      </c>
      <c r="M157" s="242">
        <f t="shared" si="311"/>
        <v>-27</v>
      </c>
      <c r="N157" s="283">
        <f t="shared" si="312"/>
        <v>16</v>
      </c>
      <c r="O157" s="390">
        <f t="shared" si="313"/>
        <v>26</v>
      </c>
      <c r="P157" s="242">
        <f t="shared" si="314"/>
        <v>62.5</v>
      </c>
      <c r="Q157" s="283">
        <v>53</v>
      </c>
      <c r="R157" s="390">
        <v>53</v>
      </c>
      <c r="S157" s="242">
        <f t="shared" si="315"/>
        <v>0</v>
      </c>
      <c r="T157" s="283">
        <f t="shared" si="316"/>
        <v>20</v>
      </c>
      <c r="U157" s="390">
        <f t="shared" si="317"/>
        <v>10</v>
      </c>
      <c r="V157" s="242">
        <f t="shared" si="318"/>
        <v>-50</v>
      </c>
      <c r="W157" s="283">
        <v>73</v>
      </c>
      <c r="X157" s="390">
        <v>63</v>
      </c>
      <c r="Y157" s="242">
        <f t="shared" si="319"/>
        <v>-13.7</v>
      </c>
      <c r="Z157" s="283">
        <f t="shared" si="320"/>
        <v>45</v>
      </c>
      <c r="AA157" s="390">
        <f t="shared" si="321"/>
        <v>6</v>
      </c>
      <c r="AB157" s="242">
        <f t="shared" si="322"/>
        <v>-86.7</v>
      </c>
      <c r="AC157" s="283">
        <v>118</v>
      </c>
      <c r="AD157" s="390">
        <v>69</v>
      </c>
      <c r="AE157" s="242">
        <f t="shared" si="323"/>
        <v>-41.5</v>
      </c>
      <c r="AF157" s="283">
        <f t="shared" si="324"/>
        <v>12</v>
      </c>
      <c r="AG157" s="390">
        <f t="shared" si="324"/>
        <v>30</v>
      </c>
      <c r="AH157" s="242">
        <f t="shared" si="325"/>
        <v>150</v>
      </c>
      <c r="AI157" s="283">
        <v>130</v>
      </c>
      <c r="AJ157" s="390">
        <v>99</v>
      </c>
      <c r="AK157" s="242">
        <f t="shared" si="326"/>
        <v>-23.8</v>
      </c>
      <c r="AL157" s="762">
        <f t="shared" si="327"/>
        <v>18</v>
      </c>
      <c r="AM157" s="769">
        <f t="shared" si="328"/>
        <v>17</v>
      </c>
      <c r="AN157" s="753">
        <f t="shared" si="329"/>
        <v>-5.6</v>
      </c>
      <c r="AO157" s="779">
        <v>148</v>
      </c>
      <c r="AP157" s="819">
        <v>116</v>
      </c>
      <c r="AQ157" s="753">
        <f t="shared" si="330"/>
        <v>-21.6</v>
      </c>
      <c r="AR157" s="779">
        <f t="shared" si="331"/>
        <v>37</v>
      </c>
      <c r="AS157" s="819">
        <f t="shared" si="331"/>
        <v>12</v>
      </c>
      <c r="AT157" s="753">
        <f t="shared" si="332"/>
        <v>-67.599999999999994</v>
      </c>
      <c r="AU157" s="975">
        <v>185</v>
      </c>
      <c r="AV157" s="970">
        <v>128</v>
      </c>
      <c r="AW157" s="753">
        <f t="shared" si="333"/>
        <v>-30.8</v>
      </c>
      <c r="AX157" s="779">
        <f t="shared" si="334"/>
        <v>27</v>
      </c>
      <c r="AY157" s="819">
        <f t="shared" si="335"/>
        <v>8</v>
      </c>
      <c r="AZ157" s="753">
        <f t="shared" si="336"/>
        <v>-70.400000000000006</v>
      </c>
      <c r="BA157" s="779">
        <v>212</v>
      </c>
      <c r="BB157" s="819">
        <v>136</v>
      </c>
      <c r="BC157" s="753">
        <f t="shared" si="337"/>
        <v>-35.799999999999997</v>
      </c>
      <c r="BD157" s="779">
        <f t="shared" si="338"/>
        <v>16</v>
      </c>
      <c r="BE157" s="819">
        <f t="shared" si="338"/>
        <v>18</v>
      </c>
      <c r="BF157" s="753">
        <f t="shared" si="339"/>
        <v>12.5</v>
      </c>
      <c r="BG157" s="779">
        <v>228</v>
      </c>
      <c r="BH157" s="819">
        <v>154</v>
      </c>
      <c r="BI157" s="753">
        <f t="shared" si="340"/>
        <v>-32.5</v>
      </c>
      <c r="BJ157" s="779">
        <f t="shared" si="341"/>
        <v>11</v>
      </c>
      <c r="BK157" s="819">
        <f t="shared" si="341"/>
        <v>7</v>
      </c>
      <c r="BL157" s="753">
        <f t="shared" si="342"/>
        <v>-36.4</v>
      </c>
      <c r="BM157" s="779">
        <v>239</v>
      </c>
      <c r="BN157" s="819">
        <v>161</v>
      </c>
      <c r="BO157" s="753">
        <f t="shared" si="343"/>
        <v>-32.6</v>
      </c>
      <c r="BP157" s="779">
        <f t="shared" si="344"/>
        <v>28</v>
      </c>
      <c r="BQ157" s="819">
        <f t="shared" si="344"/>
        <v>14</v>
      </c>
      <c r="BR157" s="753">
        <f t="shared" si="345"/>
        <v>-50</v>
      </c>
      <c r="BS157" s="779">
        <v>267</v>
      </c>
      <c r="BT157" s="819">
        <v>175</v>
      </c>
      <c r="BU157" s="753">
        <f t="shared" si="346"/>
        <v>-34.5</v>
      </c>
    </row>
    <row r="158" spans="1:73">
      <c r="A158" s="4"/>
      <c r="B158" s="43" t="s">
        <v>106</v>
      </c>
      <c r="C158" s="44">
        <v>374</v>
      </c>
      <c r="D158" s="44">
        <v>309</v>
      </c>
      <c r="E158" s="44">
        <v>248</v>
      </c>
      <c r="F158" s="44">
        <v>413</v>
      </c>
      <c r="G158" s="44">
        <v>431</v>
      </c>
      <c r="H158" s="44">
        <v>421</v>
      </c>
      <c r="I158" s="44">
        <v>282</v>
      </c>
      <c r="J158" s="44">
        <v>224</v>
      </c>
      <c r="K158" s="283">
        <v>34</v>
      </c>
      <c r="L158" s="390">
        <v>9</v>
      </c>
      <c r="M158" s="242">
        <f t="shared" si="311"/>
        <v>-73.5</v>
      </c>
      <c r="N158" s="283">
        <f t="shared" si="312"/>
        <v>10</v>
      </c>
      <c r="O158" s="390">
        <f t="shared" si="313"/>
        <v>12</v>
      </c>
      <c r="P158" s="242">
        <f t="shared" si="314"/>
        <v>20</v>
      </c>
      <c r="Q158" s="283">
        <v>44</v>
      </c>
      <c r="R158" s="390">
        <v>21</v>
      </c>
      <c r="S158" s="242">
        <f t="shared" si="315"/>
        <v>-52.3</v>
      </c>
      <c r="T158" s="283">
        <f t="shared" si="316"/>
        <v>6</v>
      </c>
      <c r="U158" s="390">
        <f t="shared" si="317"/>
        <v>19</v>
      </c>
      <c r="V158" s="242">
        <f t="shared" si="318"/>
        <v>216.7</v>
      </c>
      <c r="W158" s="283">
        <v>50</v>
      </c>
      <c r="X158" s="390">
        <v>40</v>
      </c>
      <c r="Y158" s="242">
        <f t="shared" si="319"/>
        <v>-20</v>
      </c>
      <c r="Z158" s="283">
        <f t="shared" si="320"/>
        <v>19</v>
      </c>
      <c r="AA158" s="390">
        <f t="shared" si="321"/>
        <v>16</v>
      </c>
      <c r="AB158" s="242">
        <f t="shared" si="322"/>
        <v>-15.8</v>
      </c>
      <c r="AC158" s="283">
        <v>69</v>
      </c>
      <c r="AD158" s="390">
        <v>56</v>
      </c>
      <c r="AE158" s="242">
        <f t="shared" si="323"/>
        <v>-18.8</v>
      </c>
      <c r="AF158" s="283">
        <f t="shared" si="324"/>
        <v>28</v>
      </c>
      <c r="AG158" s="390">
        <f t="shared" si="324"/>
        <v>6</v>
      </c>
      <c r="AH158" s="242">
        <f t="shared" si="325"/>
        <v>-78.599999999999994</v>
      </c>
      <c r="AI158" s="283">
        <v>97</v>
      </c>
      <c r="AJ158" s="390">
        <v>62</v>
      </c>
      <c r="AK158" s="242">
        <f t="shared" si="326"/>
        <v>-36.1</v>
      </c>
      <c r="AL158" s="762">
        <f t="shared" si="327"/>
        <v>23</v>
      </c>
      <c r="AM158" s="769">
        <f t="shared" si="328"/>
        <v>35</v>
      </c>
      <c r="AN158" s="753">
        <f t="shared" si="329"/>
        <v>52.2</v>
      </c>
      <c r="AO158" s="779">
        <v>120</v>
      </c>
      <c r="AP158" s="819">
        <v>97</v>
      </c>
      <c r="AQ158" s="753">
        <f t="shared" si="330"/>
        <v>-19.2</v>
      </c>
      <c r="AR158" s="779">
        <f t="shared" si="331"/>
        <v>19</v>
      </c>
      <c r="AS158" s="819">
        <f t="shared" si="331"/>
        <v>53</v>
      </c>
      <c r="AT158" s="753">
        <f t="shared" si="332"/>
        <v>178.9</v>
      </c>
      <c r="AU158" s="975">
        <v>139</v>
      </c>
      <c r="AV158" s="970">
        <v>150</v>
      </c>
      <c r="AW158" s="753">
        <f t="shared" si="333"/>
        <v>7.9</v>
      </c>
      <c r="AX158" s="779">
        <f t="shared" si="334"/>
        <v>2</v>
      </c>
      <c r="AY158" s="819">
        <f t="shared" si="335"/>
        <v>48</v>
      </c>
      <c r="AZ158" s="753">
        <f t="shared" si="336"/>
        <v>2300</v>
      </c>
      <c r="BA158" s="779">
        <v>141</v>
      </c>
      <c r="BB158" s="819">
        <v>198</v>
      </c>
      <c r="BC158" s="753">
        <f t="shared" si="337"/>
        <v>40.4</v>
      </c>
      <c r="BD158" s="779">
        <f t="shared" si="338"/>
        <v>18</v>
      </c>
      <c r="BE158" s="819">
        <f t="shared" si="338"/>
        <v>50</v>
      </c>
      <c r="BF158" s="753">
        <f t="shared" si="339"/>
        <v>177.8</v>
      </c>
      <c r="BG158" s="779">
        <v>159</v>
      </c>
      <c r="BH158" s="819">
        <v>248</v>
      </c>
      <c r="BI158" s="753">
        <f t="shared" si="340"/>
        <v>56</v>
      </c>
      <c r="BJ158" s="779">
        <f t="shared" si="341"/>
        <v>15</v>
      </c>
      <c r="BK158" s="819">
        <f t="shared" si="341"/>
        <v>56</v>
      </c>
      <c r="BL158" s="753">
        <f t="shared" si="342"/>
        <v>273.3</v>
      </c>
      <c r="BM158" s="779">
        <v>174</v>
      </c>
      <c r="BN158" s="819">
        <v>304</v>
      </c>
      <c r="BO158" s="753">
        <f t="shared" si="343"/>
        <v>74.7</v>
      </c>
      <c r="BP158" s="779">
        <f t="shared" si="344"/>
        <v>30</v>
      </c>
      <c r="BQ158" s="819">
        <f t="shared" si="344"/>
        <v>51</v>
      </c>
      <c r="BR158" s="753">
        <f t="shared" si="345"/>
        <v>70</v>
      </c>
      <c r="BS158" s="779">
        <v>204</v>
      </c>
      <c r="BT158" s="819">
        <v>355</v>
      </c>
      <c r="BU158" s="753">
        <f t="shared" si="346"/>
        <v>74</v>
      </c>
    </row>
    <row r="159" spans="1:73">
      <c r="A159" s="4"/>
      <c r="B159" s="43" t="s">
        <v>103</v>
      </c>
      <c r="C159" s="44">
        <v>723</v>
      </c>
      <c r="D159" s="44">
        <v>342</v>
      </c>
      <c r="E159" s="44">
        <v>342</v>
      </c>
      <c r="F159" s="44">
        <v>417</v>
      </c>
      <c r="G159" s="44">
        <v>292</v>
      </c>
      <c r="H159" s="44">
        <v>405</v>
      </c>
      <c r="I159" s="44">
        <v>392</v>
      </c>
      <c r="J159" s="44">
        <v>217</v>
      </c>
      <c r="K159" s="283">
        <v>5</v>
      </c>
      <c r="L159" s="390">
        <v>28</v>
      </c>
      <c r="M159" s="242">
        <f t="shared" si="311"/>
        <v>460</v>
      </c>
      <c r="N159" s="283">
        <f t="shared" si="312"/>
        <v>2</v>
      </c>
      <c r="O159" s="390">
        <f t="shared" si="313"/>
        <v>21</v>
      </c>
      <c r="P159" s="242">
        <f t="shared" si="314"/>
        <v>950</v>
      </c>
      <c r="Q159" s="283">
        <v>7</v>
      </c>
      <c r="R159" s="390">
        <v>49</v>
      </c>
      <c r="S159" s="242">
        <f t="shared" si="315"/>
        <v>600</v>
      </c>
      <c r="T159" s="283">
        <f t="shared" si="316"/>
        <v>18</v>
      </c>
      <c r="U159" s="390">
        <f t="shared" si="317"/>
        <v>21</v>
      </c>
      <c r="V159" s="242">
        <f t="shared" si="318"/>
        <v>16.7</v>
      </c>
      <c r="W159" s="283">
        <v>25</v>
      </c>
      <c r="X159" s="390">
        <v>70</v>
      </c>
      <c r="Y159" s="242">
        <f t="shared" si="319"/>
        <v>180</v>
      </c>
      <c r="Z159" s="283">
        <f t="shared" si="320"/>
        <v>14</v>
      </c>
      <c r="AA159" s="390">
        <f t="shared" si="321"/>
        <v>18</v>
      </c>
      <c r="AB159" s="242">
        <f t="shared" si="322"/>
        <v>28.6</v>
      </c>
      <c r="AC159" s="283">
        <v>39</v>
      </c>
      <c r="AD159" s="390">
        <v>88</v>
      </c>
      <c r="AE159" s="242">
        <f t="shared" si="323"/>
        <v>125.6</v>
      </c>
      <c r="AF159" s="283">
        <f t="shared" si="324"/>
        <v>4</v>
      </c>
      <c r="AG159" s="390">
        <f t="shared" si="324"/>
        <v>1</v>
      </c>
      <c r="AH159" s="242">
        <f t="shared" si="325"/>
        <v>-75</v>
      </c>
      <c r="AI159" s="283">
        <v>43</v>
      </c>
      <c r="AJ159" s="390">
        <v>89</v>
      </c>
      <c r="AK159" s="242">
        <f t="shared" si="326"/>
        <v>107</v>
      </c>
      <c r="AL159" s="762">
        <f t="shared" si="327"/>
        <v>40</v>
      </c>
      <c r="AM159" s="769">
        <f t="shared" si="328"/>
        <v>9</v>
      </c>
      <c r="AN159" s="753">
        <f t="shared" si="329"/>
        <v>-77.5</v>
      </c>
      <c r="AO159" s="779">
        <v>83</v>
      </c>
      <c r="AP159" s="819">
        <v>98</v>
      </c>
      <c r="AQ159" s="753">
        <f t="shared" si="330"/>
        <v>18.100000000000001</v>
      </c>
      <c r="AR159" s="779">
        <f t="shared" si="331"/>
        <v>26</v>
      </c>
      <c r="AS159" s="819">
        <f t="shared" si="331"/>
        <v>16</v>
      </c>
      <c r="AT159" s="753">
        <f t="shared" si="332"/>
        <v>-38.5</v>
      </c>
      <c r="AU159" s="975">
        <v>109</v>
      </c>
      <c r="AV159" s="970">
        <v>114</v>
      </c>
      <c r="AW159" s="753">
        <f t="shared" si="333"/>
        <v>4.5999999999999996</v>
      </c>
      <c r="AX159" s="779">
        <f t="shared" si="334"/>
        <v>5</v>
      </c>
      <c r="AY159" s="819">
        <f t="shared" si="335"/>
        <v>34</v>
      </c>
      <c r="AZ159" s="753">
        <f t="shared" si="336"/>
        <v>580</v>
      </c>
      <c r="BA159" s="779">
        <v>114</v>
      </c>
      <c r="BB159" s="819">
        <v>148</v>
      </c>
      <c r="BC159" s="753">
        <f t="shared" si="337"/>
        <v>29.8</v>
      </c>
      <c r="BD159" s="779">
        <f t="shared" si="338"/>
        <v>5</v>
      </c>
      <c r="BE159" s="819">
        <f t="shared" si="338"/>
        <v>64</v>
      </c>
      <c r="BF159" s="753">
        <f t="shared" si="339"/>
        <v>1180</v>
      </c>
      <c r="BG159" s="779">
        <v>119</v>
      </c>
      <c r="BH159" s="819">
        <v>212</v>
      </c>
      <c r="BI159" s="753">
        <f t="shared" si="340"/>
        <v>78.2</v>
      </c>
      <c r="BJ159" s="779">
        <f t="shared" si="341"/>
        <v>42</v>
      </c>
      <c r="BK159" s="819">
        <f t="shared" si="341"/>
        <v>26</v>
      </c>
      <c r="BL159" s="753">
        <f t="shared" si="342"/>
        <v>-38.1</v>
      </c>
      <c r="BM159" s="779">
        <v>161</v>
      </c>
      <c r="BN159" s="819">
        <v>238</v>
      </c>
      <c r="BO159" s="753">
        <f t="shared" si="343"/>
        <v>47.8</v>
      </c>
      <c r="BP159" s="779">
        <f t="shared" si="344"/>
        <v>41</v>
      </c>
      <c r="BQ159" s="819">
        <f t="shared" si="344"/>
        <v>6</v>
      </c>
      <c r="BR159" s="753">
        <f t="shared" si="345"/>
        <v>-85.4</v>
      </c>
      <c r="BS159" s="779">
        <v>202</v>
      </c>
      <c r="BT159" s="819">
        <v>244</v>
      </c>
      <c r="BU159" s="753">
        <f t="shared" si="346"/>
        <v>20.8</v>
      </c>
    </row>
    <row r="160" spans="1:73">
      <c r="A160" s="4"/>
      <c r="B160" s="43" t="s">
        <v>72</v>
      </c>
      <c r="C160" s="44">
        <v>221</v>
      </c>
      <c r="D160" s="44">
        <v>304</v>
      </c>
      <c r="E160" s="44">
        <v>298</v>
      </c>
      <c r="F160" s="44">
        <v>227</v>
      </c>
      <c r="G160" s="44">
        <v>210</v>
      </c>
      <c r="H160" s="44">
        <v>184</v>
      </c>
      <c r="I160" s="44">
        <v>254</v>
      </c>
      <c r="J160" s="44">
        <v>182</v>
      </c>
      <c r="K160" s="283">
        <v>20</v>
      </c>
      <c r="L160" s="390">
        <v>15</v>
      </c>
      <c r="M160" s="242">
        <f t="shared" si="311"/>
        <v>-25</v>
      </c>
      <c r="N160" s="283">
        <f t="shared" si="312"/>
        <v>5</v>
      </c>
      <c r="O160" s="390">
        <f t="shared" si="313"/>
        <v>15</v>
      </c>
      <c r="P160" s="242">
        <f t="shared" si="314"/>
        <v>200</v>
      </c>
      <c r="Q160" s="283">
        <v>25</v>
      </c>
      <c r="R160" s="390">
        <v>30</v>
      </c>
      <c r="S160" s="242">
        <f t="shared" si="315"/>
        <v>20</v>
      </c>
      <c r="T160" s="283">
        <f t="shared" si="316"/>
        <v>6</v>
      </c>
      <c r="U160" s="390">
        <f t="shared" si="317"/>
        <v>25</v>
      </c>
      <c r="V160" s="242">
        <f t="shared" si="318"/>
        <v>316.7</v>
      </c>
      <c r="W160" s="283">
        <v>31</v>
      </c>
      <c r="X160" s="390">
        <v>55</v>
      </c>
      <c r="Y160" s="242">
        <f t="shared" si="319"/>
        <v>77.400000000000006</v>
      </c>
      <c r="Z160" s="283">
        <f t="shared" si="320"/>
        <v>25</v>
      </c>
      <c r="AA160" s="390">
        <f t="shared" si="321"/>
        <v>18</v>
      </c>
      <c r="AB160" s="242">
        <f t="shared" si="322"/>
        <v>-28</v>
      </c>
      <c r="AC160" s="283">
        <v>56</v>
      </c>
      <c r="AD160" s="390">
        <v>73</v>
      </c>
      <c r="AE160" s="242">
        <f t="shared" si="323"/>
        <v>30.4</v>
      </c>
      <c r="AF160" s="283">
        <f t="shared" si="324"/>
        <v>11</v>
      </c>
      <c r="AG160" s="390">
        <f t="shared" si="324"/>
        <v>38</v>
      </c>
      <c r="AH160" s="242">
        <f t="shared" si="325"/>
        <v>245.5</v>
      </c>
      <c r="AI160" s="283">
        <v>67</v>
      </c>
      <c r="AJ160" s="390">
        <v>111</v>
      </c>
      <c r="AK160" s="242">
        <f t="shared" si="326"/>
        <v>65.7</v>
      </c>
      <c r="AL160" s="762">
        <f t="shared" si="327"/>
        <v>29</v>
      </c>
      <c r="AM160" s="769">
        <f t="shared" si="328"/>
        <v>14</v>
      </c>
      <c r="AN160" s="753">
        <f t="shared" si="329"/>
        <v>-51.7</v>
      </c>
      <c r="AO160" s="779">
        <v>96</v>
      </c>
      <c r="AP160" s="819">
        <v>125</v>
      </c>
      <c r="AQ160" s="753">
        <f t="shared" si="330"/>
        <v>30.2</v>
      </c>
      <c r="AR160" s="779">
        <f t="shared" si="331"/>
        <v>10</v>
      </c>
      <c r="AS160" s="819">
        <f t="shared" si="331"/>
        <v>31</v>
      </c>
      <c r="AT160" s="753">
        <f t="shared" si="332"/>
        <v>210</v>
      </c>
      <c r="AU160" s="975">
        <v>106</v>
      </c>
      <c r="AV160" s="970">
        <v>156</v>
      </c>
      <c r="AW160" s="753">
        <f t="shared" si="333"/>
        <v>47.2</v>
      </c>
      <c r="AX160" s="779">
        <f t="shared" si="334"/>
        <v>1</v>
      </c>
      <c r="AY160" s="819">
        <f t="shared" si="335"/>
        <v>8</v>
      </c>
      <c r="AZ160" s="753">
        <f t="shared" si="336"/>
        <v>700</v>
      </c>
      <c r="BA160" s="779">
        <v>107</v>
      </c>
      <c r="BB160" s="819">
        <v>164</v>
      </c>
      <c r="BC160" s="753">
        <f t="shared" si="337"/>
        <v>53.3</v>
      </c>
      <c r="BD160" s="779">
        <f t="shared" si="338"/>
        <v>22</v>
      </c>
      <c r="BE160" s="819">
        <f t="shared" si="338"/>
        <v>14</v>
      </c>
      <c r="BF160" s="753">
        <f t="shared" si="339"/>
        <v>-36.4</v>
      </c>
      <c r="BG160" s="779">
        <v>129</v>
      </c>
      <c r="BH160" s="819">
        <v>178</v>
      </c>
      <c r="BI160" s="753">
        <f t="shared" si="340"/>
        <v>38</v>
      </c>
      <c r="BJ160" s="779">
        <f t="shared" si="341"/>
        <v>14</v>
      </c>
      <c r="BK160" s="819">
        <f t="shared" si="341"/>
        <v>21</v>
      </c>
      <c r="BL160" s="753">
        <f t="shared" si="342"/>
        <v>50</v>
      </c>
      <c r="BM160" s="779">
        <v>143</v>
      </c>
      <c r="BN160" s="819">
        <v>199</v>
      </c>
      <c r="BO160" s="753">
        <f t="shared" si="343"/>
        <v>39.200000000000003</v>
      </c>
      <c r="BP160" s="779">
        <f t="shared" si="344"/>
        <v>27</v>
      </c>
      <c r="BQ160" s="819">
        <f t="shared" si="344"/>
        <v>32</v>
      </c>
      <c r="BR160" s="753">
        <f t="shared" si="345"/>
        <v>18.5</v>
      </c>
      <c r="BS160" s="779">
        <v>170</v>
      </c>
      <c r="BT160" s="819">
        <v>231</v>
      </c>
      <c r="BU160" s="753">
        <f t="shared" si="346"/>
        <v>35.9</v>
      </c>
    </row>
    <row r="161" spans="1:73">
      <c r="A161" s="4"/>
      <c r="B161" s="43" t="s">
        <v>259</v>
      </c>
      <c r="C161" s="44">
        <v>39</v>
      </c>
      <c r="D161" s="44">
        <v>344</v>
      </c>
      <c r="E161" s="44">
        <v>1436</v>
      </c>
      <c r="F161" s="44">
        <v>1402</v>
      </c>
      <c r="G161" s="44">
        <v>644</v>
      </c>
      <c r="H161" s="44">
        <v>552</v>
      </c>
      <c r="I161" s="44">
        <v>543</v>
      </c>
      <c r="J161" s="44">
        <v>169</v>
      </c>
      <c r="K161" s="283">
        <v>47</v>
      </c>
      <c r="L161" s="390">
        <v>1</v>
      </c>
      <c r="M161" s="242">
        <f t="shared" si="311"/>
        <v>-97.9</v>
      </c>
      <c r="N161" s="283">
        <f t="shared" si="312"/>
        <v>13</v>
      </c>
      <c r="O161" s="390">
        <f t="shared" si="313"/>
        <v>20</v>
      </c>
      <c r="P161" s="242">
        <f t="shared" si="314"/>
        <v>53.8</v>
      </c>
      <c r="Q161" s="283">
        <v>60</v>
      </c>
      <c r="R161" s="390">
        <v>21</v>
      </c>
      <c r="S161" s="242">
        <f t="shared" si="315"/>
        <v>-65</v>
      </c>
      <c r="T161" s="283">
        <f t="shared" si="316"/>
        <v>7</v>
      </c>
      <c r="U161" s="390">
        <f t="shared" si="317"/>
        <v>20</v>
      </c>
      <c r="V161" s="242">
        <f t="shared" si="318"/>
        <v>185.7</v>
      </c>
      <c r="W161" s="283">
        <v>67</v>
      </c>
      <c r="X161" s="390">
        <v>41</v>
      </c>
      <c r="Y161" s="242">
        <f t="shared" si="319"/>
        <v>-38.799999999999997</v>
      </c>
      <c r="Z161" s="283">
        <f t="shared" si="320"/>
        <v>6</v>
      </c>
      <c r="AA161" s="390">
        <f t="shared" si="321"/>
        <v>0</v>
      </c>
      <c r="AB161" s="242">
        <f t="shared" si="322"/>
        <v>-100</v>
      </c>
      <c r="AC161" s="283">
        <v>73</v>
      </c>
      <c r="AD161" s="390">
        <v>41</v>
      </c>
      <c r="AE161" s="242">
        <f t="shared" si="323"/>
        <v>-43.8</v>
      </c>
      <c r="AF161" s="283">
        <f t="shared" si="324"/>
        <v>6</v>
      </c>
      <c r="AG161" s="390">
        <f t="shared" si="324"/>
        <v>29</v>
      </c>
      <c r="AH161" s="242">
        <f t="shared" si="325"/>
        <v>383.3</v>
      </c>
      <c r="AI161" s="283">
        <v>79</v>
      </c>
      <c r="AJ161" s="390">
        <v>70</v>
      </c>
      <c r="AK161" s="242">
        <f t="shared" si="326"/>
        <v>-11.4</v>
      </c>
      <c r="AL161" s="762">
        <f t="shared" si="327"/>
        <v>13</v>
      </c>
      <c r="AM161" s="769">
        <f t="shared" si="328"/>
        <v>38</v>
      </c>
      <c r="AN161" s="753">
        <f t="shared" si="329"/>
        <v>192.3</v>
      </c>
      <c r="AO161" s="779">
        <v>92</v>
      </c>
      <c r="AP161" s="819">
        <v>108</v>
      </c>
      <c r="AQ161" s="753">
        <f t="shared" si="330"/>
        <v>17.399999999999999</v>
      </c>
      <c r="AR161" s="779">
        <f t="shared" si="331"/>
        <v>0</v>
      </c>
      <c r="AS161" s="819">
        <f t="shared" si="331"/>
        <v>47</v>
      </c>
      <c r="AT161" s="799">
        <v>0</v>
      </c>
      <c r="AU161" s="975">
        <v>92</v>
      </c>
      <c r="AV161" s="970">
        <v>155</v>
      </c>
      <c r="AW161" s="753">
        <f t="shared" si="333"/>
        <v>68.5</v>
      </c>
      <c r="AX161" s="779">
        <f t="shared" si="334"/>
        <v>3</v>
      </c>
      <c r="AY161" s="819">
        <f t="shared" si="335"/>
        <v>41</v>
      </c>
      <c r="AZ161" s="753">
        <f t="shared" si="336"/>
        <v>1266.7</v>
      </c>
      <c r="BA161" s="779">
        <v>95</v>
      </c>
      <c r="BB161" s="819">
        <v>196</v>
      </c>
      <c r="BC161" s="753">
        <f t="shared" si="337"/>
        <v>106.3</v>
      </c>
      <c r="BD161" s="779">
        <f t="shared" si="338"/>
        <v>0</v>
      </c>
      <c r="BE161" s="819">
        <f t="shared" si="338"/>
        <v>2</v>
      </c>
      <c r="BF161" s="799">
        <v>0</v>
      </c>
      <c r="BG161" s="779">
        <v>95</v>
      </c>
      <c r="BH161" s="819">
        <v>198</v>
      </c>
      <c r="BI161" s="753">
        <f t="shared" si="340"/>
        <v>108.4</v>
      </c>
      <c r="BJ161" s="779">
        <f t="shared" si="341"/>
        <v>0</v>
      </c>
      <c r="BK161" s="819">
        <f t="shared" si="341"/>
        <v>43</v>
      </c>
      <c r="BL161" s="799">
        <v>0</v>
      </c>
      <c r="BM161" s="779">
        <v>95</v>
      </c>
      <c r="BN161" s="819">
        <v>241</v>
      </c>
      <c r="BO161" s="753">
        <f t="shared" si="343"/>
        <v>153.69999999999999</v>
      </c>
      <c r="BP161" s="779">
        <f t="shared" si="344"/>
        <v>25</v>
      </c>
      <c r="BQ161" s="819">
        <f t="shared" si="344"/>
        <v>49</v>
      </c>
      <c r="BR161" s="705">
        <f t="shared" si="345"/>
        <v>96</v>
      </c>
      <c r="BS161" s="779">
        <v>120</v>
      </c>
      <c r="BT161" s="819">
        <v>290</v>
      </c>
      <c r="BU161" s="753">
        <f t="shared" si="346"/>
        <v>141.69999999999999</v>
      </c>
    </row>
    <row r="162" spans="1:73">
      <c r="A162" s="4"/>
      <c r="B162" s="43" t="s">
        <v>101</v>
      </c>
      <c r="C162" s="44">
        <v>623</v>
      </c>
      <c r="D162" s="44">
        <v>850</v>
      </c>
      <c r="E162" s="44">
        <v>778</v>
      </c>
      <c r="F162" s="44">
        <v>853</v>
      </c>
      <c r="G162" s="44">
        <v>1136</v>
      </c>
      <c r="H162" s="44">
        <v>762</v>
      </c>
      <c r="I162" s="44">
        <v>176</v>
      </c>
      <c r="J162" s="44">
        <v>124</v>
      </c>
      <c r="K162" s="283">
        <v>16</v>
      </c>
      <c r="L162" s="390">
        <v>2</v>
      </c>
      <c r="M162" s="242">
        <f t="shared" si="311"/>
        <v>-87.5</v>
      </c>
      <c r="N162" s="283">
        <f t="shared" si="312"/>
        <v>7</v>
      </c>
      <c r="O162" s="390">
        <f t="shared" si="313"/>
        <v>14</v>
      </c>
      <c r="P162" s="242">
        <f t="shared" si="314"/>
        <v>100</v>
      </c>
      <c r="Q162" s="283">
        <v>23</v>
      </c>
      <c r="R162" s="390">
        <v>16</v>
      </c>
      <c r="S162" s="242">
        <f t="shared" si="315"/>
        <v>-30.4</v>
      </c>
      <c r="T162" s="283">
        <f t="shared" si="316"/>
        <v>9</v>
      </c>
      <c r="U162" s="390">
        <f t="shared" si="317"/>
        <v>4</v>
      </c>
      <c r="V162" s="242">
        <f t="shared" si="318"/>
        <v>-55.6</v>
      </c>
      <c r="W162" s="283">
        <v>32</v>
      </c>
      <c r="X162" s="390">
        <v>20</v>
      </c>
      <c r="Y162" s="242">
        <f t="shared" si="319"/>
        <v>-37.5</v>
      </c>
      <c r="Z162" s="283">
        <f t="shared" si="320"/>
        <v>12</v>
      </c>
      <c r="AA162" s="390">
        <f t="shared" si="321"/>
        <v>3</v>
      </c>
      <c r="AB162" s="242">
        <f t="shared" si="322"/>
        <v>-75</v>
      </c>
      <c r="AC162" s="283">
        <v>44</v>
      </c>
      <c r="AD162" s="390">
        <v>23</v>
      </c>
      <c r="AE162" s="242">
        <f t="shared" si="323"/>
        <v>-47.7</v>
      </c>
      <c r="AF162" s="283">
        <f t="shared" si="324"/>
        <v>7</v>
      </c>
      <c r="AG162" s="390">
        <f t="shared" si="324"/>
        <v>24</v>
      </c>
      <c r="AH162" s="242">
        <f t="shared" si="325"/>
        <v>242.9</v>
      </c>
      <c r="AI162" s="283">
        <v>51</v>
      </c>
      <c r="AJ162" s="390">
        <v>47</v>
      </c>
      <c r="AK162" s="242">
        <f t="shared" si="326"/>
        <v>-7.8</v>
      </c>
      <c r="AL162" s="762">
        <f t="shared" si="327"/>
        <v>6</v>
      </c>
      <c r="AM162" s="769">
        <f t="shared" si="328"/>
        <v>6</v>
      </c>
      <c r="AN162" s="753">
        <f t="shared" si="329"/>
        <v>0</v>
      </c>
      <c r="AO162" s="779">
        <v>57</v>
      </c>
      <c r="AP162" s="819">
        <v>53</v>
      </c>
      <c r="AQ162" s="753">
        <f t="shared" si="330"/>
        <v>-7</v>
      </c>
      <c r="AR162" s="779">
        <f t="shared" si="331"/>
        <v>20</v>
      </c>
      <c r="AS162" s="819">
        <f t="shared" si="331"/>
        <v>4</v>
      </c>
      <c r="AT162" s="753">
        <f t="shared" si="332"/>
        <v>-80</v>
      </c>
      <c r="AU162" s="975">
        <v>77</v>
      </c>
      <c r="AV162" s="970">
        <v>57</v>
      </c>
      <c r="AW162" s="753">
        <f t="shared" si="333"/>
        <v>-26</v>
      </c>
      <c r="AX162" s="779">
        <f t="shared" si="334"/>
        <v>12</v>
      </c>
      <c r="AY162" s="819">
        <f t="shared" si="335"/>
        <v>32</v>
      </c>
      <c r="AZ162" s="753">
        <f t="shared" ref="AZ162:AZ163" si="347">ROUND(((AY162/AX162-1)*100), 1)</f>
        <v>166.7</v>
      </c>
      <c r="BA162" s="779">
        <v>89</v>
      </c>
      <c r="BB162" s="819">
        <v>89</v>
      </c>
      <c r="BC162" s="753">
        <f t="shared" si="337"/>
        <v>0</v>
      </c>
      <c r="BD162" s="779">
        <f t="shared" si="338"/>
        <v>7</v>
      </c>
      <c r="BE162" s="819">
        <f t="shared" si="338"/>
        <v>10</v>
      </c>
      <c r="BF162" s="753">
        <f t="shared" si="339"/>
        <v>42.9</v>
      </c>
      <c r="BG162" s="779">
        <v>96</v>
      </c>
      <c r="BH162" s="819">
        <v>99</v>
      </c>
      <c r="BI162" s="753">
        <f t="shared" si="340"/>
        <v>3.1</v>
      </c>
      <c r="BJ162" s="779">
        <f t="shared" si="341"/>
        <v>13</v>
      </c>
      <c r="BK162" s="819">
        <f t="shared" si="341"/>
        <v>15</v>
      </c>
      <c r="BL162" s="753">
        <f t="shared" ref="BL162:BL163" si="348">ROUND(((BK162/BJ162-1)*100), 1)</f>
        <v>15.4</v>
      </c>
      <c r="BM162" s="779">
        <v>109</v>
      </c>
      <c r="BN162" s="819">
        <v>114</v>
      </c>
      <c r="BO162" s="753">
        <f t="shared" si="343"/>
        <v>4.5999999999999996</v>
      </c>
      <c r="BP162" s="779">
        <f t="shared" si="344"/>
        <v>8</v>
      </c>
      <c r="BQ162" s="819">
        <f t="shared" si="344"/>
        <v>15</v>
      </c>
      <c r="BR162" s="753">
        <f>ROUND(((BQ162/BP162-1)*100), 1)</f>
        <v>87.5</v>
      </c>
      <c r="BS162" s="779">
        <v>117</v>
      </c>
      <c r="BT162" s="819">
        <v>129</v>
      </c>
      <c r="BU162" s="753">
        <f t="shared" si="346"/>
        <v>10.3</v>
      </c>
    </row>
    <row r="163" spans="1:73">
      <c r="A163" s="4"/>
      <c r="B163" s="43" t="s">
        <v>112</v>
      </c>
      <c r="C163" s="44">
        <v>176</v>
      </c>
      <c r="D163" s="44">
        <v>107</v>
      </c>
      <c r="E163" s="44">
        <v>125</v>
      </c>
      <c r="F163" s="44">
        <v>94</v>
      </c>
      <c r="G163" s="44">
        <v>115</v>
      </c>
      <c r="H163" s="44">
        <v>108</v>
      </c>
      <c r="I163" s="44">
        <v>112</v>
      </c>
      <c r="J163" s="44">
        <v>109</v>
      </c>
      <c r="K163" s="283">
        <v>10</v>
      </c>
      <c r="L163" s="390">
        <v>9</v>
      </c>
      <c r="M163" s="242">
        <f t="shared" si="311"/>
        <v>-10</v>
      </c>
      <c r="N163" s="283">
        <f t="shared" si="312"/>
        <v>2</v>
      </c>
      <c r="O163" s="390">
        <f t="shared" si="313"/>
        <v>16</v>
      </c>
      <c r="P163" s="242">
        <f t="shared" si="314"/>
        <v>700</v>
      </c>
      <c r="Q163" s="283">
        <v>12</v>
      </c>
      <c r="R163" s="390">
        <v>25</v>
      </c>
      <c r="S163" s="242">
        <f t="shared" si="315"/>
        <v>108.3</v>
      </c>
      <c r="T163" s="283">
        <f t="shared" si="316"/>
        <v>4</v>
      </c>
      <c r="U163" s="390">
        <f t="shared" si="317"/>
        <v>6</v>
      </c>
      <c r="V163" s="242">
        <f t="shared" si="318"/>
        <v>50</v>
      </c>
      <c r="W163" s="283">
        <v>16</v>
      </c>
      <c r="X163" s="390">
        <v>31</v>
      </c>
      <c r="Y163" s="242">
        <f t="shared" si="319"/>
        <v>93.8</v>
      </c>
      <c r="Z163" s="283">
        <f t="shared" si="320"/>
        <v>4</v>
      </c>
      <c r="AA163" s="390">
        <f t="shared" si="321"/>
        <v>1</v>
      </c>
      <c r="AB163" s="242">
        <f t="shared" si="322"/>
        <v>-75</v>
      </c>
      <c r="AC163" s="283">
        <v>20</v>
      </c>
      <c r="AD163" s="390">
        <v>32</v>
      </c>
      <c r="AE163" s="242">
        <f t="shared" si="323"/>
        <v>60</v>
      </c>
      <c r="AF163" s="283">
        <f t="shared" si="324"/>
        <v>16</v>
      </c>
      <c r="AG163" s="390">
        <f t="shared" si="324"/>
        <v>20</v>
      </c>
      <c r="AH163" s="242">
        <f t="shared" si="325"/>
        <v>25</v>
      </c>
      <c r="AI163" s="283">
        <v>36</v>
      </c>
      <c r="AJ163" s="390">
        <v>52</v>
      </c>
      <c r="AK163" s="242">
        <f t="shared" si="326"/>
        <v>44.4</v>
      </c>
      <c r="AL163" s="762">
        <f t="shared" si="327"/>
        <v>10</v>
      </c>
      <c r="AM163" s="769">
        <f t="shared" si="328"/>
        <v>18</v>
      </c>
      <c r="AN163" s="753">
        <f t="shared" si="329"/>
        <v>80</v>
      </c>
      <c r="AO163" s="779">
        <v>46</v>
      </c>
      <c r="AP163" s="819">
        <v>70</v>
      </c>
      <c r="AQ163" s="753">
        <f t="shared" si="330"/>
        <v>52.2</v>
      </c>
      <c r="AR163" s="779">
        <f t="shared" si="331"/>
        <v>5</v>
      </c>
      <c r="AS163" s="819">
        <f t="shared" si="331"/>
        <v>26</v>
      </c>
      <c r="AT163" s="753">
        <f t="shared" si="332"/>
        <v>420</v>
      </c>
      <c r="AU163" s="975">
        <v>51</v>
      </c>
      <c r="AV163" s="970">
        <v>96</v>
      </c>
      <c r="AW163" s="753">
        <f t="shared" si="333"/>
        <v>88.2</v>
      </c>
      <c r="AX163" s="779">
        <f t="shared" si="334"/>
        <v>8</v>
      </c>
      <c r="AY163" s="819">
        <f t="shared" si="335"/>
        <v>21</v>
      </c>
      <c r="AZ163" s="753">
        <f t="shared" si="347"/>
        <v>162.5</v>
      </c>
      <c r="BA163" s="779">
        <v>59</v>
      </c>
      <c r="BB163" s="819">
        <v>117</v>
      </c>
      <c r="BC163" s="753">
        <f t="shared" si="337"/>
        <v>98.3</v>
      </c>
      <c r="BD163" s="779">
        <f t="shared" si="338"/>
        <v>12</v>
      </c>
      <c r="BE163" s="819">
        <f t="shared" si="338"/>
        <v>24</v>
      </c>
      <c r="BF163" s="753">
        <f t="shared" si="339"/>
        <v>100</v>
      </c>
      <c r="BG163" s="779">
        <v>71</v>
      </c>
      <c r="BH163" s="819">
        <v>141</v>
      </c>
      <c r="BI163" s="753">
        <f t="shared" si="340"/>
        <v>98.6</v>
      </c>
      <c r="BJ163" s="779">
        <f t="shared" si="341"/>
        <v>12</v>
      </c>
      <c r="BK163" s="819">
        <f t="shared" si="341"/>
        <v>14</v>
      </c>
      <c r="BL163" s="753">
        <f t="shared" si="348"/>
        <v>16.7</v>
      </c>
      <c r="BM163" s="779">
        <v>83</v>
      </c>
      <c r="BN163" s="819">
        <v>155</v>
      </c>
      <c r="BO163" s="753">
        <f t="shared" si="343"/>
        <v>86.7</v>
      </c>
      <c r="BP163" s="779">
        <f t="shared" si="344"/>
        <v>10</v>
      </c>
      <c r="BQ163" s="819">
        <f t="shared" si="344"/>
        <v>28</v>
      </c>
      <c r="BR163" s="753">
        <f>ROUND(((BQ163/BP163-1)*100), 1)</f>
        <v>180</v>
      </c>
      <c r="BS163" s="779">
        <v>93</v>
      </c>
      <c r="BT163" s="819">
        <v>183</v>
      </c>
      <c r="BU163" s="753">
        <f t="shared" si="346"/>
        <v>96.8</v>
      </c>
    </row>
    <row r="164" spans="1:73">
      <c r="A164" s="4"/>
      <c r="B164" s="43" t="s">
        <v>64</v>
      </c>
      <c r="C164" s="44">
        <v>141</v>
      </c>
      <c r="D164" s="44">
        <v>254</v>
      </c>
      <c r="E164" s="44">
        <v>779</v>
      </c>
      <c r="F164" s="44">
        <v>324</v>
      </c>
      <c r="G164" s="44">
        <v>206</v>
      </c>
      <c r="H164" s="44">
        <v>187</v>
      </c>
      <c r="I164" s="44">
        <v>126</v>
      </c>
      <c r="J164" s="44">
        <v>64</v>
      </c>
      <c r="K164" s="283">
        <v>0</v>
      </c>
      <c r="L164" s="390">
        <v>1</v>
      </c>
      <c r="M164" s="177">
        <v>0</v>
      </c>
      <c r="N164" s="283">
        <f t="shared" si="312"/>
        <v>0</v>
      </c>
      <c r="O164" s="390">
        <f t="shared" si="313"/>
        <v>20</v>
      </c>
      <c r="P164" s="177">
        <v>0</v>
      </c>
      <c r="Q164" s="283">
        <v>0</v>
      </c>
      <c r="R164" s="390">
        <v>21</v>
      </c>
      <c r="S164" s="177">
        <v>0</v>
      </c>
      <c r="T164" s="283">
        <f t="shared" si="316"/>
        <v>13</v>
      </c>
      <c r="U164" s="390">
        <f t="shared" si="317"/>
        <v>3</v>
      </c>
      <c r="V164" s="242">
        <f>ROUND(((U164/T164-1)*100), 1)</f>
        <v>-76.900000000000006</v>
      </c>
      <c r="W164" s="283">
        <v>13</v>
      </c>
      <c r="X164" s="390">
        <v>24</v>
      </c>
      <c r="Y164" s="242">
        <f>ROUND(((X164/W164-1)*100), 1)</f>
        <v>84.6</v>
      </c>
      <c r="Z164" s="283">
        <f t="shared" si="320"/>
        <v>3</v>
      </c>
      <c r="AA164" s="390">
        <f t="shared" si="321"/>
        <v>0</v>
      </c>
      <c r="AB164" s="242">
        <f>ROUND(((AA164/Z164-1)*100), 1)</f>
        <v>-100</v>
      </c>
      <c r="AC164" s="283">
        <v>16</v>
      </c>
      <c r="AD164" s="390">
        <v>24</v>
      </c>
      <c r="AE164" s="242">
        <f>ROUND(((AD164/AC164-1)*100), 1)</f>
        <v>50</v>
      </c>
      <c r="AF164" s="283">
        <f t="shared" si="324"/>
        <v>13</v>
      </c>
      <c r="AG164" s="390">
        <f t="shared" si="324"/>
        <v>0</v>
      </c>
      <c r="AH164" s="242">
        <f>ROUND(((AG164/AF164-1)*100), 1)</f>
        <v>-100</v>
      </c>
      <c r="AI164" s="283">
        <v>29</v>
      </c>
      <c r="AJ164" s="390">
        <v>24</v>
      </c>
      <c r="AK164" s="242">
        <f>ROUND(((AJ164/AI164-1)*100), 1)</f>
        <v>-17.2</v>
      </c>
      <c r="AL164" s="762">
        <f t="shared" si="327"/>
        <v>0</v>
      </c>
      <c r="AM164" s="769">
        <f t="shared" si="328"/>
        <v>0</v>
      </c>
      <c r="AN164" s="799">
        <v>0</v>
      </c>
      <c r="AO164" s="779">
        <v>29</v>
      </c>
      <c r="AP164" s="819">
        <v>24</v>
      </c>
      <c r="AQ164" s="753">
        <f>ROUND(((AP164/AO164-1)*100), 1)</f>
        <v>-17.2</v>
      </c>
      <c r="AR164" s="779">
        <f t="shared" si="331"/>
        <v>0</v>
      </c>
      <c r="AS164" s="819">
        <f t="shared" si="331"/>
        <v>3</v>
      </c>
      <c r="AT164" s="799">
        <v>0</v>
      </c>
      <c r="AU164" s="975">
        <v>29</v>
      </c>
      <c r="AV164" s="970">
        <v>27</v>
      </c>
      <c r="AW164" s="753">
        <f>ROUND(((AV164/AU164-1)*100), 1)</f>
        <v>-6.9</v>
      </c>
      <c r="AX164" s="779">
        <f t="shared" si="334"/>
        <v>15</v>
      </c>
      <c r="AY164" s="819">
        <f t="shared" si="335"/>
        <v>2</v>
      </c>
      <c r="AZ164" s="753">
        <f t="shared" si="336"/>
        <v>-86.7</v>
      </c>
      <c r="BA164" s="779">
        <v>44</v>
      </c>
      <c r="BB164" s="819">
        <v>29</v>
      </c>
      <c r="BC164" s="753">
        <f>ROUND(((BB164/BA164-1)*100), 1)</f>
        <v>-34.1</v>
      </c>
      <c r="BD164" s="779">
        <f t="shared" si="338"/>
        <v>0</v>
      </c>
      <c r="BE164" s="819">
        <f t="shared" si="338"/>
        <v>32</v>
      </c>
      <c r="BF164" s="799">
        <v>0</v>
      </c>
      <c r="BG164" s="779">
        <v>44</v>
      </c>
      <c r="BH164" s="819">
        <v>61</v>
      </c>
      <c r="BI164" s="753">
        <f>ROUND(((BH164/BG164-1)*100), 1)</f>
        <v>38.6</v>
      </c>
      <c r="BJ164" s="779">
        <f t="shared" si="341"/>
        <v>0</v>
      </c>
      <c r="BK164" s="819">
        <f t="shared" si="341"/>
        <v>0</v>
      </c>
      <c r="BL164" s="799">
        <v>0</v>
      </c>
      <c r="BM164" s="779">
        <v>44</v>
      </c>
      <c r="BN164" s="819">
        <v>61</v>
      </c>
      <c r="BO164" s="753">
        <f>ROUND(((BN164/BM164-1)*100), 1)</f>
        <v>38.6</v>
      </c>
      <c r="BP164" s="779">
        <f t="shared" si="344"/>
        <v>15</v>
      </c>
      <c r="BQ164" s="819">
        <f t="shared" si="344"/>
        <v>13</v>
      </c>
      <c r="BR164" s="705">
        <f t="shared" ref="BR164" si="349">ROUND(((BQ164/BP164-1)*100), 1)</f>
        <v>-13.3</v>
      </c>
      <c r="BS164" s="779">
        <v>59</v>
      </c>
      <c r="BT164" s="819">
        <v>74</v>
      </c>
      <c r="BU164" s="753">
        <f>ROUND(((BT164/BS164-1)*100), 1)</f>
        <v>25.4</v>
      </c>
    </row>
    <row r="165" spans="1:73">
      <c r="A165" s="4"/>
      <c r="B165" s="43" t="s">
        <v>86</v>
      </c>
      <c r="C165" s="44">
        <v>835</v>
      </c>
      <c r="D165" s="44">
        <v>543</v>
      </c>
      <c r="E165" s="44">
        <v>396</v>
      </c>
      <c r="F165" s="44">
        <v>179</v>
      </c>
      <c r="G165" s="44">
        <v>116</v>
      </c>
      <c r="H165" s="44">
        <v>192</v>
      </c>
      <c r="I165" s="44">
        <v>115</v>
      </c>
      <c r="J165" s="44">
        <v>46</v>
      </c>
      <c r="K165" s="283">
        <v>4</v>
      </c>
      <c r="L165" s="390">
        <v>9</v>
      </c>
      <c r="M165" s="242">
        <f t="shared" si="311"/>
        <v>125</v>
      </c>
      <c r="N165" s="283">
        <f t="shared" si="312"/>
        <v>0</v>
      </c>
      <c r="O165" s="390">
        <f t="shared" si="313"/>
        <v>3</v>
      </c>
      <c r="P165" s="523">
        <v>0</v>
      </c>
      <c r="Q165" s="283">
        <v>4</v>
      </c>
      <c r="R165" s="390">
        <v>12</v>
      </c>
      <c r="S165" s="242">
        <f>ROUND(((R165/Q165-1)*100), 1)</f>
        <v>200</v>
      </c>
      <c r="T165" s="283">
        <f t="shared" si="316"/>
        <v>2</v>
      </c>
      <c r="U165" s="390">
        <f t="shared" si="317"/>
        <v>0</v>
      </c>
      <c r="V165" s="242">
        <f>ROUND(((U165/T165-1)*100), 1)</f>
        <v>-100</v>
      </c>
      <c r="W165" s="283">
        <v>6</v>
      </c>
      <c r="X165" s="390">
        <v>12</v>
      </c>
      <c r="Y165" s="242">
        <f>ROUND(((X165/W165-1)*100), 1)</f>
        <v>100</v>
      </c>
      <c r="Z165" s="283">
        <f t="shared" si="320"/>
        <v>0</v>
      </c>
      <c r="AA165" s="390">
        <f t="shared" si="321"/>
        <v>2</v>
      </c>
      <c r="AB165" s="521">
        <v>0</v>
      </c>
      <c r="AC165" s="283">
        <v>6</v>
      </c>
      <c r="AD165" s="390">
        <v>14</v>
      </c>
      <c r="AE165" s="242">
        <f>ROUND(((AD165/AC165-1)*100), 1)</f>
        <v>133.30000000000001</v>
      </c>
      <c r="AF165" s="283">
        <f t="shared" si="324"/>
        <v>7</v>
      </c>
      <c r="AG165" s="390">
        <f t="shared" si="324"/>
        <v>5</v>
      </c>
      <c r="AH165" s="242">
        <f>ROUND(((AG165/AF165-1)*100), 1)</f>
        <v>-28.6</v>
      </c>
      <c r="AI165" s="283">
        <v>13</v>
      </c>
      <c r="AJ165" s="390">
        <v>19</v>
      </c>
      <c r="AK165" s="242">
        <f>ROUND(((AJ165/AI165-1)*100), 1)</f>
        <v>46.2</v>
      </c>
      <c r="AL165" s="762">
        <f t="shared" si="327"/>
        <v>5</v>
      </c>
      <c r="AM165" s="769">
        <f t="shared" si="328"/>
        <v>20</v>
      </c>
      <c r="AN165" s="753">
        <f>ROUND(((AM165/AL165-1)*100), 1)</f>
        <v>300</v>
      </c>
      <c r="AO165" s="779">
        <v>18</v>
      </c>
      <c r="AP165" s="819">
        <v>39</v>
      </c>
      <c r="AQ165" s="753">
        <f>ROUND(((AP165/AO165-1)*100), 1)</f>
        <v>116.7</v>
      </c>
      <c r="AR165" s="779">
        <f t="shared" si="331"/>
        <v>8</v>
      </c>
      <c r="AS165" s="819">
        <f t="shared" si="331"/>
        <v>4</v>
      </c>
      <c r="AT165" s="753">
        <f>ROUND(((AS165/AR165-1)*100), 1)</f>
        <v>-50</v>
      </c>
      <c r="AU165" s="975">
        <v>26</v>
      </c>
      <c r="AV165" s="970">
        <v>43</v>
      </c>
      <c r="AW165" s="753">
        <f>ROUND(((AV165/AU165-1)*100), 1)</f>
        <v>65.400000000000006</v>
      </c>
      <c r="AX165" s="779">
        <f t="shared" si="334"/>
        <v>6</v>
      </c>
      <c r="AY165" s="819">
        <f t="shared" si="335"/>
        <v>0</v>
      </c>
      <c r="AZ165" s="753">
        <f>ROUND(((AY165/AX165-1)*100), 1)</f>
        <v>-100</v>
      </c>
      <c r="BA165" s="779">
        <v>32</v>
      </c>
      <c r="BB165" s="819">
        <v>43</v>
      </c>
      <c r="BC165" s="753">
        <f>ROUND(((BB165/BA165-1)*100), 1)</f>
        <v>34.4</v>
      </c>
      <c r="BD165" s="779">
        <f t="shared" si="338"/>
        <v>1</v>
      </c>
      <c r="BE165" s="819">
        <f t="shared" si="338"/>
        <v>27</v>
      </c>
      <c r="BF165" s="753">
        <f>ROUND(((BE165/BD165-1)*100), 1)</f>
        <v>2600</v>
      </c>
      <c r="BG165" s="779">
        <v>33</v>
      </c>
      <c r="BH165" s="819">
        <v>70</v>
      </c>
      <c r="BI165" s="753">
        <f>ROUND(((BH165/BG165-1)*100), 1)</f>
        <v>112.1</v>
      </c>
      <c r="BJ165" s="779">
        <f t="shared" si="341"/>
        <v>10</v>
      </c>
      <c r="BK165" s="819">
        <f t="shared" si="341"/>
        <v>5</v>
      </c>
      <c r="BL165" s="753">
        <f>ROUND(((BK165/BJ165-1)*100), 1)</f>
        <v>-50</v>
      </c>
      <c r="BM165" s="779">
        <v>43</v>
      </c>
      <c r="BN165" s="819">
        <v>75</v>
      </c>
      <c r="BO165" s="753">
        <f>ROUND(((BN165/BM165-1)*100), 1)</f>
        <v>74.400000000000006</v>
      </c>
      <c r="BP165" s="779">
        <f t="shared" si="344"/>
        <v>3</v>
      </c>
      <c r="BQ165" s="819">
        <f t="shared" si="344"/>
        <v>10</v>
      </c>
      <c r="BR165" s="753">
        <f>ROUND(((BQ165/BP165-1)*100), 1)</f>
        <v>233.3</v>
      </c>
      <c r="BS165" s="779">
        <v>46</v>
      </c>
      <c r="BT165" s="819">
        <v>85</v>
      </c>
      <c r="BU165" s="753">
        <f>ROUND(((BT165/BS165-1)*100), 1)</f>
        <v>84.8</v>
      </c>
    </row>
    <row r="166" spans="1:73">
      <c r="A166" s="4"/>
      <c r="B166" s="43" t="s">
        <v>122</v>
      </c>
      <c r="C166" s="44">
        <v>141</v>
      </c>
      <c r="D166" s="44">
        <v>136</v>
      </c>
      <c r="E166" s="44">
        <v>131</v>
      </c>
      <c r="F166" s="44">
        <v>97</v>
      </c>
      <c r="G166" s="44">
        <v>95</v>
      </c>
      <c r="H166" s="44">
        <v>51</v>
      </c>
      <c r="I166" s="44">
        <v>46</v>
      </c>
      <c r="J166" s="44">
        <v>46</v>
      </c>
      <c r="K166" s="283">
        <v>5</v>
      </c>
      <c r="L166" s="390">
        <v>5</v>
      </c>
      <c r="M166" s="242">
        <f t="shared" si="311"/>
        <v>0</v>
      </c>
      <c r="N166" s="283">
        <f t="shared" si="312"/>
        <v>5</v>
      </c>
      <c r="O166" s="390">
        <f t="shared" si="313"/>
        <v>0</v>
      </c>
      <c r="P166" s="242">
        <f>ROUND(((O166/N166-1)*100), 1)</f>
        <v>-100</v>
      </c>
      <c r="Q166" s="283">
        <v>10</v>
      </c>
      <c r="R166" s="390">
        <v>5</v>
      </c>
      <c r="S166" s="242">
        <f>ROUND(((R166/Q166-1)*100), 1)</f>
        <v>-50</v>
      </c>
      <c r="T166" s="283">
        <f t="shared" si="316"/>
        <v>0</v>
      </c>
      <c r="U166" s="390">
        <f t="shared" si="317"/>
        <v>15</v>
      </c>
      <c r="V166" s="523">
        <v>0</v>
      </c>
      <c r="W166" s="283">
        <v>10</v>
      </c>
      <c r="X166" s="390">
        <v>20</v>
      </c>
      <c r="Y166" s="242">
        <f>ROUND(((X166/W166-1)*100), 1)</f>
        <v>100</v>
      </c>
      <c r="Z166" s="283">
        <f t="shared" si="320"/>
        <v>1</v>
      </c>
      <c r="AA166" s="390">
        <f t="shared" si="321"/>
        <v>0</v>
      </c>
      <c r="AB166" s="242">
        <f t="shared" ref="AB166" si="350">ROUND(((AA166/Z166-1)*100), 1)</f>
        <v>-100</v>
      </c>
      <c r="AC166" s="283">
        <v>11</v>
      </c>
      <c r="AD166" s="390">
        <v>20</v>
      </c>
      <c r="AE166" s="242">
        <f>ROUND(((AD166/AC166-1)*100), 1)</f>
        <v>81.8</v>
      </c>
      <c r="AF166" s="283">
        <f t="shared" si="324"/>
        <v>6</v>
      </c>
      <c r="AG166" s="390">
        <f t="shared" si="324"/>
        <v>0</v>
      </c>
      <c r="AH166" s="242">
        <f t="shared" ref="AH166" si="351">ROUND(((AG166/AF166-1)*100), 1)</f>
        <v>-100</v>
      </c>
      <c r="AI166" s="283">
        <v>17</v>
      </c>
      <c r="AJ166" s="390">
        <v>20</v>
      </c>
      <c r="AK166" s="242">
        <f>ROUND(((AJ166/AI166-1)*100), 1)</f>
        <v>17.600000000000001</v>
      </c>
      <c r="AL166" s="762">
        <f t="shared" si="327"/>
        <v>5</v>
      </c>
      <c r="AM166" s="769">
        <f t="shared" si="328"/>
        <v>5</v>
      </c>
      <c r="AN166" s="753">
        <f t="shared" ref="AN166" si="352">ROUND(((AM166/AL166-1)*100), 1)</f>
        <v>0</v>
      </c>
      <c r="AO166" s="779">
        <v>22</v>
      </c>
      <c r="AP166" s="819">
        <v>25</v>
      </c>
      <c r="AQ166" s="753">
        <f>ROUND(((AP166/AO166-1)*100), 1)</f>
        <v>13.6</v>
      </c>
      <c r="AR166" s="779">
        <f t="shared" si="331"/>
        <v>5</v>
      </c>
      <c r="AS166" s="819">
        <f t="shared" si="331"/>
        <v>0</v>
      </c>
      <c r="AT166" s="753">
        <f>ROUND(((AS166/AR166-1)*100), 1)</f>
        <v>-100</v>
      </c>
      <c r="AU166" s="975">
        <v>27</v>
      </c>
      <c r="AV166" s="970">
        <v>25</v>
      </c>
      <c r="AW166" s="753">
        <f>ROUND(((AV166/AU166-1)*100), 1)</f>
        <v>-7.4</v>
      </c>
      <c r="AX166" s="779">
        <f t="shared" si="334"/>
        <v>7</v>
      </c>
      <c r="AY166" s="819">
        <f t="shared" si="335"/>
        <v>0</v>
      </c>
      <c r="AZ166" s="753">
        <f>ROUND(((AY166/AX166-1)*100), 1)</f>
        <v>-100</v>
      </c>
      <c r="BA166" s="779">
        <v>34</v>
      </c>
      <c r="BB166" s="819">
        <v>25</v>
      </c>
      <c r="BC166" s="753">
        <f>ROUND(((BB166/BA166-1)*100), 1)</f>
        <v>-26.5</v>
      </c>
      <c r="BD166" s="779">
        <f t="shared" si="338"/>
        <v>0</v>
      </c>
      <c r="BE166" s="819">
        <f t="shared" si="338"/>
        <v>0</v>
      </c>
      <c r="BF166" s="799">
        <v>0</v>
      </c>
      <c r="BG166" s="779">
        <v>34</v>
      </c>
      <c r="BH166" s="819">
        <v>25</v>
      </c>
      <c r="BI166" s="753">
        <f>ROUND(((BH166/BG166-1)*100), 1)</f>
        <v>-26.5</v>
      </c>
      <c r="BJ166" s="779">
        <f t="shared" si="341"/>
        <v>5</v>
      </c>
      <c r="BK166" s="819">
        <f t="shared" si="341"/>
        <v>17</v>
      </c>
      <c r="BL166" s="753">
        <f t="shared" ref="BL166:BL177" si="353">ROUND(((BK166/BJ166-1)*100), 1)</f>
        <v>240</v>
      </c>
      <c r="BM166" s="779">
        <v>39</v>
      </c>
      <c r="BN166" s="819">
        <v>42</v>
      </c>
      <c r="BO166" s="753">
        <f>ROUND(((BN166/BM166-1)*100), 1)</f>
        <v>7.7</v>
      </c>
      <c r="BP166" s="779">
        <f t="shared" si="344"/>
        <v>7</v>
      </c>
      <c r="BQ166" s="819">
        <f t="shared" si="344"/>
        <v>0</v>
      </c>
      <c r="BR166" s="753">
        <f t="shared" ref="BR166:BR177" si="354">ROUND(((BQ166/BP166-1)*100), 1)</f>
        <v>-100</v>
      </c>
      <c r="BS166" s="779">
        <v>46</v>
      </c>
      <c r="BT166" s="819">
        <v>42</v>
      </c>
      <c r="BU166" s="753">
        <f>ROUND(((BT166/BS166-1)*100), 1)</f>
        <v>-8.6999999999999993</v>
      </c>
    </row>
    <row r="167" spans="1:73">
      <c r="A167" s="4"/>
      <c r="B167" s="43" t="s">
        <v>104</v>
      </c>
      <c r="C167" s="44">
        <v>238</v>
      </c>
      <c r="D167" s="44">
        <v>300</v>
      </c>
      <c r="E167" s="44">
        <v>498</v>
      </c>
      <c r="F167" s="44">
        <v>260</v>
      </c>
      <c r="G167" s="44">
        <v>266</v>
      </c>
      <c r="H167" s="44">
        <v>160</v>
      </c>
      <c r="I167" s="44">
        <v>58</v>
      </c>
      <c r="J167" s="44">
        <v>7</v>
      </c>
      <c r="K167" s="283">
        <v>0</v>
      </c>
      <c r="L167" s="390">
        <v>0</v>
      </c>
      <c r="M167" s="177">
        <v>0</v>
      </c>
      <c r="N167" s="283">
        <f t="shared" si="312"/>
        <v>0</v>
      </c>
      <c r="O167" s="390">
        <f t="shared" si="313"/>
        <v>0</v>
      </c>
      <c r="P167" s="177">
        <v>0</v>
      </c>
      <c r="Q167" s="283">
        <v>0</v>
      </c>
      <c r="R167" s="390">
        <v>0</v>
      </c>
      <c r="S167" s="177">
        <v>0</v>
      </c>
      <c r="T167" s="283">
        <f t="shared" si="316"/>
        <v>0</v>
      </c>
      <c r="U167" s="390">
        <f t="shared" si="317"/>
        <v>0</v>
      </c>
      <c r="V167" s="177">
        <v>0</v>
      </c>
      <c r="W167" s="283">
        <v>0</v>
      </c>
      <c r="X167" s="390">
        <v>0</v>
      </c>
      <c r="Y167" s="177">
        <v>0</v>
      </c>
      <c r="Z167" s="283">
        <f t="shared" si="320"/>
        <v>0</v>
      </c>
      <c r="AA167" s="390">
        <f t="shared" si="321"/>
        <v>0</v>
      </c>
      <c r="AB167" s="521">
        <v>0</v>
      </c>
      <c r="AC167" s="283">
        <v>0</v>
      </c>
      <c r="AD167" s="390">
        <v>0</v>
      </c>
      <c r="AE167" s="521">
        <v>0</v>
      </c>
      <c r="AF167" s="283">
        <f t="shared" si="324"/>
        <v>0</v>
      </c>
      <c r="AG167" s="390">
        <f t="shared" si="324"/>
        <v>0</v>
      </c>
      <c r="AH167" s="521">
        <v>0</v>
      </c>
      <c r="AI167" s="283">
        <v>0</v>
      </c>
      <c r="AJ167" s="390">
        <v>0</v>
      </c>
      <c r="AK167" s="521">
        <v>0</v>
      </c>
      <c r="AL167" s="762">
        <f t="shared" si="327"/>
        <v>0</v>
      </c>
      <c r="AM167" s="769">
        <f t="shared" si="328"/>
        <v>0</v>
      </c>
      <c r="AN167" s="749">
        <v>0</v>
      </c>
      <c r="AO167" s="779">
        <v>0</v>
      </c>
      <c r="AP167" s="819">
        <v>0</v>
      </c>
      <c r="AQ167" s="749">
        <v>0</v>
      </c>
      <c r="AR167" s="779">
        <f t="shared" si="331"/>
        <v>0</v>
      </c>
      <c r="AS167" s="819">
        <f t="shared" si="331"/>
        <v>0</v>
      </c>
      <c r="AT167" s="799">
        <v>0</v>
      </c>
      <c r="AU167" s="975">
        <v>0</v>
      </c>
      <c r="AV167" s="970">
        <v>0</v>
      </c>
      <c r="AW167" s="799">
        <v>0</v>
      </c>
      <c r="AX167" s="779">
        <f t="shared" si="334"/>
        <v>0</v>
      </c>
      <c r="AY167" s="819">
        <f t="shared" si="335"/>
        <v>0</v>
      </c>
      <c r="AZ167" s="799">
        <v>0</v>
      </c>
      <c r="BA167" s="779">
        <v>0</v>
      </c>
      <c r="BB167" s="819">
        <v>0</v>
      </c>
      <c r="BC167" s="799">
        <v>0</v>
      </c>
      <c r="BD167" s="779">
        <f t="shared" si="338"/>
        <v>0</v>
      </c>
      <c r="BE167" s="819">
        <f t="shared" si="338"/>
        <v>0</v>
      </c>
      <c r="BF167" s="799">
        <v>0</v>
      </c>
      <c r="BG167" s="779">
        <v>0</v>
      </c>
      <c r="BH167" s="819">
        <v>0</v>
      </c>
      <c r="BI167" s="799">
        <v>0</v>
      </c>
      <c r="BJ167" s="779">
        <f t="shared" si="341"/>
        <v>7</v>
      </c>
      <c r="BK167" s="819">
        <f t="shared" si="341"/>
        <v>8</v>
      </c>
      <c r="BL167" s="753">
        <f t="shared" si="353"/>
        <v>14.3</v>
      </c>
      <c r="BM167" s="779">
        <v>7</v>
      </c>
      <c r="BN167" s="819">
        <v>8</v>
      </c>
      <c r="BO167" s="753">
        <f t="shared" ref="BO167:BO184" si="355">ROUND(((BN167/BM167-1)*100), 1)</f>
        <v>14.3</v>
      </c>
      <c r="BP167" s="779">
        <f t="shared" si="344"/>
        <v>0</v>
      </c>
      <c r="BQ167" s="819">
        <f t="shared" si="344"/>
        <v>0</v>
      </c>
      <c r="BR167" s="799">
        <v>0</v>
      </c>
      <c r="BS167" s="779">
        <v>7</v>
      </c>
      <c r="BT167" s="819">
        <v>8</v>
      </c>
      <c r="BU167" s="753">
        <f t="shared" ref="BU167:BU184" si="356">ROUND(((BT167/BS167-1)*100), 1)</f>
        <v>14.3</v>
      </c>
    </row>
    <row r="168" spans="1:73">
      <c r="A168" s="4"/>
      <c r="B168" s="43" t="s">
        <v>24</v>
      </c>
      <c r="C168" s="44">
        <f t="shared" ref="C168:L168" si="357">C169-SUM(C147:C167)</f>
        <v>1523</v>
      </c>
      <c r="D168" s="44">
        <f t="shared" si="357"/>
        <v>2278</v>
      </c>
      <c r="E168" s="44">
        <f t="shared" si="357"/>
        <v>1938</v>
      </c>
      <c r="F168" s="44">
        <f t="shared" si="357"/>
        <v>1284</v>
      </c>
      <c r="G168" s="44">
        <f t="shared" si="357"/>
        <v>690</v>
      </c>
      <c r="H168" s="44">
        <f t="shared" si="357"/>
        <v>835</v>
      </c>
      <c r="I168" s="44">
        <f t="shared" si="357"/>
        <v>656</v>
      </c>
      <c r="J168" s="44">
        <f>J169-SUM(J147:J167)</f>
        <v>760</v>
      </c>
      <c r="K168" s="383">
        <f t="shared" si="357"/>
        <v>66</v>
      </c>
      <c r="L168" s="390">
        <f t="shared" si="357"/>
        <v>41</v>
      </c>
      <c r="M168" s="242">
        <f t="shared" ref="M168:M177" si="358">ROUND(((L168/K168-1)*100), 1)</f>
        <v>-37.9</v>
      </c>
      <c r="N168" s="383">
        <f>N169-SUM(N147:N167)</f>
        <v>44</v>
      </c>
      <c r="O168" s="390">
        <f>O169-SUM(O147:O167)</f>
        <v>63</v>
      </c>
      <c r="P168" s="242">
        <f t="shared" ref="P168:P176" si="359">ROUND(((O168/N168-1)*100), 1)</f>
        <v>43.2</v>
      </c>
      <c r="Q168" s="383">
        <f>Q169-SUM(Q147:Q167)</f>
        <v>110</v>
      </c>
      <c r="R168" s="390">
        <f>R169-SUM(R147:R167)</f>
        <v>104</v>
      </c>
      <c r="S168" s="242">
        <f t="shared" ref="S168:S177" si="360">ROUND(((R168/Q168-1)*100), 1)</f>
        <v>-5.5</v>
      </c>
      <c r="T168" s="383">
        <f>T169-SUM(T147:T167)</f>
        <v>79</v>
      </c>
      <c r="U168" s="390">
        <f>U169-SUM(U147:U167)</f>
        <v>26</v>
      </c>
      <c r="V168" s="242">
        <f t="shared" ref="V168:V177" si="361">ROUND(((U168/T168-1)*100), 1)</f>
        <v>-67.099999999999994</v>
      </c>
      <c r="W168" s="383">
        <f>W169-SUM(W147:W167)</f>
        <v>189</v>
      </c>
      <c r="X168" s="390">
        <f>X169-SUM(X147:X167)</f>
        <v>130</v>
      </c>
      <c r="Y168" s="242">
        <f t="shared" ref="Y168:Y177" si="362">ROUND(((X168/W168-1)*100), 1)</f>
        <v>-31.2</v>
      </c>
      <c r="Z168" s="527">
        <f>Z169-SUM(Z147:Z167)</f>
        <v>66</v>
      </c>
      <c r="AA168" s="390">
        <f>AA169-SUM(AA147:AA167)</f>
        <v>45</v>
      </c>
      <c r="AB168" s="242">
        <f t="shared" ref="AB168:AB177" si="363">ROUND(((AA168/Z168-1)*100), 1)</f>
        <v>-31.8</v>
      </c>
      <c r="AC168" s="527">
        <f>AC169-SUM(AC147:AC167)</f>
        <v>255</v>
      </c>
      <c r="AD168" s="390">
        <f>AD169-SUM(AD147:AD167)</f>
        <v>175</v>
      </c>
      <c r="AE168" s="242">
        <f t="shared" ref="AE168:AE177" si="364">ROUND(((AD168/AC168-1)*100), 1)</f>
        <v>-31.4</v>
      </c>
      <c r="AF168" s="527">
        <f>AF169-SUM(AF147:AF167)</f>
        <v>111</v>
      </c>
      <c r="AG168" s="390">
        <f>AG169-SUM(AG147:AG167)</f>
        <v>25</v>
      </c>
      <c r="AH168" s="242">
        <f t="shared" ref="AH168:AH177" si="365">ROUND(((AG168/AF168-1)*100), 1)</f>
        <v>-77.5</v>
      </c>
      <c r="AI168" s="527">
        <f>AI169-SUM(AI147:AI167)</f>
        <v>366</v>
      </c>
      <c r="AJ168" s="390">
        <f>AJ169-SUM(AJ147:AJ167)</f>
        <v>200</v>
      </c>
      <c r="AK168" s="242">
        <f t="shared" ref="AK168:AK177" si="366">ROUND(((AJ168/AI168-1)*100), 1)</f>
        <v>-45.4</v>
      </c>
      <c r="AL168" s="766">
        <f>AL169-SUM(AL147:AL167)</f>
        <v>37</v>
      </c>
      <c r="AM168" s="769">
        <f>AM169-SUM(AM147:AM167)</f>
        <v>63</v>
      </c>
      <c r="AN168" s="753">
        <f t="shared" ref="AN168:AN181" si="367">ROUND(((AM168/AL168-1)*100), 1)</f>
        <v>70.3</v>
      </c>
      <c r="AO168" s="817">
        <f>AO169-SUM(AO147:AO167)</f>
        <v>403</v>
      </c>
      <c r="AP168" s="819">
        <f>AP169-SUM(AP147:AP167)</f>
        <v>263</v>
      </c>
      <c r="AQ168" s="753">
        <f t="shared" ref="AQ168:AQ177" si="368">ROUND(((AP168/AO168-1)*100), 1)</f>
        <v>-34.700000000000003</v>
      </c>
      <c r="AR168" s="817">
        <f>AR169-SUM(AR147:AR167)</f>
        <v>79</v>
      </c>
      <c r="AS168" s="819">
        <f>AS169-SUM(AS147:AS167)</f>
        <v>92</v>
      </c>
      <c r="AT168" s="753">
        <f t="shared" ref="AT168:AT177" si="369">ROUND(((AS168/AR168-1)*100), 1)</f>
        <v>16.5</v>
      </c>
      <c r="AU168" s="969">
        <f>AU169-SUM(AU147:AU167)</f>
        <v>482</v>
      </c>
      <c r="AV168" s="970">
        <f>AV169-SUM(AV147:AV167)</f>
        <v>355</v>
      </c>
      <c r="AW168" s="753">
        <f t="shared" ref="AW168:AW177" si="370">ROUND(((AV168/AU168-1)*100), 1)</f>
        <v>-26.3</v>
      </c>
      <c r="AX168" s="817">
        <f>AX169-SUM(AX147:AX167)</f>
        <v>68</v>
      </c>
      <c r="AY168" s="819">
        <f>AY169-SUM(AY147:AY167)</f>
        <v>48</v>
      </c>
      <c r="AZ168" s="753">
        <f t="shared" ref="AZ168:AZ177" si="371">ROUND(((AY168/AX168-1)*100), 1)</f>
        <v>-29.4</v>
      </c>
      <c r="BA168" s="817">
        <f>BA169-SUM(BA147:BA167)</f>
        <v>550</v>
      </c>
      <c r="BB168" s="819">
        <f>BB169-SUM(BB147:BB167)</f>
        <v>403</v>
      </c>
      <c r="BC168" s="753">
        <f t="shared" ref="BC168:BC177" si="372">ROUND(((BB168/BA168-1)*100), 1)</f>
        <v>-26.7</v>
      </c>
      <c r="BD168" s="817">
        <f>BD169-SUM(BD147:BD167)</f>
        <v>43</v>
      </c>
      <c r="BE168" s="819">
        <f>BE169-SUM(BE147:BE167)</f>
        <v>77</v>
      </c>
      <c r="BF168" s="753">
        <f t="shared" ref="BF168:BF178" si="373">ROUND(((BE168/BD168-1)*100), 1)</f>
        <v>79.099999999999994</v>
      </c>
      <c r="BG168" s="817">
        <f>BG169-SUM(BG147:BG167)</f>
        <v>593</v>
      </c>
      <c r="BH168" s="819">
        <f>BH169-SUM(BH147:BH167)</f>
        <v>480</v>
      </c>
      <c r="BI168" s="753">
        <f t="shared" ref="BI168:BI184" si="374">ROUND(((BH168/BG168-1)*100), 1)</f>
        <v>-19.100000000000001</v>
      </c>
      <c r="BJ168" s="817">
        <f>BJ169-SUM(BJ147:BJ167)</f>
        <v>94</v>
      </c>
      <c r="BK168" s="819">
        <f>BK169-SUM(BK147:BK167)</f>
        <v>64</v>
      </c>
      <c r="BL168" s="753">
        <f t="shared" si="353"/>
        <v>-31.9</v>
      </c>
      <c r="BM168" s="817">
        <f>BM169-SUM(BM147:BM167)</f>
        <v>687</v>
      </c>
      <c r="BN168" s="819">
        <f>BN169-SUM(BN147:BN167)</f>
        <v>544</v>
      </c>
      <c r="BO168" s="753">
        <f t="shared" si="355"/>
        <v>-20.8</v>
      </c>
      <c r="BP168" s="817">
        <f>BP169-SUM(BP147:BP167)</f>
        <v>28</v>
      </c>
      <c r="BQ168" s="819">
        <f>BQ169-SUM(BQ147:BQ167)</f>
        <v>93</v>
      </c>
      <c r="BR168" s="753">
        <f t="shared" si="354"/>
        <v>232.1</v>
      </c>
      <c r="BS168" s="817">
        <f>BS169-SUM(BS147:BS167)</f>
        <v>715</v>
      </c>
      <c r="BT168" s="819">
        <f>BT169-SUM(BT147:BT167)</f>
        <v>637</v>
      </c>
      <c r="BU168" s="753">
        <f t="shared" si="356"/>
        <v>-10.9</v>
      </c>
    </row>
    <row r="169" spans="1:73">
      <c r="A169" s="9"/>
      <c r="B169" s="67" t="s">
        <v>108</v>
      </c>
      <c r="C169" s="46">
        <v>24884</v>
      </c>
      <c r="D169" s="46">
        <v>24300</v>
      </c>
      <c r="E169" s="46">
        <v>23755</v>
      </c>
      <c r="F169" s="46">
        <v>22495</v>
      </c>
      <c r="G169" s="46">
        <v>21694</v>
      </c>
      <c r="H169" s="46">
        <v>19610</v>
      </c>
      <c r="I169" s="46">
        <v>16919</v>
      </c>
      <c r="J169" s="46">
        <v>14937</v>
      </c>
      <c r="K169" s="281">
        <v>1280</v>
      </c>
      <c r="L169" s="295">
        <v>1097</v>
      </c>
      <c r="M169" s="243">
        <f t="shared" si="358"/>
        <v>-14.3</v>
      </c>
      <c r="N169" s="281">
        <f t="shared" ref="N169:N182" si="375">Q169-K169</f>
        <v>1052</v>
      </c>
      <c r="O169" s="295">
        <f t="shared" ref="O169:O182" si="376">R169-L169</f>
        <v>1096</v>
      </c>
      <c r="P169" s="243">
        <f t="shared" si="359"/>
        <v>4.2</v>
      </c>
      <c r="Q169" s="281">
        <v>2332</v>
      </c>
      <c r="R169" s="295">
        <v>2193</v>
      </c>
      <c r="S169" s="243">
        <f t="shared" si="360"/>
        <v>-6</v>
      </c>
      <c r="T169" s="281">
        <f t="shared" ref="T169:T182" si="377">W169-Q169</f>
        <v>1171</v>
      </c>
      <c r="U169" s="295">
        <f t="shared" ref="U169:U182" si="378">X169-R169</f>
        <v>1542</v>
      </c>
      <c r="V169" s="243">
        <f t="shared" si="361"/>
        <v>31.7</v>
      </c>
      <c r="W169" s="281">
        <v>3503</v>
      </c>
      <c r="X169" s="295">
        <v>3735</v>
      </c>
      <c r="Y169" s="243">
        <f t="shared" si="362"/>
        <v>6.6</v>
      </c>
      <c r="Z169" s="281">
        <f t="shared" ref="Z169:Z182" si="379">AC169-W169</f>
        <v>1258</v>
      </c>
      <c r="AA169" s="295">
        <f t="shared" ref="AA169:AA182" si="380">AD169-X169</f>
        <v>1200</v>
      </c>
      <c r="AB169" s="243">
        <f t="shared" si="363"/>
        <v>-4.5999999999999996</v>
      </c>
      <c r="AC169" s="281">
        <v>4761</v>
      </c>
      <c r="AD169" s="295">
        <v>4935</v>
      </c>
      <c r="AE169" s="243">
        <f t="shared" si="364"/>
        <v>3.7</v>
      </c>
      <c r="AF169" s="281">
        <f t="shared" ref="AF169:AG182" si="381">AI169-AC169</f>
        <v>1171</v>
      </c>
      <c r="AG169" s="295">
        <f t="shared" si="381"/>
        <v>1209</v>
      </c>
      <c r="AH169" s="243">
        <f t="shared" si="365"/>
        <v>3.2</v>
      </c>
      <c r="AI169" s="281">
        <v>5932</v>
      </c>
      <c r="AJ169" s="295">
        <v>6144</v>
      </c>
      <c r="AK169" s="243">
        <f t="shared" si="366"/>
        <v>3.6</v>
      </c>
      <c r="AL169" s="760">
        <f t="shared" ref="AL169:AL182" si="382">AO169-AI169</f>
        <v>999</v>
      </c>
      <c r="AM169" s="763">
        <f t="shared" ref="AM169:AM182" si="383">AP169-AJ169</f>
        <v>1474</v>
      </c>
      <c r="AN169" s="754">
        <f t="shared" si="367"/>
        <v>47.5</v>
      </c>
      <c r="AO169" s="760">
        <v>6931</v>
      </c>
      <c r="AP169" s="808">
        <v>7618</v>
      </c>
      <c r="AQ169" s="754">
        <f t="shared" si="368"/>
        <v>9.9</v>
      </c>
      <c r="AR169" s="760">
        <f t="shared" ref="AR169:AS182" si="384">AU169-AO169</f>
        <v>1332</v>
      </c>
      <c r="AS169" s="808">
        <f t="shared" si="384"/>
        <v>1574</v>
      </c>
      <c r="AT169" s="754">
        <f t="shared" si="369"/>
        <v>18.2</v>
      </c>
      <c r="AU169" s="986">
        <v>8263</v>
      </c>
      <c r="AV169" s="972">
        <v>9192</v>
      </c>
      <c r="AW169" s="754">
        <f t="shared" si="370"/>
        <v>11.2</v>
      </c>
      <c r="AX169" s="760">
        <f t="shared" ref="AX169:AX182" si="385">BA169-AU169</f>
        <v>1146</v>
      </c>
      <c r="AY169" s="808">
        <f t="shared" ref="AY169:AY182" si="386">BB169-AV169</f>
        <v>1585</v>
      </c>
      <c r="AZ169" s="754">
        <f t="shared" si="371"/>
        <v>38.299999999999997</v>
      </c>
      <c r="BA169" s="760">
        <v>9409</v>
      </c>
      <c r="BB169" s="808">
        <v>10777</v>
      </c>
      <c r="BC169" s="754">
        <f t="shared" si="372"/>
        <v>14.5</v>
      </c>
      <c r="BD169" s="760">
        <f t="shared" ref="BD169:BE182" si="387">BG169-BA169</f>
        <v>1102</v>
      </c>
      <c r="BE169" s="808">
        <f t="shared" si="387"/>
        <v>1655</v>
      </c>
      <c r="BF169" s="754">
        <f t="shared" si="373"/>
        <v>50.2</v>
      </c>
      <c r="BG169" s="760">
        <v>10511</v>
      </c>
      <c r="BH169" s="808">
        <v>12432</v>
      </c>
      <c r="BI169" s="754">
        <f t="shared" si="374"/>
        <v>18.3</v>
      </c>
      <c r="BJ169" s="760">
        <f t="shared" ref="BJ169:BK182" si="388">BM169-BG169</f>
        <v>1372</v>
      </c>
      <c r="BK169" s="808">
        <f t="shared" si="388"/>
        <v>1563</v>
      </c>
      <c r="BL169" s="754">
        <f t="shared" si="353"/>
        <v>13.9</v>
      </c>
      <c r="BM169" s="760">
        <v>11883</v>
      </c>
      <c r="BN169" s="808">
        <v>13995</v>
      </c>
      <c r="BO169" s="754">
        <f t="shared" si="355"/>
        <v>17.8</v>
      </c>
      <c r="BP169" s="760">
        <f t="shared" ref="BP169:BQ182" si="389">BS169-BM169</f>
        <v>1470</v>
      </c>
      <c r="BQ169" s="808">
        <f t="shared" si="389"/>
        <v>1699</v>
      </c>
      <c r="BR169" s="754">
        <f t="shared" si="354"/>
        <v>15.6</v>
      </c>
      <c r="BS169" s="760">
        <v>13353</v>
      </c>
      <c r="BT169" s="808">
        <v>15694</v>
      </c>
      <c r="BU169" s="754">
        <f t="shared" si="356"/>
        <v>17.5</v>
      </c>
    </row>
    <row r="170" spans="1:73">
      <c r="A170" s="4"/>
      <c r="B170" s="43" t="s">
        <v>50</v>
      </c>
      <c r="C170" s="44">
        <v>1868</v>
      </c>
      <c r="D170" s="44">
        <v>2174</v>
      </c>
      <c r="E170" s="44">
        <v>1851</v>
      </c>
      <c r="F170" s="44">
        <v>2372</v>
      </c>
      <c r="G170" s="44">
        <v>2514</v>
      </c>
      <c r="H170" s="44">
        <v>4330</v>
      </c>
      <c r="I170" s="44">
        <v>4953</v>
      </c>
      <c r="J170" s="44">
        <v>5894</v>
      </c>
      <c r="K170" s="283">
        <v>665</v>
      </c>
      <c r="L170" s="390">
        <v>683</v>
      </c>
      <c r="M170" s="242">
        <f t="shared" si="358"/>
        <v>2.7</v>
      </c>
      <c r="N170" s="283">
        <f t="shared" si="375"/>
        <v>265</v>
      </c>
      <c r="O170" s="390">
        <f t="shared" si="376"/>
        <v>240</v>
      </c>
      <c r="P170" s="242">
        <f t="shared" si="359"/>
        <v>-9.4</v>
      </c>
      <c r="Q170" s="283">
        <v>930</v>
      </c>
      <c r="R170" s="390">
        <v>923</v>
      </c>
      <c r="S170" s="242">
        <f t="shared" si="360"/>
        <v>-0.8</v>
      </c>
      <c r="T170" s="283">
        <f t="shared" si="377"/>
        <v>417</v>
      </c>
      <c r="U170" s="390">
        <f t="shared" si="378"/>
        <v>328</v>
      </c>
      <c r="V170" s="242">
        <f t="shared" si="361"/>
        <v>-21.3</v>
      </c>
      <c r="W170" s="283">
        <v>1347</v>
      </c>
      <c r="X170" s="390">
        <v>1251</v>
      </c>
      <c r="Y170" s="242">
        <f t="shared" si="362"/>
        <v>-7.1</v>
      </c>
      <c r="Z170" s="283">
        <f t="shared" si="379"/>
        <v>459</v>
      </c>
      <c r="AA170" s="390">
        <f t="shared" si="380"/>
        <v>633</v>
      </c>
      <c r="AB170" s="242">
        <f t="shared" si="363"/>
        <v>37.9</v>
      </c>
      <c r="AC170" s="283">
        <v>1806</v>
      </c>
      <c r="AD170" s="390">
        <v>1884</v>
      </c>
      <c r="AE170" s="242">
        <f t="shared" si="364"/>
        <v>4.3</v>
      </c>
      <c r="AF170" s="283">
        <f t="shared" si="381"/>
        <v>597</v>
      </c>
      <c r="AG170" s="390">
        <f t="shared" si="381"/>
        <v>744</v>
      </c>
      <c r="AH170" s="242">
        <f t="shared" si="365"/>
        <v>24.6</v>
      </c>
      <c r="AI170" s="283">
        <v>2403</v>
      </c>
      <c r="AJ170" s="390">
        <v>2628</v>
      </c>
      <c r="AK170" s="242">
        <f t="shared" si="366"/>
        <v>9.4</v>
      </c>
      <c r="AL170" s="762">
        <f t="shared" si="382"/>
        <v>496</v>
      </c>
      <c r="AM170" s="769">
        <f t="shared" si="383"/>
        <v>758</v>
      </c>
      <c r="AN170" s="753">
        <f t="shared" si="367"/>
        <v>52.8</v>
      </c>
      <c r="AO170" s="779">
        <v>2899</v>
      </c>
      <c r="AP170" s="819">
        <v>3386</v>
      </c>
      <c r="AQ170" s="753">
        <f t="shared" si="368"/>
        <v>16.8</v>
      </c>
      <c r="AR170" s="779">
        <f t="shared" si="384"/>
        <v>523</v>
      </c>
      <c r="AS170" s="819">
        <f t="shared" si="384"/>
        <v>703</v>
      </c>
      <c r="AT170" s="753">
        <f t="shared" si="369"/>
        <v>34.4</v>
      </c>
      <c r="AU170" s="975">
        <v>3422</v>
      </c>
      <c r="AV170" s="970">
        <v>4089</v>
      </c>
      <c r="AW170" s="753">
        <f t="shared" si="370"/>
        <v>19.5</v>
      </c>
      <c r="AX170" s="779">
        <f t="shared" si="385"/>
        <v>426</v>
      </c>
      <c r="AY170" s="819">
        <f t="shared" si="386"/>
        <v>546</v>
      </c>
      <c r="AZ170" s="753">
        <f t="shared" si="371"/>
        <v>28.2</v>
      </c>
      <c r="BA170" s="779">
        <v>3848</v>
      </c>
      <c r="BB170" s="819">
        <v>4635</v>
      </c>
      <c r="BC170" s="753">
        <f t="shared" si="372"/>
        <v>20.5</v>
      </c>
      <c r="BD170" s="779">
        <f t="shared" si="387"/>
        <v>393</v>
      </c>
      <c r="BE170" s="819">
        <f t="shared" si="387"/>
        <v>753</v>
      </c>
      <c r="BF170" s="753">
        <f t="shared" si="373"/>
        <v>91.6</v>
      </c>
      <c r="BG170" s="779">
        <v>4241</v>
      </c>
      <c r="BH170" s="819">
        <v>5388</v>
      </c>
      <c r="BI170" s="753">
        <f t="shared" si="374"/>
        <v>27</v>
      </c>
      <c r="BJ170" s="779">
        <f t="shared" si="388"/>
        <v>571</v>
      </c>
      <c r="BK170" s="819">
        <f t="shared" si="388"/>
        <v>603</v>
      </c>
      <c r="BL170" s="753">
        <f t="shared" si="353"/>
        <v>5.6</v>
      </c>
      <c r="BM170" s="779">
        <v>4812</v>
      </c>
      <c r="BN170" s="819">
        <v>5991</v>
      </c>
      <c r="BO170" s="753">
        <f t="shared" si="355"/>
        <v>24.5</v>
      </c>
      <c r="BP170" s="779">
        <f t="shared" si="389"/>
        <v>548</v>
      </c>
      <c r="BQ170" s="819">
        <f t="shared" si="389"/>
        <v>602</v>
      </c>
      <c r="BR170" s="753">
        <f t="shared" si="354"/>
        <v>9.9</v>
      </c>
      <c r="BS170" s="779">
        <v>5360</v>
      </c>
      <c r="BT170" s="819">
        <v>6593</v>
      </c>
      <c r="BU170" s="753">
        <f t="shared" si="356"/>
        <v>23</v>
      </c>
    </row>
    <row r="171" spans="1:73">
      <c r="A171" s="4" t="s">
        <v>110</v>
      </c>
      <c r="B171" s="43" t="s">
        <v>76</v>
      </c>
      <c r="C171" s="44">
        <v>2396</v>
      </c>
      <c r="D171" s="44">
        <v>1846</v>
      </c>
      <c r="E171" s="44">
        <v>1988</v>
      </c>
      <c r="F171" s="44">
        <v>2717</v>
      </c>
      <c r="G171" s="44">
        <v>3156</v>
      </c>
      <c r="H171" s="44">
        <v>3129</v>
      </c>
      <c r="I171" s="44">
        <v>3775</v>
      </c>
      <c r="J171" s="44">
        <v>2872</v>
      </c>
      <c r="K171" s="283">
        <v>548</v>
      </c>
      <c r="L171" s="390">
        <v>361</v>
      </c>
      <c r="M171" s="242">
        <f t="shared" si="358"/>
        <v>-34.1</v>
      </c>
      <c r="N171" s="283">
        <f t="shared" si="375"/>
        <v>148</v>
      </c>
      <c r="O171" s="390">
        <f t="shared" si="376"/>
        <v>66</v>
      </c>
      <c r="P171" s="242">
        <f t="shared" si="359"/>
        <v>-55.4</v>
      </c>
      <c r="Q171" s="283">
        <v>696</v>
      </c>
      <c r="R171" s="390">
        <v>427</v>
      </c>
      <c r="S171" s="242">
        <f t="shared" si="360"/>
        <v>-38.6</v>
      </c>
      <c r="T171" s="283">
        <f t="shared" si="377"/>
        <v>189</v>
      </c>
      <c r="U171" s="390">
        <f t="shared" si="378"/>
        <v>248</v>
      </c>
      <c r="V171" s="242">
        <f t="shared" si="361"/>
        <v>31.2</v>
      </c>
      <c r="W171" s="283">
        <v>885</v>
      </c>
      <c r="X171" s="390">
        <v>675</v>
      </c>
      <c r="Y171" s="242">
        <f t="shared" si="362"/>
        <v>-23.7</v>
      </c>
      <c r="Z171" s="283">
        <f t="shared" si="379"/>
        <v>244</v>
      </c>
      <c r="AA171" s="390">
        <f t="shared" si="380"/>
        <v>248</v>
      </c>
      <c r="AB171" s="242">
        <f t="shared" si="363"/>
        <v>1.6</v>
      </c>
      <c r="AC171" s="283">
        <v>1129</v>
      </c>
      <c r="AD171" s="390">
        <v>923</v>
      </c>
      <c r="AE171" s="242">
        <f t="shared" si="364"/>
        <v>-18.2</v>
      </c>
      <c r="AF171" s="283">
        <f t="shared" si="381"/>
        <v>239</v>
      </c>
      <c r="AG171" s="390">
        <f t="shared" si="381"/>
        <v>117</v>
      </c>
      <c r="AH171" s="242">
        <f t="shared" si="365"/>
        <v>-51</v>
      </c>
      <c r="AI171" s="283">
        <v>1368</v>
      </c>
      <c r="AJ171" s="390">
        <v>1040</v>
      </c>
      <c r="AK171" s="242">
        <f t="shared" si="366"/>
        <v>-24</v>
      </c>
      <c r="AL171" s="762">
        <f t="shared" si="382"/>
        <v>123</v>
      </c>
      <c r="AM171" s="769">
        <f t="shared" si="383"/>
        <v>60</v>
      </c>
      <c r="AN171" s="753">
        <f t="shared" si="367"/>
        <v>-51.2</v>
      </c>
      <c r="AO171" s="779">
        <v>1491</v>
      </c>
      <c r="AP171" s="819">
        <v>1100</v>
      </c>
      <c r="AQ171" s="753">
        <f t="shared" si="368"/>
        <v>-26.2</v>
      </c>
      <c r="AR171" s="779">
        <f t="shared" si="384"/>
        <v>205</v>
      </c>
      <c r="AS171" s="819">
        <f t="shared" si="384"/>
        <v>273</v>
      </c>
      <c r="AT171" s="753">
        <f t="shared" si="369"/>
        <v>33.200000000000003</v>
      </c>
      <c r="AU171" s="975">
        <v>1696</v>
      </c>
      <c r="AV171" s="970">
        <v>1373</v>
      </c>
      <c r="AW171" s="753">
        <f t="shared" si="370"/>
        <v>-19</v>
      </c>
      <c r="AX171" s="779">
        <f t="shared" si="385"/>
        <v>323</v>
      </c>
      <c r="AY171" s="819">
        <f t="shared" si="386"/>
        <v>431</v>
      </c>
      <c r="AZ171" s="753">
        <f t="shared" si="371"/>
        <v>33.4</v>
      </c>
      <c r="BA171" s="779">
        <v>2019</v>
      </c>
      <c r="BB171" s="819">
        <v>1804</v>
      </c>
      <c r="BC171" s="753">
        <f t="shared" si="372"/>
        <v>-10.6</v>
      </c>
      <c r="BD171" s="779">
        <f t="shared" si="387"/>
        <v>138</v>
      </c>
      <c r="BE171" s="819">
        <f t="shared" si="387"/>
        <v>213</v>
      </c>
      <c r="BF171" s="753">
        <f t="shared" si="373"/>
        <v>54.3</v>
      </c>
      <c r="BG171" s="779">
        <v>2157</v>
      </c>
      <c r="BH171" s="819">
        <v>2017</v>
      </c>
      <c r="BI171" s="753">
        <f t="shared" si="374"/>
        <v>-6.5</v>
      </c>
      <c r="BJ171" s="779">
        <f t="shared" si="388"/>
        <v>232</v>
      </c>
      <c r="BK171" s="819">
        <f t="shared" si="388"/>
        <v>217</v>
      </c>
      <c r="BL171" s="753">
        <f t="shared" si="353"/>
        <v>-6.5</v>
      </c>
      <c r="BM171" s="779">
        <v>2389</v>
      </c>
      <c r="BN171" s="819">
        <v>2234</v>
      </c>
      <c r="BO171" s="753">
        <f t="shared" si="355"/>
        <v>-6.5</v>
      </c>
      <c r="BP171" s="779">
        <f t="shared" si="389"/>
        <v>205</v>
      </c>
      <c r="BQ171" s="819">
        <f t="shared" si="389"/>
        <v>259</v>
      </c>
      <c r="BR171" s="753">
        <f t="shared" si="354"/>
        <v>26.3</v>
      </c>
      <c r="BS171" s="779">
        <v>2594</v>
      </c>
      <c r="BT171" s="819">
        <v>2493</v>
      </c>
      <c r="BU171" s="753">
        <f t="shared" si="356"/>
        <v>-3.9</v>
      </c>
    </row>
    <row r="172" spans="1:73">
      <c r="A172" s="4"/>
      <c r="B172" s="43" t="s">
        <v>98</v>
      </c>
      <c r="C172" s="44">
        <v>12</v>
      </c>
      <c r="D172" s="44">
        <v>126</v>
      </c>
      <c r="E172" s="44">
        <v>138</v>
      </c>
      <c r="F172" s="44">
        <v>349</v>
      </c>
      <c r="G172" s="44">
        <v>601</v>
      </c>
      <c r="H172" s="44">
        <v>837</v>
      </c>
      <c r="I172" s="44">
        <v>1152</v>
      </c>
      <c r="J172" s="44">
        <v>2045</v>
      </c>
      <c r="K172" s="283">
        <v>101</v>
      </c>
      <c r="L172" s="390">
        <v>190</v>
      </c>
      <c r="M172" s="242">
        <f t="shared" si="358"/>
        <v>88.1</v>
      </c>
      <c r="N172" s="283">
        <f t="shared" si="375"/>
        <v>88</v>
      </c>
      <c r="O172" s="390">
        <f t="shared" si="376"/>
        <v>205</v>
      </c>
      <c r="P172" s="242">
        <f t="shared" si="359"/>
        <v>133</v>
      </c>
      <c r="Q172" s="283">
        <v>189</v>
      </c>
      <c r="R172" s="390">
        <v>395</v>
      </c>
      <c r="S172" s="242">
        <f t="shared" si="360"/>
        <v>109</v>
      </c>
      <c r="T172" s="283">
        <f t="shared" si="377"/>
        <v>86</v>
      </c>
      <c r="U172" s="390">
        <f t="shared" si="378"/>
        <v>218</v>
      </c>
      <c r="V172" s="242">
        <f t="shared" si="361"/>
        <v>153.5</v>
      </c>
      <c r="W172" s="283">
        <v>275</v>
      </c>
      <c r="X172" s="390">
        <v>613</v>
      </c>
      <c r="Y172" s="242">
        <f t="shared" si="362"/>
        <v>122.9</v>
      </c>
      <c r="Z172" s="283">
        <f t="shared" si="379"/>
        <v>142</v>
      </c>
      <c r="AA172" s="390">
        <f t="shared" si="380"/>
        <v>161</v>
      </c>
      <c r="AB172" s="242">
        <f t="shared" si="363"/>
        <v>13.4</v>
      </c>
      <c r="AC172" s="283">
        <v>417</v>
      </c>
      <c r="AD172" s="390">
        <v>774</v>
      </c>
      <c r="AE172" s="242">
        <f t="shared" si="364"/>
        <v>85.6</v>
      </c>
      <c r="AF172" s="283">
        <f t="shared" si="381"/>
        <v>149</v>
      </c>
      <c r="AG172" s="390">
        <f t="shared" si="381"/>
        <v>264</v>
      </c>
      <c r="AH172" s="242">
        <f t="shared" si="365"/>
        <v>77.2</v>
      </c>
      <c r="AI172" s="283">
        <v>566</v>
      </c>
      <c r="AJ172" s="390">
        <v>1038</v>
      </c>
      <c r="AK172" s="242">
        <f t="shared" si="366"/>
        <v>83.4</v>
      </c>
      <c r="AL172" s="762">
        <f t="shared" si="382"/>
        <v>138</v>
      </c>
      <c r="AM172" s="769">
        <f t="shared" si="383"/>
        <v>271</v>
      </c>
      <c r="AN172" s="753">
        <f t="shared" si="367"/>
        <v>96.4</v>
      </c>
      <c r="AO172" s="779">
        <v>704</v>
      </c>
      <c r="AP172" s="819">
        <v>1309</v>
      </c>
      <c r="AQ172" s="753">
        <f t="shared" si="368"/>
        <v>85.9</v>
      </c>
      <c r="AR172" s="779">
        <f t="shared" si="384"/>
        <v>313</v>
      </c>
      <c r="AS172" s="819">
        <f t="shared" si="384"/>
        <v>303</v>
      </c>
      <c r="AT172" s="753">
        <f t="shared" si="369"/>
        <v>-3.2</v>
      </c>
      <c r="AU172" s="975">
        <v>1017</v>
      </c>
      <c r="AV172" s="970">
        <v>1612</v>
      </c>
      <c r="AW172" s="753">
        <f t="shared" si="370"/>
        <v>58.5</v>
      </c>
      <c r="AX172" s="779">
        <f t="shared" si="385"/>
        <v>255</v>
      </c>
      <c r="AY172" s="819">
        <f t="shared" si="386"/>
        <v>211</v>
      </c>
      <c r="AZ172" s="753">
        <f t="shared" si="371"/>
        <v>-17.3</v>
      </c>
      <c r="BA172" s="779">
        <v>1272</v>
      </c>
      <c r="BB172" s="819">
        <v>1823</v>
      </c>
      <c r="BC172" s="753">
        <f t="shared" si="372"/>
        <v>43.3</v>
      </c>
      <c r="BD172" s="779">
        <f t="shared" si="387"/>
        <v>181</v>
      </c>
      <c r="BE172" s="819">
        <f t="shared" si="387"/>
        <v>253</v>
      </c>
      <c r="BF172" s="753">
        <f t="shared" si="373"/>
        <v>39.799999999999997</v>
      </c>
      <c r="BG172" s="779">
        <v>1453</v>
      </c>
      <c r="BH172" s="819">
        <v>2076</v>
      </c>
      <c r="BI172" s="753">
        <f t="shared" si="374"/>
        <v>42.9</v>
      </c>
      <c r="BJ172" s="779">
        <f t="shared" si="388"/>
        <v>146</v>
      </c>
      <c r="BK172" s="819">
        <f t="shared" si="388"/>
        <v>168</v>
      </c>
      <c r="BL172" s="753">
        <f t="shared" si="353"/>
        <v>15.1</v>
      </c>
      <c r="BM172" s="779">
        <v>1599</v>
      </c>
      <c r="BN172" s="819">
        <v>2244</v>
      </c>
      <c r="BO172" s="753">
        <f t="shared" si="355"/>
        <v>40.299999999999997</v>
      </c>
      <c r="BP172" s="779">
        <f t="shared" si="389"/>
        <v>209</v>
      </c>
      <c r="BQ172" s="819">
        <f t="shared" si="389"/>
        <v>251</v>
      </c>
      <c r="BR172" s="753">
        <f t="shared" si="354"/>
        <v>20.100000000000001</v>
      </c>
      <c r="BS172" s="779">
        <v>1808</v>
      </c>
      <c r="BT172" s="819">
        <v>2495</v>
      </c>
      <c r="BU172" s="753">
        <f t="shared" si="356"/>
        <v>38</v>
      </c>
    </row>
    <row r="173" spans="1:73">
      <c r="A173" s="4"/>
      <c r="B173" s="43" t="s">
        <v>73</v>
      </c>
      <c r="C173" s="44">
        <v>183</v>
      </c>
      <c r="D173" s="44">
        <v>440</v>
      </c>
      <c r="E173" s="44">
        <v>423</v>
      </c>
      <c r="F173" s="44">
        <v>482</v>
      </c>
      <c r="G173" s="44">
        <v>551</v>
      </c>
      <c r="H173" s="44">
        <v>459</v>
      </c>
      <c r="I173" s="44">
        <v>622</v>
      </c>
      <c r="J173" s="44">
        <v>585</v>
      </c>
      <c r="K173" s="283">
        <v>70</v>
      </c>
      <c r="L173" s="390">
        <v>38</v>
      </c>
      <c r="M173" s="242">
        <f t="shared" si="358"/>
        <v>-45.7</v>
      </c>
      <c r="N173" s="283">
        <f t="shared" si="375"/>
        <v>17</v>
      </c>
      <c r="O173" s="390">
        <f t="shared" si="376"/>
        <v>71</v>
      </c>
      <c r="P173" s="242">
        <f t="shared" si="359"/>
        <v>317.60000000000002</v>
      </c>
      <c r="Q173" s="283">
        <v>87</v>
      </c>
      <c r="R173" s="390">
        <v>109</v>
      </c>
      <c r="S173" s="242">
        <f t="shared" si="360"/>
        <v>25.3</v>
      </c>
      <c r="T173" s="283">
        <f t="shared" si="377"/>
        <v>29</v>
      </c>
      <c r="U173" s="390">
        <f t="shared" si="378"/>
        <v>51</v>
      </c>
      <c r="V173" s="242">
        <f t="shared" si="361"/>
        <v>75.900000000000006</v>
      </c>
      <c r="W173" s="283">
        <v>116</v>
      </c>
      <c r="X173" s="390">
        <v>160</v>
      </c>
      <c r="Y173" s="242">
        <f t="shared" si="362"/>
        <v>37.9</v>
      </c>
      <c r="Z173" s="283">
        <f t="shared" si="379"/>
        <v>50</v>
      </c>
      <c r="AA173" s="390">
        <f t="shared" si="380"/>
        <v>53</v>
      </c>
      <c r="AB173" s="242">
        <f t="shared" si="363"/>
        <v>6</v>
      </c>
      <c r="AC173" s="283">
        <v>166</v>
      </c>
      <c r="AD173" s="390">
        <v>213</v>
      </c>
      <c r="AE173" s="242">
        <f t="shared" si="364"/>
        <v>28.3</v>
      </c>
      <c r="AF173" s="283">
        <f t="shared" si="381"/>
        <v>49</v>
      </c>
      <c r="AG173" s="390">
        <f t="shared" si="381"/>
        <v>22</v>
      </c>
      <c r="AH173" s="242">
        <f t="shared" si="365"/>
        <v>-55.1</v>
      </c>
      <c r="AI173" s="283">
        <v>215</v>
      </c>
      <c r="AJ173" s="390">
        <v>235</v>
      </c>
      <c r="AK173" s="242">
        <f t="shared" si="366"/>
        <v>9.3000000000000007</v>
      </c>
      <c r="AL173" s="762">
        <f t="shared" si="382"/>
        <v>44</v>
      </c>
      <c r="AM173" s="769">
        <f t="shared" si="383"/>
        <v>31</v>
      </c>
      <c r="AN173" s="753">
        <f t="shared" si="367"/>
        <v>-29.5</v>
      </c>
      <c r="AO173" s="779">
        <v>259</v>
      </c>
      <c r="AP173" s="819">
        <v>266</v>
      </c>
      <c r="AQ173" s="753">
        <f t="shared" si="368"/>
        <v>2.7</v>
      </c>
      <c r="AR173" s="779">
        <f t="shared" si="384"/>
        <v>27</v>
      </c>
      <c r="AS173" s="819">
        <f t="shared" si="384"/>
        <v>31</v>
      </c>
      <c r="AT173" s="753">
        <f t="shared" si="369"/>
        <v>14.8</v>
      </c>
      <c r="AU173" s="975">
        <v>286</v>
      </c>
      <c r="AV173" s="970">
        <v>297</v>
      </c>
      <c r="AW173" s="753">
        <f t="shared" si="370"/>
        <v>3.8</v>
      </c>
      <c r="AX173" s="779">
        <f t="shared" si="385"/>
        <v>66</v>
      </c>
      <c r="AY173" s="819">
        <f t="shared" si="386"/>
        <v>13</v>
      </c>
      <c r="AZ173" s="753">
        <f t="shared" si="371"/>
        <v>-80.3</v>
      </c>
      <c r="BA173" s="779">
        <v>352</v>
      </c>
      <c r="BB173" s="819">
        <v>310</v>
      </c>
      <c r="BC173" s="753">
        <f t="shared" si="372"/>
        <v>-11.9</v>
      </c>
      <c r="BD173" s="779">
        <f t="shared" si="387"/>
        <v>55</v>
      </c>
      <c r="BE173" s="819">
        <f t="shared" si="387"/>
        <v>61</v>
      </c>
      <c r="BF173" s="753">
        <f t="shared" si="373"/>
        <v>10.9</v>
      </c>
      <c r="BG173" s="779">
        <v>407</v>
      </c>
      <c r="BH173" s="819">
        <v>371</v>
      </c>
      <c r="BI173" s="753">
        <f t="shared" si="374"/>
        <v>-8.8000000000000007</v>
      </c>
      <c r="BJ173" s="779">
        <f t="shared" si="388"/>
        <v>44</v>
      </c>
      <c r="BK173" s="819">
        <f t="shared" si="388"/>
        <v>58</v>
      </c>
      <c r="BL173" s="753">
        <f t="shared" si="353"/>
        <v>31.8</v>
      </c>
      <c r="BM173" s="779">
        <v>451</v>
      </c>
      <c r="BN173" s="819">
        <v>429</v>
      </c>
      <c r="BO173" s="753">
        <f t="shared" si="355"/>
        <v>-4.9000000000000004</v>
      </c>
      <c r="BP173" s="779">
        <f t="shared" si="389"/>
        <v>29</v>
      </c>
      <c r="BQ173" s="819">
        <f t="shared" si="389"/>
        <v>37</v>
      </c>
      <c r="BR173" s="753">
        <f t="shared" si="354"/>
        <v>27.6</v>
      </c>
      <c r="BS173" s="779">
        <v>480</v>
      </c>
      <c r="BT173" s="819">
        <v>466</v>
      </c>
      <c r="BU173" s="753">
        <f t="shared" si="356"/>
        <v>-2.9</v>
      </c>
    </row>
    <row r="174" spans="1:73">
      <c r="A174" s="4"/>
      <c r="B174" s="43" t="s">
        <v>130</v>
      </c>
      <c r="C174" s="44">
        <v>0</v>
      </c>
      <c r="D174" s="44">
        <v>1</v>
      </c>
      <c r="E174" s="44">
        <v>14</v>
      </c>
      <c r="F174" s="44">
        <v>33</v>
      </c>
      <c r="G174" s="44">
        <v>84</v>
      </c>
      <c r="H174" s="44">
        <v>181</v>
      </c>
      <c r="I174" s="44">
        <v>157</v>
      </c>
      <c r="J174" s="44">
        <v>257</v>
      </c>
      <c r="K174" s="283">
        <v>26</v>
      </c>
      <c r="L174" s="390">
        <v>24</v>
      </c>
      <c r="M174" s="242">
        <f t="shared" si="358"/>
        <v>-7.7</v>
      </c>
      <c r="N174" s="283">
        <f t="shared" si="375"/>
        <v>23</v>
      </c>
      <c r="O174" s="390">
        <f t="shared" si="376"/>
        <v>11</v>
      </c>
      <c r="P174" s="242">
        <f t="shared" si="359"/>
        <v>-52.2</v>
      </c>
      <c r="Q174" s="283">
        <v>49</v>
      </c>
      <c r="R174" s="390">
        <v>35</v>
      </c>
      <c r="S174" s="242">
        <f t="shared" si="360"/>
        <v>-28.6</v>
      </c>
      <c r="T174" s="283">
        <f t="shared" si="377"/>
        <v>28</v>
      </c>
      <c r="U174" s="390">
        <f t="shared" si="378"/>
        <v>20</v>
      </c>
      <c r="V174" s="242">
        <f t="shared" si="361"/>
        <v>-28.6</v>
      </c>
      <c r="W174" s="283">
        <v>77</v>
      </c>
      <c r="X174" s="390">
        <v>55</v>
      </c>
      <c r="Y174" s="242">
        <f t="shared" si="362"/>
        <v>-28.6</v>
      </c>
      <c r="Z174" s="283">
        <f t="shared" si="379"/>
        <v>9</v>
      </c>
      <c r="AA174" s="390">
        <f t="shared" si="380"/>
        <v>14</v>
      </c>
      <c r="AB174" s="242">
        <f t="shared" si="363"/>
        <v>55.6</v>
      </c>
      <c r="AC174" s="283">
        <v>86</v>
      </c>
      <c r="AD174" s="390">
        <v>69</v>
      </c>
      <c r="AE174" s="242">
        <f t="shared" si="364"/>
        <v>-19.8</v>
      </c>
      <c r="AF174" s="283">
        <f t="shared" si="381"/>
        <v>18</v>
      </c>
      <c r="AG174" s="390">
        <f t="shared" si="381"/>
        <v>25</v>
      </c>
      <c r="AH174" s="242">
        <f t="shared" si="365"/>
        <v>38.9</v>
      </c>
      <c r="AI174" s="283">
        <v>104</v>
      </c>
      <c r="AJ174" s="390">
        <v>94</v>
      </c>
      <c r="AK174" s="242">
        <f t="shared" si="366"/>
        <v>-9.6</v>
      </c>
      <c r="AL174" s="762">
        <f t="shared" si="382"/>
        <v>10</v>
      </c>
      <c r="AM174" s="769">
        <f t="shared" si="383"/>
        <v>28</v>
      </c>
      <c r="AN174" s="753">
        <f t="shared" si="367"/>
        <v>180</v>
      </c>
      <c r="AO174" s="779">
        <v>114</v>
      </c>
      <c r="AP174" s="819">
        <v>122</v>
      </c>
      <c r="AQ174" s="753">
        <f t="shared" si="368"/>
        <v>7</v>
      </c>
      <c r="AR174" s="779">
        <f t="shared" si="384"/>
        <v>28</v>
      </c>
      <c r="AS174" s="819">
        <f t="shared" si="384"/>
        <v>26</v>
      </c>
      <c r="AT174" s="753">
        <f t="shared" si="369"/>
        <v>-7.1</v>
      </c>
      <c r="AU174" s="975">
        <v>142</v>
      </c>
      <c r="AV174" s="970">
        <v>148</v>
      </c>
      <c r="AW174" s="753">
        <f t="shared" si="370"/>
        <v>4.2</v>
      </c>
      <c r="AX174" s="779">
        <f t="shared" si="385"/>
        <v>32</v>
      </c>
      <c r="AY174" s="819">
        <f t="shared" si="386"/>
        <v>10</v>
      </c>
      <c r="AZ174" s="753">
        <f t="shared" si="371"/>
        <v>-68.8</v>
      </c>
      <c r="BA174" s="779">
        <v>174</v>
      </c>
      <c r="BB174" s="819">
        <v>158</v>
      </c>
      <c r="BC174" s="753">
        <f t="shared" si="372"/>
        <v>-9.1999999999999993</v>
      </c>
      <c r="BD174" s="779">
        <f t="shared" si="387"/>
        <v>17</v>
      </c>
      <c r="BE174" s="819">
        <f t="shared" si="387"/>
        <v>24</v>
      </c>
      <c r="BF174" s="753">
        <f t="shared" si="373"/>
        <v>41.2</v>
      </c>
      <c r="BG174" s="779">
        <v>191</v>
      </c>
      <c r="BH174" s="819">
        <v>182</v>
      </c>
      <c r="BI174" s="753">
        <f t="shared" si="374"/>
        <v>-4.7</v>
      </c>
      <c r="BJ174" s="779">
        <f t="shared" si="388"/>
        <v>22</v>
      </c>
      <c r="BK174" s="819">
        <f t="shared" si="388"/>
        <v>28</v>
      </c>
      <c r="BL174" s="753">
        <f t="shared" si="353"/>
        <v>27.3</v>
      </c>
      <c r="BM174" s="779">
        <v>213</v>
      </c>
      <c r="BN174" s="819">
        <v>210</v>
      </c>
      <c r="BO174" s="753">
        <f t="shared" si="355"/>
        <v>-1.4</v>
      </c>
      <c r="BP174" s="779">
        <f t="shared" si="389"/>
        <v>18</v>
      </c>
      <c r="BQ174" s="819">
        <f t="shared" si="389"/>
        <v>26</v>
      </c>
      <c r="BR174" s="753">
        <f t="shared" si="354"/>
        <v>44.4</v>
      </c>
      <c r="BS174" s="779">
        <v>231</v>
      </c>
      <c r="BT174" s="819">
        <v>236</v>
      </c>
      <c r="BU174" s="753">
        <f t="shared" si="356"/>
        <v>2.2000000000000002</v>
      </c>
    </row>
    <row r="175" spans="1:73">
      <c r="A175" s="4"/>
      <c r="B175" s="43" t="s">
        <v>68</v>
      </c>
      <c r="C175" s="44">
        <v>163</v>
      </c>
      <c r="D175" s="44">
        <v>165</v>
      </c>
      <c r="E175" s="44">
        <v>243</v>
      </c>
      <c r="F175" s="44">
        <v>276</v>
      </c>
      <c r="G175" s="44">
        <v>321</v>
      </c>
      <c r="H175" s="44">
        <v>227</v>
      </c>
      <c r="I175" s="44">
        <v>291</v>
      </c>
      <c r="J175" s="44">
        <v>236</v>
      </c>
      <c r="K175" s="283">
        <v>15</v>
      </c>
      <c r="L175" s="390">
        <v>5</v>
      </c>
      <c r="M175" s="242">
        <f t="shared" si="358"/>
        <v>-66.7</v>
      </c>
      <c r="N175" s="283">
        <f t="shared" si="375"/>
        <v>5</v>
      </c>
      <c r="O175" s="390">
        <f t="shared" si="376"/>
        <v>29</v>
      </c>
      <c r="P175" s="242">
        <f t="shared" si="359"/>
        <v>480</v>
      </c>
      <c r="Q175" s="283">
        <v>20</v>
      </c>
      <c r="R175" s="390">
        <v>34</v>
      </c>
      <c r="S175" s="242">
        <f t="shared" si="360"/>
        <v>70</v>
      </c>
      <c r="T175" s="283">
        <f t="shared" si="377"/>
        <v>17</v>
      </c>
      <c r="U175" s="390">
        <f t="shared" si="378"/>
        <v>37</v>
      </c>
      <c r="V175" s="242">
        <f t="shared" si="361"/>
        <v>117.6</v>
      </c>
      <c r="W175" s="283">
        <v>37</v>
      </c>
      <c r="X175" s="390">
        <v>71</v>
      </c>
      <c r="Y175" s="242">
        <f t="shared" si="362"/>
        <v>91.9</v>
      </c>
      <c r="Z175" s="283">
        <f t="shared" si="379"/>
        <v>42</v>
      </c>
      <c r="AA175" s="390">
        <f t="shared" si="380"/>
        <v>36</v>
      </c>
      <c r="AB175" s="242">
        <f t="shared" si="363"/>
        <v>-14.3</v>
      </c>
      <c r="AC175" s="283">
        <v>79</v>
      </c>
      <c r="AD175" s="390">
        <v>107</v>
      </c>
      <c r="AE175" s="242">
        <f t="shared" si="364"/>
        <v>35.4</v>
      </c>
      <c r="AF175" s="283">
        <f t="shared" si="381"/>
        <v>15</v>
      </c>
      <c r="AG175" s="390">
        <f t="shared" si="381"/>
        <v>26</v>
      </c>
      <c r="AH175" s="242">
        <f t="shared" si="365"/>
        <v>73.3</v>
      </c>
      <c r="AI175" s="283">
        <v>94</v>
      </c>
      <c r="AJ175" s="390">
        <v>133</v>
      </c>
      <c r="AK175" s="242">
        <f t="shared" si="366"/>
        <v>41.5</v>
      </c>
      <c r="AL175" s="762">
        <f t="shared" si="382"/>
        <v>22</v>
      </c>
      <c r="AM175" s="769">
        <f t="shared" si="383"/>
        <v>38</v>
      </c>
      <c r="AN175" s="753">
        <f t="shared" si="367"/>
        <v>72.7</v>
      </c>
      <c r="AO175" s="779">
        <v>116</v>
      </c>
      <c r="AP175" s="819">
        <v>171</v>
      </c>
      <c r="AQ175" s="753">
        <f t="shared" si="368"/>
        <v>47.4</v>
      </c>
      <c r="AR175" s="779">
        <f t="shared" si="384"/>
        <v>13</v>
      </c>
      <c r="AS175" s="819">
        <f t="shared" si="384"/>
        <v>28</v>
      </c>
      <c r="AT175" s="753">
        <f t="shared" si="369"/>
        <v>115.4</v>
      </c>
      <c r="AU175" s="975">
        <v>129</v>
      </c>
      <c r="AV175" s="970">
        <v>199</v>
      </c>
      <c r="AW175" s="753">
        <f t="shared" si="370"/>
        <v>54.3</v>
      </c>
      <c r="AX175" s="779">
        <f t="shared" si="385"/>
        <v>24</v>
      </c>
      <c r="AY175" s="819">
        <f t="shared" si="386"/>
        <v>15</v>
      </c>
      <c r="AZ175" s="753">
        <f t="shared" si="371"/>
        <v>-37.5</v>
      </c>
      <c r="BA175" s="779">
        <v>153</v>
      </c>
      <c r="BB175" s="819">
        <v>214</v>
      </c>
      <c r="BC175" s="753">
        <f t="shared" si="372"/>
        <v>39.9</v>
      </c>
      <c r="BD175" s="779">
        <f t="shared" si="387"/>
        <v>13</v>
      </c>
      <c r="BE175" s="819">
        <f t="shared" si="387"/>
        <v>12</v>
      </c>
      <c r="BF175" s="753">
        <f t="shared" si="373"/>
        <v>-7.7</v>
      </c>
      <c r="BG175" s="779">
        <v>166</v>
      </c>
      <c r="BH175" s="819">
        <v>226</v>
      </c>
      <c r="BI175" s="753">
        <f t="shared" si="374"/>
        <v>36.1</v>
      </c>
      <c r="BJ175" s="779">
        <f t="shared" si="388"/>
        <v>33</v>
      </c>
      <c r="BK175" s="819">
        <f t="shared" si="388"/>
        <v>18</v>
      </c>
      <c r="BL175" s="753">
        <f t="shared" si="353"/>
        <v>-45.5</v>
      </c>
      <c r="BM175" s="779">
        <v>199</v>
      </c>
      <c r="BN175" s="819">
        <v>244</v>
      </c>
      <c r="BO175" s="753">
        <f t="shared" si="355"/>
        <v>22.6</v>
      </c>
      <c r="BP175" s="779">
        <f t="shared" si="389"/>
        <v>11</v>
      </c>
      <c r="BQ175" s="819">
        <f t="shared" si="389"/>
        <v>63</v>
      </c>
      <c r="BR175" s="753">
        <f t="shared" si="354"/>
        <v>472.7</v>
      </c>
      <c r="BS175" s="779">
        <v>210</v>
      </c>
      <c r="BT175" s="819">
        <v>307</v>
      </c>
      <c r="BU175" s="753">
        <f t="shared" si="356"/>
        <v>46.2</v>
      </c>
    </row>
    <row r="176" spans="1:73">
      <c r="A176" s="4"/>
      <c r="B176" s="43" t="s">
        <v>53</v>
      </c>
      <c r="C176" s="44">
        <v>75</v>
      </c>
      <c r="D176" s="44">
        <v>142</v>
      </c>
      <c r="E176" s="44">
        <v>201</v>
      </c>
      <c r="F176" s="44">
        <v>237</v>
      </c>
      <c r="G176" s="44">
        <v>201</v>
      </c>
      <c r="H176" s="44">
        <v>235</v>
      </c>
      <c r="I176" s="44">
        <v>225</v>
      </c>
      <c r="J176" s="44">
        <v>129</v>
      </c>
      <c r="K176" s="283">
        <v>4</v>
      </c>
      <c r="L176" s="390">
        <v>1</v>
      </c>
      <c r="M176" s="242">
        <f t="shared" si="358"/>
        <v>-75</v>
      </c>
      <c r="N176" s="283">
        <f t="shared" si="375"/>
        <v>4</v>
      </c>
      <c r="O176" s="390">
        <f t="shared" si="376"/>
        <v>3</v>
      </c>
      <c r="P176" s="242">
        <f t="shared" si="359"/>
        <v>-25</v>
      </c>
      <c r="Q176" s="283">
        <v>8</v>
      </c>
      <c r="R176" s="390">
        <v>4</v>
      </c>
      <c r="S176" s="242">
        <f t="shared" si="360"/>
        <v>-50</v>
      </c>
      <c r="T176" s="283">
        <f t="shared" si="377"/>
        <v>23</v>
      </c>
      <c r="U176" s="390">
        <f t="shared" si="378"/>
        <v>4</v>
      </c>
      <c r="V176" s="242">
        <f t="shared" si="361"/>
        <v>-82.6</v>
      </c>
      <c r="W176" s="283">
        <v>31</v>
      </c>
      <c r="X176" s="390">
        <v>8</v>
      </c>
      <c r="Y176" s="242">
        <f t="shared" si="362"/>
        <v>-74.2</v>
      </c>
      <c r="Z176" s="283">
        <f t="shared" si="379"/>
        <v>28</v>
      </c>
      <c r="AA176" s="390">
        <f t="shared" si="380"/>
        <v>3</v>
      </c>
      <c r="AB176" s="242">
        <f t="shared" si="363"/>
        <v>-89.3</v>
      </c>
      <c r="AC176" s="283">
        <v>59</v>
      </c>
      <c r="AD176" s="390">
        <v>11</v>
      </c>
      <c r="AE176" s="242">
        <f t="shared" si="364"/>
        <v>-81.400000000000006</v>
      </c>
      <c r="AF176" s="283">
        <f t="shared" si="381"/>
        <v>4</v>
      </c>
      <c r="AG176" s="390">
        <f t="shared" si="381"/>
        <v>1</v>
      </c>
      <c r="AH176" s="242">
        <f t="shared" si="365"/>
        <v>-75</v>
      </c>
      <c r="AI176" s="283">
        <v>63</v>
      </c>
      <c r="AJ176" s="390">
        <v>12</v>
      </c>
      <c r="AK176" s="242">
        <f t="shared" si="366"/>
        <v>-81</v>
      </c>
      <c r="AL176" s="762">
        <f t="shared" si="382"/>
        <v>17</v>
      </c>
      <c r="AM176" s="769">
        <f t="shared" si="383"/>
        <v>2</v>
      </c>
      <c r="AN176" s="753">
        <f t="shared" si="367"/>
        <v>-88.2</v>
      </c>
      <c r="AO176" s="779">
        <v>80</v>
      </c>
      <c r="AP176" s="819">
        <v>14</v>
      </c>
      <c r="AQ176" s="753">
        <f t="shared" si="368"/>
        <v>-82.5</v>
      </c>
      <c r="AR176" s="779">
        <f t="shared" si="384"/>
        <v>21</v>
      </c>
      <c r="AS176" s="819">
        <f t="shared" si="384"/>
        <v>4</v>
      </c>
      <c r="AT176" s="753">
        <f t="shared" si="369"/>
        <v>-81</v>
      </c>
      <c r="AU176" s="975">
        <v>101</v>
      </c>
      <c r="AV176" s="970">
        <v>18</v>
      </c>
      <c r="AW176" s="753">
        <f t="shared" si="370"/>
        <v>-82.2</v>
      </c>
      <c r="AX176" s="779">
        <f t="shared" si="385"/>
        <v>3</v>
      </c>
      <c r="AY176" s="819">
        <f t="shared" si="386"/>
        <v>1</v>
      </c>
      <c r="AZ176" s="753">
        <f t="shared" si="371"/>
        <v>-66.7</v>
      </c>
      <c r="BA176" s="779">
        <v>104</v>
      </c>
      <c r="BB176" s="819">
        <v>19</v>
      </c>
      <c r="BC176" s="753">
        <f t="shared" si="372"/>
        <v>-81.7</v>
      </c>
      <c r="BD176" s="779">
        <f t="shared" si="387"/>
        <v>14</v>
      </c>
      <c r="BE176" s="819">
        <f t="shared" si="387"/>
        <v>3</v>
      </c>
      <c r="BF176" s="753">
        <f t="shared" si="373"/>
        <v>-78.599999999999994</v>
      </c>
      <c r="BG176" s="779">
        <v>118</v>
      </c>
      <c r="BH176" s="819">
        <v>22</v>
      </c>
      <c r="BI176" s="753">
        <f t="shared" si="374"/>
        <v>-81.400000000000006</v>
      </c>
      <c r="BJ176" s="779">
        <f t="shared" si="388"/>
        <v>3</v>
      </c>
      <c r="BK176" s="819">
        <f t="shared" si="388"/>
        <v>1</v>
      </c>
      <c r="BL176" s="753">
        <f t="shared" si="353"/>
        <v>-66.7</v>
      </c>
      <c r="BM176" s="779">
        <v>121</v>
      </c>
      <c r="BN176" s="819">
        <v>23</v>
      </c>
      <c r="BO176" s="753">
        <f t="shared" si="355"/>
        <v>-81</v>
      </c>
      <c r="BP176" s="779">
        <f t="shared" si="389"/>
        <v>1</v>
      </c>
      <c r="BQ176" s="819">
        <f t="shared" si="389"/>
        <v>1</v>
      </c>
      <c r="BR176" s="753">
        <f t="shared" si="354"/>
        <v>0</v>
      </c>
      <c r="BS176" s="779">
        <v>122</v>
      </c>
      <c r="BT176" s="819">
        <v>24</v>
      </c>
      <c r="BU176" s="753">
        <f t="shared" si="356"/>
        <v>-80.3</v>
      </c>
    </row>
    <row r="177" spans="1:73">
      <c r="A177" s="4"/>
      <c r="B177" s="43" t="s">
        <v>54</v>
      </c>
      <c r="C177" s="44">
        <v>61</v>
      </c>
      <c r="D177" s="44">
        <v>100</v>
      </c>
      <c r="E177" s="44">
        <v>54</v>
      </c>
      <c r="F177" s="44">
        <v>130</v>
      </c>
      <c r="G177" s="44">
        <v>66</v>
      </c>
      <c r="H177" s="44">
        <v>51</v>
      </c>
      <c r="I177" s="44">
        <v>50</v>
      </c>
      <c r="J177" s="44">
        <v>29</v>
      </c>
      <c r="K177" s="283">
        <v>2</v>
      </c>
      <c r="L177" s="390">
        <v>0</v>
      </c>
      <c r="M177" s="242">
        <f t="shared" si="358"/>
        <v>-100</v>
      </c>
      <c r="N177" s="283">
        <f t="shared" si="375"/>
        <v>0</v>
      </c>
      <c r="O177" s="390">
        <f t="shared" si="376"/>
        <v>15</v>
      </c>
      <c r="P177" s="523">
        <v>0</v>
      </c>
      <c r="Q177" s="283">
        <v>2</v>
      </c>
      <c r="R177" s="390">
        <v>15</v>
      </c>
      <c r="S177" s="242">
        <f t="shared" si="360"/>
        <v>650</v>
      </c>
      <c r="T177" s="283">
        <f t="shared" si="377"/>
        <v>5</v>
      </c>
      <c r="U177" s="390">
        <f t="shared" si="378"/>
        <v>3</v>
      </c>
      <c r="V177" s="242">
        <f t="shared" si="361"/>
        <v>-40</v>
      </c>
      <c r="W177" s="283">
        <v>7</v>
      </c>
      <c r="X177" s="390">
        <v>18</v>
      </c>
      <c r="Y177" s="242">
        <f t="shared" si="362"/>
        <v>157.1</v>
      </c>
      <c r="Z177" s="283">
        <f t="shared" si="379"/>
        <v>2</v>
      </c>
      <c r="AA177" s="390">
        <f t="shared" si="380"/>
        <v>1</v>
      </c>
      <c r="AB177" s="242">
        <f t="shared" si="363"/>
        <v>-50</v>
      </c>
      <c r="AC177" s="283">
        <v>9</v>
      </c>
      <c r="AD177" s="390">
        <v>19</v>
      </c>
      <c r="AE177" s="242">
        <f t="shared" si="364"/>
        <v>111.1</v>
      </c>
      <c r="AF177" s="283">
        <f t="shared" si="381"/>
        <v>3</v>
      </c>
      <c r="AG177" s="390">
        <f t="shared" si="381"/>
        <v>3</v>
      </c>
      <c r="AH177" s="242">
        <f t="shared" si="365"/>
        <v>0</v>
      </c>
      <c r="AI177" s="283">
        <v>12</v>
      </c>
      <c r="AJ177" s="390">
        <v>22</v>
      </c>
      <c r="AK177" s="242">
        <f t="shared" si="366"/>
        <v>83.3</v>
      </c>
      <c r="AL177" s="762">
        <f t="shared" si="382"/>
        <v>3</v>
      </c>
      <c r="AM177" s="769">
        <f t="shared" si="383"/>
        <v>16</v>
      </c>
      <c r="AN177" s="753">
        <f t="shared" si="367"/>
        <v>433.3</v>
      </c>
      <c r="AO177" s="779">
        <v>15</v>
      </c>
      <c r="AP177" s="819">
        <v>38</v>
      </c>
      <c r="AQ177" s="753">
        <f t="shared" si="368"/>
        <v>153.30000000000001</v>
      </c>
      <c r="AR177" s="779">
        <f t="shared" si="384"/>
        <v>3</v>
      </c>
      <c r="AS177" s="819">
        <f t="shared" si="384"/>
        <v>5</v>
      </c>
      <c r="AT177" s="753">
        <f t="shared" si="369"/>
        <v>66.7</v>
      </c>
      <c r="AU177" s="975">
        <v>18</v>
      </c>
      <c r="AV177" s="970">
        <v>43</v>
      </c>
      <c r="AW177" s="753">
        <f t="shared" si="370"/>
        <v>138.9</v>
      </c>
      <c r="AX177" s="779">
        <f t="shared" si="385"/>
        <v>1</v>
      </c>
      <c r="AY177" s="819">
        <f t="shared" si="386"/>
        <v>4</v>
      </c>
      <c r="AZ177" s="753">
        <f t="shared" si="371"/>
        <v>300</v>
      </c>
      <c r="BA177" s="779">
        <v>19</v>
      </c>
      <c r="BB177" s="819">
        <v>47</v>
      </c>
      <c r="BC177" s="753">
        <f t="shared" si="372"/>
        <v>147.4</v>
      </c>
      <c r="BD177" s="779">
        <f t="shared" si="387"/>
        <v>3</v>
      </c>
      <c r="BE177" s="819">
        <f t="shared" si="387"/>
        <v>2</v>
      </c>
      <c r="BF177" s="753">
        <f t="shared" si="373"/>
        <v>-33.299999999999997</v>
      </c>
      <c r="BG177" s="779">
        <v>22</v>
      </c>
      <c r="BH177" s="819">
        <v>49</v>
      </c>
      <c r="BI177" s="753">
        <f t="shared" si="374"/>
        <v>122.7</v>
      </c>
      <c r="BJ177" s="779">
        <f t="shared" si="388"/>
        <v>1</v>
      </c>
      <c r="BK177" s="819">
        <f t="shared" si="388"/>
        <v>0</v>
      </c>
      <c r="BL177" s="753">
        <f t="shared" si="353"/>
        <v>-100</v>
      </c>
      <c r="BM177" s="779">
        <v>23</v>
      </c>
      <c r="BN177" s="819">
        <v>49</v>
      </c>
      <c r="BO177" s="753">
        <f t="shared" si="355"/>
        <v>113</v>
      </c>
      <c r="BP177" s="779">
        <f t="shared" si="389"/>
        <v>3</v>
      </c>
      <c r="BQ177" s="819">
        <f t="shared" si="389"/>
        <v>3</v>
      </c>
      <c r="BR177" s="753">
        <f t="shared" si="354"/>
        <v>0</v>
      </c>
      <c r="BS177" s="779">
        <v>26</v>
      </c>
      <c r="BT177" s="819">
        <v>52</v>
      </c>
      <c r="BU177" s="753">
        <f t="shared" si="356"/>
        <v>100</v>
      </c>
    </row>
    <row r="178" spans="1:73">
      <c r="A178" s="4"/>
      <c r="B178" s="43" t="s">
        <v>103</v>
      </c>
      <c r="C178" s="44">
        <v>0</v>
      </c>
      <c r="D178" s="44">
        <v>1</v>
      </c>
      <c r="E178" s="44">
        <v>0</v>
      </c>
      <c r="F178" s="44">
        <v>0</v>
      </c>
      <c r="G178" s="44">
        <v>24</v>
      </c>
      <c r="H178" s="44">
        <v>0</v>
      </c>
      <c r="I178" s="44">
        <v>17</v>
      </c>
      <c r="J178" s="44">
        <v>12</v>
      </c>
      <c r="K178" s="283">
        <v>0</v>
      </c>
      <c r="L178" s="390">
        <v>0</v>
      </c>
      <c r="M178" s="177">
        <v>0</v>
      </c>
      <c r="N178" s="283">
        <f t="shared" si="375"/>
        <v>0</v>
      </c>
      <c r="O178" s="390">
        <f t="shared" si="376"/>
        <v>0</v>
      </c>
      <c r="P178" s="177">
        <v>0</v>
      </c>
      <c r="Q178" s="283">
        <v>0</v>
      </c>
      <c r="R178" s="390">
        <v>0</v>
      </c>
      <c r="S178" s="177">
        <v>0</v>
      </c>
      <c r="T178" s="283">
        <f t="shared" si="377"/>
        <v>0</v>
      </c>
      <c r="U178" s="390">
        <f t="shared" si="378"/>
        <v>0</v>
      </c>
      <c r="V178" s="177">
        <v>0</v>
      </c>
      <c r="W178" s="283">
        <v>0</v>
      </c>
      <c r="X178" s="390">
        <v>0</v>
      </c>
      <c r="Y178" s="177">
        <v>0</v>
      </c>
      <c r="Z178" s="283">
        <f t="shared" si="379"/>
        <v>0</v>
      </c>
      <c r="AA178" s="390">
        <f t="shared" si="380"/>
        <v>0</v>
      </c>
      <c r="AB178" s="521">
        <v>0</v>
      </c>
      <c r="AC178" s="283">
        <v>0</v>
      </c>
      <c r="AD178" s="390">
        <v>0</v>
      </c>
      <c r="AE178" s="521">
        <v>0</v>
      </c>
      <c r="AF178" s="283">
        <f t="shared" si="381"/>
        <v>0</v>
      </c>
      <c r="AG178" s="390">
        <f t="shared" si="381"/>
        <v>0</v>
      </c>
      <c r="AH178" s="521">
        <v>0</v>
      </c>
      <c r="AI178" s="283">
        <v>0</v>
      </c>
      <c r="AJ178" s="390">
        <v>0</v>
      </c>
      <c r="AK178" s="521">
        <v>0</v>
      </c>
      <c r="AL178" s="762">
        <f t="shared" si="382"/>
        <v>0</v>
      </c>
      <c r="AM178" s="769">
        <f t="shared" si="383"/>
        <v>0</v>
      </c>
      <c r="AN178" s="749">
        <v>0</v>
      </c>
      <c r="AO178" s="779">
        <v>0</v>
      </c>
      <c r="AP178" s="819">
        <v>0</v>
      </c>
      <c r="AQ178" s="749">
        <v>0</v>
      </c>
      <c r="AR178" s="779">
        <f t="shared" si="384"/>
        <v>0</v>
      </c>
      <c r="AS178" s="819">
        <f t="shared" si="384"/>
        <v>0</v>
      </c>
      <c r="AT178" s="799">
        <v>0</v>
      </c>
      <c r="AU178" s="975">
        <v>0</v>
      </c>
      <c r="AV178" s="970">
        <v>0</v>
      </c>
      <c r="AW178" s="799">
        <v>0</v>
      </c>
      <c r="AX178" s="779">
        <f t="shared" si="385"/>
        <v>0</v>
      </c>
      <c r="AY178" s="819">
        <f t="shared" si="386"/>
        <v>0</v>
      </c>
      <c r="AZ178" s="799">
        <v>0</v>
      </c>
      <c r="BA178" s="779">
        <v>0</v>
      </c>
      <c r="BB178" s="819">
        <v>0</v>
      </c>
      <c r="BC178" s="799">
        <v>0</v>
      </c>
      <c r="BD178" s="779">
        <f t="shared" si="387"/>
        <v>12</v>
      </c>
      <c r="BE178" s="819">
        <f t="shared" si="387"/>
        <v>0</v>
      </c>
      <c r="BF178" s="753">
        <f t="shared" si="373"/>
        <v>-100</v>
      </c>
      <c r="BG178" s="779">
        <v>12</v>
      </c>
      <c r="BH178" s="819">
        <v>0</v>
      </c>
      <c r="BI178" s="753">
        <f t="shared" si="374"/>
        <v>-100</v>
      </c>
      <c r="BJ178" s="779">
        <f t="shared" si="388"/>
        <v>0</v>
      </c>
      <c r="BK178" s="819">
        <f t="shared" si="388"/>
        <v>0</v>
      </c>
      <c r="BL178" s="799">
        <v>0</v>
      </c>
      <c r="BM178" s="779">
        <v>12</v>
      </c>
      <c r="BN178" s="819">
        <v>0</v>
      </c>
      <c r="BO178" s="753">
        <f t="shared" si="355"/>
        <v>-100</v>
      </c>
      <c r="BP178" s="779">
        <f t="shared" si="389"/>
        <v>0</v>
      </c>
      <c r="BQ178" s="819">
        <f t="shared" si="389"/>
        <v>0</v>
      </c>
      <c r="BR178" s="799">
        <v>0</v>
      </c>
      <c r="BS178" s="779">
        <v>12</v>
      </c>
      <c r="BT178" s="819">
        <v>0</v>
      </c>
      <c r="BU178" s="753">
        <f t="shared" si="356"/>
        <v>-100</v>
      </c>
    </row>
    <row r="179" spans="1:73">
      <c r="A179" s="4"/>
      <c r="B179" s="43" t="s">
        <v>52</v>
      </c>
      <c r="C179" s="44">
        <v>5</v>
      </c>
      <c r="D179" s="44">
        <v>4</v>
      </c>
      <c r="E179" s="44">
        <v>10</v>
      </c>
      <c r="F179" s="44">
        <v>11</v>
      </c>
      <c r="G179" s="44">
        <v>13</v>
      </c>
      <c r="H179" s="44">
        <v>8</v>
      </c>
      <c r="I179" s="44">
        <v>12</v>
      </c>
      <c r="J179" s="44">
        <v>12</v>
      </c>
      <c r="K179" s="283">
        <v>1</v>
      </c>
      <c r="L179" s="390">
        <v>2</v>
      </c>
      <c r="M179" s="242">
        <f t="shared" ref="M179:M184" si="390">ROUND(((L179/K179-1)*100), 1)</f>
        <v>100</v>
      </c>
      <c r="N179" s="283">
        <f t="shared" si="375"/>
        <v>2</v>
      </c>
      <c r="O179" s="390">
        <f t="shared" si="376"/>
        <v>2</v>
      </c>
      <c r="P179" s="242">
        <f>ROUND(((O179/N179-1)*100), 1)</f>
        <v>0</v>
      </c>
      <c r="Q179" s="283">
        <v>3</v>
      </c>
      <c r="R179" s="390">
        <v>4</v>
      </c>
      <c r="S179" s="242">
        <f>ROUND(((R179/Q179-1)*100), 1)</f>
        <v>33.299999999999997</v>
      </c>
      <c r="T179" s="283">
        <f t="shared" si="377"/>
        <v>1</v>
      </c>
      <c r="U179" s="390">
        <f t="shared" si="378"/>
        <v>1</v>
      </c>
      <c r="V179" s="242">
        <f>ROUND(((U179/T179-1)*100), 1)</f>
        <v>0</v>
      </c>
      <c r="W179" s="283">
        <v>4</v>
      </c>
      <c r="X179" s="390">
        <v>5</v>
      </c>
      <c r="Y179" s="242">
        <f>ROUND(((X179/W179-1)*100), 1)</f>
        <v>25</v>
      </c>
      <c r="Z179" s="283">
        <f t="shared" si="379"/>
        <v>1</v>
      </c>
      <c r="AA179" s="390">
        <f t="shared" si="380"/>
        <v>2</v>
      </c>
      <c r="AB179" s="242">
        <f>ROUND(((AA179/Z179-1)*100), 1)</f>
        <v>100</v>
      </c>
      <c r="AC179" s="283">
        <v>5</v>
      </c>
      <c r="AD179" s="390">
        <v>7</v>
      </c>
      <c r="AE179" s="242">
        <f>ROUND(((AD179/AC179-1)*100), 1)</f>
        <v>40</v>
      </c>
      <c r="AF179" s="283">
        <f t="shared" si="381"/>
        <v>0</v>
      </c>
      <c r="AG179" s="390">
        <f t="shared" si="381"/>
        <v>1</v>
      </c>
      <c r="AH179" s="521">
        <v>0</v>
      </c>
      <c r="AI179" s="283">
        <v>5</v>
      </c>
      <c r="AJ179" s="390">
        <v>8</v>
      </c>
      <c r="AK179" s="242">
        <f>ROUND(((AJ179/AI179-1)*100), 1)</f>
        <v>60</v>
      </c>
      <c r="AL179" s="762">
        <f t="shared" si="382"/>
        <v>1</v>
      </c>
      <c r="AM179" s="769">
        <f t="shared" si="383"/>
        <v>0</v>
      </c>
      <c r="AN179" s="753">
        <f t="shared" si="367"/>
        <v>-100</v>
      </c>
      <c r="AO179" s="779">
        <v>6</v>
      </c>
      <c r="AP179" s="819">
        <v>8</v>
      </c>
      <c r="AQ179" s="753">
        <f>ROUND(((AP179/AO179-1)*100), 1)</f>
        <v>33.299999999999997</v>
      </c>
      <c r="AR179" s="779">
        <f t="shared" si="384"/>
        <v>1</v>
      </c>
      <c r="AS179" s="819">
        <f t="shared" si="384"/>
        <v>3</v>
      </c>
      <c r="AT179" s="753">
        <f>ROUND(((AS179/AR179-1)*100), 1)</f>
        <v>200</v>
      </c>
      <c r="AU179" s="975">
        <v>7</v>
      </c>
      <c r="AV179" s="970">
        <v>11</v>
      </c>
      <c r="AW179" s="753">
        <f t="shared" ref="AW179:AW184" si="391">ROUND(((AV179/AU179-1)*100), 1)</f>
        <v>57.1</v>
      </c>
      <c r="AX179" s="779">
        <f t="shared" si="385"/>
        <v>1</v>
      </c>
      <c r="AY179" s="819">
        <f t="shared" si="386"/>
        <v>1</v>
      </c>
      <c r="AZ179" s="753">
        <f>ROUND(((AY179/AX179-1)*100), 1)</f>
        <v>0</v>
      </c>
      <c r="BA179" s="779">
        <v>8</v>
      </c>
      <c r="BB179" s="819">
        <v>12</v>
      </c>
      <c r="BC179" s="753">
        <f t="shared" ref="BC179:BC184" si="392">ROUND(((BB179/BA179-1)*100), 1)</f>
        <v>50</v>
      </c>
      <c r="BD179" s="779">
        <f t="shared" si="387"/>
        <v>1</v>
      </c>
      <c r="BE179" s="819">
        <f t="shared" si="387"/>
        <v>0</v>
      </c>
      <c r="BF179" s="753">
        <f>ROUND(((BE179/BD179-1)*100), 1)</f>
        <v>-100</v>
      </c>
      <c r="BG179" s="779">
        <v>9</v>
      </c>
      <c r="BH179" s="819">
        <v>12</v>
      </c>
      <c r="BI179" s="753">
        <f t="shared" si="374"/>
        <v>33.299999999999997</v>
      </c>
      <c r="BJ179" s="779">
        <f t="shared" si="388"/>
        <v>1</v>
      </c>
      <c r="BK179" s="819">
        <f t="shared" si="388"/>
        <v>1</v>
      </c>
      <c r="BL179" s="753">
        <f>ROUND(((BK179/BJ179-1)*100), 1)</f>
        <v>0</v>
      </c>
      <c r="BM179" s="779">
        <v>10</v>
      </c>
      <c r="BN179" s="819">
        <v>13</v>
      </c>
      <c r="BO179" s="753">
        <f t="shared" si="355"/>
        <v>30</v>
      </c>
      <c r="BP179" s="779">
        <f t="shared" si="389"/>
        <v>1</v>
      </c>
      <c r="BQ179" s="819">
        <f t="shared" si="389"/>
        <v>0</v>
      </c>
      <c r="BR179" s="753">
        <f>ROUND(((BQ179/BP179-1)*100), 1)</f>
        <v>-100</v>
      </c>
      <c r="BS179" s="779">
        <v>11</v>
      </c>
      <c r="BT179" s="819">
        <v>13</v>
      </c>
      <c r="BU179" s="753">
        <f t="shared" si="356"/>
        <v>18.2</v>
      </c>
    </row>
    <row r="180" spans="1:73">
      <c r="A180" s="4"/>
      <c r="B180" s="43" t="s">
        <v>101</v>
      </c>
      <c r="C180" s="44">
        <v>29</v>
      </c>
      <c r="D180" s="44">
        <v>40</v>
      </c>
      <c r="E180" s="44">
        <v>30</v>
      </c>
      <c r="F180" s="44">
        <v>20</v>
      </c>
      <c r="G180" s="44">
        <v>13</v>
      </c>
      <c r="H180" s="44">
        <v>15</v>
      </c>
      <c r="I180" s="44">
        <v>52</v>
      </c>
      <c r="J180" s="44">
        <v>9</v>
      </c>
      <c r="K180" s="283">
        <v>1</v>
      </c>
      <c r="L180" s="390">
        <v>2</v>
      </c>
      <c r="M180" s="242">
        <f t="shared" si="390"/>
        <v>100</v>
      </c>
      <c r="N180" s="283">
        <f t="shared" si="375"/>
        <v>0</v>
      </c>
      <c r="O180" s="390">
        <f t="shared" si="376"/>
        <v>0</v>
      </c>
      <c r="P180" s="523">
        <v>0</v>
      </c>
      <c r="Q180" s="283">
        <v>1</v>
      </c>
      <c r="R180" s="390">
        <v>2</v>
      </c>
      <c r="S180" s="242">
        <f>ROUND(((R180/Q180-1)*100), 1)</f>
        <v>100</v>
      </c>
      <c r="T180" s="283">
        <f t="shared" si="377"/>
        <v>0</v>
      </c>
      <c r="U180" s="390">
        <f t="shared" si="378"/>
        <v>0</v>
      </c>
      <c r="V180" s="523">
        <v>0</v>
      </c>
      <c r="W180" s="283">
        <v>1</v>
      </c>
      <c r="X180" s="390">
        <v>2</v>
      </c>
      <c r="Y180" s="242">
        <f>ROUND(((X180/W180-1)*100), 1)</f>
        <v>100</v>
      </c>
      <c r="Z180" s="283">
        <f t="shared" si="379"/>
        <v>2</v>
      </c>
      <c r="AA180" s="390">
        <f t="shared" si="380"/>
        <v>1</v>
      </c>
      <c r="AB180" s="242">
        <f t="shared" ref="AB180" si="393">ROUND(((AA180/Z180-1)*100), 1)</f>
        <v>-50</v>
      </c>
      <c r="AC180" s="283">
        <v>3</v>
      </c>
      <c r="AD180" s="390">
        <v>3</v>
      </c>
      <c r="AE180" s="242">
        <f>ROUND(((AD180/AC180-1)*100), 1)</f>
        <v>0</v>
      </c>
      <c r="AF180" s="283">
        <f t="shared" si="381"/>
        <v>1</v>
      </c>
      <c r="AG180" s="390">
        <f t="shared" si="381"/>
        <v>4</v>
      </c>
      <c r="AH180" s="242">
        <f t="shared" ref="AH180" si="394">ROUND(((AG180/AF180-1)*100), 1)</f>
        <v>300</v>
      </c>
      <c r="AI180" s="283">
        <v>4</v>
      </c>
      <c r="AJ180" s="390">
        <v>7</v>
      </c>
      <c r="AK180" s="242">
        <f>ROUND(((AJ180/AI180-1)*100), 1)</f>
        <v>75</v>
      </c>
      <c r="AL180" s="762">
        <f t="shared" si="382"/>
        <v>2</v>
      </c>
      <c r="AM180" s="769">
        <f t="shared" si="383"/>
        <v>1</v>
      </c>
      <c r="AN180" s="753">
        <f t="shared" ref="AN180" si="395">ROUND(((AM180/AL180-1)*100), 1)</f>
        <v>-50</v>
      </c>
      <c r="AO180" s="779">
        <v>6</v>
      </c>
      <c r="AP180" s="819">
        <v>8</v>
      </c>
      <c r="AQ180" s="753">
        <f>ROUND(((AP180/AO180-1)*100), 1)</f>
        <v>33.299999999999997</v>
      </c>
      <c r="AR180" s="779">
        <f t="shared" si="384"/>
        <v>1</v>
      </c>
      <c r="AS180" s="819">
        <f t="shared" si="384"/>
        <v>4</v>
      </c>
      <c r="AT180" s="753">
        <f>ROUND(((AS180/AR180-1)*100), 1)</f>
        <v>300</v>
      </c>
      <c r="AU180" s="975">
        <v>7</v>
      </c>
      <c r="AV180" s="970">
        <v>12</v>
      </c>
      <c r="AW180" s="753">
        <f t="shared" si="391"/>
        <v>71.400000000000006</v>
      </c>
      <c r="AX180" s="779">
        <f t="shared" si="385"/>
        <v>0</v>
      </c>
      <c r="AY180" s="819">
        <f t="shared" si="386"/>
        <v>1</v>
      </c>
      <c r="AZ180" s="799">
        <v>0</v>
      </c>
      <c r="BA180" s="779">
        <v>7</v>
      </c>
      <c r="BB180" s="819">
        <v>13</v>
      </c>
      <c r="BC180" s="753">
        <f t="shared" si="392"/>
        <v>85.7</v>
      </c>
      <c r="BD180" s="779">
        <f t="shared" si="387"/>
        <v>0</v>
      </c>
      <c r="BE180" s="819">
        <f t="shared" si="387"/>
        <v>4</v>
      </c>
      <c r="BF180" s="799">
        <v>0</v>
      </c>
      <c r="BG180" s="779">
        <v>7</v>
      </c>
      <c r="BH180" s="819">
        <v>17</v>
      </c>
      <c r="BI180" s="753">
        <f t="shared" si="374"/>
        <v>142.9</v>
      </c>
      <c r="BJ180" s="779">
        <f t="shared" si="388"/>
        <v>2</v>
      </c>
      <c r="BK180" s="819">
        <f t="shared" si="388"/>
        <v>3</v>
      </c>
      <c r="BL180" s="753">
        <f t="shared" ref="BL180:BL181" si="396">ROUND(((BK180/BJ180-1)*100), 1)</f>
        <v>50</v>
      </c>
      <c r="BM180" s="779">
        <v>9</v>
      </c>
      <c r="BN180" s="819">
        <v>20</v>
      </c>
      <c r="BO180" s="753">
        <f t="shared" si="355"/>
        <v>122.2</v>
      </c>
      <c r="BP180" s="779">
        <f t="shared" si="389"/>
        <v>0</v>
      </c>
      <c r="BQ180" s="819">
        <f t="shared" si="389"/>
        <v>10</v>
      </c>
      <c r="BR180" s="799">
        <v>0</v>
      </c>
      <c r="BS180" s="779">
        <v>9</v>
      </c>
      <c r="BT180" s="819">
        <v>30</v>
      </c>
      <c r="BU180" s="753">
        <f t="shared" si="356"/>
        <v>233.3</v>
      </c>
    </row>
    <row r="181" spans="1:73">
      <c r="A181" s="4"/>
      <c r="B181" s="43" t="s">
        <v>57</v>
      </c>
      <c r="C181" s="44">
        <v>19</v>
      </c>
      <c r="D181" s="44">
        <v>11</v>
      </c>
      <c r="E181" s="44">
        <v>15</v>
      </c>
      <c r="F181" s="44">
        <v>16</v>
      </c>
      <c r="G181" s="44">
        <v>8</v>
      </c>
      <c r="H181" s="44">
        <v>6</v>
      </c>
      <c r="I181" s="44">
        <v>6</v>
      </c>
      <c r="J181" s="44">
        <v>9</v>
      </c>
      <c r="K181" s="283">
        <v>0</v>
      </c>
      <c r="L181" s="390">
        <v>1</v>
      </c>
      <c r="M181" s="177">
        <v>0</v>
      </c>
      <c r="N181" s="283">
        <f t="shared" si="375"/>
        <v>0</v>
      </c>
      <c r="O181" s="390">
        <f t="shared" si="376"/>
        <v>0</v>
      </c>
      <c r="P181" s="177">
        <v>0</v>
      </c>
      <c r="Q181" s="283">
        <v>0</v>
      </c>
      <c r="R181" s="390">
        <v>1</v>
      </c>
      <c r="S181" s="177">
        <v>0</v>
      </c>
      <c r="T181" s="283">
        <f t="shared" si="377"/>
        <v>1</v>
      </c>
      <c r="U181" s="390">
        <f t="shared" si="378"/>
        <v>0</v>
      </c>
      <c r="V181" s="242">
        <f>ROUND(((U181/T181-1)*100), 1)</f>
        <v>-100</v>
      </c>
      <c r="W181" s="283">
        <v>1</v>
      </c>
      <c r="X181" s="390">
        <v>1</v>
      </c>
      <c r="Y181" s="242">
        <f>ROUND(((X181/W181-1)*100), 1)</f>
        <v>0</v>
      </c>
      <c r="Z181" s="283">
        <f t="shared" si="379"/>
        <v>0</v>
      </c>
      <c r="AA181" s="390">
        <f t="shared" si="380"/>
        <v>1</v>
      </c>
      <c r="AB181" s="521">
        <v>0</v>
      </c>
      <c r="AC181" s="283">
        <v>1</v>
      </c>
      <c r="AD181" s="390">
        <v>2</v>
      </c>
      <c r="AE181" s="242">
        <f>ROUND(((AD181/AC181-1)*100), 1)</f>
        <v>100</v>
      </c>
      <c r="AF181" s="283">
        <f t="shared" si="381"/>
        <v>0</v>
      </c>
      <c r="AG181" s="390">
        <f t="shared" si="381"/>
        <v>1</v>
      </c>
      <c r="AH181" s="521">
        <v>0</v>
      </c>
      <c r="AI181" s="283">
        <v>1</v>
      </c>
      <c r="AJ181" s="390">
        <v>3</v>
      </c>
      <c r="AK181" s="242">
        <f>ROUND(((AJ181/AI181-1)*100), 1)</f>
        <v>200</v>
      </c>
      <c r="AL181" s="762">
        <f t="shared" si="382"/>
        <v>1</v>
      </c>
      <c r="AM181" s="769">
        <f t="shared" si="383"/>
        <v>1</v>
      </c>
      <c r="AN181" s="753">
        <f t="shared" si="367"/>
        <v>0</v>
      </c>
      <c r="AO181" s="779">
        <v>2</v>
      </c>
      <c r="AP181" s="819">
        <v>4</v>
      </c>
      <c r="AQ181" s="753">
        <f>ROUND(((AP181/AO181-1)*100), 1)</f>
        <v>100</v>
      </c>
      <c r="AR181" s="779">
        <f t="shared" si="384"/>
        <v>0</v>
      </c>
      <c r="AS181" s="819">
        <f t="shared" si="384"/>
        <v>0</v>
      </c>
      <c r="AT181" s="799">
        <v>0</v>
      </c>
      <c r="AU181" s="975">
        <v>2</v>
      </c>
      <c r="AV181" s="970">
        <v>4</v>
      </c>
      <c r="AW181" s="753">
        <f t="shared" si="391"/>
        <v>100</v>
      </c>
      <c r="AX181" s="779">
        <f t="shared" si="385"/>
        <v>0</v>
      </c>
      <c r="AY181" s="819">
        <f t="shared" si="386"/>
        <v>1</v>
      </c>
      <c r="AZ181" s="799">
        <v>0</v>
      </c>
      <c r="BA181" s="779">
        <v>2</v>
      </c>
      <c r="BB181" s="819">
        <v>5</v>
      </c>
      <c r="BC181" s="753">
        <f t="shared" si="392"/>
        <v>150</v>
      </c>
      <c r="BD181" s="779">
        <f t="shared" si="387"/>
        <v>2</v>
      </c>
      <c r="BE181" s="819">
        <f t="shared" si="387"/>
        <v>1</v>
      </c>
      <c r="BF181" s="753">
        <f t="shared" ref="BF181" si="397">ROUND(((BE181/BD181-1)*100), 1)</f>
        <v>-50</v>
      </c>
      <c r="BG181" s="779">
        <v>4</v>
      </c>
      <c r="BH181" s="819">
        <v>6</v>
      </c>
      <c r="BI181" s="753">
        <f t="shared" si="374"/>
        <v>50</v>
      </c>
      <c r="BJ181" s="779">
        <f t="shared" si="388"/>
        <v>1</v>
      </c>
      <c r="BK181" s="819">
        <f t="shared" si="388"/>
        <v>0</v>
      </c>
      <c r="BL181" s="753">
        <f t="shared" si="396"/>
        <v>-100</v>
      </c>
      <c r="BM181" s="779">
        <v>5</v>
      </c>
      <c r="BN181" s="819">
        <v>6</v>
      </c>
      <c r="BO181" s="753">
        <f t="shared" si="355"/>
        <v>20</v>
      </c>
      <c r="BP181" s="779">
        <f t="shared" si="389"/>
        <v>0</v>
      </c>
      <c r="BQ181" s="819">
        <f t="shared" si="389"/>
        <v>1</v>
      </c>
      <c r="BR181" s="799">
        <v>0</v>
      </c>
      <c r="BS181" s="779">
        <v>5</v>
      </c>
      <c r="BT181" s="819">
        <v>7</v>
      </c>
      <c r="BU181" s="753">
        <f t="shared" si="356"/>
        <v>40</v>
      </c>
    </row>
    <row r="182" spans="1:73">
      <c r="A182" s="4"/>
      <c r="B182" s="43" t="s">
        <v>257</v>
      </c>
      <c r="C182" s="44">
        <v>2</v>
      </c>
      <c r="D182" s="44">
        <v>2</v>
      </c>
      <c r="E182" s="44">
        <v>2</v>
      </c>
      <c r="F182" s="44">
        <v>3</v>
      </c>
      <c r="G182" s="44">
        <v>5</v>
      </c>
      <c r="H182" s="44">
        <v>22</v>
      </c>
      <c r="I182" s="44">
        <v>28</v>
      </c>
      <c r="J182" s="44">
        <v>6</v>
      </c>
      <c r="K182" s="283">
        <v>0</v>
      </c>
      <c r="L182" s="390">
        <v>0</v>
      </c>
      <c r="M182" s="177">
        <v>0</v>
      </c>
      <c r="N182" s="283">
        <f t="shared" si="375"/>
        <v>0</v>
      </c>
      <c r="O182" s="390">
        <f t="shared" si="376"/>
        <v>0</v>
      </c>
      <c r="P182" s="177">
        <v>0</v>
      </c>
      <c r="Q182" s="283">
        <v>0</v>
      </c>
      <c r="R182" s="390">
        <v>0</v>
      </c>
      <c r="S182" s="177">
        <v>0</v>
      </c>
      <c r="T182" s="283">
        <f t="shared" si="377"/>
        <v>0</v>
      </c>
      <c r="U182" s="390">
        <f t="shared" si="378"/>
        <v>2</v>
      </c>
      <c r="V182" s="177">
        <v>0</v>
      </c>
      <c r="W182" s="283">
        <v>0</v>
      </c>
      <c r="X182" s="390">
        <v>2</v>
      </c>
      <c r="Y182" s="177">
        <v>0</v>
      </c>
      <c r="Z182" s="283">
        <f t="shared" si="379"/>
        <v>2</v>
      </c>
      <c r="AA182" s="390">
        <f t="shared" si="380"/>
        <v>0</v>
      </c>
      <c r="AB182" s="242">
        <f t="shared" ref="AB182" si="398">ROUND(((AA182/Z182-1)*100), 1)</f>
        <v>-100</v>
      </c>
      <c r="AC182" s="283">
        <v>2</v>
      </c>
      <c r="AD182" s="390">
        <v>2</v>
      </c>
      <c r="AE182" s="242">
        <f t="shared" ref="AE182" si="399">ROUND(((AD182/AC182-1)*100), 1)</f>
        <v>0</v>
      </c>
      <c r="AF182" s="283">
        <f t="shared" si="381"/>
        <v>0</v>
      </c>
      <c r="AG182" s="390">
        <f t="shared" si="381"/>
        <v>1</v>
      </c>
      <c r="AH182" s="521">
        <v>0</v>
      </c>
      <c r="AI182" s="283">
        <v>2</v>
      </c>
      <c r="AJ182" s="390">
        <v>3</v>
      </c>
      <c r="AK182" s="242">
        <f t="shared" ref="AK182" si="400">ROUND(((AJ182/AI182-1)*100), 1)</f>
        <v>50</v>
      </c>
      <c r="AL182" s="762">
        <f t="shared" si="382"/>
        <v>0</v>
      </c>
      <c r="AM182" s="769">
        <f t="shared" si="383"/>
        <v>1</v>
      </c>
      <c r="AN182" s="749">
        <v>0</v>
      </c>
      <c r="AO182" s="779">
        <v>2</v>
      </c>
      <c r="AP182" s="819">
        <v>4</v>
      </c>
      <c r="AQ182" s="753">
        <f t="shared" ref="AQ182" si="401">ROUND(((AP182/AO182-1)*100), 1)</f>
        <v>100</v>
      </c>
      <c r="AR182" s="779">
        <f t="shared" si="384"/>
        <v>0</v>
      </c>
      <c r="AS182" s="819">
        <f t="shared" si="384"/>
        <v>0</v>
      </c>
      <c r="AT182" s="799">
        <v>0</v>
      </c>
      <c r="AU182" s="975">
        <v>2</v>
      </c>
      <c r="AV182" s="970">
        <v>4</v>
      </c>
      <c r="AW182" s="753">
        <f t="shared" si="391"/>
        <v>100</v>
      </c>
      <c r="AX182" s="779">
        <f t="shared" si="385"/>
        <v>2</v>
      </c>
      <c r="AY182" s="819">
        <f t="shared" si="386"/>
        <v>0</v>
      </c>
      <c r="AZ182" s="753">
        <f>ROUND(((AY182/AX182-1)*100), 1)</f>
        <v>-100</v>
      </c>
      <c r="BA182" s="779">
        <v>4</v>
      </c>
      <c r="BB182" s="819">
        <v>4</v>
      </c>
      <c r="BC182" s="753">
        <f t="shared" si="392"/>
        <v>0</v>
      </c>
      <c r="BD182" s="779">
        <f t="shared" si="387"/>
        <v>0</v>
      </c>
      <c r="BE182" s="819">
        <f t="shared" si="387"/>
        <v>0</v>
      </c>
      <c r="BF182" s="799">
        <v>0</v>
      </c>
      <c r="BG182" s="779">
        <v>4</v>
      </c>
      <c r="BH182" s="819">
        <v>4</v>
      </c>
      <c r="BI182" s="753">
        <f t="shared" si="374"/>
        <v>0</v>
      </c>
      <c r="BJ182" s="779">
        <f t="shared" si="388"/>
        <v>0</v>
      </c>
      <c r="BK182" s="819">
        <f t="shared" si="388"/>
        <v>1</v>
      </c>
      <c r="BL182" s="799">
        <v>0</v>
      </c>
      <c r="BM182" s="779">
        <v>4</v>
      </c>
      <c r="BN182" s="819">
        <v>5</v>
      </c>
      <c r="BO182" s="753">
        <f t="shared" si="355"/>
        <v>25</v>
      </c>
      <c r="BP182" s="779">
        <f t="shared" si="389"/>
        <v>0</v>
      </c>
      <c r="BQ182" s="819">
        <f t="shared" si="389"/>
        <v>4</v>
      </c>
      <c r="BR182" s="799">
        <v>0</v>
      </c>
      <c r="BS182" s="779">
        <v>4</v>
      </c>
      <c r="BT182" s="819">
        <v>9</v>
      </c>
      <c r="BU182" s="753">
        <f t="shared" si="356"/>
        <v>125</v>
      </c>
    </row>
    <row r="183" spans="1:73">
      <c r="A183" s="4"/>
      <c r="B183" s="43" t="s">
        <v>24</v>
      </c>
      <c r="C183" s="44">
        <f t="shared" ref="C183:L183" si="402">C184-SUM(C170:C182)</f>
        <v>165</v>
      </c>
      <c r="D183" s="44">
        <f t="shared" si="402"/>
        <v>87</v>
      </c>
      <c r="E183" s="44">
        <f t="shared" si="402"/>
        <v>90</v>
      </c>
      <c r="F183" s="44">
        <f t="shared" si="402"/>
        <v>72</v>
      </c>
      <c r="G183" s="44">
        <f t="shared" si="402"/>
        <v>18</v>
      </c>
      <c r="H183" s="44">
        <f t="shared" si="402"/>
        <v>39</v>
      </c>
      <c r="I183" s="44">
        <f t="shared" si="402"/>
        <v>48</v>
      </c>
      <c r="J183" s="44">
        <f>J184-SUM(J170:J182)</f>
        <v>37</v>
      </c>
      <c r="K183" s="383">
        <f t="shared" si="402"/>
        <v>9</v>
      </c>
      <c r="L183" s="390">
        <f t="shared" si="402"/>
        <v>1</v>
      </c>
      <c r="M183" s="242">
        <f t="shared" si="390"/>
        <v>-88.9</v>
      </c>
      <c r="N183" s="383">
        <f>N184-SUM(N170:N182)</f>
        <v>0</v>
      </c>
      <c r="O183" s="390">
        <f>O184-SUM(O170:O182)</f>
        <v>5</v>
      </c>
      <c r="P183" s="525">
        <v>0</v>
      </c>
      <c r="Q183" s="383">
        <f>Q184-SUM(Q170:Q182)</f>
        <v>9</v>
      </c>
      <c r="R183" s="390">
        <f>R184-SUM(R170:R182)</f>
        <v>6</v>
      </c>
      <c r="S183" s="242">
        <f>ROUND(((R183/Q183-1)*100), 1)</f>
        <v>-33.299999999999997</v>
      </c>
      <c r="T183" s="383">
        <f>T184-SUM(T170:T182)</f>
        <v>0</v>
      </c>
      <c r="U183" s="390">
        <f>U184-SUM(U170:U182)</f>
        <v>2</v>
      </c>
      <c r="V183" s="242" t="e">
        <f>ROUND(((U183/T183-1)*100), 1)</f>
        <v>#DIV/0!</v>
      </c>
      <c r="W183" s="383">
        <f>W184-SUM(W170:W182)</f>
        <v>9</v>
      </c>
      <c r="X183" s="390">
        <f>X184-SUM(X170:X182)</f>
        <v>8</v>
      </c>
      <c r="Y183" s="242">
        <f>ROUND(((X183/W183-1)*100), 1)</f>
        <v>-11.1</v>
      </c>
      <c r="Z183" s="527">
        <f>Z184-SUM(Z170:Z182)</f>
        <v>2</v>
      </c>
      <c r="AA183" s="390">
        <f>AA184-SUM(AA170:AA182)</f>
        <v>0</v>
      </c>
      <c r="AB183" s="242">
        <f>ROUND(((AA183/Z183-1)*100), 1)</f>
        <v>-100</v>
      </c>
      <c r="AC183" s="527">
        <f>AC184-SUM(AC170:AC182)</f>
        <v>11</v>
      </c>
      <c r="AD183" s="390">
        <f>AD184-SUM(AD170:AD182)</f>
        <v>8</v>
      </c>
      <c r="AE183" s="242">
        <f>ROUND(((AD183/AC183-1)*100), 1)</f>
        <v>-27.3</v>
      </c>
      <c r="AF183" s="527">
        <f>AF184-SUM(AF170:AF182)</f>
        <v>1</v>
      </c>
      <c r="AG183" s="390">
        <f>AG184-SUM(AG170:AG182)</f>
        <v>0</v>
      </c>
      <c r="AH183" s="242">
        <f>ROUND(((AG183/AF183-1)*100), 1)</f>
        <v>-100</v>
      </c>
      <c r="AI183" s="527">
        <f>AI184-SUM(AI170:AI182)</f>
        <v>12</v>
      </c>
      <c r="AJ183" s="390">
        <f>AJ184-SUM(AJ170:AJ182)</f>
        <v>8</v>
      </c>
      <c r="AK183" s="242">
        <f>ROUND(((AJ183/AI183-1)*100), 1)</f>
        <v>-33.299999999999997</v>
      </c>
      <c r="AL183" s="766">
        <f>AL184-SUM(AL170:AL182)</f>
        <v>5</v>
      </c>
      <c r="AM183" s="769">
        <f>AM184-SUM(AM170:AM182)</f>
        <v>9</v>
      </c>
      <c r="AN183" s="753">
        <f>ROUND(((AM183/AL183-1)*100), 1)</f>
        <v>80</v>
      </c>
      <c r="AO183" s="817">
        <f>AO184-SUM(AO170:AO182)</f>
        <v>17</v>
      </c>
      <c r="AP183" s="819">
        <f>AP184-SUM(AP170:AP182)</f>
        <v>17</v>
      </c>
      <c r="AQ183" s="753">
        <f>ROUND(((AP183/AO183-1)*100), 1)</f>
        <v>0</v>
      </c>
      <c r="AR183" s="817">
        <f>AR184-SUM(AR170:AR182)</f>
        <v>0</v>
      </c>
      <c r="AS183" s="819">
        <f>AS184-SUM(AS170:AS182)</f>
        <v>0</v>
      </c>
      <c r="AT183" s="800">
        <v>0</v>
      </c>
      <c r="AU183" s="969">
        <f>AU184-SUM(AU170:AU182)</f>
        <v>17</v>
      </c>
      <c r="AV183" s="970">
        <f>AV184-SUM(AV170:AV182)</f>
        <v>17</v>
      </c>
      <c r="AW183" s="753">
        <f t="shared" si="391"/>
        <v>0</v>
      </c>
      <c r="AX183" s="817">
        <f>AX184-SUM(AX170:AX182)</f>
        <v>8</v>
      </c>
      <c r="AY183" s="819">
        <f>AY184-SUM(AY170:AY182)</f>
        <v>1</v>
      </c>
      <c r="AZ183" s="800">
        <v>0</v>
      </c>
      <c r="BA183" s="817">
        <f>BA184-SUM(BA170:BA182)</f>
        <v>25</v>
      </c>
      <c r="BB183" s="819">
        <f>BB184-SUM(BB170:BB182)</f>
        <v>18</v>
      </c>
      <c r="BC183" s="753">
        <f t="shared" si="392"/>
        <v>-28</v>
      </c>
      <c r="BD183" s="817">
        <f>BD184-SUM(BD170:BD182)</f>
        <v>3</v>
      </c>
      <c r="BE183" s="819">
        <f>BE184-SUM(BE170:BE182)</f>
        <v>4</v>
      </c>
      <c r="BF183" s="753">
        <f t="shared" ref="BF183" si="403">ROUND(((BE183/BD183-1)*100), 1)</f>
        <v>33.299999999999997</v>
      </c>
      <c r="BG183" s="817">
        <f>BG184-SUM(BG170:BG182)</f>
        <v>28</v>
      </c>
      <c r="BH183" s="819">
        <f>BH184-SUM(BH170:BH182)</f>
        <v>22</v>
      </c>
      <c r="BI183" s="753">
        <f t="shared" si="374"/>
        <v>-21.4</v>
      </c>
      <c r="BJ183" s="817">
        <f>BJ184-SUM(BJ170:BJ182)</f>
        <v>2</v>
      </c>
      <c r="BK183" s="819">
        <f>BK184-SUM(BK170:BK182)</f>
        <v>3</v>
      </c>
      <c r="BL183" s="753">
        <f t="shared" ref="BL183" si="404">ROUND(((BK183/BJ183-1)*100), 1)</f>
        <v>50</v>
      </c>
      <c r="BM183" s="817">
        <f>BM184-SUM(BM170:BM182)</f>
        <v>30</v>
      </c>
      <c r="BN183" s="819">
        <f>BN184-SUM(BN170:BN182)</f>
        <v>25</v>
      </c>
      <c r="BO183" s="753">
        <f t="shared" si="355"/>
        <v>-16.7</v>
      </c>
      <c r="BP183" s="817">
        <f>BP184-SUM(BP170:BP182)</f>
        <v>0</v>
      </c>
      <c r="BQ183" s="819">
        <f>BQ184-SUM(BQ170:BQ182)</f>
        <v>17</v>
      </c>
      <c r="BR183" s="800">
        <v>0</v>
      </c>
      <c r="BS183" s="817">
        <f>BS184-SUM(BS170:BS182)</f>
        <v>30</v>
      </c>
      <c r="BT183" s="819">
        <f>BT184-SUM(BT170:BT182)</f>
        <v>42</v>
      </c>
      <c r="BU183" s="753">
        <f t="shared" si="356"/>
        <v>40</v>
      </c>
    </row>
    <row r="184" spans="1:73">
      <c r="A184" s="9"/>
      <c r="B184" s="67" t="s">
        <v>108</v>
      </c>
      <c r="C184" s="46">
        <v>4978</v>
      </c>
      <c r="D184" s="46">
        <v>5139</v>
      </c>
      <c r="E184" s="46">
        <v>5059</v>
      </c>
      <c r="F184" s="46">
        <v>6718</v>
      </c>
      <c r="G184" s="46">
        <v>7575</v>
      </c>
      <c r="H184" s="46">
        <v>9539</v>
      </c>
      <c r="I184" s="46">
        <v>11388</v>
      </c>
      <c r="J184" s="46">
        <v>12132</v>
      </c>
      <c r="K184" s="281">
        <v>1442</v>
      </c>
      <c r="L184" s="295">
        <v>1308</v>
      </c>
      <c r="M184" s="243">
        <f t="shared" si="390"/>
        <v>-9.3000000000000007</v>
      </c>
      <c r="N184" s="281">
        <f>Q184-K184</f>
        <v>552</v>
      </c>
      <c r="O184" s="295">
        <f>R184-L184</f>
        <v>647</v>
      </c>
      <c r="P184" s="243">
        <f>ROUND(((O184/N184-1)*100), 1)</f>
        <v>17.2</v>
      </c>
      <c r="Q184" s="281">
        <v>1994</v>
      </c>
      <c r="R184" s="295">
        <v>1955</v>
      </c>
      <c r="S184" s="243">
        <f>ROUND(((R184/Q184-1)*100), 1)</f>
        <v>-2</v>
      </c>
      <c r="T184" s="281">
        <f>W184-Q184</f>
        <v>796</v>
      </c>
      <c r="U184" s="295">
        <f>X184-R184</f>
        <v>914</v>
      </c>
      <c r="V184" s="243">
        <f>ROUND(((U184/T184-1)*100), 1)</f>
        <v>14.8</v>
      </c>
      <c r="W184" s="281">
        <v>2790</v>
      </c>
      <c r="X184" s="295">
        <v>2869</v>
      </c>
      <c r="Y184" s="243">
        <f>ROUND(((X184/W184-1)*100), 1)</f>
        <v>2.8</v>
      </c>
      <c r="Z184" s="281">
        <f>AC184-W184</f>
        <v>983</v>
      </c>
      <c r="AA184" s="295">
        <f>AD184-X184</f>
        <v>1153</v>
      </c>
      <c r="AB184" s="243">
        <f>ROUND(((AA184/Z184-1)*100), 1)</f>
        <v>17.3</v>
      </c>
      <c r="AC184" s="281">
        <v>3773</v>
      </c>
      <c r="AD184" s="295">
        <v>4022</v>
      </c>
      <c r="AE184" s="243">
        <f>ROUND(((AD184/AC184-1)*100), 1)</f>
        <v>6.6</v>
      </c>
      <c r="AF184" s="281">
        <f>AI184-AC184</f>
        <v>1076</v>
      </c>
      <c r="AG184" s="295">
        <f>AJ184-AD184</f>
        <v>1209</v>
      </c>
      <c r="AH184" s="243">
        <f>ROUND(((AG184/AF184-1)*100), 1)</f>
        <v>12.4</v>
      </c>
      <c r="AI184" s="281">
        <v>4849</v>
      </c>
      <c r="AJ184" s="295">
        <v>5231</v>
      </c>
      <c r="AK184" s="243">
        <f>ROUND(((AJ184/AI184-1)*100), 1)</f>
        <v>7.9</v>
      </c>
      <c r="AL184" s="760">
        <f>AO184-AI184</f>
        <v>862</v>
      </c>
      <c r="AM184" s="763">
        <f>AP184-AJ184</f>
        <v>1216</v>
      </c>
      <c r="AN184" s="754">
        <f>ROUND(((AM184/AL184-1)*100), 1)</f>
        <v>41.1</v>
      </c>
      <c r="AO184" s="760">
        <v>5711</v>
      </c>
      <c r="AP184" s="808">
        <v>6447</v>
      </c>
      <c r="AQ184" s="754">
        <f>ROUND(((AP184/AO184-1)*100), 1)</f>
        <v>12.9</v>
      </c>
      <c r="AR184" s="760">
        <f>AU184-AO184</f>
        <v>1135</v>
      </c>
      <c r="AS184" s="808">
        <f>AV184-AP184</f>
        <v>1380</v>
      </c>
      <c r="AT184" s="754">
        <f>ROUND(((AS184/AR184-1)*100), 1)</f>
        <v>21.6</v>
      </c>
      <c r="AU184" s="986">
        <v>6846</v>
      </c>
      <c r="AV184" s="972">
        <v>7827</v>
      </c>
      <c r="AW184" s="754">
        <f t="shared" si="391"/>
        <v>14.3</v>
      </c>
      <c r="AX184" s="760">
        <f>BA184-AU184</f>
        <v>1141</v>
      </c>
      <c r="AY184" s="808">
        <f>BB184-AV184</f>
        <v>1235</v>
      </c>
      <c r="AZ184" s="754">
        <f>ROUND(((AY184/AX184-1)*100), 1)</f>
        <v>8.1999999999999993</v>
      </c>
      <c r="BA184" s="760">
        <v>7987</v>
      </c>
      <c r="BB184" s="808">
        <v>9062</v>
      </c>
      <c r="BC184" s="754">
        <f t="shared" si="392"/>
        <v>13.5</v>
      </c>
      <c r="BD184" s="760">
        <f>BG184-BA184</f>
        <v>832</v>
      </c>
      <c r="BE184" s="808">
        <f>BH184-BB184</f>
        <v>1330</v>
      </c>
      <c r="BF184" s="754">
        <f>ROUND(((BE184/BD184-1)*100), 1)</f>
        <v>59.9</v>
      </c>
      <c r="BG184" s="760">
        <v>8819</v>
      </c>
      <c r="BH184" s="808">
        <v>10392</v>
      </c>
      <c r="BI184" s="754">
        <f t="shared" si="374"/>
        <v>17.8</v>
      </c>
      <c r="BJ184" s="760">
        <f>BM184-BG184</f>
        <v>1058</v>
      </c>
      <c r="BK184" s="808">
        <f>BN184-BH184</f>
        <v>1101</v>
      </c>
      <c r="BL184" s="754">
        <f>ROUND(((BK184/BJ184-1)*100), 1)</f>
        <v>4.0999999999999996</v>
      </c>
      <c r="BM184" s="760">
        <v>9877</v>
      </c>
      <c r="BN184" s="808">
        <v>11493</v>
      </c>
      <c r="BO184" s="754">
        <f t="shared" si="355"/>
        <v>16.399999999999999</v>
      </c>
      <c r="BP184" s="760">
        <f>BS184-BM184</f>
        <v>1025</v>
      </c>
      <c r="BQ184" s="808">
        <f>BT184-BN184</f>
        <v>1274</v>
      </c>
      <c r="BR184" s="754">
        <f>ROUND(((BQ184/BP184-1)*100), 1)</f>
        <v>24.3</v>
      </c>
      <c r="BS184" s="760">
        <v>10902</v>
      </c>
      <c r="BT184" s="808">
        <v>12767</v>
      </c>
      <c r="BU184" s="754">
        <f t="shared" si="356"/>
        <v>17.100000000000001</v>
      </c>
    </row>
    <row r="185" spans="1:73">
      <c r="A185" s="112" t="s">
        <v>118</v>
      </c>
      <c r="M185" s="275"/>
      <c r="P185" s="275"/>
      <c r="S185" s="275"/>
      <c r="V185" s="275"/>
      <c r="Y185" s="275"/>
      <c r="AB185" s="275"/>
      <c r="AE185" s="275"/>
      <c r="AH185" s="275"/>
      <c r="AK185" s="275"/>
      <c r="AN185" s="758"/>
      <c r="AQ185" s="758"/>
      <c r="AT185" s="758"/>
      <c r="AW185" s="758"/>
      <c r="AZ185" s="758"/>
      <c r="BC185" s="758"/>
      <c r="BF185" s="758"/>
      <c r="BI185" s="758"/>
      <c r="BL185" s="758"/>
      <c r="BO185" s="758"/>
      <c r="BR185" s="758"/>
      <c r="BU185" s="758"/>
    </row>
    <row r="186" spans="1:73">
      <c r="K186" s="307"/>
      <c r="N186" s="307"/>
      <c r="Q186" s="307"/>
      <c r="T186" s="307"/>
      <c r="W186" s="307"/>
      <c r="Z186" s="307"/>
      <c r="AC186" s="307"/>
      <c r="AF186" s="307"/>
      <c r="AI186" s="307"/>
      <c r="AL186" s="764"/>
      <c r="AO186" s="837"/>
      <c r="AR186" s="837"/>
      <c r="AU186" s="959"/>
      <c r="AX186" s="837"/>
      <c r="BA186" s="837"/>
      <c r="BD186" s="837"/>
      <c r="BG186" s="837"/>
      <c r="BJ186" s="837"/>
      <c r="BM186" s="837"/>
      <c r="BP186" s="837"/>
      <c r="BS186" s="837"/>
    </row>
    <row r="187" spans="1:73">
      <c r="K187" s="307"/>
      <c r="N187" s="307"/>
      <c r="Q187" s="307"/>
      <c r="T187" s="307"/>
      <c r="W187" s="307"/>
      <c r="Z187" s="307"/>
      <c r="AC187" s="307"/>
      <c r="AF187" s="307"/>
      <c r="AI187" s="307"/>
      <c r="AL187" s="764"/>
      <c r="AO187" s="837"/>
      <c r="AR187" s="837"/>
      <c r="AU187" s="959"/>
      <c r="AX187" s="837"/>
      <c r="BA187" s="837"/>
      <c r="BD187" s="837"/>
      <c r="BG187" s="837"/>
      <c r="BJ187" s="837"/>
      <c r="BM187" s="837"/>
      <c r="BP187" s="837"/>
      <c r="BS187" s="837"/>
    </row>
    <row r="188" spans="1:73">
      <c r="K188" s="307"/>
      <c r="N188" s="307"/>
      <c r="Q188" s="307"/>
      <c r="T188" s="307"/>
      <c r="W188" s="307"/>
      <c r="Z188" s="307"/>
      <c r="AC188" s="307"/>
      <c r="AF188" s="307"/>
      <c r="AI188" s="307"/>
      <c r="AL188" s="764"/>
      <c r="AO188" s="837"/>
      <c r="AR188" s="837"/>
      <c r="AU188" s="959"/>
      <c r="AX188" s="837"/>
      <c r="BA188" s="837"/>
      <c r="BD188" s="837"/>
      <c r="BG188" s="837"/>
      <c r="BJ188" s="837"/>
      <c r="BM188" s="837"/>
      <c r="BP188" s="837"/>
      <c r="BS188" s="837"/>
    </row>
    <row r="189" spans="1:73">
      <c r="K189" s="307"/>
      <c r="N189" s="307"/>
      <c r="Q189" s="307"/>
      <c r="T189" s="307"/>
      <c r="W189" s="307"/>
      <c r="Z189" s="307"/>
      <c r="AC189" s="307"/>
      <c r="AF189" s="307"/>
      <c r="AI189" s="307"/>
      <c r="AL189" s="764"/>
      <c r="AO189" s="837"/>
      <c r="AR189" s="837"/>
      <c r="AU189" s="959"/>
      <c r="AX189" s="837"/>
      <c r="BA189" s="837"/>
      <c r="BD189" s="837"/>
      <c r="BG189" s="837"/>
      <c r="BJ189" s="837"/>
      <c r="BM189" s="837"/>
      <c r="BP189" s="837"/>
      <c r="BS189" s="837"/>
    </row>
    <row r="190" spans="1:73">
      <c r="K190" s="307"/>
      <c r="N190" s="307"/>
      <c r="Q190" s="307"/>
      <c r="T190" s="307"/>
      <c r="W190" s="307"/>
      <c r="Z190" s="307"/>
      <c r="AC190" s="307"/>
      <c r="AF190" s="307"/>
      <c r="AI190" s="307"/>
      <c r="AL190" s="764"/>
      <c r="AO190" s="837"/>
      <c r="AR190" s="837"/>
      <c r="AU190" s="959"/>
      <c r="AX190" s="837"/>
      <c r="BA190" s="837"/>
      <c r="BD190" s="837"/>
      <c r="BG190" s="837"/>
      <c r="BJ190" s="837"/>
      <c r="BM190" s="837"/>
      <c r="BP190" s="837"/>
      <c r="BS190" s="837"/>
    </row>
    <row r="191" spans="1:73">
      <c r="K191" s="307"/>
      <c r="N191" s="307"/>
      <c r="Q191" s="307"/>
      <c r="T191" s="307"/>
      <c r="W191" s="307"/>
      <c r="Z191" s="307"/>
      <c r="AC191" s="307"/>
      <c r="AF191" s="307"/>
      <c r="AI191" s="307"/>
      <c r="AL191" s="764"/>
      <c r="AO191" s="837"/>
      <c r="AR191" s="837"/>
      <c r="AU191" s="959"/>
      <c r="AX191" s="837"/>
      <c r="BA191" s="837"/>
      <c r="BD191" s="837"/>
      <c r="BG191" s="837"/>
      <c r="BJ191" s="837"/>
      <c r="BM191" s="837"/>
      <c r="BP191" s="837"/>
      <c r="BS191" s="837"/>
    </row>
    <row r="192" spans="1:73">
      <c r="K192" s="307"/>
      <c r="N192" s="307"/>
      <c r="Q192" s="307"/>
      <c r="T192" s="307"/>
      <c r="W192" s="307"/>
      <c r="Z192" s="307"/>
      <c r="AC192" s="307"/>
      <c r="AF192" s="307"/>
      <c r="AI192" s="307"/>
      <c r="AL192" s="764"/>
      <c r="AO192" s="837"/>
      <c r="AR192" s="837"/>
      <c r="AU192" s="959"/>
      <c r="AX192" s="837"/>
      <c r="BA192" s="837"/>
      <c r="BD192" s="837"/>
      <c r="BG192" s="837"/>
      <c r="BJ192" s="837"/>
      <c r="BM192" s="837"/>
      <c r="BP192" s="837"/>
      <c r="BS192" s="837"/>
    </row>
  </sheetData>
  <sortState ref="B176:M188">
    <sortCondition descending="1" ref="J176:J188"/>
  </sortState>
  <mergeCells count="120">
    <mergeCell ref="BP3:BR3"/>
    <mergeCell ref="BS3:BU3"/>
    <mergeCell ref="BP52:BR52"/>
    <mergeCell ref="BS52:BU52"/>
    <mergeCell ref="BP96:BR96"/>
    <mergeCell ref="BS96:BU96"/>
    <mergeCell ref="BP145:BR145"/>
    <mergeCell ref="BS145:BU145"/>
    <mergeCell ref="BJ3:BL3"/>
    <mergeCell ref="BM3:BO3"/>
    <mergeCell ref="BJ52:BL52"/>
    <mergeCell ref="BM52:BO52"/>
    <mergeCell ref="BJ96:BL96"/>
    <mergeCell ref="BM96:BO96"/>
    <mergeCell ref="BJ145:BL145"/>
    <mergeCell ref="BM145:BO145"/>
    <mergeCell ref="AC96:AE96"/>
    <mergeCell ref="BD145:BF145"/>
    <mergeCell ref="BG145:BI145"/>
    <mergeCell ref="BD3:BF3"/>
    <mergeCell ref="BG3:BI3"/>
    <mergeCell ref="BD52:BF52"/>
    <mergeCell ref="BG52:BI52"/>
    <mergeCell ref="BD96:BF96"/>
    <mergeCell ref="BG96:BI96"/>
    <mergeCell ref="AX145:AZ145"/>
    <mergeCell ref="BA145:BC145"/>
    <mergeCell ref="AX3:AZ3"/>
    <mergeCell ref="BA3:BC3"/>
    <mergeCell ref="AX52:AZ52"/>
    <mergeCell ref="BA52:BC52"/>
    <mergeCell ref="AX96:AZ96"/>
    <mergeCell ref="BA96:BC96"/>
    <mergeCell ref="N3:P3"/>
    <mergeCell ref="N52:P52"/>
    <mergeCell ref="N96:P96"/>
    <mergeCell ref="N145:P145"/>
    <mergeCell ref="Q3:S3"/>
    <mergeCell ref="Q52:S52"/>
    <mergeCell ref="Q96:S96"/>
    <mergeCell ref="Q145:S145"/>
    <mergeCell ref="T145:V145"/>
    <mergeCell ref="W145:Y145"/>
    <mergeCell ref="T3:V3"/>
    <mergeCell ref="W3:Y3"/>
    <mergeCell ref="T52:V52"/>
    <mergeCell ref="W52:Y52"/>
    <mergeCell ref="T96:V96"/>
    <mergeCell ref="W96:Y96"/>
    <mergeCell ref="AL145:AN145"/>
    <mergeCell ref="AF145:AH145"/>
    <mergeCell ref="AI145:AK145"/>
    <mergeCell ref="AF3:AH3"/>
    <mergeCell ref="AI3:AK3"/>
    <mergeCell ref="AF52:AH52"/>
    <mergeCell ref="AI52:AK52"/>
    <mergeCell ref="H52:H53"/>
    <mergeCell ref="H3:H4"/>
    <mergeCell ref="K3:M3"/>
    <mergeCell ref="K52:M52"/>
    <mergeCell ref="H96:H97"/>
    <mergeCell ref="K96:M96"/>
    <mergeCell ref="I96:I97"/>
    <mergeCell ref="J3:J4"/>
    <mergeCell ref="J52:J53"/>
    <mergeCell ref="J96:J97"/>
    <mergeCell ref="I3:I4"/>
    <mergeCell ref="I52:I53"/>
    <mergeCell ref="A96:B97"/>
    <mergeCell ref="G52:G53"/>
    <mergeCell ref="A3:B4"/>
    <mergeCell ref="C3:C4"/>
    <mergeCell ref="D3:D4"/>
    <mergeCell ref="E3:E4"/>
    <mergeCell ref="F3:F4"/>
    <mergeCell ref="G3:G4"/>
    <mergeCell ref="A52:B53"/>
    <mergeCell ref="C52:C53"/>
    <mergeCell ref="D52:D53"/>
    <mergeCell ref="E52:E53"/>
    <mergeCell ref="F52:F53"/>
    <mergeCell ref="C96:C97"/>
    <mergeCell ref="D96:D97"/>
    <mergeCell ref="E96:E97"/>
    <mergeCell ref="F96:F97"/>
    <mergeCell ref="G96:G97"/>
    <mergeCell ref="G145:G146"/>
    <mergeCell ref="H145:H146"/>
    <mergeCell ref="K145:M145"/>
    <mergeCell ref="I145:I146"/>
    <mergeCell ref="J145:J146"/>
    <mergeCell ref="A145:B146"/>
    <mergeCell ref="C145:C146"/>
    <mergeCell ref="D145:D146"/>
    <mergeCell ref="E145:E146"/>
    <mergeCell ref="F145:F146"/>
    <mergeCell ref="AF96:AH96"/>
    <mergeCell ref="AI96:AK96"/>
    <mergeCell ref="Z145:AB145"/>
    <mergeCell ref="AC145:AE145"/>
    <mergeCell ref="Z3:AB3"/>
    <mergeCell ref="AC3:AE3"/>
    <mergeCell ref="Z52:AB52"/>
    <mergeCell ref="AC52:AE52"/>
    <mergeCell ref="Z96:AB96"/>
    <mergeCell ref="AO145:AQ145"/>
    <mergeCell ref="AL3:AN3"/>
    <mergeCell ref="AO3:AQ3"/>
    <mergeCell ref="AL52:AN52"/>
    <mergeCell ref="AO52:AQ52"/>
    <mergeCell ref="AL96:AN96"/>
    <mergeCell ref="AO96:AQ96"/>
    <mergeCell ref="AR145:AT145"/>
    <mergeCell ref="AU145:AW145"/>
    <mergeCell ref="AR3:AT3"/>
    <mergeCell ref="AU3:AW3"/>
    <mergeCell ref="AR52:AT52"/>
    <mergeCell ref="AU52:AW52"/>
    <mergeCell ref="AR96:AT96"/>
    <mergeCell ref="AU96:AW96"/>
  </mergeCells>
  <phoneticPr fontId="2" type="noConversion"/>
  <printOptions horizontalCentered="1"/>
  <pageMargins left="0.19685039370078741" right="0.19685039370078741" top="0.74803149606299213" bottom="0.44" header="0.31496062992125984" footer="0.31496062992125984"/>
  <pageSetup paperSize="9" scale="90" orientation="portrait" r:id="rId1"/>
  <rowBreaks count="3" manualBreakCount="3">
    <brk id="49" max="16383" man="1"/>
    <brk id="93" max="16383" man="1"/>
    <brk id="142" max="16383" man="1"/>
  </rowBreaks>
  <ignoredErrors>
    <ignoredError sqref="J94 J50 J1 J143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5"/>
  <sheetViews>
    <sheetView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6.5"/>
  <cols>
    <col min="1" max="1" width="6" customWidth="1"/>
    <col min="2" max="2" width="18.875" customWidth="1"/>
    <col min="3" max="7" width="11" style="291" hidden="1" customWidth="1"/>
    <col min="8" max="9" width="11" style="222" hidden="1" customWidth="1"/>
    <col min="10" max="10" width="11" style="320" customWidth="1"/>
    <col min="11" max="12" width="11" style="320" hidden="1" customWidth="1"/>
    <col min="13" max="13" width="9" hidden="1" customWidth="1"/>
    <col min="14" max="15" width="11" style="320" hidden="1" customWidth="1"/>
    <col min="16" max="16" width="9" style="291" hidden="1" customWidth="1"/>
    <col min="17" max="18" width="11" style="320" hidden="1" customWidth="1"/>
    <col min="19" max="19" width="9" style="291" hidden="1" customWidth="1"/>
    <col min="20" max="21" width="11" style="320" hidden="1" customWidth="1"/>
    <col min="22" max="22" width="9" style="291" hidden="1" customWidth="1"/>
    <col min="23" max="24" width="11" style="320" hidden="1" customWidth="1"/>
    <col min="25" max="25" width="9" style="291" hidden="1" customWidth="1"/>
    <col min="26" max="27" width="11" style="320" hidden="1" customWidth="1"/>
    <col min="28" max="28" width="9" style="291" hidden="1" customWidth="1"/>
    <col min="29" max="30" width="11" style="320" hidden="1" customWidth="1"/>
    <col min="31" max="31" width="9" style="291" hidden="1" customWidth="1"/>
    <col min="32" max="33" width="11" style="320" hidden="1" customWidth="1"/>
    <col min="34" max="34" width="9" style="291" hidden="1" customWidth="1"/>
    <col min="35" max="36" width="11" style="320" hidden="1" customWidth="1"/>
    <col min="37" max="37" width="9" style="291" hidden="1" customWidth="1"/>
    <col min="38" max="39" width="11" style="783" hidden="1" customWidth="1"/>
    <col min="40" max="40" width="9" style="780" hidden="1" customWidth="1"/>
    <col min="41" max="42" width="11" style="833" hidden="1" customWidth="1"/>
    <col min="43" max="43" width="9" style="780" hidden="1" customWidth="1"/>
    <col min="44" max="45" width="11" style="833" hidden="1" customWidth="1"/>
    <col min="46" max="46" width="9" style="846" hidden="1" customWidth="1"/>
    <col min="47" max="48" width="11" style="960" hidden="1" customWidth="1"/>
    <col min="49" max="49" width="9" style="846" hidden="1" customWidth="1"/>
    <col min="50" max="51" width="11" style="833" hidden="1" customWidth="1"/>
    <col min="52" max="52" width="9" style="846" hidden="1" customWidth="1"/>
    <col min="53" max="54" width="11" style="833" hidden="1" customWidth="1"/>
    <col min="55" max="55" width="9" style="846" hidden="1" customWidth="1"/>
    <col min="56" max="57" width="11" style="833" hidden="1" customWidth="1"/>
    <col min="58" max="58" width="9" style="846" hidden="1" customWidth="1"/>
    <col min="59" max="60" width="11" style="833" hidden="1" customWidth="1"/>
    <col min="61" max="61" width="9" style="846" hidden="1" customWidth="1"/>
    <col min="62" max="63" width="11" style="833" hidden="1" customWidth="1"/>
    <col min="64" max="64" width="9" style="846" hidden="1" customWidth="1"/>
    <col min="65" max="66" width="11" style="833" hidden="1" customWidth="1"/>
    <col min="67" max="67" width="9" style="846" hidden="1" customWidth="1"/>
    <col min="68" max="69" width="11" style="833" customWidth="1"/>
    <col min="70" max="70" width="9" style="846" customWidth="1"/>
    <col min="71" max="72" width="11" style="833" customWidth="1"/>
    <col min="73" max="73" width="9" style="846" customWidth="1"/>
  </cols>
  <sheetData>
    <row r="1" spans="1:73">
      <c r="A1" s="220" t="s">
        <v>312</v>
      </c>
      <c r="J1" s="357" t="s">
        <v>332</v>
      </c>
      <c r="K1" s="221"/>
      <c r="M1" s="284"/>
      <c r="N1" s="221"/>
      <c r="Q1" s="221"/>
      <c r="T1" s="221"/>
      <c r="W1" s="221"/>
      <c r="Z1" s="221"/>
      <c r="AC1" s="221"/>
      <c r="AF1" s="221"/>
      <c r="AI1" s="221"/>
      <c r="AL1" s="782"/>
      <c r="AO1" s="801"/>
      <c r="AR1" s="801"/>
      <c r="AU1" s="1025"/>
      <c r="AX1" s="801"/>
      <c r="BA1" s="801"/>
      <c r="BD1" s="801"/>
      <c r="BG1" s="801"/>
      <c r="BJ1" s="801"/>
      <c r="BM1" s="801"/>
      <c r="BP1" s="801"/>
      <c r="BS1" s="801"/>
    </row>
    <row r="2" spans="1:73">
      <c r="M2" s="285" t="s">
        <v>94</v>
      </c>
      <c r="P2" s="302"/>
      <c r="S2" s="302" t="s">
        <v>94</v>
      </c>
      <c r="V2" s="302"/>
      <c r="Y2" s="302" t="s">
        <v>94</v>
      </c>
      <c r="AB2" s="302"/>
      <c r="AE2" s="302" t="s">
        <v>94</v>
      </c>
      <c r="AH2" s="302"/>
      <c r="AK2" s="302" t="s">
        <v>94</v>
      </c>
      <c r="AN2" s="784"/>
      <c r="AQ2" s="784" t="s">
        <v>94</v>
      </c>
      <c r="AT2" s="803"/>
      <c r="AW2" s="803" t="s">
        <v>94</v>
      </c>
      <c r="AZ2" s="803"/>
      <c r="BC2" s="803" t="s">
        <v>94</v>
      </c>
      <c r="BF2" s="803"/>
      <c r="BI2" s="803" t="s">
        <v>94</v>
      </c>
      <c r="BL2" s="803"/>
      <c r="BO2" s="803" t="s">
        <v>94</v>
      </c>
      <c r="BR2" s="803"/>
      <c r="BU2" s="803" t="s">
        <v>94</v>
      </c>
    </row>
    <row r="3" spans="1:73">
      <c r="A3" s="1082" t="s">
        <v>95</v>
      </c>
      <c r="B3" s="1082"/>
      <c r="C3" s="1149" t="s">
        <v>3</v>
      </c>
      <c r="D3" s="1149" t="s">
        <v>4</v>
      </c>
      <c r="E3" s="1149" t="s">
        <v>5</v>
      </c>
      <c r="F3" s="1149" t="s">
        <v>6</v>
      </c>
      <c r="G3" s="1149" t="s">
        <v>333</v>
      </c>
      <c r="H3" s="1147" t="s">
        <v>8</v>
      </c>
      <c r="I3" s="1149" t="s">
        <v>83</v>
      </c>
      <c r="J3" s="1172" t="s">
        <v>315</v>
      </c>
      <c r="K3" s="1152" t="s">
        <v>40</v>
      </c>
      <c r="L3" s="1082"/>
      <c r="M3" s="1181"/>
      <c r="N3" s="1155" t="s">
        <v>505</v>
      </c>
      <c r="O3" s="1156"/>
      <c r="P3" s="1157"/>
      <c r="Q3" s="1155" t="s">
        <v>506</v>
      </c>
      <c r="R3" s="1156"/>
      <c r="S3" s="1157"/>
      <c r="T3" s="1155" t="s">
        <v>513</v>
      </c>
      <c r="U3" s="1156"/>
      <c r="V3" s="1157"/>
      <c r="W3" s="1155" t="s">
        <v>514</v>
      </c>
      <c r="X3" s="1156"/>
      <c r="Y3" s="1157"/>
      <c r="Z3" s="1155" t="s">
        <v>531</v>
      </c>
      <c r="AA3" s="1156"/>
      <c r="AB3" s="1157"/>
      <c r="AC3" s="1155" t="s">
        <v>533</v>
      </c>
      <c r="AD3" s="1156"/>
      <c r="AE3" s="1157"/>
      <c r="AF3" s="1155" t="s">
        <v>579</v>
      </c>
      <c r="AG3" s="1156"/>
      <c r="AH3" s="1157"/>
      <c r="AI3" s="1155" t="s">
        <v>580</v>
      </c>
      <c r="AJ3" s="1156"/>
      <c r="AK3" s="1157"/>
      <c r="AL3" s="1155" t="s">
        <v>583</v>
      </c>
      <c r="AM3" s="1156"/>
      <c r="AN3" s="1157"/>
      <c r="AO3" s="1155" t="s">
        <v>584</v>
      </c>
      <c r="AP3" s="1156"/>
      <c r="AQ3" s="1157"/>
      <c r="AR3" s="1155" t="s">
        <v>605</v>
      </c>
      <c r="AS3" s="1156"/>
      <c r="AT3" s="1157"/>
      <c r="AU3" s="1155" t="s">
        <v>607</v>
      </c>
      <c r="AV3" s="1156"/>
      <c r="AW3" s="1157"/>
      <c r="AX3" s="1155" t="s">
        <v>626</v>
      </c>
      <c r="AY3" s="1156"/>
      <c r="AZ3" s="1157"/>
      <c r="BA3" s="1155" t="s">
        <v>628</v>
      </c>
      <c r="BB3" s="1156"/>
      <c r="BC3" s="1157"/>
      <c r="BD3" s="1155" t="s">
        <v>648</v>
      </c>
      <c r="BE3" s="1156"/>
      <c r="BF3" s="1157"/>
      <c r="BG3" s="1155" t="s">
        <v>649</v>
      </c>
      <c r="BH3" s="1156"/>
      <c r="BI3" s="1157"/>
      <c r="BJ3" s="1155" t="s">
        <v>674</v>
      </c>
      <c r="BK3" s="1156"/>
      <c r="BL3" s="1157"/>
      <c r="BM3" s="1155" t="s">
        <v>675</v>
      </c>
      <c r="BN3" s="1156"/>
      <c r="BO3" s="1157"/>
      <c r="BP3" s="1155" t="s">
        <v>707</v>
      </c>
      <c r="BQ3" s="1156"/>
      <c r="BR3" s="1157"/>
      <c r="BS3" s="1155" t="s">
        <v>756</v>
      </c>
      <c r="BT3" s="1156"/>
      <c r="BU3" s="1157"/>
    </row>
    <row r="4" spans="1:73">
      <c r="A4" s="1082"/>
      <c r="B4" s="1082"/>
      <c r="C4" s="1182"/>
      <c r="D4" s="1182"/>
      <c r="E4" s="1182"/>
      <c r="F4" s="1182"/>
      <c r="G4" s="1182"/>
      <c r="H4" s="1183"/>
      <c r="I4" s="1182"/>
      <c r="J4" s="1173"/>
      <c r="K4" s="418" t="s">
        <v>445</v>
      </c>
      <c r="L4" s="427" t="s">
        <v>446</v>
      </c>
      <c r="M4" s="289" t="s">
        <v>10</v>
      </c>
      <c r="N4" s="418" t="s">
        <v>445</v>
      </c>
      <c r="O4" s="427" t="s">
        <v>446</v>
      </c>
      <c r="P4" s="306" t="s">
        <v>10</v>
      </c>
      <c r="Q4" s="418" t="s">
        <v>445</v>
      </c>
      <c r="R4" s="427" t="s">
        <v>446</v>
      </c>
      <c r="S4" s="306" t="s">
        <v>10</v>
      </c>
      <c r="T4" s="418" t="s">
        <v>445</v>
      </c>
      <c r="U4" s="427" t="s">
        <v>446</v>
      </c>
      <c r="V4" s="306" t="s">
        <v>10</v>
      </c>
      <c r="W4" s="418" t="s">
        <v>445</v>
      </c>
      <c r="X4" s="427" t="s">
        <v>446</v>
      </c>
      <c r="Y4" s="306" t="s">
        <v>10</v>
      </c>
      <c r="Z4" s="418" t="s">
        <v>445</v>
      </c>
      <c r="AA4" s="427" t="s">
        <v>446</v>
      </c>
      <c r="AB4" s="306" t="s">
        <v>10</v>
      </c>
      <c r="AC4" s="418" t="s">
        <v>445</v>
      </c>
      <c r="AD4" s="427" t="s">
        <v>446</v>
      </c>
      <c r="AE4" s="306" t="s">
        <v>10</v>
      </c>
      <c r="AF4" s="418" t="s">
        <v>581</v>
      </c>
      <c r="AG4" s="427" t="s">
        <v>582</v>
      </c>
      <c r="AH4" s="306" t="s">
        <v>10</v>
      </c>
      <c r="AI4" s="418" t="s">
        <v>581</v>
      </c>
      <c r="AJ4" s="427" t="s">
        <v>582</v>
      </c>
      <c r="AK4" s="306" t="s">
        <v>10</v>
      </c>
      <c r="AL4" s="796" t="s">
        <v>445</v>
      </c>
      <c r="AM4" s="797" t="s">
        <v>446</v>
      </c>
      <c r="AN4" s="788" t="s">
        <v>10</v>
      </c>
      <c r="AO4" s="815" t="s">
        <v>445</v>
      </c>
      <c r="AP4" s="816" t="s">
        <v>446</v>
      </c>
      <c r="AQ4" s="788" t="s">
        <v>10</v>
      </c>
      <c r="AR4" s="815" t="s">
        <v>624</v>
      </c>
      <c r="AS4" s="816" t="s">
        <v>625</v>
      </c>
      <c r="AT4" s="807" t="s">
        <v>10</v>
      </c>
      <c r="AU4" s="996" t="s">
        <v>624</v>
      </c>
      <c r="AV4" s="1009" t="s">
        <v>625</v>
      </c>
      <c r="AW4" s="807" t="s">
        <v>10</v>
      </c>
      <c r="AX4" s="815" t="s">
        <v>445</v>
      </c>
      <c r="AY4" s="816" t="s">
        <v>446</v>
      </c>
      <c r="AZ4" s="807" t="s">
        <v>10</v>
      </c>
      <c r="BA4" s="815" t="s">
        <v>646</v>
      </c>
      <c r="BB4" s="816" t="s">
        <v>647</v>
      </c>
      <c r="BC4" s="807" t="s">
        <v>10</v>
      </c>
      <c r="BD4" s="815" t="s">
        <v>670</v>
      </c>
      <c r="BE4" s="816" t="s">
        <v>673</v>
      </c>
      <c r="BF4" s="807" t="s">
        <v>10</v>
      </c>
      <c r="BG4" s="815" t="s">
        <v>670</v>
      </c>
      <c r="BH4" s="816" t="s">
        <v>673</v>
      </c>
      <c r="BI4" s="807" t="s">
        <v>10</v>
      </c>
      <c r="BJ4" s="815" t="s">
        <v>698</v>
      </c>
      <c r="BK4" s="816" t="s">
        <v>699</v>
      </c>
      <c r="BL4" s="807" t="s">
        <v>10</v>
      </c>
      <c r="BM4" s="815" t="s">
        <v>698</v>
      </c>
      <c r="BN4" s="816" t="s">
        <v>699</v>
      </c>
      <c r="BO4" s="807" t="s">
        <v>10</v>
      </c>
      <c r="BP4" s="815" t="s">
        <v>751</v>
      </c>
      <c r="BQ4" s="816" t="s">
        <v>757</v>
      </c>
      <c r="BR4" s="807" t="s">
        <v>10</v>
      </c>
      <c r="BS4" s="815" t="s">
        <v>748</v>
      </c>
      <c r="BT4" s="816" t="s">
        <v>757</v>
      </c>
      <c r="BU4" s="807" t="s">
        <v>10</v>
      </c>
    </row>
    <row r="5" spans="1:73">
      <c r="A5" s="213"/>
      <c r="B5" s="85" t="s">
        <v>52</v>
      </c>
      <c r="C5" s="358">
        <v>717</v>
      </c>
      <c r="D5" s="358">
        <v>1008</v>
      </c>
      <c r="E5" s="358">
        <v>425</v>
      </c>
      <c r="F5" s="358">
        <v>0</v>
      </c>
      <c r="G5" s="358">
        <v>1558</v>
      </c>
      <c r="H5" s="282">
        <v>788</v>
      </c>
      <c r="I5" s="66">
        <v>1443</v>
      </c>
      <c r="J5" s="66">
        <v>1529</v>
      </c>
      <c r="K5" s="384">
        <v>196</v>
      </c>
      <c r="L5" s="389">
        <v>60</v>
      </c>
      <c r="M5" s="286">
        <f>ROUND(((L5/K5-1)*100), 1)</f>
        <v>-69.400000000000006</v>
      </c>
      <c r="N5" s="384">
        <f t="shared" ref="N5:O16" si="0">Q5-K5</f>
        <v>138</v>
      </c>
      <c r="O5" s="389">
        <f t="shared" si="0"/>
        <v>180</v>
      </c>
      <c r="P5" s="303">
        <f>ROUND(((O5/N5-1)*100), 1)</f>
        <v>30.4</v>
      </c>
      <c r="Q5" s="384">
        <v>334</v>
      </c>
      <c r="R5" s="389">
        <v>240</v>
      </c>
      <c r="S5" s="303">
        <f>ROUND(((R5/Q5-1)*100), 1)</f>
        <v>-28.1</v>
      </c>
      <c r="T5" s="384">
        <f t="shared" ref="T5:T16" si="1">W5-Q5</f>
        <v>178</v>
      </c>
      <c r="U5" s="389">
        <f t="shared" ref="U5:U16" si="2">X5-R5</f>
        <v>0</v>
      </c>
      <c r="V5" s="303">
        <f>ROUND(((U5/T5-1)*100), 1)</f>
        <v>-100</v>
      </c>
      <c r="W5" s="384">
        <v>512</v>
      </c>
      <c r="X5" s="389">
        <v>240</v>
      </c>
      <c r="Y5" s="303">
        <f>ROUND(((X5/W5-1)*100), 1)</f>
        <v>-53.1</v>
      </c>
      <c r="Z5" s="528">
        <f t="shared" ref="Z5:Z16" si="3">AC5-W5</f>
        <v>80</v>
      </c>
      <c r="AA5" s="389">
        <f t="shared" ref="AA5:AA16" si="4">AD5-X5</f>
        <v>0</v>
      </c>
      <c r="AB5" s="303">
        <f>ROUND(((AA5/Z5-1)*100), 1)</f>
        <v>-100</v>
      </c>
      <c r="AC5" s="528">
        <v>592</v>
      </c>
      <c r="AD5" s="389">
        <v>240</v>
      </c>
      <c r="AE5" s="303">
        <f>ROUND(((AD5/AC5-1)*100), 1)</f>
        <v>-59.5</v>
      </c>
      <c r="AF5" s="528">
        <f t="shared" ref="AF5:AG16" si="5">AI5-AC5</f>
        <v>220</v>
      </c>
      <c r="AG5" s="389">
        <f t="shared" si="5"/>
        <v>0</v>
      </c>
      <c r="AH5" s="303">
        <f>ROUND(((AG5/AF5-1)*100), 1)</f>
        <v>-100</v>
      </c>
      <c r="AI5" s="528">
        <v>812</v>
      </c>
      <c r="AJ5" s="389">
        <v>240</v>
      </c>
      <c r="AK5" s="303">
        <f>ROUND(((AJ5/AI5-1)*100), 1)</f>
        <v>-70.400000000000006</v>
      </c>
      <c r="AL5" s="792">
        <f t="shared" ref="AL5:AL16" si="6">AO5-AI5</f>
        <v>159</v>
      </c>
      <c r="AM5" s="793">
        <f t="shared" ref="AM5:AM16" si="7">AP5-AJ5</f>
        <v>82</v>
      </c>
      <c r="AN5" s="785">
        <f>ROUND(((AM5/AL5-1)*100), 1)</f>
        <v>-48.4</v>
      </c>
      <c r="AO5" s="818">
        <v>971</v>
      </c>
      <c r="AP5" s="812">
        <v>322</v>
      </c>
      <c r="AQ5" s="785">
        <f>ROUND(((AP5/AO5-1)*100), 1)</f>
        <v>-66.8</v>
      </c>
      <c r="AR5" s="818">
        <f t="shared" ref="AR5:AS16" si="8">AU5-AO5</f>
        <v>20</v>
      </c>
      <c r="AS5" s="812">
        <f t="shared" si="8"/>
        <v>220</v>
      </c>
      <c r="AT5" s="804">
        <f>ROUND(((AS5/AR5-1)*100), 1)</f>
        <v>1000</v>
      </c>
      <c r="AU5" s="973">
        <v>991</v>
      </c>
      <c r="AV5" s="974">
        <v>542</v>
      </c>
      <c r="AW5" s="804">
        <f>ROUND(((AV5/AU5-1)*100), 1)</f>
        <v>-45.3</v>
      </c>
      <c r="AX5" s="818">
        <f t="shared" ref="AX5:AX16" si="9">BA5-AU5</f>
        <v>80</v>
      </c>
      <c r="AY5" s="812">
        <f t="shared" ref="AY5:AY16" si="10">BB5-AV5</f>
        <v>92</v>
      </c>
      <c r="AZ5" s="804">
        <f>ROUND(((AY5/AX5-1)*100), 1)</f>
        <v>15</v>
      </c>
      <c r="BA5" s="818">
        <v>1071</v>
      </c>
      <c r="BB5" s="812">
        <v>634</v>
      </c>
      <c r="BC5" s="804">
        <f>ROUND(((BB5/BA5-1)*100), 1)</f>
        <v>-40.799999999999997</v>
      </c>
      <c r="BD5" s="818">
        <f t="shared" ref="BD5:BE16" si="11">BG5-BA5</f>
        <v>102</v>
      </c>
      <c r="BE5" s="812">
        <f t="shared" si="11"/>
        <v>40</v>
      </c>
      <c r="BF5" s="804">
        <f>ROUND(((BE5/BD5-1)*100), 1)</f>
        <v>-60.8</v>
      </c>
      <c r="BG5" s="818">
        <v>1173</v>
      </c>
      <c r="BH5" s="812">
        <v>674</v>
      </c>
      <c r="BI5" s="804">
        <f>ROUND(((BH5/BG5-1)*100), 1)</f>
        <v>-42.5</v>
      </c>
      <c r="BJ5" s="818">
        <f t="shared" ref="BJ5:BK16" si="12">BM5-BG5</f>
        <v>123</v>
      </c>
      <c r="BK5" s="812">
        <f t="shared" si="12"/>
        <v>119</v>
      </c>
      <c r="BL5" s="804">
        <f>ROUND(((BK5/BJ5-1)*100), 1)</f>
        <v>-3.3</v>
      </c>
      <c r="BM5" s="818">
        <v>1296</v>
      </c>
      <c r="BN5" s="812">
        <v>793</v>
      </c>
      <c r="BO5" s="804">
        <f>ROUND(((BN5/BM5-1)*100), 1)</f>
        <v>-38.799999999999997</v>
      </c>
      <c r="BP5" s="818">
        <f t="shared" ref="BP5:BQ16" si="13">BS5-BM5</f>
        <v>105</v>
      </c>
      <c r="BQ5" s="812">
        <f t="shared" si="13"/>
        <v>80</v>
      </c>
      <c r="BR5" s="804">
        <f t="shared" ref="BR5:BR10" si="14">ROUND(((BQ5/BP5-1)*100), 1)</f>
        <v>-23.8</v>
      </c>
      <c r="BS5" s="818">
        <v>1401</v>
      </c>
      <c r="BT5" s="812">
        <v>873</v>
      </c>
      <c r="BU5" s="804">
        <f t="shared" ref="BU5:BU11" si="15">ROUND(((BT5/BS5-1)*100), 1)</f>
        <v>-37.700000000000003</v>
      </c>
    </row>
    <row r="6" spans="1:73">
      <c r="A6" s="215" t="s">
        <v>121</v>
      </c>
      <c r="B6" s="43" t="s">
        <v>50</v>
      </c>
      <c r="C6" s="359">
        <v>20</v>
      </c>
      <c r="D6" s="359">
        <v>21</v>
      </c>
      <c r="E6" s="359">
        <v>23</v>
      </c>
      <c r="F6" s="359">
        <v>697</v>
      </c>
      <c r="G6" s="359">
        <v>1283</v>
      </c>
      <c r="H6" s="283">
        <v>2658</v>
      </c>
      <c r="I6" s="44">
        <v>267</v>
      </c>
      <c r="J6" s="44">
        <v>270</v>
      </c>
      <c r="K6" s="383">
        <v>6</v>
      </c>
      <c r="L6" s="390">
        <v>5</v>
      </c>
      <c r="M6" s="304">
        <f>ROUND(((L6/K6-1)*100), 1)</f>
        <v>-16.7</v>
      </c>
      <c r="N6" s="383">
        <f t="shared" si="0"/>
        <v>0</v>
      </c>
      <c r="O6" s="390">
        <f t="shared" si="0"/>
        <v>6</v>
      </c>
      <c r="P6" s="526">
        <v>0</v>
      </c>
      <c r="Q6" s="383">
        <v>6</v>
      </c>
      <c r="R6" s="390">
        <v>11</v>
      </c>
      <c r="S6" s="304">
        <f>ROUND(((R6/Q6-1)*100), 1)</f>
        <v>83.3</v>
      </c>
      <c r="T6" s="383">
        <f t="shared" si="1"/>
        <v>5</v>
      </c>
      <c r="U6" s="390">
        <f t="shared" si="2"/>
        <v>3</v>
      </c>
      <c r="V6" s="304">
        <f>ROUND(((U6/T6-1)*100), 1)</f>
        <v>-40</v>
      </c>
      <c r="W6" s="383">
        <v>11</v>
      </c>
      <c r="X6" s="390">
        <v>14</v>
      </c>
      <c r="Y6" s="304">
        <f>ROUND(((X6/W6-1)*100), 1)</f>
        <v>27.3</v>
      </c>
      <c r="Z6" s="527">
        <f t="shared" si="3"/>
        <v>4</v>
      </c>
      <c r="AA6" s="390">
        <f t="shared" si="4"/>
        <v>1</v>
      </c>
      <c r="AB6" s="304">
        <f>ROUND(((AA6/Z6-1)*100), 1)</f>
        <v>-75</v>
      </c>
      <c r="AC6" s="527">
        <v>15</v>
      </c>
      <c r="AD6" s="390">
        <v>15</v>
      </c>
      <c r="AE6" s="304">
        <f>ROUND(((AD6/AC6-1)*100), 1)</f>
        <v>0</v>
      </c>
      <c r="AF6" s="527">
        <f t="shared" si="5"/>
        <v>2</v>
      </c>
      <c r="AG6" s="390">
        <f t="shared" si="5"/>
        <v>3</v>
      </c>
      <c r="AH6" s="304">
        <f>ROUND(((AG6/AF6-1)*100), 1)</f>
        <v>50</v>
      </c>
      <c r="AI6" s="527">
        <v>17</v>
      </c>
      <c r="AJ6" s="390">
        <v>18</v>
      </c>
      <c r="AK6" s="304">
        <f>ROUND(((AJ6/AI6-1)*100), 1)</f>
        <v>5.9</v>
      </c>
      <c r="AL6" s="791">
        <f t="shared" si="6"/>
        <v>5</v>
      </c>
      <c r="AM6" s="794">
        <f t="shared" si="7"/>
        <v>4</v>
      </c>
      <c r="AN6" s="786">
        <f>ROUND(((AM6/AL6-1)*100), 1)</f>
        <v>-20</v>
      </c>
      <c r="AO6" s="817">
        <v>22</v>
      </c>
      <c r="AP6" s="819">
        <v>22</v>
      </c>
      <c r="AQ6" s="786">
        <f>ROUND(((AP6/AO6-1)*100), 1)</f>
        <v>0</v>
      </c>
      <c r="AR6" s="817">
        <f t="shared" si="8"/>
        <v>4</v>
      </c>
      <c r="AS6" s="819">
        <f t="shared" si="8"/>
        <v>22</v>
      </c>
      <c r="AT6" s="805">
        <f>ROUND(((AS6/AR6-1)*100), 1)</f>
        <v>450</v>
      </c>
      <c r="AU6" s="969">
        <v>26</v>
      </c>
      <c r="AV6" s="970">
        <v>44</v>
      </c>
      <c r="AW6" s="805">
        <f>ROUND(((AV6/AU6-1)*100), 1)</f>
        <v>69.2</v>
      </c>
      <c r="AX6" s="817">
        <f t="shared" si="9"/>
        <v>134</v>
      </c>
      <c r="AY6" s="819">
        <f t="shared" si="10"/>
        <v>1</v>
      </c>
      <c r="AZ6" s="805">
        <f>ROUND(((AY6/AX6-1)*100), 1)</f>
        <v>-99.3</v>
      </c>
      <c r="BA6" s="817">
        <v>160</v>
      </c>
      <c r="BB6" s="819">
        <v>45</v>
      </c>
      <c r="BC6" s="805">
        <f>ROUND(((BB6/BA6-1)*100), 1)</f>
        <v>-71.900000000000006</v>
      </c>
      <c r="BD6" s="817">
        <f t="shared" si="11"/>
        <v>104</v>
      </c>
      <c r="BE6" s="819">
        <f t="shared" si="11"/>
        <v>0</v>
      </c>
      <c r="BF6" s="805">
        <f>ROUND(((BE6/BD6-1)*100), 1)</f>
        <v>-100</v>
      </c>
      <c r="BG6" s="817">
        <v>264</v>
      </c>
      <c r="BH6" s="819">
        <v>45</v>
      </c>
      <c r="BI6" s="805">
        <f>ROUND(((BH6/BG6-1)*100), 1)</f>
        <v>-83</v>
      </c>
      <c r="BJ6" s="817">
        <f t="shared" si="12"/>
        <v>2</v>
      </c>
      <c r="BK6" s="819">
        <f t="shared" si="12"/>
        <v>1</v>
      </c>
      <c r="BL6" s="805">
        <f>ROUND(((BK6/BJ6-1)*100), 1)</f>
        <v>-50</v>
      </c>
      <c r="BM6" s="817">
        <v>266</v>
      </c>
      <c r="BN6" s="819">
        <v>46</v>
      </c>
      <c r="BO6" s="805">
        <f>ROUND(((BN6/BM6-1)*100), 1)</f>
        <v>-82.7</v>
      </c>
      <c r="BP6" s="817">
        <f t="shared" si="13"/>
        <v>1</v>
      </c>
      <c r="BQ6" s="819">
        <f t="shared" si="13"/>
        <v>0</v>
      </c>
      <c r="BR6" s="805">
        <f t="shared" si="14"/>
        <v>-100</v>
      </c>
      <c r="BS6" s="817">
        <v>267</v>
      </c>
      <c r="BT6" s="819">
        <v>46</v>
      </c>
      <c r="BU6" s="805">
        <f t="shared" si="15"/>
        <v>-82.8</v>
      </c>
    </row>
    <row r="7" spans="1:73">
      <c r="A7" s="215"/>
      <c r="B7" s="43" t="s">
        <v>51</v>
      </c>
      <c r="C7" s="359">
        <v>1</v>
      </c>
      <c r="D7" s="359">
        <v>5</v>
      </c>
      <c r="E7" s="359">
        <v>18</v>
      </c>
      <c r="F7" s="359">
        <v>0</v>
      </c>
      <c r="G7" s="359">
        <v>10</v>
      </c>
      <c r="H7" s="283">
        <v>9</v>
      </c>
      <c r="I7" s="44">
        <v>26</v>
      </c>
      <c r="J7" s="44">
        <v>49</v>
      </c>
      <c r="K7" s="383">
        <v>2</v>
      </c>
      <c r="L7" s="390">
        <v>9</v>
      </c>
      <c r="M7" s="304">
        <f>ROUND(((L7/K7-1)*100), 1)</f>
        <v>350</v>
      </c>
      <c r="N7" s="383">
        <f t="shared" si="0"/>
        <v>0</v>
      </c>
      <c r="O7" s="390">
        <f t="shared" si="0"/>
        <v>9</v>
      </c>
      <c r="P7" s="526">
        <v>0</v>
      </c>
      <c r="Q7" s="383">
        <v>2</v>
      </c>
      <c r="R7" s="390">
        <v>18</v>
      </c>
      <c r="S7" s="304">
        <f>ROUND(((R7/Q7-1)*100), 1)</f>
        <v>800</v>
      </c>
      <c r="T7" s="383">
        <f t="shared" si="1"/>
        <v>5</v>
      </c>
      <c r="U7" s="390">
        <f t="shared" si="2"/>
        <v>3</v>
      </c>
      <c r="V7" s="304">
        <f>ROUND(((U7/T7-1)*100), 1)</f>
        <v>-40</v>
      </c>
      <c r="W7" s="383">
        <v>7</v>
      </c>
      <c r="X7" s="390">
        <v>21</v>
      </c>
      <c r="Y7" s="304">
        <f>ROUND(((X7/W7-1)*100), 1)</f>
        <v>200</v>
      </c>
      <c r="Z7" s="527">
        <f t="shared" si="3"/>
        <v>12</v>
      </c>
      <c r="AA7" s="390">
        <f t="shared" si="4"/>
        <v>1</v>
      </c>
      <c r="AB7" s="304">
        <f>ROUND(((AA7/Z7-1)*100), 1)</f>
        <v>-91.7</v>
      </c>
      <c r="AC7" s="527">
        <v>19</v>
      </c>
      <c r="AD7" s="390">
        <v>22</v>
      </c>
      <c r="AE7" s="304">
        <f>ROUND(((AD7/AC7-1)*100), 1)</f>
        <v>15.8</v>
      </c>
      <c r="AF7" s="527">
        <f t="shared" si="5"/>
        <v>2</v>
      </c>
      <c r="AG7" s="390">
        <f t="shared" si="5"/>
        <v>2</v>
      </c>
      <c r="AH7" s="304">
        <f>ROUND(((AG7/AF7-1)*100), 1)</f>
        <v>0</v>
      </c>
      <c r="AI7" s="527">
        <v>21</v>
      </c>
      <c r="AJ7" s="390">
        <v>24</v>
      </c>
      <c r="AK7" s="304">
        <f>ROUND(((AJ7/AI7-1)*100), 1)</f>
        <v>14.3</v>
      </c>
      <c r="AL7" s="791">
        <f t="shared" si="6"/>
        <v>1</v>
      </c>
      <c r="AM7" s="794">
        <f t="shared" si="7"/>
        <v>5</v>
      </c>
      <c r="AN7" s="786">
        <f>ROUND(((AM7/AL7-1)*100), 1)</f>
        <v>400</v>
      </c>
      <c r="AO7" s="817">
        <v>22</v>
      </c>
      <c r="AP7" s="819">
        <v>29</v>
      </c>
      <c r="AQ7" s="786">
        <f>ROUND(((AP7/AO7-1)*100), 1)</f>
        <v>31.8</v>
      </c>
      <c r="AR7" s="817">
        <f t="shared" si="8"/>
        <v>6</v>
      </c>
      <c r="AS7" s="819">
        <f t="shared" si="8"/>
        <v>21</v>
      </c>
      <c r="AT7" s="805">
        <f>ROUND(((AS7/AR7-1)*100), 1)</f>
        <v>250</v>
      </c>
      <c r="AU7" s="969">
        <v>28</v>
      </c>
      <c r="AV7" s="970">
        <v>50</v>
      </c>
      <c r="AW7" s="805">
        <f>ROUND(((AV7/AU7-1)*100), 1)</f>
        <v>78.599999999999994</v>
      </c>
      <c r="AX7" s="817">
        <f t="shared" si="9"/>
        <v>1</v>
      </c>
      <c r="AY7" s="819">
        <f t="shared" si="10"/>
        <v>1</v>
      </c>
      <c r="AZ7" s="805">
        <f>ROUND(((AY7/AX7-1)*100), 1)</f>
        <v>0</v>
      </c>
      <c r="BA7" s="817">
        <v>29</v>
      </c>
      <c r="BB7" s="819">
        <v>51</v>
      </c>
      <c r="BC7" s="805">
        <f>ROUND(((BB7/BA7-1)*100), 1)</f>
        <v>75.900000000000006</v>
      </c>
      <c r="BD7" s="817">
        <f t="shared" si="11"/>
        <v>0</v>
      </c>
      <c r="BE7" s="819">
        <f t="shared" si="11"/>
        <v>4</v>
      </c>
      <c r="BF7" s="809">
        <v>0</v>
      </c>
      <c r="BG7" s="817">
        <v>29</v>
      </c>
      <c r="BH7" s="819">
        <v>55</v>
      </c>
      <c r="BI7" s="805">
        <f>ROUND(((BH7/BG7-1)*100), 1)</f>
        <v>89.7</v>
      </c>
      <c r="BJ7" s="817">
        <f t="shared" si="12"/>
        <v>6</v>
      </c>
      <c r="BK7" s="819">
        <f t="shared" si="12"/>
        <v>9</v>
      </c>
      <c r="BL7" s="753">
        <f t="shared" ref="BL7" si="16">ROUND(((BK7/BJ7-1)*100), 1)</f>
        <v>50</v>
      </c>
      <c r="BM7" s="817">
        <v>35</v>
      </c>
      <c r="BN7" s="819">
        <v>64</v>
      </c>
      <c r="BO7" s="805">
        <f>ROUND(((BN7/BM7-1)*100), 1)</f>
        <v>82.9</v>
      </c>
      <c r="BP7" s="817">
        <f t="shared" si="13"/>
        <v>7</v>
      </c>
      <c r="BQ7" s="819">
        <f t="shared" si="13"/>
        <v>5</v>
      </c>
      <c r="BR7" s="753">
        <f t="shared" si="14"/>
        <v>-28.6</v>
      </c>
      <c r="BS7" s="817">
        <v>42</v>
      </c>
      <c r="BT7" s="819">
        <v>69</v>
      </c>
      <c r="BU7" s="805">
        <f t="shared" si="15"/>
        <v>64.3</v>
      </c>
    </row>
    <row r="8" spans="1:73">
      <c r="A8" s="215"/>
      <c r="B8" s="43" t="s">
        <v>59</v>
      </c>
      <c r="C8" s="359">
        <v>11</v>
      </c>
      <c r="D8" s="359">
        <v>5</v>
      </c>
      <c r="E8" s="359">
        <v>5</v>
      </c>
      <c r="F8" s="359">
        <v>0</v>
      </c>
      <c r="G8" s="359">
        <v>55</v>
      </c>
      <c r="H8" s="283">
        <v>72</v>
      </c>
      <c r="I8" s="44">
        <v>95</v>
      </c>
      <c r="J8" s="44">
        <v>48</v>
      </c>
      <c r="K8" s="383">
        <v>5</v>
      </c>
      <c r="L8" s="390">
        <v>2</v>
      </c>
      <c r="M8" s="304">
        <f>ROUND(((L8/K8-1)*100), 1)</f>
        <v>-60</v>
      </c>
      <c r="N8" s="383">
        <f t="shared" si="0"/>
        <v>1</v>
      </c>
      <c r="O8" s="390">
        <f t="shared" si="0"/>
        <v>4</v>
      </c>
      <c r="P8" s="304">
        <f>ROUND(((O8/N8-1)*100), 1)</f>
        <v>300</v>
      </c>
      <c r="Q8" s="383">
        <v>6</v>
      </c>
      <c r="R8" s="390">
        <v>6</v>
      </c>
      <c r="S8" s="304">
        <f>ROUND(((R8/Q8-1)*100), 1)</f>
        <v>0</v>
      </c>
      <c r="T8" s="383">
        <f t="shared" si="1"/>
        <v>14</v>
      </c>
      <c r="U8" s="390">
        <f t="shared" si="2"/>
        <v>3</v>
      </c>
      <c r="V8" s="304">
        <f>ROUND(((U8/T8-1)*100), 1)</f>
        <v>-78.599999999999994</v>
      </c>
      <c r="W8" s="383">
        <v>20</v>
      </c>
      <c r="X8" s="390">
        <v>9</v>
      </c>
      <c r="Y8" s="304">
        <f>ROUND(((X8/W8-1)*100), 1)</f>
        <v>-55</v>
      </c>
      <c r="Z8" s="527">
        <f t="shared" si="3"/>
        <v>2</v>
      </c>
      <c r="AA8" s="390">
        <f t="shared" si="4"/>
        <v>0</v>
      </c>
      <c r="AB8" s="304">
        <f>ROUND(((AA8/Z8-1)*100), 1)</f>
        <v>-100</v>
      </c>
      <c r="AC8" s="527">
        <v>22</v>
      </c>
      <c r="AD8" s="390">
        <v>9</v>
      </c>
      <c r="AE8" s="304">
        <f>ROUND(((AD8/AC8-1)*100), 1)</f>
        <v>-59.1</v>
      </c>
      <c r="AF8" s="527">
        <f t="shared" si="5"/>
        <v>0</v>
      </c>
      <c r="AG8" s="390">
        <f t="shared" si="5"/>
        <v>0</v>
      </c>
      <c r="AH8" s="526">
        <v>0</v>
      </c>
      <c r="AI8" s="527">
        <v>22</v>
      </c>
      <c r="AJ8" s="390">
        <v>9</v>
      </c>
      <c r="AK8" s="304">
        <f>ROUND(((AJ8/AI8-1)*100), 1)</f>
        <v>-59.1</v>
      </c>
      <c r="AL8" s="791">
        <f t="shared" si="6"/>
        <v>4</v>
      </c>
      <c r="AM8" s="794">
        <f t="shared" si="7"/>
        <v>0</v>
      </c>
      <c r="AN8" s="805">
        <f>ROUND(((AM8/AL8-1)*100), 1)</f>
        <v>-100</v>
      </c>
      <c r="AO8" s="817">
        <v>26</v>
      </c>
      <c r="AP8" s="819">
        <v>9</v>
      </c>
      <c r="AQ8" s="786">
        <f>ROUND(((AP8/AO8-1)*100), 1)</f>
        <v>-65.400000000000006</v>
      </c>
      <c r="AR8" s="817">
        <f t="shared" si="8"/>
        <v>4</v>
      </c>
      <c r="AS8" s="819">
        <f t="shared" si="8"/>
        <v>8</v>
      </c>
      <c r="AT8" s="805">
        <f>ROUND(((AS8/AR8-1)*100), 1)</f>
        <v>100</v>
      </c>
      <c r="AU8" s="969">
        <v>30</v>
      </c>
      <c r="AV8" s="970">
        <v>17</v>
      </c>
      <c r="AW8" s="805">
        <f>ROUND(((AV8/AU8-1)*100), 1)</f>
        <v>-43.3</v>
      </c>
      <c r="AX8" s="817">
        <f t="shared" si="9"/>
        <v>5</v>
      </c>
      <c r="AY8" s="819">
        <f t="shared" si="10"/>
        <v>7</v>
      </c>
      <c r="AZ8" s="805">
        <f>ROUND(((AY8/AX8-1)*100), 1)</f>
        <v>40</v>
      </c>
      <c r="BA8" s="817">
        <v>35</v>
      </c>
      <c r="BB8" s="819">
        <v>24</v>
      </c>
      <c r="BC8" s="805">
        <f>ROUND(((BB8/BA8-1)*100), 1)</f>
        <v>-31.4</v>
      </c>
      <c r="BD8" s="817">
        <f t="shared" si="11"/>
        <v>4</v>
      </c>
      <c r="BE8" s="819">
        <f t="shared" si="11"/>
        <v>7</v>
      </c>
      <c r="BF8" s="805">
        <f>ROUND(((BE8/BD8-1)*100), 1)</f>
        <v>75</v>
      </c>
      <c r="BG8" s="817">
        <v>39</v>
      </c>
      <c r="BH8" s="819">
        <v>31</v>
      </c>
      <c r="BI8" s="805">
        <f>ROUND(((BH8/BG8-1)*100), 1)</f>
        <v>-20.5</v>
      </c>
      <c r="BJ8" s="817">
        <f t="shared" si="12"/>
        <v>4</v>
      </c>
      <c r="BK8" s="819">
        <f t="shared" si="12"/>
        <v>9</v>
      </c>
      <c r="BL8" s="805">
        <f>ROUND(((BK8/BJ8-1)*100), 1)</f>
        <v>125</v>
      </c>
      <c r="BM8" s="817">
        <v>43</v>
      </c>
      <c r="BN8" s="819">
        <v>40</v>
      </c>
      <c r="BO8" s="805">
        <f>ROUND(((BN8/BM8-1)*100), 1)</f>
        <v>-7</v>
      </c>
      <c r="BP8" s="817">
        <f t="shared" si="13"/>
        <v>2</v>
      </c>
      <c r="BQ8" s="819">
        <f t="shared" si="13"/>
        <v>0</v>
      </c>
      <c r="BR8" s="805">
        <f t="shared" si="14"/>
        <v>-100</v>
      </c>
      <c r="BS8" s="817">
        <v>45</v>
      </c>
      <c r="BT8" s="819">
        <v>40</v>
      </c>
      <c r="BU8" s="805">
        <f t="shared" si="15"/>
        <v>-11.1</v>
      </c>
    </row>
    <row r="9" spans="1:73">
      <c r="A9" s="215"/>
      <c r="B9" s="43" t="s">
        <v>58</v>
      </c>
      <c r="C9" s="359">
        <v>86</v>
      </c>
      <c r="D9" s="359">
        <v>54</v>
      </c>
      <c r="E9" s="359">
        <v>8</v>
      </c>
      <c r="F9" s="359">
        <v>0</v>
      </c>
      <c r="G9" s="359">
        <v>25</v>
      </c>
      <c r="H9" s="283">
        <v>4</v>
      </c>
      <c r="I9" s="44">
        <v>16</v>
      </c>
      <c r="J9" s="44">
        <v>37</v>
      </c>
      <c r="K9" s="383">
        <v>0</v>
      </c>
      <c r="L9" s="390">
        <v>4</v>
      </c>
      <c r="M9" s="362">
        <v>0</v>
      </c>
      <c r="N9" s="383">
        <f t="shared" si="0"/>
        <v>3</v>
      </c>
      <c r="O9" s="390">
        <f t="shared" si="0"/>
        <v>7</v>
      </c>
      <c r="P9" s="304">
        <f>ROUND(((O9/N9-1)*100), 1)</f>
        <v>133.30000000000001</v>
      </c>
      <c r="Q9" s="383">
        <v>3</v>
      </c>
      <c r="R9" s="390">
        <v>11</v>
      </c>
      <c r="S9" s="304">
        <f>ROUND(((R9/Q9-1)*100), 1)</f>
        <v>266.7</v>
      </c>
      <c r="T9" s="383">
        <f t="shared" si="1"/>
        <v>4</v>
      </c>
      <c r="U9" s="390">
        <f t="shared" si="2"/>
        <v>8</v>
      </c>
      <c r="V9" s="304">
        <f>ROUND(((U9/T9-1)*100), 1)</f>
        <v>100</v>
      </c>
      <c r="W9" s="383">
        <v>7</v>
      </c>
      <c r="X9" s="390">
        <v>19</v>
      </c>
      <c r="Y9" s="304">
        <f>ROUND(((X9/W9-1)*100), 1)</f>
        <v>171.4</v>
      </c>
      <c r="Z9" s="527">
        <f t="shared" si="3"/>
        <v>5</v>
      </c>
      <c r="AA9" s="390">
        <f t="shared" si="4"/>
        <v>5</v>
      </c>
      <c r="AB9" s="304">
        <f>ROUND(((AA9/Z9-1)*100), 1)</f>
        <v>0</v>
      </c>
      <c r="AC9" s="527">
        <v>12</v>
      </c>
      <c r="AD9" s="390">
        <v>24</v>
      </c>
      <c r="AE9" s="304">
        <f>ROUND(((AD9/AC9-1)*100), 1)</f>
        <v>100</v>
      </c>
      <c r="AF9" s="527">
        <f t="shared" si="5"/>
        <v>1</v>
      </c>
      <c r="AG9" s="390">
        <f t="shared" si="5"/>
        <v>0</v>
      </c>
      <c r="AH9" s="304">
        <f>ROUND(((AG9/AF9-1)*100), 1)</f>
        <v>-100</v>
      </c>
      <c r="AI9" s="527">
        <v>13</v>
      </c>
      <c r="AJ9" s="390">
        <v>24</v>
      </c>
      <c r="AK9" s="304">
        <f>ROUND(((AJ9/AI9-1)*100), 1)</f>
        <v>84.6</v>
      </c>
      <c r="AL9" s="791">
        <f t="shared" si="6"/>
        <v>8</v>
      </c>
      <c r="AM9" s="794">
        <f t="shared" si="7"/>
        <v>1</v>
      </c>
      <c r="AN9" s="786">
        <f>ROUND(((AM9/AL9-1)*100), 1)</f>
        <v>-87.5</v>
      </c>
      <c r="AO9" s="817">
        <v>21</v>
      </c>
      <c r="AP9" s="819">
        <v>25</v>
      </c>
      <c r="AQ9" s="786">
        <f>ROUND(((AP9/AO9-1)*100), 1)</f>
        <v>19</v>
      </c>
      <c r="AR9" s="817">
        <f t="shared" si="8"/>
        <v>1</v>
      </c>
      <c r="AS9" s="819">
        <f t="shared" si="8"/>
        <v>3</v>
      </c>
      <c r="AT9" s="805">
        <f>ROUND(((AS9/AR9-1)*100), 1)</f>
        <v>200</v>
      </c>
      <c r="AU9" s="969">
        <v>22</v>
      </c>
      <c r="AV9" s="970">
        <v>28</v>
      </c>
      <c r="AW9" s="805">
        <f>ROUND(((AV9/AU9-1)*100), 1)</f>
        <v>27.3</v>
      </c>
      <c r="AX9" s="817">
        <f t="shared" si="9"/>
        <v>1</v>
      </c>
      <c r="AY9" s="819">
        <f t="shared" si="10"/>
        <v>1</v>
      </c>
      <c r="AZ9" s="805">
        <f>ROUND(((AY9/AX9-1)*100), 1)</f>
        <v>0</v>
      </c>
      <c r="BA9" s="817">
        <v>23</v>
      </c>
      <c r="BB9" s="819">
        <v>29</v>
      </c>
      <c r="BC9" s="805">
        <f>ROUND(((BB9/BA9-1)*100), 1)</f>
        <v>26.1</v>
      </c>
      <c r="BD9" s="817">
        <f t="shared" si="11"/>
        <v>1</v>
      </c>
      <c r="BE9" s="819">
        <f t="shared" si="11"/>
        <v>3</v>
      </c>
      <c r="BF9" s="805">
        <f>ROUND(((BE9/BD9-1)*100), 1)</f>
        <v>200</v>
      </c>
      <c r="BG9" s="817">
        <v>24</v>
      </c>
      <c r="BH9" s="819">
        <v>32</v>
      </c>
      <c r="BI9" s="805">
        <f>ROUND(((BH9/BG9-1)*100), 1)</f>
        <v>33.299999999999997</v>
      </c>
      <c r="BJ9" s="817">
        <f t="shared" si="12"/>
        <v>5</v>
      </c>
      <c r="BK9" s="819">
        <f t="shared" si="12"/>
        <v>2</v>
      </c>
      <c r="BL9" s="805">
        <f>ROUND(((BK9/BJ9-1)*100), 1)</f>
        <v>-60</v>
      </c>
      <c r="BM9" s="817">
        <v>29</v>
      </c>
      <c r="BN9" s="819">
        <v>34</v>
      </c>
      <c r="BO9" s="805">
        <f>ROUND(((BN9/BM9-1)*100), 1)</f>
        <v>17.2</v>
      </c>
      <c r="BP9" s="817">
        <f t="shared" si="13"/>
        <v>2</v>
      </c>
      <c r="BQ9" s="819">
        <f t="shared" si="13"/>
        <v>0</v>
      </c>
      <c r="BR9" s="805">
        <f t="shared" si="14"/>
        <v>-100</v>
      </c>
      <c r="BS9" s="817">
        <v>31</v>
      </c>
      <c r="BT9" s="819">
        <v>34</v>
      </c>
      <c r="BU9" s="805">
        <f t="shared" si="15"/>
        <v>9.6999999999999993</v>
      </c>
    </row>
    <row r="10" spans="1:73">
      <c r="A10" s="215"/>
      <c r="B10" s="43" t="s">
        <v>54</v>
      </c>
      <c r="C10" s="359">
        <v>54</v>
      </c>
      <c r="D10" s="359">
        <v>90</v>
      </c>
      <c r="E10" s="359">
        <v>46</v>
      </c>
      <c r="F10" s="359">
        <v>497</v>
      </c>
      <c r="G10" s="359">
        <v>18</v>
      </c>
      <c r="H10" s="283">
        <v>28</v>
      </c>
      <c r="I10" s="44">
        <v>14</v>
      </c>
      <c r="J10" s="44">
        <v>11</v>
      </c>
      <c r="K10" s="383">
        <v>0</v>
      </c>
      <c r="L10" s="390">
        <v>0</v>
      </c>
      <c r="M10" s="362">
        <v>0</v>
      </c>
      <c r="N10" s="383">
        <f t="shared" si="0"/>
        <v>0</v>
      </c>
      <c r="O10" s="390">
        <f t="shared" si="0"/>
        <v>0</v>
      </c>
      <c r="P10" s="362">
        <v>0</v>
      </c>
      <c r="Q10" s="383">
        <v>0</v>
      </c>
      <c r="R10" s="390">
        <v>0</v>
      </c>
      <c r="S10" s="362">
        <v>0</v>
      </c>
      <c r="T10" s="383">
        <f t="shared" si="1"/>
        <v>0</v>
      </c>
      <c r="U10" s="390">
        <f t="shared" si="2"/>
        <v>0</v>
      </c>
      <c r="V10" s="362">
        <v>0</v>
      </c>
      <c r="W10" s="383">
        <v>0</v>
      </c>
      <c r="X10" s="390">
        <v>0</v>
      </c>
      <c r="Y10" s="362">
        <v>0</v>
      </c>
      <c r="Z10" s="527">
        <f t="shared" si="3"/>
        <v>0</v>
      </c>
      <c r="AA10" s="390">
        <f t="shared" si="4"/>
        <v>7</v>
      </c>
      <c r="AB10" s="526">
        <v>0</v>
      </c>
      <c r="AC10" s="527">
        <v>0</v>
      </c>
      <c r="AD10" s="390">
        <v>7</v>
      </c>
      <c r="AE10" s="526">
        <v>0</v>
      </c>
      <c r="AF10" s="527">
        <f t="shared" si="5"/>
        <v>0</v>
      </c>
      <c r="AG10" s="390">
        <f t="shared" si="5"/>
        <v>20</v>
      </c>
      <c r="AH10" s="526">
        <v>0</v>
      </c>
      <c r="AI10" s="527">
        <v>0</v>
      </c>
      <c r="AJ10" s="390">
        <v>27</v>
      </c>
      <c r="AK10" s="526">
        <v>0</v>
      </c>
      <c r="AL10" s="791">
        <f t="shared" si="6"/>
        <v>0</v>
      </c>
      <c r="AM10" s="794">
        <f t="shared" si="7"/>
        <v>25</v>
      </c>
      <c r="AN10" s="790">
        <v>0</v>
      </c>
      <c r="AO10" s="817">
        <v>0</v>
      </c>
      <c r="AP10" s="819">
        <v>52</v>
      </c>
      <c r="AQ10" s="790">
        <v>0</v>
      </c>
      <c r="AR10" s="817">
        <f t="shared" si="8"/>
        <v>0</v>
      </c>
      <c r="AS10" s="819">
        <f t="shared" si="8"/>
        <v>40</v>
      </c>
      <c r="AT10" s="809">
        <v>0</v>
      </c>
      <c r="AU10" s="969">
        <v>0</v>
      </c>
      <c r="AV10" s="970">
        <v>92</v>
      </c>
      <c r="AW10" s="809">
        <v>0</v>
      </c>
      <c r="AX10" s="817">
        <f t="shared" si="9"/>
        <v>0</v>
      </c>
      <c r="AY10" s="819">
        <f t="shared" si="10"/>
        <v>30</v>
      </c>
      <c r="AZ10" s="809">
        <v>0</v>
      </c>
      <c r="BA10" s="817">
        <v>0</v>
      </c>
      <c r="BB10" s="819">
        <v>122</v>
      </c>
      <c r="BC10" s="809">
        <v>0</v>
      </c>
      <c r="BD10" s="817">
        <f t="shared" si="11"/>
        <v>0</v>
      </c>
      <c r="BE10" s="819">
        <f t="shared" si="11"/>
        <v>30</v>
      </c>
      <c r="BF10" s="809">
        <v>0</v>
      </c>
      <c r="BG10" s="817">
        <v>0</v>
      </c>
      <c r="BH10" s="819">
        <v>152</v>
      </c>
      <c r="BI10" s="809">
        <v>0</v>
      </c>
      <c r="BJ10" s="817">
        <f t="shared" si="12"/>
        <v>1</v>
      </c>
      <c r="BK10" s="819">
        <f t="shared" si="12"/>
        <v>40</v>
      </c>
      <c r="BL10" s="753">
        <f t="shared" ref="BL10" si="17">ROUND(((BK10/BJ10-1)*100), 1)</f>
        <v>3900</v>
      </c>
      <c r="BM10" s="817">
        <v>1</v>
      </c>
      <c r="BN10" s="819">
        <v>192</v>
      </c>
      <c r="BO10" s="753">
        <f t="shared" ref="BO10" si="18">ROUND(((BN10/BM10-1)*100), 1)</f>
        <v>19100</v>
      </c>
      <c r="BP10" s="817">
        <f t="shared" si="13"/>
        <v>0</v>
      </c>
      <c r="BQ10" s="819">
        <f t="shared" si="13"/>
        <v>50</v>
      </c>
      <c r="BR10" s="809">
        <v>0</v>
      </c>
      <c r="BS10" s="817">
        <v>1</v>
      </c>
      <c r="BT10" s="819">
        <v>242</v>
      </c>
      <c r="BU10" s="753">
        <f t="shared" si="15"/>
        <v>24100</v>
      </c>
    </row>
    <row r="11" spans="1:73">
      <c r="A11" s="215"/>
      <c r="B11" s="43" t="s">
        <v>147</v>
      </c>
      <c r="C11" s="359">
        <v>0</v>
      </c>
      <c r="D11" s="359">
        <v>0</v>
      </c>
      <c r="E11" s="359">
        <v>0</v>
      </c>
      <c r="F11" s="359">
        <v>0</v>
      </c>
      <c r="G11" s="359">
        <v>1</v>
      </c>
      <c r="H11" s="283">
        <v>2</v>
      </c>
      <c r="I11" s="44">
        <v>2</v>
      </c>
      <c r="J11" s="44">
        <v>1</v>
      </c>
      <c r="K11" s="383">
        <v>0</v>
      </c>
      <c r="L11" s="390">
        <v>0</v>
      </c>
      <c r="M11" s="362">
        <v>0</v>
      </c>
      <c r="N11" s="383">
        <f t="shared" si="0"/>
        <v>0</v>
      </c>
      <c r="O11" s="390">
        <f t="shared" si="0"/>
        <v>0</v>
      </c>
      <c r="P11" s="362">
        <v>0</v>
      </c>
      <c r="Q11" s="383">
        <v>0</v>
      </c>
      <c r="R11" s="390">
        <v>0</v>
      </c>
      <c r="S11" s="362">
        <v>0</v>
      </c>
      <c r="T11" s="383">
        <f t="shared" si="1"/>
        <v>1</v>
      </c>
      <c r="U11" s="390">
        <f t="shared" si="2"/>
        <v>0</v>
      </c>
      <c r="V11" s="304">
        <f>ROUND(((U11/T11-1)*100), 1)</f>
        <v>-100</v>
      </c>
      <c r="W11" s="383">
        <v>1</v>
      </c>
      <c r="X11" s="390">
        <v>0</v>
      </c>
      <c r="Y11" s="304">
        <f>ROUND(((X11/W11-1)*100), 1)</f>
        <v>-100</v>
      </c>
      <c r="Z11" s="527">
        <f t="shared" si="3"/>
        <v>0</v>
      </c>
      <c r="AA11" s="390">
        <f t="shared" si="4"/>
        <v>0</v>
      </c>
      <c r="AB11" s="526">
        <v>0</v>
      </c>
      <c r="AC11" s="527">
        <v>1</v>
      </c>
      <c r="AD11" s="390">
        <v>0</v>
      </c>
      <c r="AE11" s="304">
        <f>ROUND(((AD11/AC11-1)*100), 1)</f>
        <v>-100</v>
      </c>
      <c r="AF11" s="527">
        <f t="shared" si="5"/>
        <v>0</v>
      </c>
      <c r="AG11" s="390">
        <f t="shared" si="5"/>
        <v>0</v>
      </c>
      <c r="AH11" s="526">
        <v>0</v>
      </c>
      <c r="AI11" s="527">
        <v>1</v>
      </c>
      <c r="AJ11" s="390">
        <v>0</v>
      </c>
      <c r="AK11" s="304">
        <f>ROUND(((AJ11/AI11-1)*100), 1)</f>
        <v>-100</v>
      </c>
      <c r="AL11" s="791">
        <f t="shared" si="6"/>
        <v>0</v>
      </c>
      <c r="AM11" s="794">
        <f t="shared" si="7"/>
        <v>0</v>
      </c>
      <c r="AN11" s="790">
        <v>0</v>
      </c>
      <c r="AO11" s="817">
        <v>1</v>
      </c>
      <c r="AP11" s="819">
        <v>0</v>
      </c>
      <c r="AQ11" s="786">
        <f>ROUND(((AP11/AO11-1)*100), 1)</f>
        <v>-100</v>
      </c>
      <c r="AR11" s="817">
        <f t="shared" si="8"/>
        <v>0</v>
      </c>
      <c r="AS11" s="819">
        <f t="shared" si="8"/>
        <v>0</v>
      </c>
      <c r="AT11" s="809">
        <v>0</v>
      </c>
      <c r="AU11" s="969">
        <v>1</v>
      </c>
      <c r="AV11" s="970">
        <v>0</v>
      </c>
      <c r="AW11" s="805">
        <f>ROUND(((AV11/AU11-1)*100), 1)</f>
        <v>-100</v>
      </c>
      <c r="AX11" s="817">
        <f t="shared" si="9"/>
        <v>0</v>
      </c>
      <c r="AY11" s="819">
        <f t="shared" si="10"/>
        <v>0</v>
      </c>
      <c r="AZ11" s="809">
        <v>0</v>
      </c>
      <c r="BA11" s="817">
        <v>1</v>
      </c>
      <c r="BB11" s="819">
        <v>0</v>
      </c>
      <c r="BC11" s="805">
        <f>ROUND(((BB11/BA11-1)*100), 1)</f>
        <v>-100</v>
      </c>
      <c r="BD11" s="817">
        <f t="shared" si="11"/>
        <v>0</v>
      </c>
      <c r="BE11" s="819">
        <f t="shared" si="11"/>
        <v>0</v>
      </c>
      <c r="BF11" s="809">
        <v>0</v>
      </c>
      <c r="BG11" s="817">
        <v>1</v>
      </c>
      <c r="BH11" s="819">
        <v>0</v>
      </c>
      <c r="BI11" s="805">
        <f>ROUND(((BH11/BG11-1)*100), 1)</f>
        <v>-100</v>
      </c>
      <c r="BJ11" s="817">
        <f t="shared" si="12"/>
        <v>0</v>
      </c>
      <c r="BK11" s="819">
        <f t="shared" si="12"/>
        <v>0</v>
      </c>
      <c r="BL11" s="809">
        <v>0</v>
      </c>
      <c r="BM11" s="817">
        <v>1</v>
      </c>
      <c r="BN11" s="819">
        <v>0</v>
      </c>
      <c r="BO11" s="805">
        <f>ROUND(((BN11/BM11-1)*100), 1)</f>
        <v>-100</v>
      </c>
      <c r="BP11" s="817">
        <f t="shared" si="13"/>
        <v>0</v>
      </c>
      <c r="BQ11" s="819">
        <f t="shared" si="13"/>
        <v>0</v>
      </c>
      <c r="BR11" s="809">
        <v>0</v>
      </c>
      <c r="BS11" s="817">
        <v>1</v>
      </c>
      <c r="BT11" s="819">
        <v>0</v>
      </c>
      <c r="BU11" s="805">
        <f t="shared" si="15"/>
        <v>-100</v>
      </c>
    </row>
    <row r="12" spans="1:73">
      <c r="A12" s="215"/>
      <c r="B12" s="43" t="s">
        <v>57</v>
      </c>
      <c r="C12" s="359">
        <v>193</v>
      </c>
      <c r="D12" s="359">
        <v>2737</v>
      </c>
      <c r="E12" s="359">
        <v>0</v>
      </c>
      <c r="F12" s="359">
        <v>9</v>
      </c>
      <c r="G12" s="359">
        <v>2774</v>
      </c>
      <c r="H12" s="283">
        <v>1604</v>
      </c>
      <c r="I12" s="44">
        <v>0</v>
      </c>
      <c r="J12" s="44">
        <v>0</v>
      </c>
      <c r="K12" s="383">
        <v>0</v>
      </c>
      <c r="L12" s="390">
        <v>0</v>
      </c>
      <c r="M12" s="362">
        <v>0</v>
      </c>
      <c r="N12" s="383">
        <f t="shared" si="0"/>
        <v>0</v>
      </c>
      <c r="O12" s="390">
        <f t="shared" si="0"/>
        <v>0</v>
      </c>
      <c r="P12" s="362">
        <v>0</v>
      </c>
      <c r="Q12" s="383">
        <v>0</v>
      </c>
      <c r="R12" s="390">
        <v>0</v>
      </c>
      <c r="S12" s="362">
        <v>0</v>
      </c>
      <c r="T12" s="383">
        <f t="shared" si="1"/>
        <v>0</v>
      </c>
      <c r="U12" s="390">
        <f t="shared" si="2"/>
        <v>0</v>
      </c>
      <c r="V12" s="362">
        <v>0</v>
      </c>
      <c r="W12" s="383">
        <v>0</v>
      </c>
      <c r="X12" s="390">
        <v>0</v>
      </c>
      <c r="Y12" s="362">
        <v>0</v>
      </c>
      <c r="Z12" s="527">
        <f t="shared" si="3"/>
        <v>0</v>
      </c>
      <c r="AA12" s="390">
        <f t="shared" si="4"/>
        <v>0</v>
      </c>
      <c r="AB12" s="526">
        <v>0</v>
      </c>
      <c r="AC12" s="527">
        <v>0</v>
      </c>
      <c r="AD12" s="390">
        <v>0</v>
      </c>
      <c r="AE12" s="526">
        <v>0</v>
      </c>
      <c r="AF12" s="527">
        <f t="shared" si="5"/>
        <v>0</v>
      </c>
      <c r="AG12" s="390">
        <f t="shared" si="5"/>
        <v>4</v>
      </c>
      <c r="AH12" s="526">
        <v>0</v>
      </c>
      <c r="AI12" s="527">
        <v>0</v>
      </c>
      <c r="AJ12" s="390">
        <v>4</v>
      </c>
      <c r="AK12" s="526">
        <v>0</v>
      </c>
      <c r="AL12" s="791">
        <f t="shared" si="6"/>
        <v>0</v>
      </c>
      <c r="AM12" s="794">
        <f t="shared" si="7"/>
        <v>90</v>
      </c>
      <c r="AN12" s="790">
        <v>0</v>
      </c>
      <c r="AO12" s="817">
        <v>0</v>
      </c>
      <c r="AP12" s="819">
        <v>94</v>
      </c>
      <c r="AQ12" s="790">
        <v>0</v>
      </c>
      <c r="AR12" s="817">
        <f t="shared" si="8"/>
        <v>0</v>
      </c>
      <c r="AS12" s="819">
        <f t="shared" si="8"/>
        <v>22</v>
      </c>
      <c r="AT12" s="809">
        <v>0</v>
      </c>
      <c r="AU12" s="969">
        <v>0</v>
      </c>
      <c r="AV12" s="970">
        <v>116</v>
      </c>
      <c r="AW12" s="809">
        <v>0</v>
      </c>
      <c r="AX12" s="817">
        <f t="shared" si="9"/>
        <v>0</v>
      </c>
      <c r="AY12" s="819">
        <f t="shared" si="10"/>
        <v>0</v>
      </c>
      <c r="AZ12" s="809">
        <v>0</v>
      </c>
      <c r="BA12" s="817">
        <v>0</v>
      </c>
      <c r="BB12" s="819">
        <v>116</v>
      </c>
      <c r="BC12" s="809">
        <v>0</v>
      </c>
      <c r="BD12" s="817">
        <f t="shared" si="11"/>
        <v>0</v>
      </c>
      <c r="BE12" s="819">
        <f t="shared" si="11"/>
        <v>80</v>
      </c>
      <c r="BF12" s="809">
        <v>0</v>
      </c>
      <c r="BG12" s="817">
        <v>0</v>
      </c>
      <c r="BH12" s="819">
        <v>196</v>
      </c>
      <c r="BI12" s="809">
        <v>0</v>
      </c>
      <c r="BJ12" s="817">
        <f t="shared" si="12"/>
        <v>0</v>
      </c>
      <c r="BK12" s="819">
        <f t="shared" si="12"/>
        <v>6</v>
      </c>
      <c r="BL12" s="809">
        <v>0</v>
      </c>
      <c r="BM12" s="817">
        <v>0</v>
      </c>
      <c r="BN12" s="819">
        <v>202</v>
      </c>
      <c r="BO12" s="809">
        <v>0</v>
      </c>
      <c r="BP12" s="817">
        <f t="shared" si="13"/>
        <v>0</v>
      </c>
      <c r="BQ12" s="819">
        <f t="shared" si="13"/>
        <v>43</v>
      </c>
      <c r="BR12" s="809">
        <v>0</v>
      </c>
      <c r="BS12" s="817">
        <v>0</v>
      </c>
      <c r="BT12" s="819">
        <v>245</v>
      </c>
      <c r="BU12" s="809">
        <v>0</v>
      </c>
    </row>
    <row r="13" spans="1:73">
      <c r="A13" s="215"/>
      <c r="B13" s="43" t="s">
        <v>248</v>
      </c>
      <c r="C13" s="359">
        <v>2434</v>
      </c>
      <c r="D13" s="359">
        <v>6467</v>
      </c>
      <c r="E13" s="359">
        <v>1385</v>
      </c>
      <c r="F13" s="359">
        <v>26</v>
      </c>
      <c r="G13" s="359">
        <v>3824</v>
      </c>
      <c r="H13" s="283">
        <v>617</v>
      </c>
      <c r="I13" s="44">
        <v>0</v>
      </c>
      <c r="J13" s="44">
        <v>0</v>
      </c>
      <c r="K13" s="383">
        <v>0</v>
      </c>
      <c r="L13" s="390">
        <v>0</v>
      </c>
      <c r="M13" s="362">
        <v>0</v>
      </c>
      <c r="N13" s="383">
        <f t="shared" si="0"/>
        <v>0</v>
      </c>
      <c r="O13" s="390">
        <f t="shared" si="0"/>
        <v>0</v>
      </c>
      <c r="P13" s="362">
        <v>0</v>
      </c>
      <c r="Q13" s="383">
        <v>0</v>
      </c>
      <c r="R13" s="390">
        <v>0</v>
      </c>
      <c r="S13" s="362">
        <v>0</v>
      </c>
      <c r="T13" s="383">
        <f t="shared" si="1"/>
        <v>0</v>
      </c>
      <c r="U13" s="390">
        <f t="shared" si="2"/>
        <v>0</v>
      </c>
      <c r="V13" s="362">
        <v>0</v>
      </c>
      <c r="W13" s="383">
        <v>0</v>
      </c>
      <c r="X13" s="390">
        <v>0</v>
      </c>
      <c r="Y13" s="362">
        <v>0</v>
      </c>
      <c r="Z13" s="527">
        <f t="shared" si="3"/>
        <v>0</v>
      </c>
      <c r="AA13" s="390">
        <f t="shared" si="4"/>
        <v>0</v>
      </c>
      <c r="AB13" s="526">
        <v>0</v>
      </c>
      <c r="AC13" s="527">
        <v>0</v>
      </c>
      <c r="AD13" s="390">
        <v>0</v>
      </c>
      <c r="AE13" s="526">
        <v>0</v>
      </c>
      <c r="AF13" s="527">
        <f t="shared" si="5"/>
        <v>0</v>
      </c>
      <c r="AG13" s="390">
        <f t="shared" si="5"/>
        <v>0</v>
      </c>
      <c r="AH13" s="526">
        <v>0</v>
      </c>
      <c r="AI13" s="527">
        <v>0</v>
      </c>
      <c r="AJ13" s="390">
        <v>0</v>
      </c>
      <c r="AK13" s="526">
        <v>0</v>
      </c>
      <c r="AL13" s="791">
        <f t="shared" si="6"/>
        <v>0</v>
      </c>
      <c r="AM13" s="794">
        <f t="shared" si="7"/>
        <v>0</v>
      </c>
      <c r="AN13" s="790">
        <v>0</v>
      </c>
      <c r="AO13" s="817">
        <v>0</v>
      </c>
      <c r="AP13" s="819">
        <v>0</v>
      </c>
      <c r="AQ13" s="790">
        <v>0</v>
      </c>
      <c r="AR13" s="817">
        <f t="shared" si="8"/>
        <v>0</v>
      </c>
      <c r="AS13" s="819">
        <f t="shared" si="8"/>
        <v>0</v>
      </c>
      <c r="AT13" s="809">
        <v>0</v>
      </c>
      <c r="AU13" s="969">
        <v>0</v>
      </c>
      <c r="AV13" s="970">
        <v>0</v>
      </c>
      <c r="AW13" s="809">
        <v>0</v>
      </c>
      <c r="AX13" s="817">
        <f t="shared" si="9"/>
        <v>0</v>
      </c>
      <c r="AY13" s="819">
        <f t="shared" si="10"/>
        <v>0</v>
      </c>
      <c r="AZ13" s="809">
        <v>0</v>
      </c>
      <c r="BA13" s="817">
        <v>0</v>
      </c>
      <c r="BB13" s="819">
        <v>0</v>
      </c>
      <c r="BC13" s="809">
        <v>0</v>
      </c>
      <c r="BD13" s="817">
        <f t="shared" si="11"/>
        <v>0</v>
      </c>
      <c r="BE13" s="819">
        <f t="shared" si="11"/>
        <v>0</v>
      </c>
      <c r="BF13" s="809">
        <v>0</v>
      </c>
      <c r="BG13" s="817">
        <v>0</v>
      </c>
      <c r="BH13" s="819">
        <v>0</v>
      </c>
      <c r="BI13" s="809">
        <v>0</v>
      </c>
      <c r="BJ13" s="817">
        <f t="shared" si="12"/>
        <v>0</v>
      </c>
      <c r="BK13" s="819">
        <f t="shared" si="12"/>
        <v>0</v>
      </c>
      <c r="BL13" s="809">
        <v>0</v>
      </c>
      <c r="BM13" s="817">
        <v>0</v>
      </c>
      <c r="BN13" s="819">
        <v>0</v>
      </c>
      <c r="BO13" s="809">
        <v>0</v>
      </c>
      <c r="BP13" s="817">
        <f t="shared" si="13"/>
        <v>0</v>
      </c>
      <c r="BQ13" s="819">
        <f t="shared" si="13"/>
        <v>0</v>
      </c>
      <c r="BR13" s="809">
        <v>0</v>
      </c>
      <c r="BS13" s="817">
        <v>0</v>
      </c>
      <c r="BT13" s="819">
        <v>0</v>
      </c>
      <c r="BU13" s="809">
        <v>0</v>
      </c>
    </row>
    <row r="14" spans="1:73">
      <c r="A14" s="215"/>
      <c r="B14" s="43" t="s">
        <v>77</v>
      </c>
      <c r="C14" s="359">
        <v>0</v>
      </c>
      <c r="D14" s="359">
        <v>0</v>
      </c>
      <c r="E14" s="359">
        <v>126</v>
      </c>
      <c r="F14" s="359">
        <v>0</v>
      </c>
      <c r="G14" s="359">
        <v>1198</v>
      </c>
      <c r="H14" s="283">
        <v>288</v>
      </c>
      <c r="I14" s="44">
        <v>0</v>
      </c>
      <c r="J14" s="44">
        <v>0</v>
      </c>
      <c r="K14" s="383">
        <v>0</v>
      </c>
      <c r="L14" s="390">
        <v>0</v>
      </c>
      <c r="M14" s="362">
        <v>0</v>
      </c>
      <c r="N14" s="383">
        <f t="shared" si="0"/>
        <v>0</v>
      </c>
      <c r="O14" s="390">
        <f t="shared" si="0"/>
        <v>0</v>
      </c>
      <c r="P14" s="362">
        <v>0</v>
      </c>
      <c r="Q14" s="383">
        <v>0</v>
      </c>
      <c r="R14" s="390">
        <v>0</v>
      </c>
      <c r="S14" s="362">
        <v>0</v>
      </c>
      <c r="T14" s="383">
        <f t="shared" si="1"/>
        <v>0</v>
      </c>
      <c r="U14" s="390">
        <f t="shared" si="2"/>
        <v>0</v>
      </c>
      <c r="V14" s="362">
        <v>0</v>
      </c>
      <c r="W14" s="383">
        <v>0</v>
      </c>
      <c r="X14" s="390">
        <v>0</v>
      </c>
      <c r="Y14" s="362">
        <v>0</v>
      </c>
      <c r="Z14" s="527">
        <f t="shared" si="3"/>
        <v>0</v>
      </c>
      <c r="AA14" s="390">
        <f t="shared" si="4"/>
        <v>0</v>
      </c>
      <c r="AB14" s="526">
        <v>0</v>
      </c>
      <c r="AC14" s="527">
        <v>0</v>
      </c>
      <c r="AD14" s="390">
        <v>0</v>
      </c>
      <c r="AE14" s="526">
        <v>0</v>
      </c>
      <c r="AF14" s="527">
        <f t="shared" si="5"/>
        <v>0</v>
      </c>
      <c r="AG14" s="390">
        <f t="shared" si="5"/>
        <v>0</v>
      </c>
      <c r="AH14" s="526">
        <v>0</v>
      </c>
      <c r="AI14" s="527">
        <v>0</v>
      </c>
      <c r="AJ14" s="390">
        <v>0</v>
      </c>
      <c r="AK14" s="526">
        <v>0</v>
      </c>
      <c r="AL14" s="791">
        <f t="shared" si="6"/>
        <v>0</v>
      </c>
      <c r="AM14" s="794">
        <f t="shared" si="7"/>
        <v>0</v>
      </c>
      <c r="AN14" s="790">
        <v>0</v>
      </c>
      <c r="AO14" s="817">
        <v>0</v>
      </c>
      <c r="AP14" s="819">
        <v>0</v>
      </c>
      <c r="AQ14" s="790">
        <v>0</v>
      </c>
      <c r="AR14" s="817">
        <f t="shared" si="8"/>
        <v>0</v>
      </c>
      <c r="AS14" s="819">
        <f t="shared" si="8"/>
        <v>0</v>
      </c>
      <c r="AT14" s="809">
        <v>0</v>
      </c>
      <c r="AU14" s="969">
        <v>0</v>
      </c>
      <c r="AV14" s="970">
        <v>0</v>
      </c>
      <c r="AW14" s="809">
        <v>0</v>
      </c>
      <c r="AX14" s="817">
        <f t="shared" si="9"/>
        <v>0</v>
      </c>
      <c r="AY14" s="819">
        <f t="shared" si="10"/>
        <v>0</v>
      </c>
      <c r="AZ14" s="809">
        <v>0</v>
      </c>
      <c r="BA14" s="817">
        <v>0</v>
      </c>
      <c r="BB14" s="819">
        <v>0</v>
      </c>
      <c r="BC14" s="809">
        <v>0</v>
      </c>
      <c r="BD14" s="817">
        <f t="shared" si="11"/>
        <v>0</v>
      </c>
      <c r="BE14" s="819">
        <f t="shared" si="11"/>
        <v>0</v>
      </c>
      <c r="BF14" s="809">
        <v>0</v>
      </c>
      <c r="BG14" s="817">
        <v>0</v>
      </c>
      <c r="BH14" s="819">
        <v>0</v>
      </c>
      <c r="BI14" s="809">
        <v>0</v>
      </c>
      <c r="BJ14" s="817">
        <f t="shared" si="12"/>
        <v>0</v>
      </c>
      <c r="BK14" s="819">
        <f t="shared" si="12"/>
        <v>0</v>
      </c>
      <c r="BL14" s="809">
        <v>0</v>
      </c>
      <c r="BM14" s="817">
        <v>0</v>
      </c>
      <c r="BN14" s="819">
        <v>0</v>
      </c>
      <c r="BO14" s="809">
        <v>0</v>
      </c>
      <c r="BP14" s="817">
        <f t="shared" si="13"/>
        <v>0</v>
      </c>
      <c r="BQ14" s="819">
        <f t="shared" si="13"/>
        <v>0</v>
      </c>
      <c r="BR14" s="809">
        <v>0</v>
      </c>
      <c r="BS14" s="817">
        <v>0</v>
      </c>
      <c r="BT14" s="819">
        <v>0</v>
      </c>
      <c r="BU14" s="809">
        <v>0</v>
      </c>
    </row>
    <row r="15" spans="1:73">
      <c r="A15" s="215"/>
      <c r="B15" s="43" t="s">
        <v>73</v>
      </c>
      <c r="C15" s="359">
        <v>0</v>
      </c>
      <c r="D15" s="359">
        <v>2867</v>
      </c>
      <c r="E15" s="359">
        <v>60</v>
      </c>
      <c r="F15" s="359">
        <v>1</v>
      </c>
      <c r="G15" s="359">
        <v>2242</v>
      </c>
      <c r="H15" s="283">
        <v>252</v>
      </c>
      <c r="I15" s="44">
        <v>0</v>
      </c>
      <c r="J15" s="44">
        <v>0</v>
      </c>
      <c r="K15" s="383">
        <v>0</v>
      </c>
      <c r="L15" s="390">
        <v>0</v>
      </c>
      <c r="M15" s="362">
        <v>0</v>
      </c>
      <c r="N15" s="383">
        <f t="shared" si="0"/>
        <v>0</v>
      </c>
      <c r="O15" s="390">
        <f t="shared" si="0"/>
        <v>0</v>
      </c>
      <c r="P15" s="362">
        <v>0</v>
      </c>
      <c r="Q15" s="383">
        <v>0</v>
      </c>
      <c r="R15" s="390">
        <v>0</v>
      </c>
      <c r="S15" s="362">
        <v>0</v>
      </c>
      <c r="T15" s="383">
        <f t="shared" si="1"/>
        <v>0</v>
      </c>
      <c r="U15" s="390">
        <f t="shared" si="2"/>
        <v>0</v>
      </c>
      <c r="V15" s="362">
        <v>0</v>
      </c>
      <c r="W15" s="383">
        <v>0</v>
      </c>
      <c r="X15" s="390">
        <v>0</v>
      </c>
      <c r="Y15" s="362">
        <v>0</v>
      </c>
      <c r="Z15" s="527">
        <f t="shared" si="3"/>
        <v>0</v>
      </c>
      <c r="AA15" s="390">
        <f t="shared" si="4"/>
        <v>0</v>
      </c>
      <c r="AB15" s="526">
        <v>0</v>
      </c>
      <c r="AC15" s="527">
        <v>0</v>
      </c>
      <c r="AD15" s="390">
        <v>0</v>
      </c>
      <c r="AE15" s="526">
        <v>0</v>
      </c>
      <c r="AF15" s="527">
        <f t="shared" si="5"/>
        <v>0</v>
      </c>
      <c r="AG15" s="390">
        <f t="shared" si="5"/>
        <v>0</v>
      </c>
      <c r="AH15" s="526">
        <v>0</v>
      </c>
      <c r="AI15" s="527">
        <v>0</v>
      </c>
      <c r="AJ15" s="390">
        <v>0</v>
      </c>
      <c r="AK15" s="526">
        <v>0</v>
      </c>
      <c r="AL15" s="791">
        <f t="shared" si="6"/>
        <v>0</v>
      </c>
      <c r="AM15" s="794">
        <f t="shared" si="7"/>
        <v>0</v>
      </c>
      <c r="AN15" s="790">
        <v>0</v>
      </c>
      <c r="AO15" s="817">
        <v>0</v>
      </c>
      <c r="AP15" s="819">
        <v>0</v>
      </c>
      <c r="AQ15" s="790">
        <v>0</v>
      </c>
      <c r="AR15" s="817">
        <f t="shared" si="8"/>
        <v>0</v>
      </c>
      <c r="AS15" s="819">
        <f t="shared" si="8"/>
        <v>0</v>
      </c>
      <c r="AT15" s="809">
        <v>0</v>
      </c>
      <c r="AU15" s="969">
        <v>0</v>
      </c>
      <c r="AV15" s="970">
        <v>0</v>
      </c>
      <c r="AW15" s="809">
        <v>0</v>
      </c>
      <c r="AX15" s="817">
        <f t="shared" si="9"/>
        <v>0</v>
      </c>
      <c r="AY15" s="819">
        <f t="shared" si="10"/>
        <v>0</v>
      </c>
      <c r="AZ15" s="809">
        <v>0</v>
      </c>
      <c r="BA15" s="817">
        <v>0</v>
      </c>
      <c r="BB15" s="819">
        <v>0</v>
      </c>
      <c r="BC15" s="809">
        <v>0</v>
      </c>
      <c r="BD15" s="817">
        <f t="shared" si="11"/>
        <v>0</v>
      </c>
      <c r="BE15" s="819">
        <f t="shared" si="11"/>
        <v>0</v>
      </c>
      <c r="BF15" s="809">
        <v>0</v>
      </c>
      <c r="BG15" s="817">
        <v>0</v>
      </c>
      <c r="BH15" s="819">
        <v>0</v>
      </c>
      <c r="BI15" s="809">
        <v>0</v>
      </c>
      <c r="BJ15" s="817">
        <f t="shared" si="12"/>
        <v>0</v>
      </c>
      <c r="BK15" s="819">
        <f t="shared" si="12"/>
        <v>0</v>
      </c>
      <c r="BL15" s="809">
        <v>0</v>
      </c>
      <c r="BM15" s="817">
        <v>0</v>
      </c>
      <c r="BN15" s="819">
        <v>0</v>
      </c>
      <c r="BO15" s="809">
        <v>0</v>
      </c>
      <c r="BP15" s="817">
        <f t="shared" si="13"/>
        <v>0</v>
      </c>
      <c r="BQ15" s="819">
        <f t="shared" si="13"/>
        <v>0</v>
      </c>
      <c r="BR15" s="809">
        <v>0</v>
      </c>
      <c r="BS15" s="817">
        <v>0</v>
      </c>
      <c r="BT15" s="819">
        <v>0</v>
      </c>
      <c r="BU15" s="809">
        <v>0</v>
      </c>
    </row>
    <row r="16" spans="1:73">
      <c r="A16" s="215"/>
      <c r="B16" s="43" t="s">
        <v>61</v>
      </c>
      <c r="C16" s="359">
        <v>0</v>
      </c>
      <c r="D16" s="359">
        <v>0</v>
      </c>
      <c r="E16" s="359">
        <v>2</v>
      </c>
      <c r="F16" s="359">
        <v>1823</v>
      </c>
      <c r="G16" s="359">
        <v>1</v>
      </c>
      <c r="H16" s="283">
        <v>6</v>
      </c>
      <c r="I16" s="44">
        <v>0</v>
      </c>
      <c r="J16" s="44">
        <v>0</v>
      </c>
      <c r="K16" s="383">
        <v>0</v>
      </c>
      <c r="L16" s="390">
        <v>0</v>
      </c>
      <c r="M16" s="362">
        <v>0</v>
      </c>
      <c r="N16" s="383">
        <f t="shared" si="0"/>
        <v>0</v>
      </c>
      <c r="O16" s="390">
        <f t="shared" si="0"/>
        <v>0</v>
      </c>
      <c r="P16" s="362">
        <v>0</v>
      </c>
      <c r="Q16" s="383">
        <v>0</v>
      </c>
      <c r="R16" s="390">
        <v>0</v>
      </c>
      <c r="S16" s="362">
        <v>0</v>
      </c>
      <c r="T16" s="383">
        <f t="shared" si="1"/>
        <v>0</v>
      </c>
      <c r="U16" s="390">
        <f t="shared" si="2"/>
        <v>0</v>
      </c>
      <c r="V16" s="362">
        <v>0</v>
      </c>
      <c r="W16" s="383">
        <v>0</v>
      </c>
      <c r="X16" s="390">
        <v>0</v>
      </c>
      <c r="Y16" s="362">
        <v>0</v>
      </c>
      <c r="Z16" s="527">
        <f t="shared" si="3"/>
        <v>0</v>
      </c>
      <c r="AA16" s="390">
        <f t="shared" si="4"/>
        <v>0</v>
      </c>
      <c r="AB16" s="526">
        <v>0</v>
      </c>
      <c r="AC16" s="527">
        <v>0</v>
      </c>
      <c r="AD16" s="390">
        <v>0</v>
      </c>
      <c r="AE16" s="526">
        <v>0</v>
      </c>
      <c r="AF16" s="527">
        <f t="shared" si="5"/>
        <v>0</v>
      </c>
      <c r="AG16" s="390">
        <f t="shared" si="5"/>
        <v>0</v>
      </c>
      <c r="AH16" s="526">
        <v>0</v>
      </c>
      <c r="AI16" s="527">
        <v>0</v>
      </c>
      <c r="AJ16" s="390">
        <v>0</v>
      </c>
      <c r="AK16" s="526">
        <v>0</v>
      </c>
      <c r="AL16" s="791">
        <f t="shared" si="6"/>
        <v>0</v>
      </c>
      <c r="AM16" s="794">
        <f t="shared" si="7"/>
        <v>0</v>
      </c>
      <c r="AN16" s="790">
        <v>0</v>
      </c>
      <c r="AO16" s="817">
        <v>0</v>
      </c>
      <c r="AP16" s="819">
        <v>0</v>
      </c>
      <c r="AQ16" s="790">
        <v>0</v>
      </c>
      <c r="AR16" s="817">
        <f t="shared" si="8"/>
        <v>0</v>
      </c>
      <c r="AS16" s="819">
        <f t="shared" si="8"/>
        <v>0</v>
      </c>
      <c r="AT16" s="809">
        <v>0</v>
      </c>
      <c r="AU16" s="969">
        <v>0</v>
      </c>
      <c r="AV16" s="970">
        <v>0</v>
      </c>
      <c r="AW16" s="809">
        <v>0</v>
      </c>
      <c r="AX16" s="817">
        <f t="shared" si="9"/>
        <v>0</v>
      </c>
      <c r="AY16" s="819">
        <f t="shared" si="10"/>
        <v>0</v>
      </c>
      <c r="AZ16" s="809">
        <v>0</v>
      </c>
      <c r="BA16" s="817">
        <v>0</v>
      </c>
      <c r="BB16" s="819">
        <v>0</v>
      </c>
      <c r="BC16" s="809">
        <v>0</v>
      </c>
      <c r="BD16" s="817">
        <f t="shared" si="11"/>
        <v>0</v>
      </c>
      <c r="BE16" s="819">
        <f t="shared" si="11"/>
        <v>0</v>
      </c>
      <c r="BF16" s="809">
        <v>0</v>
      </c>
      <c r="BG16" s="817">
        <v>0</v>
      </c>
      <c r="BH16" s="819">
        <v>0</v>
      </c>
      <c r="BI16" s="809">
        <v>0</v>
      </c>
      <c r="BJ16" s="817">
        <f t="shared" si="12"/>
        <v>0</v>
      </c>
      <c r="BK16" s="819">
        <f t="shared" si="12"/>
        <v>0</v>
      </c>
      <c r="BL16" s="799">
        <v>0</v>
      </c>
      <c r="BM16" s="817">
        <v>0</v>
      </c>
      <c r="BN16" s="819">
        <v>0</v>
      </c>
      <c r="BO16" s="809">
        <v>0</v>
      </c>
      <c r="BP16" s="817">
        <f t="shared" si="13"/>
        <v>0</v>
      </c>
      <c r="BQ16" s="819">
        <f t="shared" si="13"/>
        <v>0</v>
      </c>
      <c r="BR16" s="799">
        <v>0</v>
      </c>
      <c r="BS16" s="817">
        <v>0</v>
      </c>
      <c r="BT16" s="819">
        <v>0</v>
      </c>
      <c r="BU16" s="809">
        <v>0</v>
      </c>
    </row>
    <row r="17" spans="1:73">
      <c r="A17" s="215"/>
      <c r="B17" s="43" t="s">
        <v>24</v>
      </c>
      <c r="C17" s="44">
        <f t="shared" ref="C17:H17" si="19">C18-SUM(C5:C16)</f>
        <v>1448</v>
      </c>
      <c r="D17" s="44">
        <f t="shared" si="19"/>
        <v>1221</v>
      </c>
      <c r="E17" s="44">
        <f t="shared" si="19"/>
        <v>2016</v>
      </c>
      <c r="F17" s="44">
        <f t="shared" si="19"/>
        <v>2280</v>
      </c>
      <c r="G17" s="44">
        <f t="shared" si="19"/>
        <v>295</v>
      </c>
      <c r="H17" s="44">
        <f t="shared" si="19"/>
        <v>0</v>
      </c>
      <c r="I17" s="44">
        <f>I18-SUM(I5:I16)</f>
        <v>39</v>
      </c>
      <c r="J17" s="44">
        <f>J18-SUM(J5:J16)</f>
        <v>0</v>
      </c>
      <c r="K17" s="383">
        <f>K18-SUM(K5:K16)</f>
        <v>0</v>
      </c>
      <c r="L17" s="390">
        <f>L18-SUM(L5:L16)</f>
        <v>0</v>
      </c>
      <c r="M17" s="178">
        <v>0</v>
      </c>
      <c r="N17" s="383">
        <f>N18-SUM(N5:N16)</f>
        <v>0</v>
      </c>
      <c r="O17" s="390">
        <f>O18-SUM(O5:O16)</f>
        <v>16</v>
      </c>
      <c r="P17" s="178">
        <v>0</v>
      </c>
      <c r="Q17" s="383">
        <f>Q18-SUM(Q5:Q16)</f>
        <v>0</v>
      </c>
      <c r="R17" s="390">
        <f>R18-SUM(R5:R16)</f>
        <v>16</v>
      </c>
      <c r="S17" s="178">
        <v>0</v>
      </c>
      <c r="T17" s="383">
        <f>T18-SUM(T5:T16)</f>
        <v>0</v>
      </c>
      <c r="U17" s="390">
        <f>U18-SUM(U5:U16)</f>
        <v>7</v>
      </c>
      <c r="V17" s="178">
        <v>0</v>
      </c>
      <c r="W17" s="383">
        <f>W18-SUM(W5:W16)</f>
        <v>0</v>
      </c>
      <c r="X17" s="390">
        <f>X18-SUM(X5:X16)</f>
        <v>23</v>
      </c>
      <c r="Y17" s="178">
        <v>0</v>
      </c>
      <c r="Z17" s="527">
        <f>Z18-SUM(Z5:Z16)</f>
        <v>0</v>
      </c>
      <c r="AA17" s="390">
        <f>AA18-SUM(AA5:AA16)</f>
        <v>0</v>
      </c>
      <c r="AB17" s="522">
        <v>0</v>
      </c>
      <c r="AC17" s="527">
        <f>AC18-SUM(AC5:AC16)</f>
        <v>0</v>
      </c>
      <c r="AD17" s="390">
        <f>AD18-SUM(AD5:AD16)</f>
        <v>23</v>
      </c>
      <c r="AE17" s="522">
        <v>0</v>
      </c>
      <c r="AF17" s="527">
        <f>AF18-SUM(AF5:AF16)</f>
        <v>0</v>
      </c>
      <c r="AG17" s="390">
        <f>AG18-SUM(AG5:AG16)</f>
        <v>0</v>
      </c>
      <c r="AH17" s="522">
        <v>0</v>
      </c>
      <c r="AI17" s="527">
        <f>AI18-SUM(AI5:AI16)</f>
        <v>0</v>
      </c>
      <c r="AJ17" s="390">
        <f>AJ18-SUM(AJ5:AJ16)</f>
        <v>23</v>
      </c>
      <c r="AK17" s="522">
        <v>0</v>
      </c>
      <c r="AL17" s="791">
        <f>AL18-SUM(AL5:AL16)</f>
        <v>0</v>
      </c>
      <c r="AM17" s="794">
        <f>AM18-SUM(AM5:AM16)</f>
        <v>1</v>
      </c>
      <c r="AN17" s="781">
        <v>0</v>
      </c>
      <c r="AO17" s="817">
        <f>AO18-SUM(AO5:AO16)</f>
        <v>0</v>
      </c>
      <c r="AP17" s="819">
        <f>AP18-SUM(AP5:AP16)</f>
        <v>24</v>
      </c>
      <c r="AQ17" s="781">
        <v>0</v>
      </c>
      <c r="AR17" s="817">
        <f>AR18-SUM(AR5:AR16)</f>
        <v>0</v>
      </c>
      <c r="AS17" s="819">
        <f>AS18-SUM(AS5:AS16)</f>
        <v>1</v>
      </c>
      <c r="AT17" s="800">
        <v>0</v>
      </c>
      <c r="AU17" s="969">
        <f>AU18-SUM(AU5:AU16)</f>
        <v>0</v>
      </c>
      <c r="AV17" s="970">
        <f>AV18-SUM(AV5:AV16)</f>
        <v>25</v>
      </c>
      <c r="AW17" s="800">
        <v>0</v>
      </c>
      <c r="AX17" s="817">
        <f>AX18-SUM(AX5:AX16)</f>
        <v>0</v>
      </c>
      <c r="AY17" s="819">
        <f>AY18-SUM(AY5:AY16)</f>
        <v>0</v>
      </c>
      <c r="AZ17" s="800">
        <v>0</v>
      </c>
      <c r="BA17" s="817">
        <f>BA18-SUM(BA5:BA16)</f>
        <v>0</v>
      </c>
      <c r="BB17" s="819">
        <f>BB18-SUM(BB5:BB16)</f>
        <v>25</v>
      </c>
      <c r="BC17" s="800">
        <v>0</v>
      </c>
      <c r="BD17" s="817">
        <f>BD18-SUM(BD5:BD16)</f>
        <v>0</v>
      </c>
      <c r="BE17" s="819">
        <f>BE18-SUM(BE5:BE16)</f>
        <v>1</v>
      </c>
      <c r="BF17" s="1052" t="e">
        <f>ROUND(((BE17/BD17-1)*100), 1)</f>
        <v>#DIV/0!</v>
      </c>
      <c r="BG17" s="817">
        <f>BG18-SUM(BG5:BG16)</f>
        <v>0</v>
      </c>
      <c r="BH17" s="819">
        <f>BH18-SUM(BH5:BH16)</f>
        <v>26</v>
      </c>
      <c r="BI17" s="800">
        <v>0</v>
      </c>
      <c r="BJ17" s="817">
        <f>BJ18-SUM(BJ5:BJ16)</f>
        <v>0</v>
      </c>
      <c r="BK17" s="819">
        <f>BK18-SUM(BK5:BK16)</f>
        <v>0</v>
      </c>
      <c r="BL17" s="800">
        <v>0</v>
      </c>
      <c r="BM17" s="817">
        <f>BM18-SUM(BM5:BM16)</f>
        <v>0</v>
      </c>
      <c r="BN17" s="819">
        <f>BN18-SUM(BN5:BN16)</f>
        <v>26</v>
      </c>
      <c r="BO17" s="800">
        <v>0</v>
      </c>
      <c r="BP17" s="817">
        <f>BP18-SUM(BP5:BP16)</f>
        <v>0</v>
      </c>
      <c r="BQ17" s="819">
        <f>BQ18-SUM(BQ5:BQ16)</f>
        <v>0</v>
      </c>
      <c r="BR17" s="800">
        <v>0</v>
      </c>
      <c r="BS17" s="817">
        <f>BS18-SUM(BS5:BS16)</f>
        <v>0</v>
      </c>
      <c r="BT17" s="819">
        <f>BT18-SUM(BT5:BT16)</f>
        <v>26</v>
      </c>
      <c r="BU17" s="800">
        <v>0</v>
      </c>
    </row>
    <row r="18" spans="1:73">
      <c r="A18" s="214"/>
      <c r="B18" s="67" t="s">
        <v>108</v>
      </c>
      <c r="C18" s="360">
        <v>4964</v>
      </c>
      <c r="D18" s="360">
        <v>14475</v>
      </c>
      <c r="E18" s="360">
        <v>4114</v>
      </c>
      <c r="F18" s="360">
        <v>5333</v>
      </c>
      <c r="G18" s="360">
        <v>13284</v>
      </c>
      <c r="H18" s="281">
        <v>6328</v>
      </c>
      <c r="I18" s="46">
        <v>1902</v>
      </c>
      <c r="J18" s="46">
        <v>1945</v>
      </c>
      <c r="K18" s="403">
        <v>209</v>
      </c>
      <c r="L18" s="295">
        <v>80</v>
      </c>
      <c r="M18" s="286">
        <f t="shared" ref="M18:M30" si="20">ROUND(((L18/K18-1)*100), 1)</f>
        <v>-61.7</v>
      </c>
      <c r="N18" s="403">
        <f>Q18-K18</f>
        <v>142</v>
      </c>
      <c r="O18" s="295">
        <f>R18-L18</f>
        <v>222</v>
      </c>
      <c r="P18" s="303">
        <f t="shared" ref="P18:P25" si="21">ROUND(((O18/N18-1)*100), 1)</f>
        <v>56.3</v>
      </c>
      <c r="Q18" s="403">
        <v>351</v>
      </c>
      <c r="R18" s="295">
        <v>302</v>
      </c>
      <c r="S18" s="303">
        <f t="shared" ref="S18:S26" si="22">ROUND(((R18/Q18-1)*100), 1)</f>
        <v>-14</v>
      </c>
      <c r="T18" s="403">
        <f>W18-Q18</f>
        <v>207</v>
      </c>
      <c r="U18" s="295">
        <f>X18-R18</f>
        <v>24</v>
      </c>
      <c r="V18" s="303">
        <f t="shared" ref="V18:V26" si="23">ROUND(((U18/T18-1)*100), 1)</f>
        <v>-88.4</v>
      </c>
      <c r="W18" s="403">
        <v>558</v>
      </c>
      <c r="X18" s="295">
        <v>326</v>
      </c>
      <c r="Y18" s="303">
        <f t="shared" ref="Y18:Y26" si="24">ROUND(((X18/W18-1)*100), 1)</f>
        <v>-41.6</v>
      </c>
      <c r="Z18" s="403">
        <f>AC18-W18</f>
        <v>103</v>
      </c>
      <c r="AA18" s="295">
        <f>AD18-X18</f>
        <v>14</v>
      </c>
      <c r="AB18" s="303">
        <f t="shared" ref="AB18:AB23" si="25">ROUND(((AA18/Z18-1)*100), 1)</f>
        <v>-86.4</v>
      </c>
      <c r="AC18" s="403">
        <v>661</v>
      </c>
      <c r="AD18" s="295">
        <v>340</v>
      </c>
      <c r="AE18" s="303">
        <f t="shared" ref="AE18:AE26" si="26">ROUND(((AD18/AC18-1)*100), 1)</f>
        <v>-48.6</v>
      </c>
      <c r="AF18" s="403">
        <f>AI18-AC18</f>
        <v>225</v>
      </c>
      <c r="AG18" s="295">
        <f>AJ18-AD18</f>
        <v>29</v>
      </c>
      <c r="AH18" s="303">
        <f t="shared" ref="AH18:AH23" si="27">ROUND(((AG18/AF18-1)*100), 1)</f>
        <v>-87.1</v>
      </c>
      <c r="AI18" s="403">
        <v>886</v>
      </c>
      <c r="AJ18" s="295">
        <v>369</v>
      </c>
      <c r="AK18" s="303">
        <f t="shared" ref="AK18:AK26" si="28">ROUND(((AJ18/AI18-1)*100), 1)</f>
        <v>-58.4</v>
      </c>
      <c r="AL18" s="795">
        <f>AO18-AI18</f>
        <v>177</v>
      </c>
      <c r="AM18" s="789">
        <f>AP18-AJ18</f>
        <v>208</v>
      </c>
      <c r="AN18" s="785">
        <f t="shared" ref="AN18:AN23" si="29">ROUND(((AM18/AL18-1)*100), 1)</f>
        <v>17.5</v>
      </c>
      <c r="AO18" s="814">
        <v>1063</v>
      </c>
      <c r="AP18" s="808">
        <v>577</v>
      </c>
      <c r="AQ18" s="785">
        <f t="shared" ref="AQ18:AQ26" si="30">ROUND(((AP18/AO18-1)*100), 1)</f>
        <v>-45.7</v>
      </c>
      <c r="AR18" s="814">
        <f>AU18-AO18</f>
        <v>35</v>
      </c>
      <c r="AS18" s="808">
        <f>AV18-AP18</f>
        <v>337</v>
      </c>
      <c r="AT18" s="804">
        <f t="shared" ref="AT18:AT29" si="31">ROUND(((AS18/AR18-1)*100), 1)</f>
        <v>862.9</v>
      </c>
      <c r="AU18" s="971">
        <v>1098</v>
      </c>
      <c r="AV18" s="972">
        <v>914</v>
      </c>
      <c r="AW18" s="804">
        <f t="shared" ref="AW18:AW26" si="32">ROUND(((AV18/AU18-1)*100), 1)</f>
        <v>-16.8</v>
      </c>
      <c r="AX18" s="814">
        <f>BA18-AU18</f>
        <v>221</v>
      </c>
      <c r="AY18" s="808">
        <f>BB18-AV18</f>
        <v>132</v>
      </c>
      <c r="AZ18" s="804">
        <f t="shared" ref="AZ18:AZ24" si="33">ROUND(((AY18/AX18-1)*100), 1)</f>
        <v>-40.299999999999997</v>
      </c>
      <c r="BA18" s="814">
        <v>1319</v>
      </c>
      <c r="BB18" s="808">
        <v>1046</v>
      </c>
      <c r="BC18" s="804">
        <f t="shared" ref="BC18:BC26" si="34">ROUND(((BB18/BA18-1)*100), 1)</f>
        <v>-20.7</v>
      </c>
      <c r="BD18" s="814">
        <f>BG18-BA18</f>
        <v>211</v>
      </c>
      <c r="BE18" s="808">
        <f>BH18-BB18</f>
        <v>165</v>
      </c>
      <c r="BF18" s="804">
        <f t="shared" ref="BF18:BF25" si="35">ROUND(((BE18/BD18-1)*100), 1)</f>
        <v>-21.8</v>
      </c>
      <c r="BG18" s="814">
        <v>1530</v>
      </c>
      <c r="BH18" s="808">
        <v>1211</v>
      </c>
      <c r="BI18" s="804">
        <f t="shared" ref="BI18:BI26" si="36">ROUND(((BH18/BG18-1)*100), 1)</f>
        <v>-20.8</v>
      </c>
      <c r="BJ18" s="814">
        <f>BM18-BG18</f>
        <v>141</v>
      </c>
      <c r="BK18" s="808">
        <f>BN18-BH18</f>
        <v>186</v>
      </c>
      <c r="BL18" s="804">
        <f t="shared" ref="BL18:BL25" si="37">ROUND(((BK18/BJ18-1)*100), 1)</f>
        <v>31.9</v>
      </c>
      <c r="BM18" s="814">
        <v>1671</v>
      </c>
      <c r="BN18" s="808">
        <v>1397</v>
      </c>
      <c r="BO18" s="804">
        <f t="shared" ref="BO18:BO26" si="38">ROUND(((BN18/BM18-1)*100), 1)</f>
        <v>-16.399999999999999</v>
      </c>
      <c r="BP18" s="814">
        <f>BS18-BM18</f>
        <v>117</v>
      </c>
      <c r="BQ18" s="808">
        <f>BT18-BN18</f>
        <v>178</v>
      </c>
      <c r="BR18" s="804">
        <f t="shared" ref="BR18:BR25" si="39">ROUND(((BQ18/BP18-1)*100), 1)</f>
        <v>52.1</v>
      </c>
      <c r="BS18" s="814">
        <v>1788</v>
      </c>
      <c r="BT18" s="808">
        <v>1575</v>
      </c>
      <c r="BU18" s="804">
        <f t="shared" ref="BU18:BU26" si="40">ROUND(((BT18/BS18-1)*100), 1)</f>
        <v>-11.9</v>
      </c>
    </row>
    <row r="19" spans="1:73">
      <c r="A19" s="215"/>
      <c r="B19" s="43" t="s">
        <v>61</v>
      </c>
      <c r="C19" s="359">
        <v>5441</v>
      </c>
      <c r="D19" s="359">
        <v>4090</v>
      </c>
      <c r="E19" s="359">
        <v>2539</v>
      </c>
      <c r="F19" s="359">
        <v>1823</v>
      </c>
      <c r="G19" s="359">
        <v>5630</v>
      </c>
      <c r="H19" s="283">
        <v>5138</v>
      </c>
      <c r="I19" s="44">
        <v>10107</v>
      </c>
      <c r="J19" s="44">
        <v>12231</v>
      </c>
      <c r="K19" s="383">
        <v>1480</v>
      </c>
      <c r="L19" s="390">
        <v>1373</v>
      </c>
      <c r="M19" s="286">
        <f t="shared" si="20"/>
        <v>-7.2</v>
      </c>
      <c r="N19" s="383">
        <f>Q19-K19</f>
        <v>1401</v>
      </c>
      <c r="O19" s="390">
        <f>R19-L19</f>
        <v>320</v>
      </c>
      <c r="P19" s="303">
        <f t="shared" si="21"/>
        <v>-77.2</v>
      </c>
      <c r="Q19" s="383">
        <v>2881</v>
      </c>
      <c r="R19" s="390">
        <v>1693</v>
      </c>
      <c r="S19" s="303">
        <f t="shared" si="22"/>
        <v>-41.2</v>
      </c>
      <c r="T19" s="383">
        <f>W19-Q19</f>
        <v>899</v>
      </c>
      <c r="U19" s="390">
        <f>X19-R19</f>
        <v>282</v>
      </c>
      <c r="V19" s="303">
        <f t="shared" si="23"/>
        <v>-68.599999999999994</v>
      </c>
      <c r="W19" s="383">
        <v>3780</v>
      </c>
      <c r="X19" s="390">
        <v>1975</v>
      </c>
      <c r="Y19" s="303">
        <f t="shared" si="24"/>
        <v>-47.8</v>
      </c>
      <c r="Z19" s="527">
        <f>AC19-W19</f>
        <v>1327</v>
      </c>
      <c r="AA19" s="390">
        <f>AD19-X19</f>
        <v>960</v>
      </c>
      <c r="AB19" s="303">
        <f t="shared" si="25"/>
        <v>-27.7</v>
      </c>
      <c r="AC19" s="527">
        <v>5107</v>
      </c>
      <c r="AD19" s="390">
        <v>2935</v>
      </c>
      <c r="AE19" s="303">
        <f t="shared" si="26"/>
        <v>-42.5</v>
      </c>
      <c r="AF19" s="527">
        <f>AI19-AC19</f>
        <v>1134</v>
      </c>
      <c r="AG19" s="390">
        <f>AJ19-AD19</f>
        <v>600</v>
      </c>
      <c r="AH19" s="303">
        <f t="shared" si="27"/>
        <v>-47.1</v>
      </c>
      <c r="AI19" s="527">
        <v>6241</v>
      </c>
      <c r="AJ19" s="390">
        <v>3535</v>
      </c>
      <c r="AK19" s="303">
        <f t="shared" si="28"/>
        <v>-43.4</v>
      </c>
      <c r="AL19" s="791">
        <f>AO19-AI19</f>
        <v>744</v>
      </c>
      <c r="AM19" s="794">
        <f>AP19-AJ19</f>
        <v>540</v>
      </c>
      <c r="AN19" s="785">
        <f t="shared" si="29"/>
        <v>-27.4</v>
      </c>
      <c r="AO19" s="817">
        <v>6985</v>
      </c>
      <c r="AP19" s="819">
        <v>4075</v>
      </c>
      <c r="AQ19" s="785">
        <f t="shared" si="30"/>
        <v>-41.7</v>
      </c>
      <c r="AR19" s="817">
        <f>AU19-AO19</f>
        <v>1268</v>
      </c>
      <c r="AS19" s="819">
        <f>AV19-AP19</f>
        <v>811</v>
      </c>
      <c r="AT19" s="804">
        <f t="shared" si="31"/>
        <v>-36</v>
      </c>
      <c r="AU19" s="969">
        <v>8253</v>
      </c>
      <c r="AV19" s="970">
        <v>4886</v>
      </c>
      <c r="AW19" s="804">
        <f t="shared" si="32"/>
        <v>-40.799999999999997</v>
      </c>
      <c r="AX19" s="817">
        <f>BA19-AU19</f>
        <v>1184</v>
      </c>
      <c r="AY19" s="819">
        <f>BB19-AV19</f>
        <v>1054</v>
      </c>
      <c r="AZ19" s="804">
        <f t="shared" si="33"/>
        <v>-11</v>
      </c>
      <c r="BA19" s="817">
        <v>9437</v>
      </c>
      <c r="BB19" s="819">
        <v>5940</v>
      </c>
      <c r="BC19" s="804">
        <f t="shared" si="34"/>
        <v>-37.1</v>
      </c>
      <c r="BD19" s="817">
        <f>BG19-BA19</f>
        <v>344</v>
      </c>
      <c r="BE19" s="819">
        <f>BH19-BB19</f>
        <v>833</v>
      </c>
      <c r="BF19" s="804">
        <f t="shared" si="35"/>
        <v>142.19999999999999</v>
      </c>
      <c r="BG19" s="817">
        <v>9781</v>
      </c>
      <c r="BH19" s="819">
        <v>6773</v>
      </c>
      <c r="BI19" s="804">
        <f t="shared" si="36"/>
        <v>-30.8</v>
      </c>
      <c r="BJ19" s="817">
        <f>BM19-BG19</f>
        <v>650</v>
      </c>
      <c r="BK19" s="819">
        <f>BN19-BH19</f>
        <v>1645</v>
      </c>
      <c r="BL19" s="804">
        <f t="shared" si="37"/>
        <v>153.1</v>
      </c>
      <c r="BM19" s="817">
        <v>10431</v>
      </c>
      <c r="BN19" s="819">
        <v>8418</v>
      </c>
      <c r="BO19" s="804">
        <f t="shared" si="38"/>
        <v>-19.3</v>
      </c>
      <c r="BP19" s="817">
        <f>BS19-BM19</f>
        <v>874</v>
      </c>
      <c r="BQ19" s="819">
        <f>BT19-BN19</f>
        <v>1201</v>
      </c>
      <c r="BR19" s="804">
        <f t="shared" si="39"/>
        <v>37.4</v>
      </c>
      <c r="BS19" s="817">
        <v>11305</v>
      </c>
      <c r="BT19" s="819">
        <v>9619</v>
      </c>
      <c r="BU19" s="804">
        <f t="shared" si="40"/>
        <v>-14.9</v>
      </c>
    </row>
    <row r="20" spans="1:73">
      <c r="A20" s="215" t="s">
        <v>110</v>
      </c>
      <c r="B20" s="43" t="s">
        <v>308</v>
      </c>
      <c r="C20" s="359">
        <v>0</v>
      </c>
      <c r="D20" s="359">
        <v>4804</v>
      </c>
      <c r="E20" s="359">
        <v>7291</v>
      </c>
      <c r="F20" s="359">
        <v>6092</v>
      </c>
      <c r="G20" s="359">
        <v>6836</v>
      </c>
      <c r="H20" s="283">
        <v>6846</v>
      </c>
      <c r="I20" s="44">
        <v>5995</v>
      </c>
      <c r="J20" s="44">
        <v>7732</v>
      </c>
      <c r="K20" s="383">
        <v>650</v>
      </c>
      <c r="L20" s="390">
        <v>308</v>
      </c>
      <c r="M20" s="304">
        <f t="shared" si="20"/>
        <v>-52.6</v>
      </c>
      <c r="N20" s="383">
        <f t="shared" ref="N20:O33" si="41">Q20-K20</f>
        <v>247</v>
      </c>
      <c r="O20" s="390">
        <f t="shared" si="41"/>
        <v>1066</v>
      </c>
      <c r="P20" s="304">
        <f t="shared" si="21"/>
        <v>331.6</v>
      </c>
      <c r="Q20" s="383">
        <v>897</v>
      </c>
      <c r="R20" s="390">
        <v>1374</v>
      </c>
      <c r="S20" s="304">
        <f t="shared" si="22"/>
        <v>53.2</v>
      </c>
      <c r="T20" s="383">
        <f t="shared" ref="T20:T33" si="42">W20-Q20</f>
        <v>1061</v>
      </c>
      <c r="U20" s="390">
        <f t="shared" ref="U20:U33" si="43">X20-R20</f>
        <v>884</v>
      </c>
      <c r="V20" s="304">
        <f t="shared" si="23"/>
        <v>-16.7</v>
      </c>
      <c r="W20" s="383">
        <v>1958</v>
      </c>
      <c r="X20" s="390">
        <v>2258</v>
      </c>
      <c r="Y20" s="304">
        <f t="shared" si="24"/>
        <v>15.3</v>
      </c>
      <c r="Z20" s="527">
        <f t="shared" ref="Z20:Z33" si="44">AC20-W20</f>
        <v>466</v>
      </c>
      <c r="AA20" s="390">
        <f t="shared" ref="AA20:AA33" si="45">AD20-X20</f>
        <v>293</v>
      </c>
      <c r="AB20" s="304">
        <f t="shared" si="25"/>
        <v>-37.1</v>
      </c>
      <c r="AC20" s="527">
        <v>2424</v>
      </c>
      <c r="AD20" s="390">
        <v>2551</v>
      </c>
      <c r="AE20" s="304">
        <f t="shared" si="26"/>
        <v>5.2</v>
      </c>
      <c r="AF20" s="527">
        <f t="shared" ref="AF20:AG33" si="46">AI20-AC20</f>
        <v>1014</v>
      </c>
      <c r="AG20" s="390">
        <f t="shared" si="46"/>
        <v>191</v>
      </c>
      <c r="AH20" s="304">
        <f t="shared" si="27"/>
        <v>-81.2</v>
      </c>
      <c r="AI20" s="527">
        <v>3438</v>
      </c>
      <c r="AJ20" s="390">
        <v>2742</v>
      </c>
      <c r="AK20" s="304">
        <f t="shared" si="28"/>
        <v>-20.2</v>
      </c>
      <c r="AL20" s="791">
        <f t="shared" ref="AL20:AL33" si="47">AO20-AI20</f>
        <v>580</v>
      </c>
      <c r="AM20" s="794">
        <f t="shared" ref="AM20:AM33" si="48">AP20-AJ20</f>
        <v>460</v>
      </c>
      <c r="AN20" s="786">
        <f t="shared" si="29"/>
        <v>-20.7</v>
      </c>
      <c r="AO20" s="817">
        <v>4018</v>
      </c>
      <c r="AP20" s="819">
        <v>3202</v>
      </c>
      <c r="AQ20" s="786">
        <f t="shared" si="30"/>
        <v>-20.3</v>
      </c>
      <c r="AR20" s="817">
        <f t="shared" ref="AR20:AS33" si="49">AU20-AO20</f>
        <v>182</v>
      </c>
      <c r="AS20" s="819">
        <f t="shared" si="49"/>
        <v>24</v>
      </c>
      <c r="AT20" s="805">
        <f t="shared" si="31"/>
        <v>-86.8</v>
      </c>
      <c r="AU20" s="969">
        <v>4200</v>
      </c>
      <c r="AV20" s="970">
        <v>3226</v>
      </c>
      <c r="AW20" s="805">
        <f t="shared" si="32"/>
        <v>-23.2</v>
      </c>
      <c r="AX20" s="817">
        <f t="shared" ref="AX20:AX33" si="50">BA20-AU20</f>
        <v>722</v>
      </c>
      <c r="AY20" s="819">
        <f t="shared" ref="AY20:AY33" si="51">BB20-AV20</f>
        <v>18</v>
      </c>
      <c r="AZ20" s="805">
        <f t="shared" si="33"/>
        <v>-97.5</v>
      </c>
      <c r="BA20" s="817">
        <v>4922</v>
      </c>
      <c r="BB20" s="819">
        <v>3244</v>
      </c>
      <c r="BC20" s="805">
        <f t="shared" si="34"/>
        <v>-34.1</v>
      </c>
      <c r="BD20" s="817">
        <f t="shared" ref="BD20:BE33" si="52">BG20-BA20</f>
        <v>736</v>
      </c>
      <c r="BE20" s="819">
        <f t="shared" si="52"/>
        <v>0</v>
      </c>
      <c r="BF20" s="805">
        <f t="shared" si="35"/>
        <v>-100</v>
      </c>
      <c r="BG20" s="817">
        <v>5658</v>
      </c>
      <c r="BH20" s="819">
        <v>3244</v>
      </c>
      <c r="BI20" s="805">
        <f t="shared" si="36"/>
        <v>-42.7</v>
      </c>
      <c r="BJ20" s="817">
        <f t="shared" ref="BJ20:BK33" si="53">BM20-BG20</f>
        <v>664</v>
      </c>
      <c r="BK20" s="819">
        <f t="shared" si="53"/>
        <v>0</v>
      </c>
      <c r="BL20" s="805">
        <f t="shared" si="37"/>
        <v>-100</v>
      </c>
      <c r="BM20" s="817">
        <v>6322</v>
      </c>
      <c r="BN20" s="819">
        <v>3244</v>
      </c>
      <c r="BO20" s="805">
        <f t="shared" si="38"/>
        <v>-48.7</v>
      </c>
      <c r="BP20" s="817">
        <f t="shared" ref="BP20:BQ33" si="54">BS20-BM20</f>
        <v>776</v>
      </c>
      <c r="BQ20" s="819">
        <f t="shared" si="54"/>
        <v>24</v>
      </c>
      <c r="BR20" s="805">
        <f t="shared" si="39"/>
        <v>-96.9</v>
      </c>
      <c r="BS20" s="817">
        <v>7098</v>
      </c>
      <c r="BT20" s="819">
        <v>3268</v>
      </c>
      <c r="BU20" s="805">
        <f t="shared" si="40"/>
        <v>-54</v>
      </c>
    </row>
    <row r="21" spans="1:73">
      <c r="A21" s="215"/>
      <c r="B21" s="43" t="s">
        <v>309</v>
      </c>
      <c r="C21" s="359">
        <v>3550</v>
      </c>
      <c r="D21" s="359">
        <v>3305</v>
      </c>
      <c r="E21" s="359">
        <v>2226</v>
      </c>
      <c r="F21" s="359">
        <v>3895</v>
      </c>
      <c r="G21" s="359">
        <v>4720</v>
      </c>
      <c r="H21" s="283">
        <v>4843</v>
      </c>
      <c r="I21" s="44">
        <v>5634</v>
      </c>
      <c r="J21" s="44">
        <v>4758</v>
      </c>
      <c r="K21" s="383">
        <v>431</v>
      </c>
      <c r="L21" s="390">
        <v>323</v>
      </c>
      <c r="M21" s="287">
        <f t="shared" si="20"/>
        <v>-25.1</v>
      </c>
      <c r="N21" s="383">
        <f t="shared" si="41"/>
        <v>541</v>
      </c>
      <c r="O21" s="390">
        <f t="shared" si="41"/>
        <v>363</v>
      </c>
      <c r="P21" s="304">
        <f t="shared" si="21"/>
        <v>-32.9</v>
      </c>
      <c r="Q21" s="383">
        <v>972</v>
      </c>
      <c r="R21" s="390">
        <v>686</v>
      </c>
      <c r="S21" s="304">
        <f t="shared" si="22"/>
        <v>-29.4</v>
      </c>
      <c r="T21" s="383">
        <f t="shared" si="42"/>
        <v>363</v>
      </c>
      <c r="U21" s="390">
        <f t="shared" si="43"/>
        <v>310</v>
      </c>
      <c r="V21" s="304">
        <f t="shared" si="23"/>
        <v>-14.6</v>
      </c>
      <c r="W21" s="383">
        <v>1335</v>
      </c>
      <c r="X21" s="390">
        <v>996</v>
      </c>
      <c r="Y21" s="304">
        <f t="shared" si="24"/>
        <v>-25.4</v>
      </c>
      <c r="Z21" s="527">
        <f t="shared" si="44"/>
        <v>398</v>
      </c>
      <c r="AA21" s="390">
        <f t="shared" si="45"/>
        <v>475</v>
      </c>
      <c r="AB21" s="304">
        <f t="shared" si="25"/>
        <v>19.3</v>
      </c>
      <c r="AC21" s="527">
        <v>1733</v>
      </c>
      <c r="AD21" s="390">
        <v>1471</v>
      </c>
      <c r="AE21" s="304">
        <f t="shared" si="26"/>
        <v>-15.1</v>
      </c>
      <c r="AF21" s="527">
        <f t="shared" si="46"/>
        <v>441</v>
      </c>
      <c r="AG21" s="390">
        <f t="shared" si="46"/>
        <v>333</v>
      </c>
      <c r="AH21" s="304">
        <f t="shared" si="27"/>
        <v>-24.5</v>
      </c>
      <c r="AI21" s="527">
        <v>2174</v>
      </c>
      <c r="AJ21" s="390">
        <v>1804</v>
      </c>
      <c r="AK21" s="304">
        <f t="shared" si="28"/>
        <v>-17</v>
      </c>
      <c r="AL21" s="791">
        <f t="shared" si="47"/>
        <v>484</v>
      </c>
      <c r="AM21" s="794">
        <f t="shared" si="48"/>
        <v>165</v>
      </c>
      <c r="AN21" s="786">
        <f t="shared" si="29"/>
        <v>-65.900000000000006</v>
      </c>
      <c r="AO21" s="817">
        <v>2658</v>
      </c>
      <c r="AP21" s="819">
        <v>1969</v>
      </c>
      <c r="AQ21" s="786">
        <f t="shared" si="30"/>
        <v>-25.9</v>
      </c>
      <c r="AR21" s="817">
        <f t="shared" si="49"/>
        <v>276</v>
      </c>
      <c r="AS21" s="819">
        <f t="shared" si="49"/>
        <v>398</v>
      </c>
      <c r="AT21" s="805">
        <f t="shared" si="31"/>
        <v>44.2</v>
      </c>
      <c r="AU21" s="969">
        <v>2934</v>
      </c>
      <c r="AV21" s="970">
        <v>2367</v>
      </c>
      <c r="AW21" s="805">
        <f t="shared" si="32"/>
        <v>-19.3</v>
      </c>
      <c r="AX21" s="817">
        <f t="shared" si="50"/>
        <v>350</v>
      </c>
      <c r="AY21" s="819">
        <f t="shared" si="51"/>
        <v>270</v>
      </c>
      <c r="AZ21" s="805">
        <f t="shared" si="33"/>
        <v>-22.9</v>
      </c>
      <c r="BA21" s="817">
        <v>3284</v>
      </c>
      <c r="BB21" s="819">
        <v>2637</v>
      </c>
      <c r="BC21" s="805">
        <f t="shared" si="34"/>
        <v>-19.7</v>
      </c>
      <c r="BD21" s="817">
        <f t="shared" si="52"/>
        <v>342</v>
      </c>
      <c r="BE21" s="819">
        <f t="shared" si="52"/>
        <v>289</v>
      </c>
      <c r="BF21" s="805">
        <f t="shared" si="35"/>
        <v>-15.5</v>
      </c>
      <c r="BG21" s="817">
        <v>3626</v>
      </c>
      <c r="BH21" s="819">
        <v>2926</v>
      </c>
      <c r="BI21" s="805">
        <f t="shared" si="36"/>
        <v>-19.3</v>
      </c>
      <c r="BJ21" s="817">
        <f t="shared" si="53"/>
        <v>464</v>
      </c>
      <c r="BK21" s="819">
        <f t="shared" si="53"/>
        <v>318</v>
      </c>
      <c r="BL21" s="805">
        <f t="shared" si="37"/>
        <v>-31.5</v>
      </c>
      <c r="BM21" s="817">
        <v>4090</v>
      </c>
      <c r="BN21" s="819">
        <v>3244</v>
      </c>
      <c r="BO21" s="805">
        <f t="shared" si="38"/>
        <v>-20.7</v>
      </c>
      <c r="BP21" s="817">
        <f t="shared" si="54"/>
        <v>314</v>
      </c>
      <c r="BQ21" s="819">
        <f t="shared" si="54"/>
        <v>267</v>
      </c>
      <c r="BR21" s="805">
        <f t="shared" si="39"/>
        <v>-15</v>
      </c>
      <c r="BS21" s="817">
        <v>4404</v>
      </c>
      <c r="BT21" s="819">
        <v>3511</v>
      </c>
      <c r="BU21" s="805">
        <f t="shared" si="40"/>
        <v>-20.3</v>
      </c>
    </row>
    <row r="22" spans="1:73">
      <c r="A22" s="215"/>
      <c r="B22" s="43" t="s">
        <v>151</v>
      </c>
      <c r="C22" s="359">
        <v>814</v>
      </c>
      <c r="D22" s="359">
        <v>563</v>
      </c>
      <c r="E22" s="359">
        <v>1106</v>
      </c>
      <c r="F22" s="359">
        <v>933</v>
      </c>
      <c r="G22" s="359">
        <v>1743</v>
      </c>
      <c r="H22" s="283">
        <v>1606</v>
      </c>
      <c r="I22" s="44">
        <v>2667</v>
      </c>
      <c r="J22" s="44">
        <v>3498</v>
      </c>
      <c r="K22" s="383">
        <v>490</v>
      </c>
      <c r="L22" s="390">
        <v>391</v>
      </c>
      <c r="M22" s="287">
        <f t="shared" si="20"/>
        <v>-20.2</v>
      </c>
      <c r="N22" s="383">
        <f t="shared" si="41"/>
        <v>441</v>
      </c>
      <c r="O22" s="390">
        <f t="shared" si="41"/>
        <v>253</v>
      </c>
      <c r="P22" s="304">
        <f t="shared" si="21"/>
        <v>-42.6</v>
      </c>
      <c r="Q22" s="383">
        <v>931</v>
      </c>
      <c r="R22" s="390">
        <v>644</v>
      </c>
      <c r="S22" s="304">
        <f t="shared" si="22"/>
        <v>-30.8</v>
      </c>
      <c r="T22" s="383">
        <f t="shared" si="42"/>
        <v>135</v>
      </c>
      <c r="U22" s="390">
        <f t="shared" si="43"/>
        <v>38</v>
      </c>
      <c r="V22" s="304">
        <f t="shared" si="23"/>
        <v>-71.900000000000006</v>
      </c>
      <c r="W22" s="383">
        <v>1066</v>
      </c>
      <c r="X22" s="390">
        <v>682</v>
      </c>
      <c r="Y22" s="304">
        <f t="shared" si="24"/>
        <v>-36</v>
      </c>
      <c r="Z22" s="527">
        <f t="shared" si="44"/>
        <v>249</v>
      </c>
      <c r="AA22" s="390">
        <f t="shared" si="45"/>
        <v>78</v>
      </c>
      <c r="AB22" s="304">
        <f t="shared" si="25"/>
        <v>-68.7</v>
      </c>
      <c r="AC22" s="527">
        <v>1315</v>
      </c>
      <c r="AD22" s="390">
        <v>760</v>
      </c>
      <c r="AE22" s="304">
        <f t="shared" si="26"/>
        <v>-42.2</v>
      </c>
      <c r="AF22" s="527">
        <f t="shared" si="46"/>
        <v>141</v>
      </c>
      <c r="AG22" s="390">
        <f t="shared" si="46"/>
        <v>336</v>
      </c>
      <c r="AH22" s="304">
        <f t="shared" si="27"/>
        <v>138.30000000000001</v>
      </c>
      <c r="AI22" s="527">
        <v>1456</v>
      </c>
      <c r="AJ22" s="390">
        <v>1096</v>
      </c>
      <c r="AK22" s="304">
        <f t="shared" si="28"/>
        <v>-24.7</v>
      </c>
      <c r="AL22" s="791">
        <f t="shared" si="47"/>
        <v>167</v>
      </c>
      <c r="AM22" s="794">
        <f t="shared" si="48"/>
        <v>1074</v>
      </c>
      <c r="AN22" s="786">
        <f t="shared" si="29"/>
        <v>543.1</v>
      </c>
      <c r="AO22" s="817">
        <v>1623</v>
      </c>
      <c r="AP22" s="819">
        <v>2170</v>
      </c>
      <c r="AQ22" s="786">
        <f t="shared" si="30"/>
        <v>33.700000000000003</v>
      </c>
      <c r="AR22" s="817">
        <f t="shared" si="49"/>
        <v>338</v>
      </c>
      <c r="AS22" s="819">
        <f t="shared" si="49"/>
        <v>452</v>
      </c>
      <c r="AT22" s="805">
        <f t="shared" si="31"/>
        <v>33.700000000000003</v>
      </c>
      <c r="AU22" s="969">
        <v>1961</v>
      </c>
      <c r="AV22" s="970">
        <v>2622</v>
      </c>
      <c r="AW22" s="805">
        <f t="shared" si="32"/>
        <v>33.700000000000003</v>
      </c>
      <c r="AX22" s="817">
        <f t="shared" si="50"/>
        <v>313</v>
      </c>
      <c r="AY22" s="819">
        <f t="shared" si="51"/>
        <v>633</v>
      </c>
      <c r="AZ22" s="805">
        <f t="shared" si="33"/>
        <v>102.2</v>
      </c>
      <c r="BA22" s="817">
        <v>2274</v>
      </c>
      <c r="BB22" s="819">
        <v>3255</v>
      </c>
      <c r="BC22" s="805">
        <f t="shared" si="34"/>
        <v>43.1</v>
      </c>
      <c r="BD22" s="817">
        <f t="shared" si="52"/>
        <v>222</v>
      </c>
      <c r="BE22" s="819">
        <f t="shared" si="52"/>
        <v>721</v>
      </c>
      <c r="BF22" s="805">
        <f t="shared" si="35"/>
        <v>224.8</v>
      </c>
      <c r="BG22" s="817">
        <v>2496</v>
      </c>
      <c r="BH22" s="819">
        <v>3976</v>
      </c>
      <c r="BI22" s="805">
        <f t="shared" si="36"/>
        <v>59.3</v>
      </c>
      <c r="BJ22" s="817">
        <f t="shared" si="53"/>
        <v>648</v>
      </c>
      <c r="BK22" s="819">
        <f t="shared" si="53"/>
        <v>452</v>
      </c>
      <c r="BL22" s="805">
        <f t="shared" si="37"/>
        <v>-30.2</v>
      </c>
      <c r="BM22" s="817">
        <v>3144</v>
      </c>
      <c r="BN22" s="819">
        <v>4428</v>
      </c>
      <c r="BO22" s="805">
        <f t="shared" si="38"/>
        <v>40.799999999999997</v>
      </c>
      <c r="BP22" s="817">
        <f t="shared" si="54"/>
        <v>178</v>
      </c>
      <c r="BQ22" s="819">
        <f t="shared" si="54"/>
        <v>594</v>
      </c>
      <c r="BR22" s="805">
        <f t="shared" si="39"/>
        <v>233.7</v>
      </c>
      <c r="BS22" s="817">
        <v>3322</v>
      </c>
      <c r="BT22" s="819">
        <v>5022</v>
      </c>
      <c r="BU22" s="805">
        <f t="shared" si="40"/>
        <v>51.2</v>
      </c>
    </row>
    <row r="23" spans="1:73">
      <c r="A23" s="215"/>
      <c r="B23" s="43" t="s">
        <v>72</v>
      </c>
      <c r="C23" s="359">
        <v>1894</v>
      </c>
      <c r="D23" s="359">
        <v>1651</v>
      </c>
      <c r="E23" s="359">
        <v>1595</v>
      </c>
      <c r="F23" s="359">
        <v>1792</v>
      </c>
      <c r="G23" s="359">
        <v>2936</v>
      </c>
      <c r="H23" s="283">
        <v>3032</v>
      </c>
      <c r="I23" s="44">
        <v>2673</v>
      </c>
      <c r="J23" s="44">
        <v>3294</v>
      </c>
      <c r="K23" s="383">
        <v>175</v>
      </c>
      <c r="L23" s="390">
        <v>279</v>
      </c>
      <c r="M23" s="287">
        <f t="shared" si="20"/>
        <v>59.4</v>
      </c>
      <c r="N23" s="383">
        <f t="shared" si="41"/>
        <v>182</v>
      </c>
      <c r="O23" s="390">
        <f t="shared" si="41"/>
        <v>181</v>
      </c>
      <c r="P23" s="304">
        <f t="shared" si="21"/>
        <v>-0.5</v>
      </c>
      <c r="Q23" s="383">
        <v>357</v>
      </c>
      <c r="R23" s="390">
        <v>460</v>
      </c>
      <c r="S23" s="304">
        <f t="shared" si="22"/>
        <v>28.9</v>
      </c>
      <c r="T23" s="383">
        <f t="shared" si="42"/>
        <v>267</v>
      </c>
      <c r="U23" s="390">
        <f t="shared" si="43"/>
        <v>171</v>
      </c>
      <c r="V23" s="304">
        <f t="shared" si="23"/>
        <v>-36</v>
      </c>
      <c r="W23" s="383">
        <v>624</v>
      </c>
      <c r="X23" s="390">
        <v>631</v>
      </c>
      <c r="Y23" s="304">
        <f t="shared" si="24"/>
        <v>1.1000000000000001</v>
      </c>
      <c r="Z23" s="527">
        <f t="shared" si="44"/>
        <v>248</v>
      </c>
      <c r="AA23" s="390">
        <f t="shared" si="45"/>
        <v>268</v>
      </c>
      <c r="AB23" s="304">
        <f t="shared" si="25"/>
        <v>8.1</v>
      </c>
      <c r="AC23" s="527">
        <v>872</v>
      </c>
      <c r="AD23" s="390">
        <v>899</v>
      </c>
      <c r="AE23" s="304">
        <f t="shared" si="26"/>
        <v>3.1</v>
      </c>
      <c r="AF23" s="527">
        <f t="shared" si="46"/>
        <v>450</v>
      </c>
      <c r="AG23" s="390">
        <f t="shared" si="46"/>
        <v>320</v>
      </c>
      <c r="AH23" s="304">
        <f t="shared" si="27"/>
        <v>-28.9</v>
      </c>
      <c r="AI23" s="527">
        <v>1322</v>
      </c>
      <c r="AJ23" s="390">
        <v>1219</v>
      </c>
      <c r="AK23" s="304">
        <f t="shared" si="28"/>
        <v>-7.8</v>
      </c>
      <c r="AL23" s="791">
        <f t="shared" si="47"/>
        <v>269</v>
      </c>
      <c r="AM23" s="794">
        <f t="shared" si="48"/>
        <v>286</v>
      </c>
      <c r="AN23" s="786">
        <f t="shared" si="29"/>
        <v>6.3</v>
      </c>
      <c r="AO23" s="817">
        <v>1591</v>
      </c>
      <c r="AP23" s="819">
        <v>1505</v>
      </c>
      <c r="AQ23" s="786">
        <f t="shared" si="30"/>
        <v>-5.4</v>
      </c>
      <c r="AR23" s="817">
        <f t="shared" si="49"/>
        <v>357</v>
      </c>
      <c r="AS23" s="819">
        <f t="shared" si="49"/>
        <v>95</v>
      </c>
      <c r="AT23" s="805">
        <f t="shared" si="31"/>
        <v>-73.400000000000006</v>
      </c>
      <c r="AU23" s="969">
        <v>1948</v>
      </c>
      <c r="AV23" s="970">
        <v>1600</v>
      </c>
      <c r="AW23" s="805">
        <f t="shared" si="32"/>
        <v>-17.899999999999999</v>
      </c>
      <c r="AX23" s="817">
        <f t="shared" si="50"/>
        <v>233</v>
      </c>
      <c r="AY23" s="819">
        <f t="shared" si="51"/>
        <v>226</v>
      </c>
      <c r="AZ23" s="805">
        <f t="shared" si="33"/>
        <v>-3</v>
      </c>
      <c r="BA23" s="817">
        <v>2181</v>
      </c>
      <c r="BB23" s="819">
        <v>1826</v>
      </c>
      <c r="BC23" s="805">
        <f t="shared" si="34"/>
        <v>-16.3</v>
      </c>
      <c r="BD23" s="817">
        <f t="shared" si="52"/>
        <v>213</v>
      </c>
      <c r="BE23" s="819">
        <f t="shared" si="52"/>
        <v>299</v>
      </c>
      <c r="BF23" s="805">
        <f t="shared" si="35"/>
        <v>40.4</v>
      </c>
      <c r="BG23" s="817">
        <v>2394</v>
      </c>
      <c r="BH23" s="819">
        <v>2125</v>
      </c>
      <c r="BI23" s="805">
        <f t="shared" si="36"/>
        <v>-11.2</v>
      </c>
      <c r="BJ23" s="817">
        <f t="shared" si="53"/>
        <v>313</v>
      </c>
      <c r="BK23" s="819">
        <f t="shared" si="53"/>
        <v>103</v>
      </c>
      <c r="BL23" s="805">
        <f t="shared" si="37"/>
        <v>-67.099999999999994</v>
      </c>
      <c r="BM23" s="817">
        <v>2707</v>
      </c>
      <c r="BN23" s="819">
        <v>2228</v>
      </c>
      <c r="BO23" s="805">
        <f t="shared" si="38"/>
        <v>-17.7</v>
      </c>
      <c r="BP23" s="817">
        <f t="shared" si="54"/>
        <v>318</v>
      </c>
      <c r="BQ23" s="819">
        <f t="shared" si="54"/>
        <v>81</v>
      </c>
      <c r="BR23" s="805">
        <f t="shared" si="39"/>
        <v>-74.5</v>
      </c>
      <c r="BS23" s="817">
        <v>3025</v>
      </c>
      <c r="BT23" s="819">
        <v>2309</v>
      </c>
      <c r="BU23" s="805">
        <f t="shared" si="40"/>
        <v>-23.7</v>
      </c>
    </row>
    <row r="24" spans="1:73">
      <c r="A24" s="215"/>
      <c r="B24" s="43" t="s">
        <v>89</v>
      </c>
      <c r="C24" s="359">
        <v>306</v>
      </c>
      <c r="D24" s="359">
        <v>539</v>
      </c>
      <c r="E24" s="359">
        <v>186</v>
      </c>
      <c r="F24" s="359">
        <v>191</v>
      </c>
      <c r="G24" s="359">
        <v>249</v>
      </c>
      <c r="H24" s="283">
        <v>95</v>
      </c>
      <c r="I24" s="44">
        <v>389</v>
      </c>
      <c r="J24" s="44">
        <v>826</v>
      </c>
      <c r="K24" s="383">
        <v>57</v>
      </c>
      <c r="L24" s="390">
        <v>46</v>
      </c>
      <c r="M24" s="287">
        <f t="shared" si="20"/>
        <v>-19.3</v>
      </c>
      <c r="N24" s="383">
        <f t="shared" si="41"/>
        <v>0</v>
      </c>
      <c r="O24" s="390">
        <f t="shared" si="41"/>
        <v>0</v>
      </c>
      <c r="P24" s="526">
        <v>0</v>
      </c>
      <c r="Q24" s="383">
        <v>57</v>
      </c>
      <c r="R24" s="390">
        <v>46</v>
      </c>
      <c r="S24" s="304">
        <f t="shared" si="22"/>
        <v>-19.3</v>
      </c>
      <c r="T24" s="383">
        <f t="shared" si="42"/>
        <v>0</v>
      </c>
      <c r="U24" s="390">
        <f t="shared" si="43"/>
        <v>20</v>
      </c>
      <c r="V24" s="526">
        <v>0</v>
      </c>
      <c r="W24" s="383">
        <v>57</v>
      </c>
      <c r="X24" s="390">
        <v>66</v>
      </c>
      <c r="Y24" s="304">
        <f t="shared" si="24"/>
        <v>15.8</v>
      </c>
      <c r="Z24" s="527">
        <f t="shared" si="44"/>
        <v>72</v>
      </c>
      <c r="AA24" s="390">
        <f t="shared" si="45"/>
        <v>6</v>
      </c>
      <c r="AB24" s="304">
        <f>ROUND(((AA24/Z24-1)*100), 1)</f>
        <v>-91.7</v>
      </c>
      <c r="AC24" s="527">
        <v>129</v>
      </c>
      <c r="AD24" s="390">
        <v>72</v>
      </c>
      <c r="AE24" s="304">
        <f t="shared" si="26"/>
        <v>-44.2</v>
      </c>
      <c r="AF24" s="527">
        <f t="shared" si="46"/>
        <v>120</v>
      </c>
      <c r="AG24" s="390">
        <f t="shared" si="46"/>
        <v>6</v>
      </c>
      <c r="AH24" s="304">
        <f>ROUND(((AG24/AF24-1)*100), 1)</f>
        <v>-95</v>
      </c>
      <c r="AI24" s="527">
        <v>249</v>
      </c>
      <c r="AJ24" s="390">
        <v>78</v>
      </c>
      <c r="AK24" s="304">
        <f t="shared" si="28"/>
        <v>-68.7</v>
      </c>
      <c r="AL24" s="791">
        <f t="shared" si="47"/>
        <v>68</v>
      </c>
      <c r="AM24" s="794">
        <f t="shared" si="48"/>
        <v>0</v>
      </c>
      <c r="AN24" s="786">
        <f>ROUND(((AM24/AL24-1)*100), 1)</f>
        <v>-100</v>
      </c>
      <c r="AO24" s="817">
        <v>317</v>
      </c>
      <c r="AP24" s="819">
        <v>78</v>
      </c>
      <c r="AQ24" s="786">
        <f t="shared" si="30"/>
        <v>-75.400000000000006</v>
      </c>
      <c r="AR24" s="817">
        <f t="shared" si="49"/>
        <v>84</v>
      </c>
      <c r="AS24" s="819">
        <f t="shared" si="49"/>
        <v>30</v>
      </c>
      <c r="AT24" s="805">
        <f t="shared" si="31"/>
        <v>-64.3</v>
      </c>
      <c r="AU24" s="969">
        <v>401</v>
      </c>
      <c r="AV24" s="970">
        <v>108</v>
      </c>
      <c r="AW24" s="805">
        <f t="shared" si="32"/>
        <v>-73.099999999999994</v>
      </c>
      <c r="AX24" s="817">
        <f t="shared" si="50"/>
        <v>81</v>
      </c>
      <c r="AY24" s="819">
        <f t="shared" si="51"/>
        <v>0</v>
      </c>
      <c r="AZ24" s="805">
        <f t="shared" si="33"/>
        <v>-100</v>
      </c>
      <c r="BA24" s="817">
        <v>482</v>
      </c>
      <c r="BB24" s="819">
        <v>108</v>
      </c>
      <c r="BC24" s="805">
        <f t="shared" si="34"/>
        <v>-77.599999999999994</v>
      </c>
      <c r="BD24" s="817">
        <f t="shared" si="52"/>
        <v>120</v>
      </c>
      <c r="BE24" s="819">
        <f t="shared" si="52"/>
        <v>40</v>
      </c>
      <c r="BF24" s="805">
        <f t="shared" si="35"/>
        <v>-66.7</v>
      </c>
      <c r="BG24" s="817">
        <v>602</v>
      </c>
      <c r="BH24" s="819">
        <v>148</v>
      </c>
      <c r="BI24" s="805">
        <f t="shared" si="36"/>
        <v>-75.400000000000006</v>
      </c>
      <c r="BJ24" s="817">
        <f t="shared" si="53"/>
        <v>60</v>
      </c>
      <c r="BK24" s="819">
        <f t="shared" si="53"/>
        <v>2</v>
      </c>
      <c r="BL24" s="805">
        <f t="shared" si="37"/>
        <v>-96.7</v>
      </c>
      <c r="BM24" s="817">
        <v>662</v>
      </c>
      <c r="BN24" s="819">
        <v>150</v>
      </c>
      <c r="BO24" s="805">
        <f t="shared" si="38"/>
        <v>-77.3</v>
      </c>
      <c r="BP24" s="817">
        <f t="shared" si="54"/>
        <v>92</v>
      </c>
      <c r="BQ24" s="819">
        <f t="shared" si="54"/>
        <v>0</v>
      </c>
      <c r="BR24" s="805">
        <f t="shared" si="39"/>
        <v>-100</v>
      </c>
      <c r="BS24" s="817">
        <v>754</v>
      </c>
      <c r="BT24" s="819">
        <v>150</v>
      </c>
      <c r="BU24" s="805">
        <f t="shared" si="40"/>
        <v>-80.099999999999994</v>
      </c>
    </row>
    <row r="25" spans="1:73">
      <c r="A25" s="215"/>
      <c r="B25" s="43" t="s">
        <v>54</v>
      </c>
      <c r="C25" s="359">
        <v>419</v>
      </c>
      <c r="D25" s="359">
        <v>788</v>
      </c>
      <c r="E25" s="359">
        <v>396</v>
      </c>
      <c r="F25" s="359">
        <v>497</v>
      </c>
      <c r="G25" s="359">
        <v>418</v>
      </c>
      <c r="H25" s="283">
        <v>479</v>
      </c>
      <c r="I25" s="44">
        <v>193</v>
      </c>
      <c r="J25" s="44">
        <v>677</v>
      </c>
      <c r="K25" s="383">
        <v>60</v>
      </c>
      <c r="L25" s="390">
        <v>148</v>
      </c>
      <c r="M25" s="304">
        <f t="shared" si="20"/>
        <v>146.69999999999999</v>
      </c>
      <c r="N25" s="383">
        <f t="shared" si="41"/>
        <v>3</v>
      </c>
      <c r="O25" s="390">
        <f t="shared" si="41"/>
        <v>60</v>
      </c>
      <c r="P25" s="304">
        <f t="shared" si="21"/>
        <v>1900</v>
      </c>
      <c r="Q25" s="383">
        <v>63</v>
      </c>
      <c r="R25" s="390">
        <v>208</v>
      </c>
      <c r="S25" s="304">
        <f t="shared" si="22"/>
        <v>230.2</v>
      </c>
      <c r="T25" s="383">
        <f t="shared" si="42"/>
        <v>30</v>
      </c>
      <c r="U25" s="390">
        <f t="shared" si="43"/>
        <v>57</v>
      </c>
      <c r="V25" s="304">
        <f t="shared" si="23"/>
        <v>90</v>
      </c>
      <c r="W25" s="383">
        <v>93</v>
      </c>
      <c r="X25" s="390">
        <v>265</v>
      </c>
      <c r="Y25" s="304">
        <f t="shared" si="24"/>
        <v>184.9</v>
      </c>
      <c r="Z25" s="527">
        <f t="shared" si="44"/>
        <v>48</v>
      </c>
      <c r="AA25" s="390">
        <f t="shared" si="45"/>
        <v>92</v>
      </c>
      <c r="AB25" s="304">
        <f t="shared" ref="AB25:AB26" si="55">ROUND(((AA25/Z25-1)*100), 1)</f>
        <v>91.7</v>
      </c>
      <c r="AC25" s="527">
        <v>141</v>
      </c>
      <c r="AD25" s="390">
        <v>357</v>
      </c>
      <c r="AE25" s="304">
        <f t="shared" si="26"/>
        <v>153.19999999999999</v>
      </c>
      <c r="AF25" s="527">
        <f t="shared" si="46"/>
        <v>40</v>
      </c>
      <c r="AG25" s="390">
        <f t="shared" si="46"/>
        <v>60</v>
      </c>
      <c r="AH25" s="304">
        <f t="shared" ref="AH25" si="56">ROUND(((AG25/AF25-1)*100), 1)</f>
        <v>50</v>
      </c>
      <c r="AI25" s="527">
        <v>181</v>
      </c>
      <c r="AJ25" s="390">
        <v>417</v>
      </c>
      <c r="AK25" s="304">
        <f t="shared" si="28"/>
        <v>130.4</v>
      </c>
      <c r="AL25" s="791">
        <f t="shared" si="47"/>
        <v>30</v>
      </c>
      <c r="AM25" s="794">
        <f t="shared" si="48"/>
        <v>36</v>
      </c>
      <c r="AN25" s="786">
        <f t="shared" ref="AN25" si="57">ROUND(((AM25/AL25-1)*100), 1)</f>
        <v>20</v>
      </c>
      <c r="AO25" s="817">
        <v>211</v>
      </c>
      <c r="AP25" s="819">
        <v>453</v>
      </c>
      <c r="AQ25" s="786">
        <f t="shared" si="30"/>
        <v>114.7</v>
      </c>
      <c r="AR25" s="817">
        <f t="shared" si="49"/>
        <v>20</v>
      </c>
      <c r="AS25" s="819">
        <f t="shared" si="49"/>
        <v>45</v>
      </c>
      <c r="AT25" s="805">
        <f t="shared" si="31"/>
        <v>125</v>
      </c>
      <c r="AU25" s="969">
        <v>231</v>
      </c>
      <c r="AV25" s="970">
        <v>498</v>
      </c>
      <c r="AW25" s="805">
        <f t="shared" si="32"/>
        <v>115.6</v>
      </c>
      <c r="AX25" s="817">
        <f t="shared" si="50"/>
        <v>0</v>
      </c>
      <c r="AY25" s="819">
        <f t="shared" si="51"/>
        <v>216</v>
      </c>
      <c r="AZ25" s="809">
        <v>0</v>
      </c>
      <c r="BA25" s="817">
        <v>231</v>
      </c>
      <c r="BB25" s="819">
        <v>714</v>
      </c>
      <c r="BC25" s="805">
        <f t="shared" si="34"/>
        <v>209.1</v>
      </c>
      <c r="BD25" s="817">
        <f t="shared" si="52"/>
        <v>20</v>
      </c>
      <c r="BE25" s="819">
        <f t="shared" si="52"/>
        <v>92</v>
      </c>
      <c r="BF25" s="805">
        <f t="shared" si="35"/>
        <v>360</v>
      </c>
      <c r="BG25" s="817">
        <v>251</v>
      </c>
      <c r="BH25" s="819">
        <v>806</v>
      </c>
      <c r="BI25" s="805">
        <f t="shared" si="36"/>
        <v>221.1</v>
      </c>
      <c r="BJ25" s="817">
        <f t="shared" si="53"/>
        <v>240</v>
      </c>
      <c r="BK25" s="819">
        <f t="shared" si="53"/>
        <v>72</v>
      </c>
      <c r="BL25" s="805">
        <f t="shared" si="37"/>
        <v>-70</v>
      </c>
      <c r="BM25" s="817">
        <v>491</v>
      </c>
      <c r="BN25" s="819">
        <v>878</v>
      </c>
      <c r="BO25" s="805">
        <f t="shared" si="38"/>
        <v>78.8</v>
      </c>
      <c r="BP25" s="817">
        <f t="shared" si="54"/>
        <v>0</v>
      </c>
      <c r="BQ25" s="819">
        <f t="shared" si="54"/>
        <v>99</v>
      </c>
      <c r="BR25" s="809">
        <v>0</v>
      </c>
      <c r="BS25" s="817">
        <v>491</v>
      </c>
      <c r="BT25" s="819">
        <v>977</v>
      </c>
      <c r="BU25" s="805">
        <f t="shared" si="40"/>
        <v>99</v>
      </c>
    </row>
    <row r="26" spans="1:73">
      <c r="A26" s="215"/>
      <c r="B26" s="43" t="s">
        <v>86</v>
      </c>
      <c r="C26" s="359">
        <v>2265</v>
      </c>
      <c r="D26" s="359">
        <v>1594</v>
      </c>
      <c r="E26" s="359">
        <v>1806</v>
      </c>
      <c r="F26" s="359">
        <v>1155</v>
      </c>
      <c r="G26" s="359">
        <v>784</v>
      </c>
      <c r="H26" s="283">
        <v>219</v>
      </c>
      <c r="I26" s="44">
        <v>708</v>
      </c>
      <c r="J26" s="44">
        <v>504</v>
      </c>
      <c r="K26" s="383">
        <v>290</v>
      </c>
      <c r="L26" s="390">
        <v>0</v>
      </c>
      <c r="M26" s="304">
        <f t="shared" si="20"/>
        <v>-100</v>
      </c>
      <c r="N26" s="383">
        <f t="shared" si="41"/>
        <v>0</v>
      </c>
      <c r="O26" s="390">
        <f t="shared" si="41"/>
        <v>0</v>
      </c>
      <c r="P26" s="526">
        <v>0</v>
      </c>
      <c r="Q26" s="383">
        <v>290</v>
      </c>
      <c r="R26" s="390">
        <v>0</v>
      </c>
      <c r="S26" s="304">
        <f t="shared" si="22"/>
        <v>-100</v>
      </c>
      <c r="T26" s="383">
        <f t="shared" si="42"/>
        <v>54</v>
      </c>
      <c r="U26" s="390">
        <f t="shared" si="43"/>
        <v>0</v>
      </c>
      <c r="V26" s="304">
        <f t="shared" si="23"/>
        <v>-100</v>
      </c>
      <c r="W26" s="383">
        <v>344</v>
      </c>
      <c r="X26" s="390">
        <v>0</v>
      </c>
      <c r="Y26" s="304">
        <f t="shared" si="24"/>
        <v>-100</v>
      </c>
      <c r="Z26" s="527">
        <f t="shared" si="44"/>
        <v>89</v>
      </c>
      <c r="AA26" s="390">
        <f t="shared" si="45"/>
        <v>0</v>
      </c>
      <c r="AB26" s="304">
        <f t="shared" si="55"/>
        <v>-100</v>
      </c>
      <c r="AC26" s="527">
        <v>433</v>
      </c>
      <c r="AD26" s="390">
        <v>0</v>
      </c>
      <c r="AE26" s="304">
        <f t="shared" si="26"/>
        <v>-100</v>
      </c>
      <c r="AF26" s="527">
        <f t="shared" si="46"/>
        <v>0</v>
      </c>
      <c r="AG26" s="390">
        <f t="shared" si="46"/>
        <v>0</v>
      </c>
      <c r="AH26" s="526">
        <v>0</v>
      </c>
      <c r="AI26" s="527">
        <v>433</v>
      </c>
      <c r="AJ26" s="390">
        <v>0</v>
      </c>
      <c r="AK26" s="304">
        <f t="shared" si="28"/>
        <v>-100</v>
      </c>
      <c r="AL26" s="791">
        <f t="shared" si="47"/>
        <v>71</v>
      </c>
      <c r="AM26" s="794">
        <f t="shared" si="48"/>
        <v>0</v>
      </c>
      <c r="AN26" s="805">
        <f>ROUND(((AM26/AL26-1)*100), 1)</f>
        <v>-100</v>
      </c>
      <c r="AO26" s="817">
        <v>504</v>
      </c>
      <c r="AP26" s="819">
        <v>0</v>
      </c>
      <c r="AQ26" s="786">
        <f t="shared" si="30"/>
        <v>-100</v>
      </c>
      <c r="AR26" s="817">
        <f t="shared" si="49"/>
        <v>0</v>
      </c>
      <c r="AS26" s="819">
        <f t="shared" si="49"/>
        <v>0</v>
      </c>
      <c r="AT26" s="799">
        <v>0</v>
      </c>
      <c r="AU26" s="969">
        <v>504</v>
      </c>
      <c r="AV26" s="970">
        <v>0</v>
      </c>
      <c r="AW26" s="805">
        <f t="shared" si="32"/>
        <v>-100</v>
      </c>
      <c r="AX26" s="817">
        <f t="shared" si="50"/>
        <v>0</v>
      </c>
      <c r="AY26" s="819">
        <f t="shared" si="51"/>
        <v>0</v>
      </c>
      <c r="AZ26" s="799">
        <v>0</v>
      </c>
      <c r="BA26" s="817">
        <v>504</v>
      </c>
      <c r="BB26" s="819">
        <v>0</v>
      </c>
      <c r="BC26" s="805">
        <f t="shared" si="34"/>
        <v>-100</v>
      </c>
      <c r="BD26" s="817">
        <f t="shared" si="52"/>
        <v>0</v>
      </c>
      <c r="BE26" s="819">
        <f t="shared" si="52"/>
        <v>0</v>
      </c>
      <c r="BF26" s="799">
        <v>0</v>
      </c>
      <c r="BG26" s="817">
        <v>504</v>
      </c>
      <c r="BH26" s="819">
        <v>0</v>
      </c>
      <c r="BI26" s="805">
        <f t="shared" si="36"/>
        <v>-100</v>
      </c>
      <c r="BJ26" s="817">
        <f t="shared" si="53"/>
        <v>0</v>
      </c>
      <c r="BK26" s="819">
        <f t="shared" si="53"/>
        <v>0</v>
      </c>
      <c r="BL26" s="799">
        <v>0</v>
      </c>
      <c r="BM26" s="817">
        <v>504</v>
      </c>
      <c r="BN26" s="819">
        <v>0</v>
      </c>
      <c r="BO26" s="805">
        <f t="shared" si="38"/>
        <v>-100</v>
      </c>
      <c r="BP26" s="817">
        <f t="shared" si="54"/>
        <v>0</v>
      </c>
      <c r="BQ26" s="819">
        <f t="shared" si="54"/>
        <v>0</v>
      </c>
      <c r="BR26" s="799">
        <v>0</v>
      </c>
      <c r="BS26" s="817">
        <v>504</v>
      </c>
      <c r="BT26" s="819">
        <v>0</v>
      </c>
      <c r="BU26" s="805">
        <f t="shared" si="40"/>
        <v>-100</v>
      </c>
    </row>
    <row r="27" spans="1:73">
      <c r="A27" s="215"/>
      <c r="B27" s="43" t="s">
        <v>71</v>
      </c>
      <c r="C27" s="359">
        <v>99</v>
      </c>
      <c r="D27" s="359">
        <v>123</v>
      </c>
      <c r="E27" s="359">
        <v>176</v>
      </c>
      <c r="F27" s="359">
        <v>173</v>
      </c>
      <c r="G27" s="359">
        <v>1177</v>
      </c>
      <c r="H27" s="283">
        <v>193</v>
      </c>
      <c r="I27" s="44">
        <v>386</v>
      </c>
      <c r="J27" s="44">
        <v>157</v>
      </c>
      <c r="K27" s="383">
        <v>0</v>
      </c>
      <c r="L27" s="390">
        <v>19</v>
      </c>
      <c r="M27" s="362">
        <v>0</v>
      </c>
      <c r="N27" s="383">
        <f t="shared" si="41"/>
        <v>24</v>
      </c>
      <c r="O27" s="390">
        <f t="shared" si="41"/>
        <v>18</v>
      </c>
      <c r="P27" s="304">
        <f>ROUND(((O27/N27-1)*100), 1)</f>
        <v>-25</v>
      </c>
      <c r="Q27" s="383">
        <v>24</v>
      </c>
      <c r="R27" s="390">
        <v>37</v>
      </c>
      <c r="S27" s="304">
        <f>ROUND(((R27/Q27-1)*100), 1)</f>
        <v>54.2</v>
      </c>
      <c r="T27" s="383">
        <f t="shared" si="42"/>
        <v>10</v>
      </c>
      <c r="U27" s="390">
        <f t="shared" si="43"/>
        <v>12</v>
      </c>
      <c r="V27" s="304">
        <f>ROUND(((U27/T27-1)*100), 1)</f>
        <v>20</v>
      </c>
      <c r="W27" s="383">
        <v>34</v>
      </c>
      <c r="X27" s="390">
        <v>49</v>
      </c>
      <c r="Y27" s="304">
        <f>ROUND(((X27/W27-1)*100), 1)</f>
        <v>44.1</v>
      </c>
      <c r="Z27" s="527">
        <f t="shared" si="44"/>
        <v>12</v>
      </c>
      <c r="AA27" s="390">
        <f t="shared" si="45"/>
        <v>1</v>
      </c>
      <c r="AB27" s="304">
        <f>ROUND(((AA27/Z27-1)*100), 1)</f>
        <v>-91.7</v>
      </c>
      <c r="AC27" s="527">
        <v>46</v>
      </c>
      <c r="AD27" s="390">
        <v>50</v>
      </c>
      <c r="AE27" s="304">
        <f>ROUND(((AD27/AC27-1)*100), 1)</f>
        <v>8.6999999999999993</v>
      </c>
      <c r="AF27" s="527">
        <f t="shared" si="46"/>
        <v>2</v>
      </c>
      <c r="AG27" s="390">
        <f t="shared" si="46"/>
        <v>48</v>
      </c>
      <c r="AH27" s="304">
        <f>ROUND(((AG27/AF27-1)*100), 1)</f>
        <v>2300</v>
      </c>
      <c r="AI27" s="527">
        <v>48</v>
      </c>
      <c r="AJ27" s="390">
        <v>98</v>
      </c>
      <c r="AK27" s="304">
        <f>ROUND(((AJ27/AI27-1)*100), 1)</f>
        <v>104.2</v>
      </c>
      <c r="AL27" s="791">
        <f t="shared" si="47"/>
        <v>32</v>
      </c>
      <c r="AM27" s="794">
        <f t="shared" si="48"/>
        <v>0</v>
      </c>
      <c r="AN27" s="786">
        <f>ROUND(((AM27/AL27-1)*100), 1)</f>
        <v>-100</v>
      </c>
      <c r="AO27" s="817">
        <v>80</v>
      </c>
      <c r="AP27" s="819">
        <v>98</v>
      </c>
      <c r="AQ27" s="786">
        <f>ROUND(((AP27/AO27-1)*100), 1)</f>
        <v>22.5</v>
      </c>
      <c r="AR27" s="817">
        <f t="shared" si="49"/>
        <v>4</v>
      </c>
      <c r="AS27" s="819">
        <f t="shared" si="49"/>
        <v>10</v>
      </c>
      <c r="AT27" s="805">
        <f t="shared" si="31"/>
        <v>150</v>
      </c>
      <c r="AU27" s="969">
        <v>84</v>
      </c>
      <c r="AV27" s="970">
        <v>108</v>
      </c>
      <c r="AW27" s="805">
        <f>ROUND(((AV27/AU27-1)*100), 1)</f>
        <v>28.6</v>
      </c>
      <c r="AX27" s="817">
        <f t="shared" si="50"/>
        <v>33</v>
      </c>
      <c r="AY27" s="819">
        <f t="shared" si="51"/>
        <v>10</v>
      </c>
      <c r="AZ27" s="805">
        <f t="shared" ref="AZ27:AZ30" si="58">ROUND(((AY27/AX27-1)*100), 1)</f>
        <v>-69.7</v>
      </c>
      <c r="BA27" s="817">
        <v>117</v>
      </c>
      <c r="BB27" s="819">
        <v>118</v>
      </c>
      <c r="BC27" s="805">
        <f>ROUND(((BB27/BA27-1)*100), 1)</f>
        <v>0.9</v>
      </c>
      <c r="BD27" s="817">
        <f t="shared" si="52"/>
        <v>2</v>
      </c>
      <c r="BE27" s="819">
        <f t="shared" si="52"/>
        <v>0</v>
      </c>
      <c r="BF27" s="805">
        <f t="shared" ref="BF27:BF28" si="59">ROUND(((BE27/BD27-1)*100), 1)</f>
        <v>-100</v>
      </c>
      <c r="BG27" s="817">
        <v>119</v>
      </c>
      <c r="BH27" s="819">
        <v>118</v>
      </c>
      <c r="BI27" s="805">
        <f>ROUND(((BH27/BG27-1)*100), 1)</f>
        <v>-0.8</v>
      </c>
      <c r="BJ27" s="817">
        <f t="shared" si="53"/>
        <v>29</v>
      </c>
      <c r="BK27" s="819">
        <f t="shared" si="53"/>
        <v>0</v>
      </c>
      <c r="BL27" s="805">
        <f t="shared" ref="BL27:BL28" si="60">ROUND(((BK27/BJ27-1)*100), 1)</f>
        <v>-100</v>
      </c>
      <c r="BM27" s="817">
        <v>148</v>
      </c>
      <c r="BN27" s="819">
        <v>118</v>
      </c>
      <c r="BO27" s="805">
        <f>ROUND(((BN27/BM27-1)*100), 1)</f>
        <v>-20.3</v>
      </c>
      <c r="BP27" s="817">
        <f t="shared" si="54"/>
        <v>9</v>
      </c>
      <c r="BQ27" s="819">
        <f t="shared" si="54"/>
        <v>25</v>
      </c>
      <c r="BR27" s="805">
        <f>ROUND(((BQ27/BP27-1)*100), 1)</f>
        <v>177.8</v>
      </c>
      <c r="BS27" s="817">
        <v>157</v>
      </c>
      <c r="BT27" s="819">
        <v>143</v>
      </c>
      <c r="BU27" s="805">
        <f>ROUND(((BT27/BS27-1)*100), 1)</f>
        <v>-8.9</v>
      </c>
    </row>
    <row r="28" spans="1:73">
      <c r="A28" s="215"/>
      <c r="B28" s="43" t="s">
        <v>248</v>
      </c>
      <c r="C28" s="359">
        <v>0</v>
      </c>
      <c r="D28" s="359">
        <v>5</v>
      </c>
      <c r="E28" s="359">
        <v>20</v>
      </c>
      <c r="F28" s="359">
        <v>26</v>
      </c>
      <c r="G28" s="359">
        <v>22</v>
      </c>
      <c r="H28" s="283">
        <v>75</v>
      </c>
      <c r="I28" s="44">
        <v>90</v>
      </c>
      <c r="J28" s="44">
        <v>65</v>
      </c>
      <c r="K28" s="383">
        <v>8</v>
      </c>
      <c r="L28" s="390">
        <v>10</v>
      </c>
      <c r="M28" s="287">
        <f t="shared" si="20"/>
        <v>25</v>
      </c>
      <c r="N28" s="383">
        <f t="shared" si="41"/>
        <v>2</v>
      </c>
      <c r="O28" s="390">
        <f t="shared" si="41"/>
        <v>6</v>
      </c>
      <c r="P28" s="304">
        <f>ROUND(((O28/N28-1)*100), 1)</f>
        <v>200</v>
      </c>
      <c r="Q28" s="383">
        <v>10</v>
      </c>
      <c r="R28" s="390">
        <v>16</v>
      </c>
      <c r="S28" s="304">
        <f>ROUND(((R28/Q28-1)*100), 1)</f>
        <v>60</v>
      </c>
      <c r="T28" s="383">
        <f t="shared" si="42"/>
        <v>9</v>
      </c>
      <c r="U28" s="390">
        <f t="shared" si="43"/>
        <v>7</v>
      </c>
      <c r="V28" s="304">
        <f>ROUND(((U28/T28-1)*100), 1)</f>
        <v>-22.2</v>
      </c>
      <c r="W28" s="383">
        <v>19</v>
      </c>
      <c r="X28" s="390">
        <v>23</v>
      </c>
      <c r="Y28" s="304">
        <f>ROUND(((X28/W28-1)*100), 1)</f>
        <v>21.1</v>
      </c>
      <c r="Z28" s="527">
        <f t="shared" si="44"/>
        <v>0</v>
      </c>
      <c r="AA28" s="390">
        <f t="shared" si="45"/>
        <v>5</v>
      </c>
      <c r="AB28" s="526">
        <v>0</v>
      </c>
      <c r="AC28" s="527">
        <v>19</v>
      </c>
      <c r="AD28" s="390">
        <v>28</v>
      </c>
      <c r="AE28" s="304">
        <f>ROUND(((AD28/AC28-1)*100), 1)</f>
        <v>47.4</v>
      </c>
      <c r="AF28" s="527">
        <f t="shared" si="46"/>
        <v>9</v>
      </c>
      <c r="AG28" s="390">
        <f t="shared" si="46"/>
        <v>22</v>
      </c>
      <c r="AH28" s="304">
        <f>ROUND(((AG28/AF28-1)*100), 1)</f>
        <v>144.4</v>
      </c>
      <c r="AI28" s="527">
        <v>28</v>
      </c>
      <c r="AJ28" s="390">
        <v>50</v>
      </c>
      <c r="AK28" s="304">
        <f>ROUND(((AJ28/AI28-1)*100), 1)</f>
        <v>78.599999999999994</v>
      </c>
      <c r="AL28" s="791">
        <f t="shared" si="47"/>
        <v>5</v>
      </c>
      <c r="AM28" s="794">
        <f t="shared" si="48"/>
        <v>0</v>
      </c>
      <c r="AN28" s="786">
        <f>ROUND(((AM28/AL28-1)*100), 1)</f>
        <v>-100</v>
      </c>
      <c r="AO28" s="817">
        <v>33</v>
      </c>
      <c r="AP28" s="819">
        <v>50</v>
      </c>
      <c r="AQ28" s="786">
        <f>ROUND(((AP28/AO28-1)*100), 1)</f>
        <v>51.5</v>
      </c>
      <c r="AR28" s="817">
        <f t="shared" si="49"/>
        <v>7</v>
      </c>
      <c r="AS28" s="819">
        <f t="shared" si="49"/>
        <v>11</v>
      </c>
      <c r="AT28" s="805">
        <f t="shared" si="31"/>
        <v>57.1</v>
      </c>
      <c r="AU28" s="969">
        <v>40</v>
      </c>
      <c r="AV28" s="970">
        <v>61</v>
      </c>
      <c r="AW28" s="805">
        <f>ROUND(((AV28/AU28-1)*100), 1)</f>
        <v>52.5</v>
      </c>
      <c r="AX28" s="817">
        <f t="shared" si="50"/>
        <v>2</v>
      </c>
      <c r="AY28" s="819">
        <f t="shared" si="51"/>
        <v>14</v>
      </c>
      <c r="AZ28" s="805">
        <f t="shared" si="58"/>
        <v>600</v>
      </c>
      <c r="BA28" s="817">
        <v>42</v>
      </c>
      <c r="BB28" s="819">
        <v>75</v>
      </c>
      <c r="BC28" s="805">
        <f>ROUND(((BB28/BA28-1)*100), 1)</f>
        <v>78.599999999999994</v>
      </c>
      <c r="BD28" s="817">
        <f t="shared" si="52"/>
        <v>5</v>
      </c>
      <c r="BE28" s="819">
        <f t="shared" si="52"/>
        <v>10</v>
      </c>
      <c r="BF28" s="805">
        <f t="shared" si="59"/>
        <v>100</v>
      </c>
      <c r="BG28" s="817">
        <v>47</v>
      </c>
      <c r="BH28" s="819">
        <v>85</v>
      </c>
      <c r="BI28" s="805">
        <f>ROUND(((BH28/BG28-1)*100), 1)</f>
        <v>80.900000000000006</v>
      </c>
      <c r="BJ28" s="817">
        <f t="shared" si="53"/>
        <v>3</v>
      </c>
      <c r="BK28" s="819">
        <f t="shared" si="53"/>
        <v>8</v>
      </c>
      <c r="BL28" s="805">
        <f t="shared" si="60"/>
        <v>166.7</v>
      </c>
      <c r="BM28" s="817">
        <v>50</v>
      </c>
      <c r="BN28" s="819">
        <v>93</v>
      </c>
      <c r="BO28" s="805">
        <f>ROUND(((BN28/BM28-1)*100), 1)</f>
        <v>86</v>
      </c>
      <c r="BP28" s="817">
        <f t="shared" si="54"/>
        <v>10</v>
      </c>
      <c r="BQ28" s="819">
        <f t="shared" si="54"/>
        <v>11</v>
      </c>
      <c r="BR28" s="805">
        <f>ROUND(((BQ28/BP28-1)*100), 1)</f>
        <v>10</v>
      </c>
      <c r="BS28" s="817">
        <v>60</v>
      </c>
      <c r="BT28" s="819">
        <v>104</v>
      </c>
      <c r="BU28" s="805">
        <f>ROUND(((BT28/BS28-1)*100), 1)</f>
        <v>73.3</v>
      </c>
    </row>
    <row r="29" spans="1:73">
      <c r="A29" s="215"/>
      <c r="B29" s="43" t="s">
        <v>53</v>
      </c>
      <c r="C29" s="359">
        <v>45</v>
      </c>
      <c r="D29" s="359">
        <v>35</v>
      </c>
      <c r="E29" s="359">
        <v>30</v>
      </c>
      <c r="F29" s="359">
        <v>59</v>
      </c>
      <c r="G29" s="359">
        <v>76</v>
      </c>
      <c r="H29" s="283">
        <v>61</v>
      </c>
      <c r="I29" s="44">
        <v>100</v>
      </c>
      <c r="J29" s="44">
        <v>23</v>
      </c>
      <c r="K29" s="383">
        <v>5</v>
      </c>
      <c r="L29" s="390">
        <v>0</v>
      </c>
      <c r="M29" s="287">
        <f t="shared" si="20"/>
        <v>-100</v>
      </c>
      <c r="N29" s="383">
        <f t="shared" si="41"/>
        <v>7</v>
      </c>
      <c r="O29" s="390">
        <f t="shared" si="41"/>
        <v>0</v>
      </c>
      <c r="P29" s="304">
        <f>ROUND(((O29/N29-1)*100), 1)</f>
        <v>-100</v>
      </c>
      <c r="Q29" s="383">
        <v>12</v>
      </c>
      <c r="R29" s="390">
        <v>0</v>
      </c>
      <c r="S29" s="304">
        <f>ROUND(((R29/Q29-1)*100), 1)</f>
        <v>-100</v>
      </c>
      <c r="T29" s="383">
        <f t="shared" si="42"/>
        <v>0</v>
      </c>
      <c r="U29" s="390">
        <f t="shared" si="43"/>
        <v>0</v>
      </c>
      <c r="V29" s="526">
        <v>0</v>
      </c>
      <c r="W29" s="383">
        <v>12</v>
      </c>
      <c r="X29" s="390">
        <v>0</v>
      </c>
      <c r="Y29" s="304">
        <f>ROUND(((X29/W29-1)*100), 1)</f>
        <v>-100</v>
      </c>
      <c r="Z29" s="527">
        <f t="shared" si="44"/>
        <v>3</v>
      </c>
      <c r="AA29" s="390">
        <f t="shared" si="45"/>
        <v>16</v>
      </c>
      <c r="AB29" s="304">
        <f>ROUND(((AA29/Z29-1)*100), 1)</f>
        <v>433.3</v>
      </c>
      <c r="AC29" s="527">
        <v>15</v>
      </c>
      <c r="AD29" s="390">
        <v>16</v>
      </c>
      <c r="AE29" s="304">
        <f>ROUND(((AD29/AC29-1)*100), 1)</f>
        <v>6.7</v>
      </c>
      <c r="AF29" s="527">
        <f t="shared" si="46"/>
        <v>0</v>
      </c>
      <c r="AG29" s="390">
        <f t="shared" si="46"/>
        <v>7</v>
      </c>
      <c r="AH29" s="526">
        <v>0</v>
      </c>
      <c r="AI29" s="527">
        <v>15</v>
      </c>
      <c r="AJ29" s="390">
        <v>23</v>
      </c>
      <c r="AK29" s="304">
        <f>ROUND(((AJ29/AI29-1)*100), 1)</f>
        <v>53.3</v>
      </c>
      <c r="AL29" s="791">
        <f t="shared" si="47"/>
        <v>1</v>
      </c>
      <c r="AM29" s="794">
        <f t="shared" si="48"/>
        <v>4</v>
      </c>
      <c r="AN29" s="805">
        <f>ROUND(((AM29/AL29-1)*100), 1)</f>
        <v>300</v>
      </c>
      <c r="AO29" s="817">
        <v>16</v>
      </c>
      <c r="AP29" s="819">
        <v>27</v>
      </c>
      <c r="AQ29" s="786">
        <f>ROUND(((AP29/AO29-1)*100), 1)</f>
        <v>68.8</v>
      </c>
      <c r="AR29" s="817">
        <f t="shared" si="49"/>
        <v>1</v>
      </c>
      <c r="AS29" s="819">
        <f t="shared" si="49"/>
        <v>10</v>
      </c>
      <c r="AT29" s="805">
        <f t="shared" si="31"/>
        <v>900</v>
      </c>
      <c r="AU29" s="969">
        <v>17</v>
      </c>
      <c r="AV29" s="970">
        <v>37</v>
      </c>
      <c r="AW29" s="805">
        <f>ROUND(((AV29/AU29-1)*100), 1)</f>
        <v>117.6</v>
      </c>
      <c r="AX29" s="817">
        <f t="shared" si="50"/>
        <v>0</v>
      </c>
      <c r="AY29" s="819">
        <f t="shared" si="51"/>
        <v>4</v>
      </c>
      <c r="AZ29" s="809">
        <v>0</v>
      </c>
      <c r="BA29" s="817">
        <v>17</v>
      </c>
      <c r="BB29" s="819">
        <v>41</v>
      </c>
      <c r="BC29" s="805">
        <f>ROUND(((BB29/BA29-1)*100), 1)</f>
        <v>141.19999999999999</v>
      </c>
      <c r="BD29" s="817">
        <f t="shared" si="52"/>
        <v>0</v>
      </c>
      <c r="BE29" s="819">
        <f t="shared" si="52"/>
        <v>1</v>
      </c>
      <c r="BF29" s="809">
        <v>0</v>
      </c>
      <c r="BG29" s="817">
        <v>17</v>
      </c>
      <c r="BH29" s="819">
        <v>42</v>
      </c>
      <c r="BI29" s="805">
        <f>ROUND(((BH29/BG29-1)*100), 1)</f>
        <v>147.1</v>
      </c>
      <c r="BJ29" s="817">
        <f t="shared" si="53"/>
        <v>0</v>
      </c>
      <c r="BK29" s="819">
        <f t="shared" si="53"/>
        <v>15</v>
      </c>
      <c r="BL29" s="809">
        <v>0</v>
      </c>
      <c r="BM29" s="817">
        <v>17</v>
      </c>
      <c r="BN29" s="819">
        <v>57</v>
      </c>
      <c r="BO29" s="805">
        <f>ROUND(((BN29/BM29-1)*100), 1)</f>
        <v>235.3</v>
      </c>
      <c r="BP29" s="817">
        <f t="shared" si="54"/>
        <v>5</v>
      </c>
      <c r="BQ29" s="819">
        <f t="shared" si="54"/>
        <v>1</v>
      </c>
      <c r="BR29" s="705">
        <f t="shared" ref="BR29" si="61">ROUND(((BQ29/BP29-1)*100), 1)</f>
        <v>-80</v>
      </c>
      <c r="BS29" s="817">
        <v>22</v>
      </c>
      <c r="BT29" s="819">
        <v>58</v>
      </c>
      <c r="BU29" s="805">
        <f>ROUND(((BT29/BS29-1)*100), 1)</f>
        <v>163.6</v>
      </c>
    </row>
    <row r="30" spans="1:73">
      <c r="A30" s="219"/>
      <c r="B30" s="43" t="s">
        <v>50</v>
      </c>
      <c r="C30" s="359">
        <v>44</v>
      </c>
      <c r="D30" s="359">
        <v>167</v>
      </c>
      <c r="E30" s="359">
        <v>498</v>
      </c>
      <c r="F30" s="359">
        <v>697</v>
      </c>
      <c r="G30" s="359">
        <v>161</v>
      </c>
      <c r="H30" s="283">
        <v>19</v>
      </c>
      <c r="I30" s="44">
        <v>147</v>
      </c>
      <c r="J30" s="44">
        <v>16</v>
      </c>
      <c r="K30" s="383">
        <v>2</v>
      </c>
      <c r="L30" s="390">
        <v>0</v>
      </c>
      <c r="M30" s="287">
        <f t="shared" si="20"/>
        <v>-100</v>
      </c>
      <c r="N30" s="383">
        <f t="shared" si="41"/>
        <v>1</v>
      </c>
      <c r="O30" s="390">
        <f t="shared" si="41"/>
        <v>0</v>
      </c>
      <c r="P30" s="304">
        <f>ROUND(((O30/N30-1)*100), 1)</f>
        <v>-100</v>
      </c>
      <c r="Q30" s="383">
        <v>3</v>
      </c>
      <c r="R30" s="390">
        <v>0</v>
      </c>
      <c r="S30" s="304">
        <f>ROUND(((R30/Q30-1)*100), 1)</f>
        <v>-100</v>
      </c>
      <c r="T30" s="383">
        <f t="shared" si="42"/>
        <v>0</v>
      </c>
      <c r="U30" s="390">
        <f t="shared" si="43"/>
        <v>28</v>
      </c>
      <c r="V30" s="526">
        <v>0</v>
      </c>
      <c r="W30" s="383">
        <v>3</v>
      </c>
      <c r="X30" s="390">
        <v>28</v>
      </c>
      <c r="Y30" s="304">
        <f>ROUND(((X30/W30-1)*100), 1)</f>
        <v>833.3</v>
      </c>
      <c r="Z30" s="527">
        <f t="shared" si="44"/>
        <v>0</v>
      </c>
      <c r="AA30" s="390">
        <f t="shared" si="45"/>
        <v>0</v>
      </c>
      <c r="AB30" s="526">
        <v>0</v>
      </c>
      <c r="AC30" s="527">
        <v>3</v>
      </c>
      <c r="AD30" s="390">
        <v>28</v>
      </c>
      <c r="AE30" s="304">
        <f>ROUND(((AD30/AC30-1)*100), 1)</f>
        <v>833.3</v>
      </c>
      <c r="AF30" s="527">
        <f t="shared" si="46"/>
        <v>0</v>
      </c>
      <c r="AG30" s="390">
        <f t="shared" si="46"/>
        <v>3</v>
      </c>
      <c r="AH30" s="526">
        <v>0</v>
      </c>
      <c r="AI30" s="527">
        <v>3</v>
      </c>
      <c r="AJ30" s="390">
        <v>31</v>
      </c>
      <c r="AK30" s="304">
        <f>ROUND(((AJ30/AI30-1)*100), 1)</f>
        <v>933.3</v>
      </c>
      <c r="AL30" s="791">
        <f t="shared" si="47"/>
        <v>1</v>
      </c>
      <c r="AM30" s="794">
        <f t="shared" si="48"/>
        <v>2</v>
      </c>
      <c r="AN30" s="805">
        <f>ROUND(((AM30/AL30-1)*100), 1)</f>
        <v>100</v>
      </c>
      <c r="AO30" s="817">
        <v>4</v>
      </c>
      <c r="AP30" s="819">
        <v>33</v>
      </c>
      <c r="AQ30" s="786">
        <f>ROUND(((AP30/AO30-1)*100), 1)</f>
        <v>725</v>
      </c>
      <c r="AR30" s="817">
        <f t="shared" si="49"/>
        <v>0</v>
      </c>
      <c r="AS30" s="819">
        <f t="shared" si="49"/>
        <v>0</v>
      </c>
      <c r="AT30" s="799">
        <v>0</v>
      </c>
      <c r="AU30" s="969">
        <v>4</v>
      </c>
      <c r="AV30" s="970">
        <v>33</v>
      </c>
      <c r="AW30" s="805">
        <f>ROUND(((AV30/AU30-1)*100), 1)</f>
        <v>725</v>
      </c>
      <c r="AX30" s="817">
        <f t="shared" si="50"/>
        <v>5</v>
      </c>
      <c r="AY30" s="819">
        <f t="shared" si="51"/>
        <v>2</v>
      </c>
      <c r="AZ30" s="805">
        <f t="shared" si="58"/>
        <v>-60</v>
      </c>
      <c r="BA30" s="817">
        <v>9</v>
      </c>
      <c r="BB30" s="819">
        <v>35</v>
      </c>
      <c r="BC30" s="805">
        <f>ROUND(((BB30/BA30-1)*100), 1)</f>
        <v>288.89999999999998</v>
      </c>
      <c r="BD30" s="817">
        <f t="shared" si="52"/>
        <v>2</v>
      </c>
      <c r="BE30" s="819">
        <f t="shared" si="52"/>
        <v>4</v>
      </c>
      <c r="BF30" s="805">
        <f t="shared" ref="BF30" si="62">ROUND(((BE30/BD30-1)*100), 1)</f>
        <v>100</v>
      </c>
      <c r="BG30" s="817">
        <v>11</v>
      </c>
      <c r="BH30" s="819">
        <v>39</v>
      </c>
      <c r="BI30" s="805">
        <f>ROUND(((BH30/BG30-1)*100), 1)</f>
        <v>254.5</v>
      </c>
      <c r="BJ30" s="817">
        <f t="shared" si="53"/>
        <v>0</v>
      </c>
      <c r="BK30" s="819">
        <f t="shared" si="53"/>
        <v>0</v>
      </c>
      <c r="BL30" s="809">
        <v>0</v>
      </c>
      <c r="BM30" s="817">
        <v>11</v>
      </c>
      <c r="BN30" s="819">
        <v>39</v>
      </c>
      <c r="BO30" s="805">
        <f>ROUND(((BN30/BM30-1)*100), 1)</f>
        <v>254.5</v>
      </c>
      <c r="BP30" s="817">
        <f t="shared" si="54"/>
        <v>0</v>
      </c>
      <c r="BQ30" s="819">
        <f t="shared" si="54"/>
        <v>21</v>
      </c>
      <c r="BR30" s="809">
        <v>0</v>
      </c>
      <c r="BS30" s="817">
        <v>11</v>
      </c>
      <c r="BT30" s="819">
        <v>60</v>
      </c>
      <c r="BU30" s="805">
        <f>ROUND(((BT30/BS30-1)*100), 1)</f>
        <v>445.5</v>
      </c>
    </row>
    <row r="31" spans="1:73">
      <c r="A31" s="219"/>
      <c r="B31" s="43" t="s">
        <v>66</v>
      </c>
      <c r="C31" s="359">
        <v>0</v>
      </c>
      <c r="D31" s="359">
        <v>0</v>
      </c>
      <c r="E31" s="359">
        <v>0</v>
      </c>
      <c r="F31" s="359">
        <v>0</v>
      </c>
      <c r="G31" s="359">
        <v>0</v>
      </c>
      <c r="H31" s="283">
        <v>412</v>
      </c>
      <c r="I31" s="44">
        <v>0</v>
      </c>
      <c r="J31" s="44">
        <v>0</v>
      </c>
      <c r="K31" s="383">
        <v>0</v>
      </c>
      <c r="L31" s="390">
        <v>0</v>
      </c>
      <c r="M31" s="362">
        <v>0</v>
      </c>
      <c r="N31" s="383">
        <f t="shared" si="41"/>
        <v>0</v>
      </c>
      <c r="O31" s="390">
        <f t="shared" si="41"/>
        <v>0</v>
      </c>
      <c r="P31" s="362">
        <v>0</v>
      </c>
      <c r="Q31" s="383">
        <v>0</v>
      </c>
      <c r="R31" s="390">
        <v>0</v>
      </c>
      <c r="S31" s="362">
        <v>0</v>
      </c>
      <c r="T31" s="383">
        <f t="shared" si="42"/>
        <v>0</v>
      </c>
      <c r="U31" s="390">
        <f t="shared" si="43"/>
        <v>0</v>
      </c>
      <c r="V31" s="362">
        <v>0</v>
      </c>
      <c r="W31" s="383">
        <v>0</v>
      </c>
      <c r="X31" s="390">
        <v>0</v>
      </c>
      <c r="Y31" s="362">
        <v>0</v>
      </c>
      <c r="Z31" s="527">
        <f t="shared" si="44"/>
        <v>0</v>
      </c>
      <c r="AA31" s="390">
        <f t="shared" si="45"/>
        <v>0</v>
      </c>
      <c r="AB31" s="526">
        <v>0</v>
      </c>
      <c r="AC31" s="527">
        <v>0</v>
      </c>
      <c r="AD31" s="390">
        <v>0</v>
      </c>
      <c r="AE31" s="526">
        <v>0</v>
      </c>
      <c r="AF31" s="527">
        <f t="shared" si="46"/>
        <v>0</v>
      </c>
      <c r="AG31" s="390">
        <f t="shared" si="46"/>
        <v>0</v>
      </c>
      <c r="AH31" s="526">
        <v>0</v>
      </c>
      <c r="AI31" s="527">
        <v>0</v>
      </c>
      <c r="AJ31" s="390">
        <v>0</v>
      </c>
      <c r="AK31" s="526">
        <v>0</v>
      </c>
      <c r="AL31" s="791">
        <f t="shared" si="47"/>
        <v>0</v>
      </c>
      <c r="AM31" s="794">
        <f t="shared" si="48"/>
        <v>0</v>
      </c>
      <c r="AN31" s="790">
        <v>0</v>
      </c>
      <c r="AO31" s="817">
        <v>0</v>
      </c>
      <c r="AP31" s="819">
        <v>0</v>
      </c>
      <c r="AQ31" s="790">
        <v>0</v>
      </c>
      <c r="AR31" s="817">
        <f t="shared" si="49"/>
        <v>0</v>
      </c>
      <c r="AS31" s="819">
        <f t="shared" si="49"/>
        <v>0</v>
      </c>
      <c r="AT31" s="809">
        <v>0</v>
      </c>
      <c r="AU31" s="969">
        <v>0</v>
      </c>
      <c r="AV31" s="970">
        <v>0</v>
      </c>
      <c r="AW31" s="809">
        <v>0</v>
      </c>
      <c r="AX31" s="817">
        <f t="shared" si="50"/>
        <v>0</v>
      </c>
      <c r="AY31" s="819">
        <f t="shared" si="51"/>
        <v>0</v>
      </c>
      <c r="AZ31" s="809">
        <v>0</v>
      </c>
      <c r="BA31" s="817">
        <v>0</v>
      </c>
      <c r="BB31" s="819">
        <v>0</v>
      </c>
      <c r="BC31" s="809">
        <v>0</v>
      </c>
      <c r="BD31" s="817">
        <f t="shared" si="52"/>
        <v>0</v>
      </c>
      <c r="BE31" s="819">
        <f t="shared" si="52"/>
        <v>0</v>
      </c>
      <c r="BF31" s="809">
        <v>0</v>
      </c>
      <c r="BG31" s="817">
        <v>0</v>
      </c>
      <c r="BH31" s="819">
        <v>0</v>
      </c>
      <c r="BI31" s="809">
        <v>0</v>
      </c>
      <c r="BJ31" s="817">
        <f t="shared" si="53"/>
        <v>0</v>
      </c>
      <c r="BK31" s="819">
        <f t="shared" si="53"/>
        <v>0</v>
      </c>
      <c r="BL31" s="809">
        <v>0</v>
      </c>
      <c r="BM31" s="817">
        <v>0</v>
      </c>
      <c r="BN31" s="819">
        <v>0</v>
      </c>
      <c r="BO31" s="809">
        <v>0</v>
      </c>
      <c r="BP31" s="817">
        <f t="shared" si="54"/>
        <v>0</v>
      </c>
      <c r="BQ31" s="819">
        <f t="shared" si="54"/>
        <v>0</v>
      </c>
      <c r="BR31" s="809">
        <v>0</v>
      </c>
      <c r="BS31" s="817">
        <v>0</v>
      </c>
      <c r="BT31" s="819">
        <v>0</v>
      </c>
      <c r="BU31" s="809">
        <v>0</v>
      </c>
    </row>
    <row r="32" spans="1:73">
      <c r="A32" s="215"/>
      <c r="B32" s="43" t="s">
        <v>74</v>
      </c>
      <c r="C32" s="359">
        <v>1087</v>
      </c>
      <c r="D32" s="359">
        <v>674</v>
      </c>
      <c r="E32" s="359">
        <v>536</v>
      </c>
      <c r="F32" s="359">
        <v>205</v>
      </c>
      <c r="G32" s="359">
        <v>106</v>
      </c>
      <c r="H32" s="283">
        <v>220</v>
      </c>
      <c r="I32" s="44">
        <v>0</v>
      </c>
      <c r="J32" s="44">
        <v>0</v>
      </c>
      <c r="K32" s="383">
        <v>0</v>
      </c>
      <c r="L32" s="390">
        <v>0</v>
      </c>
      <c r="M32" s="362">
        <v>0</v>
      </c>
      <c r="N32" s="383">
        <f t="shared" si="41"/>
        <v>0</v>
      </c>
      <c r="O32" s="390">
        <f t="shared" si="41"/>
        <v>0</v>
      </c>
      <c r="P32" s="362">
        <v>0</v>
      </c>
      <c r="Q32" s="383">
        <v>0</v>
      </c>
      <c r="R32" s="390">
        <v>0</v>
      </c>
      <c r="S32" s="362">
        <v>0</v>
      </c>
      <c r="T32" s="383">
        <f t="shared" si="42"/>
        <v>0</v>
      </c>
      <c r="U32" s="390">
        <f t="shared" si="43"/>
        <v>0</v>
      </c>
      <c r="V32" s="362">
        <v>0</v>
      </c>
      <c r="W32" s="383">
        <v>0</v>
      </c>
      <c r="X32" s="390">
        <v>0</v>
      </c>
      <c r="Y32" s="362">
        <v>0</v>
      </c>
      <c r="Z32" s="527">
        <f t="shared" si="44"/>
        <v>0</v>
      </c>
      <c r="AA32" s="390">
        <f t="shared" si="45"/>
        <v>0</v>
      </c>
      <c r="AB32" s="526">
        <v>0</v>
      </c>
      <c r="AC32" s="527">
        <v>0</v>
      </c>
      <c r="AD32" s="390">
        <v>0</v>
      </c>
      <c r="AE32" s="526">
        <v>0</v>
      </c>
      <c r="AF32" s="527">
        <f t="shared" si="46"/>
        <v>0</v>
      </c>
      <c r="AG32" s="390">
        <f t="shared" si="46"/>
        <v>0</v>
      </c>
      <c r="AH32" s="526">
        <v>0</v>
      </c>
      <c r="AI32" s="527">
        <v>0</v>
      </c>
      <c r="AJ32" s="390">
        <v>0</v>
      </c>
      <c r="AK32" s="526">
        <v>0</v>
      </c>
      <c r="AL32" s="791">
        <f t="shared" si="47"/>
        <v>0</v>
      </c>
      <c r="AM32" s="794">
        <f t="shared" si="48"/>
        <v>0</v>
      </c>
      <c r="AN32" s="790">
        <v>0</v>
      </c>
      <c r="AO32" s="817">
        <v>0</v>
      </c>
      <c r="AP32" s="819">
        <v>0</v>
      </c>
      <c r="AQ32" s="790">
        <v>0</v>
      </c>
      <c r="AR32" s="817">
        <f t="shared" si="49"/>
        <v>0</v>
      </c>
      <c r="AS32" s="819">
        <f t="shared" si="49"/>
        <v>0</v>
      </c>
      <c r="AT32" s="809">
        <v>0</v>
      </c>
      <c r="AU32" s="969">
        <v>0</v>
      </c>
      <c r="AV32" s="970">
        <v>0</v>
      </c>
      <c r="AW32" s="809">
        <v>0</v>
      </c>
      <c r="AX32" s="817">
        <f t="shared" si="50"/>
        <v>0</v>
      </c>
      <c r="AY32" s="819">
        <f t="shared" si="51"/>
        <v>0</v>
      </c>
      <c r="AZ32" s="809">
        <v>0</v>
      </c>
      <c r="BA32" s="817">
        <v>0</v>
      </c>
      <c r="BB32" s="819">
        <v>0</v>
      </c>
      <c r="BC32" s="809">
        <v>0</v>
      </c>
      <c r="BD32" s="817">
        <f t="shared" si="52"/>
        <v>0</v>
      </c>
      <c r="BE32" s="819">
        <f t="shared" si="52"/>
        <v>0</v>
      </c>
      <c r="BF32" s="809">
        <v>0</v>
      </c>
      <c r="BG32" s="817">
        <v>0</v>
      </c>
      <c r="BH32" s="819">
        <v>0</v>
      </c>
      <c r="BI32" s="809">
        <v>0</v>
      </c>
      <c r="BJ32" s="817">
        <f t="shared" si="53"/>
        <v>0</v>
      </c>
      <c r="BK32" s="819">
        <f t="shared" si="53"/>
        <v>0</v>
      </c>
      <c r="BL32" s="809">
        <v>0</v>
      </c>
      <c r="BM32" s="817">
        <v>0</v>
      </c>
      <c r="BN32" s="819">
        <v>0</v>
      </c>
      <c r="BO32" s="809">
        <v>0</v>
      </c>
      <c r="BP32" s="817">
        <f t="shared" si="54"/>
        <v>0</v>
      </c>
      <c r="BQ32" s="819">
        <f t="shared" si="54"/>
        <v>0</v>
      </c>
      <c r="BR32" s="809">
        <v>0</v>
      </c>
      <c r="BS32" s="817">
        <v>0</v>
      </c>
      <c r="BT32" s="819">
        <v>0</v>
      </c>
      <c r="BU32" s="809">
        <v>0</v>
      </c>
    </row>
    <row r="33" spans="1:73">
      <c r="A33" s="215"/>
      <c r="B33" s="43" t="s">
        <v>76</v>
      </c>
      <c r="C33" s="359">
        <v>1004</v>
      </c>
      <c r="D33" s="359">
        <v>478</v>
      </c>
      <c r="E33" s="359">
        <v>613</v>
      </c>
      <c r="F33" s="359">
        <v>653</v>
      </c>
      <c r="G33" s="359">
        <v>55</v>
      </c>
      <c r="H33" s="283">
        <v>41</v>
      </c>
      <c r="I33" s="44">
        <v>0</v>
      </c>
      <c r="J33" s="44">
        <v>0</v>
      </c>
      <c r="K33" s="383">
        <v>0</v>
      </c>
      <c r="L33" s="390">
        <v>0</v>
      </c>
      <c r="M33" s="362">
        <v>0</v>
      </c>
      <c r="N33" s="383">
        <f t="shared" si="41"/>
        <v>0</v>
      </c>
      <c r="O33" s="390">
        <f t="shared" si="41"/>
        <v>0</v>
      </c>
      <c r="P33" s="362">
        <v>0</v>
      </c>
      <c r="Q33" s="383">
        <v>0</v>
      </c>
      <c r="R33" s="390">
        <v>0</v>
      </c>
      <c r="S33" s="362">
        <v>0</v>
      </c>
      <c r="T33" s="383">
        <f t="shared" si="42"/>
        <v>0</v>
      </c>
      <c r="U33" s="390">
        <f t="shared" si="43"/>
        <v>0</v>
      </c>
      <c r="V33" s="362">
        <v>0</v>
      </c>
      <c r="W33" s="383">
        <v>0</v>
      </c>
      <c r="X33" s="390">
        <v>0</v>
      </c>
      <c r="Y33" s="362">
        <v>0</v>
      </c>
      <c r="Z33" s="527">
        <f t="shared" si="44"/>
        <v>0</v>
      </c>
      <c r="AA33" s="390">
        <f t="shared" si="45"/>
        <v>0</v>
      </c>
      <c r="AB33" s="526">
        <v>0</v>
      </c>
      <c r="AC33" s="527">
        <v>0</v>
      </c>
      <c r="AD33" s="390">
        <v>0</v>
      </c>
      <c r="AE33" s="526">
        <v>0</v>
      </c>
      <c r="AF33" s="527">
        <f t="shared" si="46"/>
        <v>0</v>
      </c>
      <c r="AG33" s="390">
        <f t="shared" si="46"/>
        <v>0</v>
      </c>
      <c r="AH33" s="526">
        <v>0</v>
      </c>
      <c r="AI33" s="527">
        <v>0</v>
      </c>
      <c r="AJ33" s="390">
        <v>0</v>
      </c>
      <c r="AK33" s="526">
        <v>0</v>
      </c>
      <c r="AL33" s="791">
        <f t="shared" si="47"/>
        <v>0</v>
      </c>
      <c r="AM33" s="794">
        <f t="shared" si="48"/>
        <v>0</v>
      </c>
      <c r="AN33" s="790">
        <v>0</v>
      </c>
      <c r="AO33" s="817">
        <v>0</v>
      </c>
      <c r="AP33" s="819">
        <v>0</v>
      </c>
      <c r="AQ33" s="790">
        <v>0</v>
      </c>
      <c r="AR33" s="817">
        <f t="shared" si="49"/>
        <v>0</v>
      </c>
      <c r="AS33" s="819">
        <f t="shared" si="49"/>
        <v>0</v>
      </c>
      <c r="AT33" s="809">
        <v>0</v>
      </c>
      <c r="AU33" s="969">
        <v>0</v>
      </c>
      <c r="AV33" s="970">
        <v>0</v>
      </c>
      <c r="AW33" s="809">
        <v>0</v>
      </c>
      <c r="AX33" s="817">
        <f t="shared" si="50"/>
        <v>0</v>
      </c>
      <c r="AY33" s="819">
        <f t="shared" si="51"/>
        <v>0</v>
      </c>
      <c r="AZ33" s="809">
        <v>0</v>
      </c>
      <c r="BA33" s="817">
        <v>0</v>
      </c>
      <c r="BB33" s="819">
        <v>0</v>
      </c>
      <c r="BC33" s="809">
        <v>0</v>
      </c>
      <c r="BD33" s="817">
        <f t="shared" si="52"/>
        <v>0</v>
      </c>
      <c r="BE33" s="819">
        <f t="shared" si="52"/>
        <v>0</v>
      </c>
      <c r="BF33" s="809">
        <v>0</v>
      </c>
      <c r="BG33" s="817">
        <v>0</v>
      </c>
      <c r="BH33" s="819">
        <v>0</v>
      </c>
      <c r="BI33" s="809">
        <v>0</v>
      </c>
      <c r="BJ33" s="817">
        <f t="shared" si="53"/>
        <v>0</v>
      </c>
      <c r="BK33" s="819">
        <f t="shared" si="53"/>
        <v>0</v>
      </c>
      <c r="BL33" s="809">
        <v>0</v>
      </c>
      <c r="BM33" s="817">
        <v>0</v>
      </c>
      <c r="BN33" s="819">
        <v>0</v>
      </c>
      <c r="BO33" s="809">
        <v>0</v>
      </c>
      <c r="BP33" s="817">
        <f t="shared" si="54"/>
        <v>0</v>
      </c>
      <c r="BQ33" s="819">
        <f t="shared" si="54"/>
        <v>0</v>
      </c>
      <c r="BR33" s="809">
        <v>0</v>
      </c>
      <c r="BS33" s="817">
        <v>0</v>
      </c>
      <c r="BT33" s="819">
        <v>0</v>
      </c>
      <c r="BU33" s="809">
        <v>0</v>
      </c>
    </row>
    <row r="34" spans="1:73">
      <c r="A34" s="215"/>
      <c r="B34" s="43" t="s">
        <v>24</v>
      </c>
      <c r="C34" s="361">
        <f t="shared" ref="C34:L34" si="63">C35-SUM(C19:C33)</f>
        <v>88</v>
      </c>
      <c r="D34" s="361">
        <f t="shared" si="63"/>
        <v>79</v>
      </c>
      <c r="E34" s="361">
        <f t="shared" si="63"/>
        <v>103</v>
      </c>
      <c r="F34" s="361">
        <f t="shared" si="63"/>
        <v>14</v>
      </c>
      <c r="G34" s="361">
        <f t="shared" si="63"/>
        <v>21</v>
      </c>
      <c r="H34" s="283">
        <f t="shared" si="63"/>
        <v>1</v>
      </c>
      <c r="I34" s="44">
        <f t="shared" si="63"/>
        <v>31</v>
      </c>
      <c r="J34" s="44">
        <f>J35-SUM(J19:J33)</f>
        <v>68</v>
      </c>
      <c r="K34" s="383">
        <f t="shared" si="63"/>
        <v>1</v>
      </c>
      <c r="L34" s="390">
        <f t="shared" si="63"/>
        <v>0</v>
      </c>
      <c r="M34" s="287">
        <f>ROUND(((L34/K34-1)*100), 1)</f>
        <v>-100</v>
      </c>
      <c r="N34" s="383">
        <f>N35-SUM(N19:N33)</f>
        <v>0</v>
      </c>
      <c r="O34" s="390">
        <f>O35-SUM(O19:O33)</f>
        <v>12</v>
      </c>
      <c r="P34" s="522">
        <v>0</v>
      </c>
      <c r="Q34" s="383">
        <f>Q35-SUM(Q19:Q33)</f>
        <v>1</v>
      </c>
      <c r="R34" s="390">
        <f>R35-SUM(R19:R33)</f>
        <v>12</v>
      </c>
      <c r="S34" s="304">
        <f>ROUND(((R34/Q34-1)*100), 1)</f>
        <v>1100</v>
      </c>
      <c r="T34" s="383">
        <f>T35-SUM(T19:T33)</f>
        <v>0</v>
      </c>
      <c r="U34" s="390">
        <f>U35-SUM(U19:U33)</f>
        <v>21</v>
      </c>
      <c r="V34" s="522">
        <v>0</v>
      </c>
      <c r="W34" s="383">
        <f>W35-SUM(W19:W33)</f>
        <v>1</v>
      </c>
      <c r="X34" s="390">
        <f>X35-SUM(X19:X33)</f>
        <v>33</v>
      </c>
      <c r="Y34" s="304">
        <f>ROUND(((X34/W34-1)*100), 1)</f>
        <v>3200</v>
      </c>
      <c r="Z34" s="527">
        <f>Z35-SUM(Z19:Z33)</f>
        <v>19</v>
      </c>
      <c r="AA34" s="390">
        <f>AA35-SUM(AA19:AA33)</f>
        <v>0</v>
      </c>
      <c r="AB34" s="304">
        <f>ROUND(((AA34/Z34-1)*100), 1)</f>
        <v>-100</v>
      </c>
      <c r="AC34" s="527">
        <f>AC35-SUM(AC19:AC33)</f>
        <v>20</v>
      </c>
      <c r="AD34" s="390">
        <f>AD35-SUM(AD19:AD33)</f>
        <v>33</v>
      </c>
      <c r="AE34" s="304">
        <f>ROUND(((AD34/AC34-1)*100), 1)</f>
        <v>65</v>
      </c>
      <c r="AF34" s="527">
        <f>AF35-SUM(AF19:AF33)</f>
        <v>1</v>
      </c>
      <c r="AG34" s="390">
        <f>AG35-SUM(AG19:AG33)</f>
        <v>19</v>
      </c>
      <c r="AH34" s="304">
        <f>ROUND(((AG34/AF34-1)*100), 1)</f>
        <v>1800</v>
      </c>
      <c r="AI34" s="527">
        <f>AI35-SUM(AI19:AI33)</f>
        <v>21</v>
      </c>
      <c r="AJ34" s="390">
        <f>AJ35-SUM(AJ19:AJ33)</f>
        <v>52</v>
      </c>
      <c r="AK34" s="304">
        <f>ROUND(((AJ34/AI34-1)*100), 1)</f>
        <v>147.6</v>
      </c>
      <c r="AL34" s="791">
        <f>AL35-SUM(AL19:AL33)</f>
        <v>20</v>
      </c>
      <c r="AM34" s="794">
        <f>AM35-SUM(AM19:AM33)</f>
        <v>0</v>
      </c>
      <c r="AN34" s="786">
        <f>ROUND(((AM34/AL34-1)*100), 1)</f>
        <v>-100</v>
      </c>
      <c r="AO34" s="817">
        <f>AO35-SUM(AO19:AO33)</f>
        <v>41</v>
      </c>
      <c r="AP34" s="819">
        <f>AP35-SUM(AP19:AP33)</f>
        <v>52</v>
      </c>
      <c r="AQ34" s="786">
        <f>ROUND(((AP34/AO34-1)*100), 1)</f>
        <v>26.8</v>
      </c>
      <c r="AR34" s="817">
        <f>AR35-SUM(AR19:AR33)</f>
        <v>0</v>
      </c>
      <c r="AS34" s="819">
        <f>AS35-SUM(AS19:AS33)</f>
        <v>2</v>
      </c>
      <c r="AT34" s="805" t="e">
        <f>ROUND(((AS34/AR34-1)*100), 1)</f>
        <v>#DIV/0!</v>
      </c>
      <c r="AU34" s="969">
        <f>AU35-SUM(AU19:AU33)</f>
        <v>41</v>
      </c>
      <c r="AV34" s="970">
        <f>AV35-SUM(AV19:AV33)</f>
        <v>54</v>
      </c>
      <c r="AW34" s="805">
        <f>ROUND(((AV34/AU34-1)*100), 1)</f>
        <v>31.7</v>
      </c>
      <c r="AX34" s="817">
        <f>AX35-SUM(AX19:AX33)</f>
        <v>4</v>
      </c>
      <c r="AY34" s="819">
        <f>AY35-SUM(AY19:AY33)</f>
        <v>0</v>
      </c>
      <c r="AZ34" s="805">
        <f>ROUND(((AY34/AX34-1)*100), 1)</f>
        <v>-100</v>
      </c>
      <c r="BA34" s="817">
        <f>BA35-SUM(BA19:BA33)</f>
        <v>45</v>
      </c>
      <c r="BB34" s="819">
        <f>BB35-SUM(BB19:BB33)</f>
        <v>54</v>
      </c>
      <c r="BC34" s="805">
        <f>ROUND(((BB34/BA34-1)*100), 1)</f>
        <v>20</v>
      </c>
      <c r="BD34" s="817">
        <f>BD35-SUM(BD19:BD33)</f>
        <v>8</v>
      </c>
      <c r="BE34" s="819">
        <f>BE35-SUM(BE19:BE33)</f>
        <v>0</v>
      </c>
      <c r="BF34" s="805">
        <f>ROUND(((BE34/BD34-1)*100), 1)</f>
        <v>-100</v>
      </c>
      <c r="BG34" s="817">
        <f>BG35-SUM(BG19:BG33)</f>
        <v>53</v>
      </c>
      <c r="BH34" s="819">
        <f>BH35-SUM(BH19:BH33)</f>
        <v>54</v>
      </c>
      <c r="BI34" s="805">
        <f>ROUND(((BH34/BG34-1)*100), 1)</f>
        <v>1.9</v>
      </c>
      <c r="BJ34" s="817">
        <f>BJ35-SUM(BJ19:BJ33)</f>
        <v>10</v>
      </c>
      <c r="BK34" s="819">
        <f>BK35-SUM(BK19:BK33)</f>
        <v>0</v>
      </c>
      <c r="BL34" s="805">
        <f>ROUND(((BK34/BJ34-1)*100), 1)</f>
        <v>-100</v>
      </c>
      <c r="BM34" s="817">
        <f>BM35-SUM(BM19:BM33)</f>
        <v>63</v>
      </c>
      <c r="BN34" s="819">
        <f>BN35-SUM(BN19:BN33)</f>
        <v>54</v>
      </c>
      <c r="BO34" s="805">
        <f>ROUND(((BN34/BM34-1)*100), 1)</f>
        <v>-14.3</v>
      </c>
      <c r="BP34" s="817">
        <f>BP35-SUM(BP19:BP33)</f>
        <v>4</v>
      </c>
      <c r="BQ34" s="819">
        <f>BQ35-SUM(BQ19:BQ33)</f>
        <v>0</v>
      </c>
      <c r="BR34" s="805">
        <f>ROUND(((BQ34/BP34-1)*100), 1)</f>
        <v>-100</v>
      </c>
      <c r="BS34" s="817">
        <f>BS35-SUM(BS19:BS33)</f>
        <v>67</v>
      </c>
      <c r="BT34" s="819">
        <f>BT35-SUM(BT19:BT33)</f>
        <v>54</v>
      </c>
      <c r="BU34" s="805">
        <f>ROUND(((BT34/BS34-1)*100), 1)</f>
        <v>-19.399999999999999</v>
      </c>
    </row>
    <row r="35" spans="1:73">
      <c r="A35" s="214"/>
      <c r="B35" s="67" t="s">
        <v>108</v>
      </c>
      <c r="C35" s="360">
        <v>17056</v>
      </c>
      <c r="D35" s="360">
        <v>18895</v>
      </c>
      <c r="E35" s="360">
        <v>19121</v>
      </c>
      <c r="F35" s="360">
        <v>18205</v>
      </c>
      <c r="G35" s="360">
        <v>24934</v>
      </c>
      <c r="H35" s="281">
        <v>23280</v>
      </c>
      <c r="I35" s="46">
        <v>29120</v>
      </c>
      <c r="J35" s="46">
        <v>33849</v>
      </c>
      <c r="K35" s="403">
        <v>3649</v>
      </c>
      <c r="L35" s="295">
        <v>2897</v>
      </c>
      <c r="M35" s="288">
        <f>ROUND(((L35/K35-1)*100), 1)</f>
        <v>-20.6</v>
      </c>
      <c r="N35" s="403">
        <f>Q35-K35</f>
        <v>2849</v>
      </c>
      <c r="O35" s="295">
        <f>R35-L35</f>
        <v>2279</v>
      </c>
      <c r="P35" s="305">
        <f>ROUND(((O35/N35-1)*100), 1)</f>
        <v>-20</v>
      </c>
      <c r="Q35" s="403">
        <v>6498</v>
      </c>
      <c r="R35" s="295">
        <v>5176</v>
      </c>
      <c r="S35" s="305">
        <f>ROUND(((R35/Q35-1)*100), 1)</f>
        <v>-20.3</v>
      </c>
      <c r="T35" s="403">
        <f>W35-Q35</f>
        <v>2828</v>
      </c>
      <c r="U35" s="295">
        <f>X35-R35</f>
        <v>1830</v>
      </c>
      <c r="V35" s="305">
        <f>ROUND(((U35/T35-1)*100), 1)</f>
        <v>-35.299999999999997</v>
      </c>
      <c r="W35" s="403">
        <v>9326</v>
      </c>
      <c r="X35" s="295">
        <v>7006</v>
      </c>
      <c r="Y35" s="305">
        <f>ROUND(((X35/W35-1)*100), 1)</f>
        <v>-24.9</v>
      </c>
      <c r="Z35" s="403">
        <f>AC35-W35</f>
        <v>2931</v>
      </c>
      <c r="AA35" s="295">
        <f>AD35-X35</f>
        <v>2194</v>
      </c>
      <c r="AB35" s="305">
        <f>ROUND(((AA35/Z35-1)*100), 1)</f>
        <v>-25.1</v>
      </c>
      <c r="AC35" s="403">
        <v>12257</v>
      </c>
      <c r="AD35" s="295">
        <v>9200</v>
      </c>
      <c r="AE35" s="305">
        <f>ROUND(((AD35/AC35-1)*100), 1)</f>
        <v>-24.9</v>
      </c>
      <c r="AF35" s="403">
        <f>AI35-AC35</f>
        <v>3352</v>
      </c>
      <c r="AG35" s="295">
        <f>AJ35-AD35</f>
        <v>1945</v>
      </c>
      <c r="AH35" s="305">
        <f>ROUND(((AG35/AF35-1)*100), 1)</f>
        <v>-42</v>
      </c>
      <c r="AI35" s="403">
        <v>15609</v>
      </c>
      <c r="AJ35" s="295">
        <v>11145</v>
      </c>
      <c r="AK35" s="305">
        <f>ROUND(((AJ35/AI35-1)*100), 1)</f>
        <v>-28.6</v>
      </c>
      <c r="AL35" s="795">
        <f>AO35-AI35</f>
        <v>2472</v>
      </c>
      <c r="AM35" s="789">
        <f>AP35-AJ35</f>
        <v>2567</v>
      </c>
      <c r="AN35" s="787">
        <f>ROUND(((AM35/AL35-1)*100), 1)</f>
        <v>3.8</v>
      </c>
      <c r="AO35" s="814">
        <v>18081</v>
      </c>
      <c r="AP35" s="808">
        <v>13712</v>
      </c>
      <c r="AQ35" s="787">
        <f>ROUND(((AP35/AO35-1)*100), 1)</f>
        <v>-24.2</v>
      </c>
      <c r="AR35" s="814">
        <f>AU35-AO35</f>
        <v>2537</v>
      </c>
      <c r="AS35" s="808">
        <f>AV35-AP35</f>
        <v>1888</v>
      </c>
      <c r="AT35" s="806">
        <f>ROUND(((AS35/AR35-1)*100), 1)</f>
        <v>-25.6</v>
      </c>
      <c r="AU35" s="971">
        <v>20618</v>
      </c>
      <c r="AV35" s="972">
        <v>15600</v>
      </c>
      <c r="AW35" s="806">
        <f>ROUND(((AV35/AU35-1)*100), 1)</f>
        <v>-24.3</v>
      </c>
      <c r="AX35" s="814">
        <f>BA35-AU35</f>
        <v>2927</v>
      </c>
      <c r="AY35" s="808">
        <f>BB35-AV35</f>
        <v>2447</v>
      </c>
      <c r="AZ35" s="806">
        <f>ROUND(((AY35/AX35-1)*100), 1)</f>
        <v>-16.399999999999999</v>
      </c>
      <c r="BA35" s="814">
        <v>23545</v>
      </c>
      <c r="BB35" s="808">
        <v>18047</v>
      </c>
      <c r="BC35" s="806">
        <f>ROUND(((BB35/BA35-1)*100), 1)</f>
        <v>-23.4</v>
      </c>
      <c r="BD35" s="814">
        <f>BG35-BA35</f>
        <v>2014</v>
      </c>
      <c r="BE35" s="808">
        <f>BH35-BB35</f>
        <v>2289</v>
      </c>
      <c r="BF35" s="806">
        <f>ROUND(((BE35/BD35-1)*100), 1)</f>
        <v>13.7</v>
      </c>
      <c r="BG35" s="814">
        <v>25559</v>
      </c>
      <c r="BH35" s="808">
        <v>20336</v>
      </c>
      <c r="BI35" s="806">
        <f>ROUND(((BH35/BG35-1)*100), 1)</f>
        <v>-20.399999999999999</v>
      </c>
      <c r="BJ35" s="814">
        <f>BM35-BG35</f>
        <v>3081</v>
      </c>
      <c r="BK35" s="808">
        <f>BN35-BH35</f>
        <v>2615</v>
      </c>
      <c r="BL35" s="806">
        <f>ROUND(((BK35/BJ35-1)*100), 1)</f>
        <v>-15.1</v>
      </c>
      <c r="BM35" s="814">
        <v>28640</v>
      </c>
      <c r="BN35" s="808">
        <v>22951</v>
      </c>
      <c r="BO35" s="806">
        <f>ROUND(((BN35/BM35-1)*100), 1)</f>
        <v>-19.899999999999999</v>
      </c>
      <c r="BP35" s="814">
        <f>BS35-BM35</f>
        <v>2580</v>
      </c>
      <c r="BQ35" s="808">
        <f>BT35-BN35</f>
        <v>2324</v>
      </c>
      <c r="BR35" s="806">
        <f>ROUND(((BQ35/BP35-1)*100), 1)</f>
        <v>-9.9</v>
      </c>
      <c r="BS35" s="814">
        <v>31220</v>
      </c>
      <c r="BT35" s="808">
        <v>25275</v>
      </c>
      <c r="BU35" s="806">
        <f>ROUND(((BT35/BS35-1)*100), 1)</f>
        <v>-19</v>
      </c>
    </row>
  </sheetData>
  <sortState ref="B19:M33">
    <sortCondition descending="1" ref="J19:J33"/>
  </sortState>
  <mergeCells count="30">
    <mergeCell ref="BP3:BR3"/>
    <mergeCell ref="BS3:BU3"/>
    <mergeCell ref="BJ3:BL3"/>
    <mergeCell ref="BM3:BO3"/>
    <mergeCell ref="BD3:BF3"/>
    <mergeCell ref="BG3:BI3"/>
    <mergeCell ref="AX3:AZ3"/>
    <mergeCell ref="BA3:BC3"/>
    <mergeCell ref="AR3:AT3"/>
    <mergeCell ref="AU3:AW3"/>
    <mergeCell ref="AC3:AE3"/>
    <mergeCell ref="T3:V3"/>
    <mergeCell ref="N3:P3"/>
    <mergeCell ref="Q3:S3"/>
    <mergeCell ref="W3:Y3"/>
    <mergeCell ref="AL3:AN3"/>
    <mergeCell ref="AO3:AQ3"/>
    <mergeCell ref="AF3:AH3"/>
    <mergeCell ref="AI3:AK3"/>
    <mergeCell ref="Z3:AB3"/>
    <mergeCell ref="A3:B4"/>
    <mergeCell ref="K3:M3"/>
    <mergeCell ref="G3:G4"/>
    <mergeCell ref="C3:C4"/>
    <mergeCell ref="D3:D4"/>
    <mergeCell ref="E3:E4"/>
    <mergeCell ref="F3:F4"/>
    <mergeCell ref="H3:H4"/>
    <mergeCell ref="I3:I4"/>
    <mergeCell ref="J3:J4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4"/>
  <sheetViews>
    <sheetView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6.5"/>
  <cols>
    <col min="1" max="1" width="6" customWidth="1"/>
    <col min="2" max="2" width="19.125" customWidth="1"/>
    <col min="3" max="7" width="11" style="320" hidden="1" customWidth="1"/>
    <col min="8" max="9" width="11" style="222" hidden="1" customWidth="1"/>
    <col min="10" max="10" width="11" style="320" customWidth="1"/>
    <col min="11" max="12" width="11" style="320" hidden="1" customWidth="1"/>
    <col min="13" max="13" width="9" hidden="1" customWidth="1"/>
    <col min="14" max="15" width="11" style="320" hidden="1" customWidth="1"/>
    <col min="16" max="16" width="9" style="291" hidden="1" customWidth="1"/>
    <col min="17" max="18" width="11" style="320" hidden="1" customWidth="1"/>
    <col min="19" max="19" width="9" style="291" hidden="1" customWidth="1"/>
    <col min="20" max="21" width="11" style="320" hidden="1" customWidth="1"/>
    <col min="22" max="22" width="9" style="291" hidden="1" customWidth="1"/>
    <col min="23" max="24" width="11" style="320" hidden="1" customWidth="1"/>
    <col min="25" max="25" width="9" style="291" hidden="1" customWidth="1"/>
    <col min="26" max="27" width="11" style="320" hidden="1" customWidth="1"/>
    <col min="28" max="28" width="9" style="291" hidden="1" customWidth="1"/>
    <col min="29" max="30" width="11" style="320" hidden="1" customWidth="1"/>
    <col min="31" max="31" width="9" style="291" hidden="1" customWidth="1"/>
    <col min="32" max="33" width="11" style="320" hidden="1" customWidth="1"/>
    <col min="34" max="34" width="9" style="291" hidden="1" customWidth="1"/>
    <col min="35" max="36" width="11" style="320" hidden="1" customWidth="1"/>
    <col min="37" max="37" width="9" style="291" hidden="1" customWidth="1"/>
    <col min="38" max="39" width="11" style="802" hidden="1" customWidth="1"/>
    <col min="40" max="40" width="9" style="798" hidden="1" customWidth="1"/>
    <col min="41" max="42" width="11" style="833" hidden="1" customWidth="1"/>
    <col min="43" max="43" width="9" style="798" hidden="1" customWidth="1"/>
    <col min="44" max="45" width="11" style="833" hidden="1" customWidth="1"/>
    <col min="46" max="46" width="9" style="846" hidden="1" customWidth="1"/>
    <col min="47" max="48" width="11" style="960" hidden="1" customWidth="1"/>
    <col min="49" max="49" width="9" style="846" hidden="1" customWidth="1"/>
    <col min="50" max="51" width="11" style="833" hidden="1" customWidth="1"/>
    <col min="52" max="52" width="9" style="846" hidden="1" customWidth="1"/>
    <col min="53" max="54" width="11" style="833" hidden="1" customWidth="1"/>
    <col min="55" max="55" width="9" style="846" hidden="1" customWidth="1"/>
    <col min="56" max="57" width="11" style="833" hidden="1" customWidth="1"/>
    <col min="58" max="58" width="9" style="846" hidden="1" customWidth="1"/>
    <col min="59" max="60" width="11" style="833" hidden="1" customWidth="1"/>
    <col min="61" max="61" width="9" style="846" hidden="1" customWidth="1"/>
    <col min="62" max="63" width="11" style="833" hidden="1" customWidth="1"/>
    <col min="64" max="64" width="9" style="846" hidden="1" customWidth="1"/>
    <col min="65" max="66" width="11" style="833" hidden="1" customWidth="1"/>
    <col min="67" max="67" width="9" style="846" hidden="1" customWidth="1"/>
    <col min="68" max="69" width="11" style="833" customWidth="1"/>
    <col min="70" max="70" width="9" style="846" customWidth="1"/>
    <col min="71" max="72" width="11" style="833" customWidth="1"/>
    <col min="73" max="73" width="9" style="846" customWidth="1"/>
    <col min="74" max="74" width="9" style="846"/>
  </cols>
  <sheetData>
    <row r="1" spans="1:73">
      <c r="A1" s="220" t="s">
        <v>313</v>
      </c>
      <c r="C1" s="357"/>
      <c r="D1" s="357"/>
      <c r="E1" s="357"/>
      <c r="F1" s="357"/>
      <c r="G1" s="357"/>
      <c r="H1" s="221"/>
      <c r="J1" s="357" t="s">
        <v>334</v>
      </c>
      <c r="K1" s="221"/>
      <c r="M1" s="291"/>
      <c r="N1" s="221"/>
      <c r="Q1" s="221"/>
      <c r="T1" s="221"/>
      <c r="W1" s="221"/>
      <c r="Z1" s="221"/>
      <c r="AC1" s="221"/>
      <c r="AF1" s="221"/>
      <c r="AI1" s="221"/>
      <c r="AL1" s="801"/>
      <c r="AO1" s="801"/>
      <c r="AR1" s="801"/>
      <c r="AU1" s="1025"/>
      <c r="AX1" s="801"/>
      <c r="BA1" s="801"/>
      <c r="BD1" s="801"/>
      <c r="BG1" s="801"/>
      <c r="BJ1" s="801"/>
      <c r="BM1" s="801"/>
      <c r="BP1" s="801"/>
      <c r="BS1" s="801"/>
    </row>
    <row r="2" spans="1:73">
      <c r="M2" s="302" t="s">
        <v>94</v>
      </c>
      <c r="P2" s="302"/>
      <c r="S2" s="302" t="s">
        <v>94</v>
      </c>
      <c r="V2" s="302"/>
      <c r="Y2" s="302" t="s">
        <v>94</v>
      </c>
      <c r="AB2" s="302"/>
      <c r="AE2" s="302" t="s">
        <v>94</v>
      </c>
      <c r="AH2" s="302"/>
      <c r="AK2" s="302" t="s">
        <v>94</v>
      </c>
      <c r="AN2" s="803"/>
      <c r="AQ2" s="803" t="s">
        <v>94</v>
      </c>
      <c r="AT2" s="803"/>
      <c r="AW2" s="803" t="s">
        <v>94</v>
      </c>
      <c r="AZ2" s="803"/>
      <c r="BC2" s="803" t="s">
        <v>94</v>
      </c>
      <c r="BF2" s="803"/>
      <c r="BI2" s="803" t="s">
        <v>94</v>
      </c>
      <c r="BL2" s="803"/>
      <c r="BO2" s="803" t="s">
        <v>94</v>
      </c>
      <c r="BR2" s="803"/>
      <c r="BU2" s="803" t="s">
        <v>94</v>
      </c>
    </row>
    <row r="3" spans="1:73">
      <c r="A3" s="1082" t="s">
        <v>95</v>
      </c>
      <c r="B3" s="1082"/>
      <c r="C3" s="1149" t="s">
        <v>3</v>
      </c>
      <c r="D3" s="1149" t="s">
        <v>4</v>
      </c>
      <c r="E3" s="1149" t="s">
        <v>5</v>
      </c>
      <c r="F3" s="1149" t="s">
        <v>6</v>
      </c>
      <c r="G3" s="1149" t="s">
        <v>333</v>
      </c>
      <c r="H3" s="1149" t="s">
        <v>8</v>
      </c>
      <c r="I3" s="1149" t="s">
        <v>83</v>
      </c>
      <c r="J3" s="1172" t="s">
        <v>315</v>
      </c>
      <c r="K3" s="1152" t="s">
        <v>40</v>
      </c>
      <c r="L3" s="1082"/>
      <c r="M3" s="1181"/>
      <c r="N3" s="1155" t="s">
        <v>505</v>
      </c>
      <c r="O3" s="1156"/>
      <c r="P3" s="1157"/>
      <c r="Q3" s="1155" t="s">
        <v>506</v>
      </c>
      <c r="R3" s="1156"/>
      <c r="S3" s="1157"/>
      <c r="T3" s="1155" t="s">
        <v>513</v>
      </c>
      <c r="U3" s="1156"/>
      <c r="V3" s="1157"/>
      <c r="W3" s="1155" t="s">
        <v>514</v>
      </c>
      <c r="X3" s="1156"/>
      <c r="Y3" s="1157"/>
      <c r="Z3" s="1155" t="s">
        <v>531</v>
      </c>
      <c r="AA3" s="1156"/>
      <c r="AB3" s="1157"/>
      <c r="AC3" s="1155" t="s">
        <v>533</v>
      </c>
      <c r="AD3" s="1156"/>
      <c r="AE3" s="1157"/>
      <c r="AF3" s="1155" t="s">
        <v>579</v>
      </c>
      <c r="AG3" s="1156"/>
      <c r="AH3" s="1157"/>
      <c r="AI3" s="1155" t="s">
        <v>580</v>
      </c>
      <c r="AJ3" s="1156"/>
      <c r="AK3" s="1157"/>
      <c r="AL3" s="1155" t="s">
        <v>589</v>
      </c>
      <c r="AM3" s="1156"/>
      <c r="AN3" s="1157"/>
      <c r="AO3" s="1155" t="s">
        <v>588</v>
      </c>
      <c r="AP3" s="1156"/>
      <c r="AQ3" s="1157"/>
      <c r="AR3" s="1155" t="s">
        <v>621</v>
      </c>
      <c r="AS3" s="1156"/>
      <c r="AT3" s="1157"/>
      <c r="AU3" s="1155" t="s">
        <v>622</v>
      </c>
      <c r="AV3" s="1156"/>
      <c r="AW3" s="1157"/>
      <c r="AX3" s="1155" t="s">
        <v>626</v>
      </c>
      <c r="AY3" s="1156"/>
      <c r="AZ3" s="1157"/>
      <c r="BA3" s="1155" t="s">
        <v>628</v>
      </c>
      <c r="BB3" s="1156"/>
      <c r="BC3" s="1157"/>
      <c r="BD3" s="1155" t="s">
        <v>650</v>
      </c>
      <c r="BE3" s="1156"/>
      <c r="BF3" s="1157"/>
      <c r="BG3" s="1155" t="s">
        <v>651</v>
      </c>
      <c r="BH3" s="1156"/>
      <c r="BI3" s="1157"/>
      <c r="BJ3" s="1155" t="s">
        <v>674</v>
      </c>
      <c r="BK3" s="1156"/>
      <c r="BL3" s="1157"/>
      <c r="BM3" s="1155" t="s">
        <v>675</v>
      </c>
      <c r="BN3" s="1156"/>
      <c r="BO3" s="1157"/>
      <c r="BP3" s="1155" t="s">
        <v>712</v>
      </c>
      <c r="BQ3" s="1156"/>
      <c r="BR3" s="1157"/>
      <c r="BS3" s="1155" t="s">
        <v>711</v>
      </c>
      <c r="BT3" s="1156"/>
      <c r="BU3" s="1157"/>
    </row>
    <row r="4" spans="1:73">
      <c r="A4" s="1082"/>
      <c r="B4" s="1082"/>
      <c r="C4" s="1182"/>
      <c r="D4" s="1182"/>
      <c r="E4" s="1182"/>
      <c r="F4" s="1182"/>
      <c r="G4" s="1182"/>
      <c r="H4" s="1182"/>
      <c r="I4" s="1182"/>
      <c r="J4" s="1173"/>
      <c r="K4" s="418" t="s">
        <v>445</v>
      </c>
      <c r="L4" s="427" t="s">
        <v>446</v>
      </c>
      <c r="M4" s="306" t="s">
        <v>10</v>
      </c>
      <c r="N4" s="418" t="s">
        <v>445</v>
      </c>
      <c r="O4" s="427" t="s">
        <v>446</v>
      </c>
      <c r="P4" s="306" t="s">
        <v>10</v>
      </c>
      <c r="Q4" s="418" t="s">
        <v>445</v>
      </c>
      <c r="R4" s="427" t="s">
        <v>446</v>
      </c>
      <c r="S4" s="306" t="s">
        <v>10</v>
      </c>
      <c r="T4" s="418" t="s">
        <v>445</v>
      </c>
      <c r="U4" s="427" t="s">
        <v>446</v>
      </c>
      <c r="V4" s="306" t="s">
        <v>10</v>
      </c>
      <c r="W4" s="418" t="s">
        <v>445</v>
      </c>
      <c r="X4" s="427" t="s">
        <v>446</v>
      </c>
      <c r="Y4" s="306" t="s">
        <v>10</v>
      </c>
      <c r="Z4" s="418" t="s">
        <v>445</v>
      </c>
      <c r="AA4" s="427" t="s">
        <v>446</v>
      </c>
      <c r="AB4" s="306" t="s">
        <v>10</v>
      </c>
      <c r="AC4" s="418" t="s">
        <v>445</v>
      </c>
      <c r="AD4" s="427" t="s">
        <v>446</v>
      </c>
      <c r="AE4" s="306" t="s">
        <v>10</v>
      </c>
      <c r="AF4" s="418" t="s">
        <v>581</v>
      </c>
      <c r="AG4" s="427" t="s">
        <v>582</v>
      </c>
      <c r="AH4" s="306" t="s">
        <v>10</v>
      </c>
      <c r="AI4" s="418" t="s">
        <v>581</v>
      </c>
      <c r="AJ4" s="427" t="s">
        <v>582</v>
      </c>
      <c r="AK4" s="306" t="s">
        <v>10</v>
      </c>
      <c r="AL4" s="815" t="s">
        <v>445</v>
      </c>
      <c r="AM4" s="816" t="s">
        <v>446</v>
      </c>
      <c r="AN4" s="807" t="s">
        <v>10</v>
      </c>
      <c r="AO4" s="815" t="s">
        <v>445</v>
      </c>
      <c r="AP4" s="816" t="s">
        <v>446</v>
      </c>
      <c r="AQ4" s="807" t="s">
        <v>10</v>
      </c>
      <c r="AR4" s="815" t="s">
        <v>445</v>
      </c>
      <c r="AS4" s="816" t="s">
        <v>446</v>
      </c>
      <c r="AT4" s="807" t="s">
        <v>10</v>
      </c>
      <c r="AU4" s="996" t="s">
        <v>445</v>
      </c>
      <c r="AV4" s="1009" t="s">
        <v>446</v>
      </c>
      <c r="AW4" s="807" t="s">
        <v>10</v>
      </c>
      <c r="AX4" s="815" t="s">
        <v>445</v>
      </c>
      <c r="AY4" s="816" t="s">
        <v>446</v>
      </c>
      <c r="AZ4" s="807" t="s">
        <v>10</v>
      </c>
      <c r="BA4" s="815" t="s">
        <v>646</v>
      </c>
      <c r="BB4" s="816" t="s">
        <v>446</v>
      </c>
      <c r="BC4" s="807" t="s">
        <v>10</v>
      </c>
      <c r="BD4" s="815" t="s">
        <v>669</v>
      </c>
      <c r="BE4" s="816" t="s">
        <v>671</v>
      </c>
      <c r="BF4" s="807" t="s">
        <v>10</v>
      </c>
      <c r="BG4" s="815" t="s">
        <v>669</v>
      </c>
      <c r="BH4" s="816" t="s">
        <v>671</v>
      </c>
      <c r="BI4" s="807" t="s">
        <v>10</v>
      </c>
      <c r="BJ4" s="815" t="s">
        <v>698</v>
      </c>
      <c r="BK4" s="816" t="s">
        <v>699</v>
      </c>
      <c r="BL4" s="807" t="s">
        <v>10</v>
      </c>
      <c r="BM4" s="815" t="s">
        <v>698</v>
      </c>
      <c r="BN4" s="816" t="s">
        <v>699</v>
      </c>
      <c r="BO4" s="807" t="s">
        <v>10</v>
      </c>
      <c r="BP4" s="815" t="s">
        <v>758</v>
      </c>
      <c r="BQ4" s="816" t="s">
        <v>446</v>
      </c>
      <c r="BR4" s="807" t="s">
        <v>10</v>
      </c>
      <c r="BS4" s="815" t="s">
        <v>445</v>
      </c>
      <c r="BT4" s="816" t="s">
        <v>446</v>
      </c>
      <c r="BU4" s="807" t="s">
        <v>10</v>
      </c>
    </row>
    <row r="5" spans="1:73">
      <c r="A5" s="217"/>
      <c r="B5" s="85" t="s">
        <v>74</v>
      </c>
      <c r="C5" s="66">
        <v>0</v>
      </c>
      <c r="D5" s="66">
        <v>0</v>
      </c>
      <c r="E5" s="66">
        <v>1</v>
      </c>
      <c r="F5" s="66">
        <v>155</v>
      </c>
      <c r="G5" s="66">
        <v>1046</v>
      </c>
      <c r="H5" s="66">
        <v>869</v>
      </c>
      <c r="I5" s="66">
        <v>713</v>
      </c>
      <c r="J5" s="66">
        <v>822</v>
      </c>
      <c r="K5" s="384">
        <v>0</v>
      </c>
      <c r="L5" s="389">
        <v>196</v>
      </c>
      <c r="M5" s="362">
        <v>0</v>
      </c>
      <c r="N5" s="384">
        <f t="shared" ref="N5:O14" si="0">Q5-K5</f>
        <v>0</v>
      </c>
      <c r="O5" s="389">
        <f t="shared" si="0"/>
        <v>119</v>
      </c>
      <c r="P5" s="362">
        <v>0</v>
      </c>
      <c r="Q5" s="384">
        <v>0</v>
      </c>
      <c r="R5" s="389">
        <v>315</v>
      </c>
      <c r="S5" s="362">
        <v>0</v>
      </c>
      <c r="T5" s="384">
        <f t="shared" ref="T5:T14" si="1">W5-Q5</f>
        <v>0</v>
      </c>
      <c r="U5" s="389">
        <f t="shared" ref="U5:U14" si="2">X5-R5</f>
        <v>422</v>
      </c>
      <c r="V5" s="362">
        <v>0</v>
      </c>
      <c r="W5" s="384">
        <v>0</v>
      </c>
      <c r="X5" s="389">
        <v>737</v>
      </c>
      <c r="Y5" s="362">
        <v>0</v>
      </c>
      <c r="Z5" s="528">
        <f t="shared" ref="Z5:Z14" si="3">AC5-W5</f>
        <v>0</v>
      </c>
      <c r="AA5" s="389">
        <f t="shared" ref="AA5:AA14" si="4">AD5-X5</f>
        <v>148</v>
      </c>
      <c r="AB5" s="526">
        <v>0</v>
      </c>
      <c r="AC5" s="528">
        <v>0</v>
      </c>
      <c r="AD5" s="389">
        <v>885</v>
      </c>
      <c r="AE5" s="526">
        <v>0</v>
      </c>
      <c r="AF5" s="528">
        <f t="shared" ref="AF5:AG14" si="5">AI5-AC5</f>
        <v>0</v>
      </c>
      <c r="AG5" s="389">
        <f t="shared" si="5"/>
        <v>80</v>
      </c>
      <c r="AH5" s="526">
        <v>0</v>
      </c>
      <c r="AI5" s="528">
        <v>0</v>
      </c>
      <c r="AJ5" s="389">
        <v>965</v>
      </c>
      <c r="AK5" s="526">
        <v>0</v>
      </c>
      <c r="AL5" s="811">
        <f t="shared" ref="AL5:AL14" si="6">AO5-AI5</f>
        <v>0</v>
      </c>
      <c r="AM5" s="812">
        <f t="shared" ref="AM5:AM14" si="7">AP5-AJ5</f>
        <v>0</v>
      </c>
      <c r="AN5" s="809">
        <v>0</v>
      </c>
      <c r="AO5" s="818">
        <v>0</v>
      </c>
      <c r="AP5" s="812">
        <v>965</v>
      </c>
      <c r="AQ5" s="809">
        <v>0</v>
      </c>
      <c r="AR5" s="818">
        <f t="shared" ref="AR5:AS14" si="8">AU5-AO5</f>
        <v>21</v>
      </c>
      <c r="AS5" s="812">
        <f t="shared" si="8"/>
        <v>0</v>
      </c>
      <c r="AT5" s="805">
        <f>ROUND(((AS5/AR5-1)*100), 1)</f>
        <v>-100</v>
      </c>
      <c r="AU5" s="973">
        <v>21</v>
      </c>
      <c r="AV5" s="974">
        <v>965</v>
      </c>
      <c r="AW5" s="805">
        <f>ROUND(((AV5/AU5-1)*100), 1)</f>
        <v>4495.2</v>
      </c>
      <c r="AX5" s="818">
        <f t="shared" ref="AX5:AX14" si="9">BA5-AU5</f>
        <v>376</v>
      </c>
      <c r="AY5" s="812">
        <f t="shared" ref="AY5:AY14" si="10">BB5-AV5</f>
        <v>0</v>
      </c>
      <c r="AZ5" s="805">
        <f>ROUND(((AY5/AX5-1)*100), 1)</f>
        <v>-100</v>
      </c>
      <c r="BA5" s="818">
        <v>397</v>
      </c>
      <c r="BB5" s="812">
        <v>965</v>
      </c>
      <c r="BC5" s="805">
        <f>ROUND(((BB5/BA5-1)*100), 1)</f>
        <v>143.1</v>
      </c>
      <c r="BD5" s="818">
        <f t="shared" ref="BD5:BE14" si="11">BG5-BA5</f>
        <v>41</v>
      </c>
      <c r="BE5" s="812">
        <f t="shared" si="11"/>
        <v>0</v>
      </c>
      <c r="BF5" s="805">
        <f>ROUND(((BE5/BD5-1)*100), 1)</f>
        <v>-100</v>
      </c>
      <c r="BG5" s="818">
        <v>438</v>
      </c>
      <c r="BH5" s="812">
        <v>965</v>
      </c>
      <c r="BI5" s="805">
        <f>ROUND(((BH5/BG5-1)*100), 1)</f>
        <v>120.3</v>
      </c>
      <c r="BJ5" s="818">
        <f t="shared" ref="BJ5:BK14" si="12">BM5-BG5</f>
        <v>147</v>
      </c>
      <c r="BK5" s="812">
        <f t="shared" si="12"/>
        <v>0</v>
      </c>
      <c r="BL5" s="805">
        <f>ROUND(((BK5/BJ5-1)*100), 1)</f>
        <v>-100</v>
      </c>
      <c r="BM5" s="818">
        <v>585</v>
      </c>
      <c r="BN5" s="812">
        <v>965</v>
      </c>
      <c r="BO5" s="805">
        <f>ROUND(((BN5/BM5-1)*100), 1)</f>
        <v>65</v>
      </c>
      <c r="BP5" s="818">
        <f t="shared" ref="BP5:BQ14" si="13">BS5-BM5</f>
        <v>41</v>
      </c>
      <c r="BQ5" s="812">
        <f t="shared" si="13"/>
        <v>354</v>
      </c>
      <c r="BR5" s="805">
        <f>ROUND(((BQ5/BP5-1)*100), 1)</f>
        <v>763.4</v>
      </c>
      <c r="BS5" s="818">
        <v>626</v>
      </c>
      <c r="BT5" s="812">
        <v>1319</v>
      </c>
      <c r="BU5" s="805">
        <f>ROUND(((BT5/BS5-1)*100), 1)</f>
        <v>110.7</v>
      </c>
    </row>
    <row r="6" spans="1:73">
      <c r="A6" s="219" t="s">
        <v>121</v>
      </c>
      <c r="B6" s="43" t="s">
        <v>53</v>
      </c>
      <c r="C6" s="44">
        <v>0</v>
      </c>
      <c r="D6" s="44">
        <v>1457</v>
      </c>
      <c r="E6" s="44">
        <v>880</v>
      </c>
      <c r="F6" s="44">
        <v>254</v>
      </c>
      <c r="G6" s="44">
        <v>230</v>
      </c>
      <c r="H6" s="44">
        <v>103</v>
      </c>
      <c r="I6" s="44">
        <v>100</v>
      </c>
      <c r="J6" s="44">
        <v>708</v>
      </c>
      <c r="K6" s="390">
        <v>20</v>
      </c>
      <c r="L6" s="390">
        <v>37</v>
      </c>
      <c r="M6" s="304">
        <f>ROUND(((L6/K6-1)*100), 1)</f>
        <v>85</v>
      </c>
      <c r="N6" s="390">
        <f t="shared" si="0"/>
        <v>0</v>
      </c>
      <c r="O6" s="390">
        <f t="shared" si="0"/>
        <v>92</v>
      </c>
      <c r="P6" s="526">
        <v>0</v>
      </c>
      <c r="Q6" s="390">
        <v>20</v>
      </c>
      <c r="R6" s="390">
        <v>129</v>
      </c>
      <c r="S6" s="304">
        <f>ROUND(((R6/Q6-1)*100), 1)</f>
        <v>545</v>
      </c>
      <c r="T6" s="390">
        <f t="shared" si="1"/>
        <v>18</v>
      </c>
      <c r="U6" s="390">
        <f t="shared" si="2"/>
        <v>38</v>
      </c>
      <c r="V6" s="304">
        <f>ROUND(((U6/T6-1)*100), 1)</f>
        <v>111.1</v>
      </c>
      <c r="W6" s="390">
        <v>38</v>
      </c>
      <c r="X6" s="390">
        <v>167</v>
      </c>
      <c r="Y6" s="304">
        <f>ROUND(((X6/W6-1)*100), 1)</f>
        <v>339.5</v>
      </c>
      <c r="Z6" s="390">
        <f t="shared" si="3"/>
        <v>77</v>
      </c>
      <c r="AA6" s="390">
        <f t="shared" si="4"/>
        <v>76</v>
      </c>
      <c r="AB6" s="304">
        <f>ROUND(((AA6/Z6-1)*100), 1)</f>
        <v>-1.3</v>
      </c>
      <c r="AC6" s="390">
        <v>115</v>
      </c>
      <c r="AD6" s="390">
        <v>243</v>
      </c>
      <c r="AE6" s="304">
        <f>ROUND(((AD6/AC6-1)*100), 1)</f>
        <v>111.3</v>
      </c>
      <c r="AF6" s="390">
        <f t="shared" si="5"/>
        <v>78</v>
      </c>
      <c r="AG6" s="390">
        <f t="shared" si="5"/>
        <v>97</v>
      </c>
      <c r="AH6" s="304">
        <f>ROUND(((AG6/AF6-1)*100), 1)</f>
        <v>24.4</v>
      </c>
      <c r="AI6" s="390">
        <v>193</v>
      </c>
      <c r="AJ6" s="390">
        <v>340</v>
      </c>
      <c r="AK6" s="304">
        <f>ROUND(((AJ6/AI6-1)*100), 1)</f>
        <v>76.2</v>
      </c>
      <c r="AL6" s="813">
        <f t="shared" si="6"/>
        <v>78</v>
      </c>
      <c r="AM6" s="813">
        <f t="shared" si="7"/>
        <v>116</v>
      </c>
      <c r="AN6" s="805">
        <f>ROUND(((AM6/AL6-1)*100), 1)</f>
        <v>48.7</v>
      </c>
      <c r="AO6" s="819">
        <v>271</v>
      </c>
      <c r="AP6" s="819">
        <v>456</v>
      </c>
      <c r="AQ6" s="805">
        <f>ROUND(((AP6/AO6-1)*100), 1)</f>
        <v>68.3</v>
      </c>
      <c r="AR6" s="819">
        <f t="shared" si="8"/>
        <v>79</v>
      </c>
      <c r="AS6" s="819">
        <f t="shared" si="8"/>
        <v>137</v>
      </c>
      <c r="AT6" s="805">
        <f>ROUND(((AS6/AR6-1)*100), 1)</f>
        <v>73.400000000000006</v>
      </c>
      <c r="AU6" s="970">
        <v>350</v>
      </c>
      <c r="AV6" s="970">
        <v>593</v>
      </c>
      <c r="AW6" s="805">
        <f>ROUND(((AV6/AU6-1)*100), 1)</f>
        <v>69.400000000000006</v>
      </c>
      <c r="AX6" s="819">
        <f t="shared" si="9"/>
        <v>78</v>
      </c>
      <c r="AY6" s="819">
        <f t="shared" si="10"/>
        <v>82</v>
      </c>
      <c r="AZ6" s="805">
        <f>ROUND(((AY6/AX6-1)*100), 1)</f>
        <v>5.0999999999999996</v>
      </c>
      <c r="BA6" s="819">
        <v>428</v>
      </c>
      <c r="BB6" s="819">
        <v>675</v>
      </c>
      <c r="BC6" s="805">
        <f>ROUND(((BB6/BA6-1)*100), 1)</f>
        <v>57.7</v>
      </c>
      <c r="BD6" s="819">
        <f t="shared" si="11"/>
        <v>55</v>
      </c>
      <c r="BE6" s="819">
        <f t="shared" si="11"/>
        <v>138</v>
      </c>
      <c r="BF6" s="805">
        <f>ROUND(((BE6/BD6-1)*100), 1)</f>
        <v>150.9</v>
      </c>
      <c r="BG6" s="819">
        <v>483</v>
      </c>
      <c r="BH6" s="819">
        <v>813</v>
      </c>
      <c r="BI6" s="805">
        <f>ROUND(((BH6/BG6-1)*100), 1)</f>
        <v>68.3</v>
      </c>
      <c r="BJ6" s="819">
        <f t="shared" si="12"/>
        <v>38</v>
      </c>
      <c r="BK6" s="819">
        <f t="shared" si="12"/>
        <v>159</v>
      </c>
      <c r="BL6" s="805">
        <f>ROUND(((BK6/BJ6-1)*100), 1)</f>
        <v>318.39999999999998</v>
      </c>
      <c r="BM6" s="819">
        <v>521</v>
      </c>
      <c r="BN6" s="819">
        <v>972</v>
      </c>
      <c r="BO6" s="805">
        <f>ROUND(((BN6/BM6-1)*100), 1)</f>
        <v>86.6</v>
      </c>
      <c r="BP6" s="819">
        <f t="shared" si="13"/>
        <v>130</v>
      </c>
      <c r="BQ6" s="819">
        <f t="shared" si="13"/>
        <v>183</v>
      </c>
      <c r="BR6" s="805">
        <f>ROUND(((BQ6/BP6-1)*100), 1)</f>
        <v>40.799999999999997</v>
      </c>
      <c r="BS6" s="819">
        <v>651</v>
      </c>
      <c r="BT6" s="819">
        <v>1155</v>
      </c>
      <c r="BU6" s="805">
        <f>ROUND(((BT6/BS6-1)*100), 1)</f>
        <v>77.400000000000006</v>
      </c>
    </row>
    <row r="7" spans="1:73">
      <c r="A7" s="219"/>
      <c r="B7" s="43" t="s">
        <v>51</v>
      </c>
      <c r="C7" s="44">
        <v>0</v>
      </c>
      <c r="D7" s="44">
        <v>0</v>
      </c>
      <c r="E7" s="44">
        <v>1</v>
      </c>
      <c r="F7" s="44">
        <v>85</v>
      </c>
      <c r="G7" s="44">
        <v>191</v>
      </c>
      <c r="H7" s="44">
        <v>459</v>
      </c>
      <c r="I7" s="44">
        <v>912</v>
      </c>
      <c r="J7" s="44">
        <v>408</v>
      </c>
      <c r="K7" s="383">
        <v>106</v>
      </c>
      <c r="L7" s="390">
        <v>1</v>
      </c>
      <c r="M7" s="304">
        <f>ROUND(((L7/K7-1)*100), 1)</f>
        <v>-99.1</v>
      </c>
      <c r="N7" s="383">
        <f t="shared" si="0"/>
        <v>56</v>
      </c>
      <c r="O7" s="390">
        <f t="shared" si="0"/>
        <v>0</v>
      </c>
      <c r="P7" s="304">
        <f>ROUND(((O7/N7-1)*100), 1)</f>
        <v>-100</v>
      </c>
      <c r="Q7" s="383">
        <v>162</v>
      </c>
      <c r="R7" s="390">
        <v>1</v>
      </c>
      <c r="S7" s="304">
        <f>ROUND(((R7/Q7-1)*100), 1)</f>
        <v>-99.4</v>
      </c>
      <c r="T7" s="383">
        <f t="shared" si="1"/>
        <v>25</v>
      </c>
      <c r="U7" s="390">
        <f t="shared" si="2"/>
        <v>1</v>
      </c>
      <c r="V7" s="304">
        <f>ROUND(((U7/T7-1)*100), 1)</f>
        <v>-96</v>
      </c>
      <c r="W7" s="383">
        <v>187</v>
      </c>
      <c r="X7" s="390">
        <v>2</v>
      </c>
      <c r="Y7" s="304">
        <f>ROUND(((X7/W7-1)*100), 1)</f>
        <v>-98.9</v>
      </c>
      <c r="Z7" s="527">
        <f t="shared" si="3"/>
        <v>1</v>
      </c>
      <c r="AA7" s="390">
        <f t="shared" si="4"/>
        <v>21</v>
      </c>
      <c r="AB7" s="304">
        <f>ROUND(((AA7/Z7-1)*100), 1)</f>
        <v>2000</v>
      </c>
      <c r="AC7" s="527">
        <v>188</v>
      </c>
      <c r="AD7" s="390">
        <v>23</v>
      </c>
      <c r="AE7" s="304">
        <f>ROUND(((AD7/AC7-1)*100), 1)</f>
        <v>-87.8</v>
      </c>
      <c r="AF7" s="527">
        <f t="shared" si="5"/>
        <v>23</v>
      </c>
      <c r="AG7" s="390">
        <f t="shared" si="5"/>
        <v>5</v>
      </c>
      <c r="AH7" s="304">
        <f>ROUND(((AG7/AF7-1)*100), 1)</f>
        <v>-78.3</v>
      </c>
      <c r="AI7" s="527">
        <v>211</v>
      </c>
      <c r="AJ7" s="390">
        <v>28</v>
      </c>
      <c r="AK7" s="304">
        <f>ROUND(((AJ7/AI7-1)*100), 1)</f>
        <v>-86.7</v>
      </c>
      <c r="AL7" s="810">
        <f t="shared" si="6"/>
        <v>45</v>
      </c>
      <c r="AM7" s="813">
        <f t="shared" si="7"/>
        <v>20</v>
      </c>
      <c r="AN7" s="805">
        <f>ROUND(((AM7/AL7-1)*100), 1)</f>
        <v>-55.6</v>
      </c>
      <c r="AO7" s="817">
        <v>256</v>
      </c>
      <c r="AP7" s="819">
        <v>48</v>
      </c>
      <c r="AQ7" s="805">
        <f>ROUND(((AP7/AO7-1)*100), 1)</f>
        <v>-81.3</v>
      </c>
      <c r="AR7" s="817">
        <f t="shared" si="8"/>
        <v>44</v>
      </c>
      <c r="AS7" s="819">
        <f t="shared" si="8"/>
        <v>0</v>
      </c>
      <c r="AT7" s="805">
        <f>ROUND(((AS7/AR7-1)*100), 1)</f>
        <v>-100</v>
      </c>
      <c r="AU7" s="969">
        <v>300</v>
      </c>
      <c r="AV7" s="970">
        <v>48</v>
      </c>
      <c r="AW7" s="805">
        <f>ROUND(((AV7/AU7-1)*100), 1)</f>
        <v>-84</v>
      </c>
      <c r="AX7" s="817">
        <f t="shared" si="9"/>
        <v>65</v>
      </c>
      <c r="AY7" s="819">
        <f t="shared" si="10"/>
        <v>22</v>
      </c>
      <c r="AZ7" s="805">
        <f>ROUND(((AY7/AX7-1)*100), 1)</f>
        <v>-66.2</v>
      </c>
      <c r="BA7" s="817">
        <v>365</v>
      </c>
      <c r="BB7" s="819">
        <v>70</v>
      </c>
      <c r="BC7" s="805">
        <f>ROUND(((BB7/BA7-1)*100), 1)</f>
        <v>-80.8</v>
      </c>
      <c r="BD7" s="817">
        <f t="shared" si="11"/>
        <v>40</v>
      </c>
      <c r="BE7" s="819">
        <f t="shared" si="11"/>
        <v>0</v>
      </c>
      <c r="BF7" s="805">
        <f>ROUND(((BE7/BD7-1)*100), 1)</f>
        <v>-100</v>
      </c>
      <c r="BG7" s="817">
        <v>405</v>
      </c>
      <c r="BH7" s="819">
        <v>70</v>
      </c>
      <c r="BI7" s="805">
        <f>ROUND(((BH7/BG7-1)*100), 1)</f>
        <v>-82.7</v>
      </c>
      <c r="BJ7" s="817">
        <f t="shared" si="12"/>
        <v>1</v>
      </c>
      <c r="BK7" s="819">
        <f t="shared" si="12"/>
        <v>2</v>
      </c>
      <c r="BL7" s="805">
        <f>ROUND(((BK7/BJ7-1)*100), 1)</f>
        <v>100</v>
      </c>
      <c r="BM7" s="817">
        <v>406</v>
      </c>
      <c r="BN7" s="819">
        <v>72</v>
      </c>
      <c r="BO7" s="805">
        <f>ROUND(((BN7/BM7-1)*100), 1)</f>
        <v>-82.3</v>
      </c>
      <c r="BP7" s="817">
        <f t="shared" si="13"/>
        <v>1</v>
      </c>
      <c r="BQ7" s="819">
        <f t="shared" si="13"/>
        <v>0</v>
      </c>
      <c r="BR7" s="805">
        <f>ROUND(((BQ7/BP7-1)*100), 1)</f>
        <v>-100</v>
      </c>
      <c r="BS7" s="817">
        <v>407</v>
      </c>
      <c r="BT7" s="819">
        <v>72</v>
      </c>
      <c r="BU7" s="805">
        <f>ROUND(((BT7/BS7-1)*100), 1)</f>
        <v>-82.3</v>
      </c>
    </row>
    <row r="8" spans="1:73">
      <c r="A8" s="219"/>
      <c r="B8" s="43" t="s">
        <v>57</v>
      </c>
      <c r="C8" s="44">
        <v>1</v>
      </c>
      <c r="D8" s="44">
        <v>55</v>
      </c>
      <c r="E8" s="44">
        <v>7</v>
      </c>
      <c r="F8" s="44">
        <v>34</v>
      </c>
      <c r="G8" s="44">
        <v>96</v>
      </c>
      <c r="H8" s="44">
        <v>344</v>
      </c>
      <c r="I8" s="44">
        <v>126</v>
      </c>
      <c r="J8" s="44">
        <v>86</v>
      </c>
      <c r="K8" s="383">
        <v>22</v>
      </c>
      <c r="L8" s="390">
        <v>0</v>
      </c>
      <c r="M8" s="304">
        <f>ROUND(((L8/K8-1)*100), 1)</f>
        <v>-100</v>
      </c>
      <c r="N8" s="383">
        <f t="shared" si="0"/>
        <v>22</v>
      </c>
      <c r="O8" s="390">
        <f t="shared" si="0"/>
        <v>0</v>
      </c>
      <c r="P8" s="304">
        <f>ROUND(((O8/N8-1)*100), 1)</f>
        <v>-100</v>
      </c>
      <c r="Q8" s="383">
        <v>44</v>
      </c>
      <c r="R8" s="390">
        <v>0</v>
      </c>
      <c r="S8" s="304">
        <f>ROUND(((R8/Q8-1)*100), 1)</f>
        <v>-100</v>
      </c>
      <c r="T8" s="383">
        <f t="shared" si="1"/>
        <v>20</v>
      </c>
      <c r="U8" s="390">
        <f t="shared" si="2"/>
        <v>19</v>
      </c>
      <c r="V8" s="304">
        <f>ROUND(((U8/T8-1)*100), 1)</f>
        <v>-5</v>
      </c>
      <c r="W8" s="383">
        <v>64</v>
      </c>
      <c r="X8" s="390">
        <v>19</v>
      </c>
      <c r="Y8" s="304">
        <f>ROUND(((X8/W8-1)*100), 1)</f>
        <v>-70.3</v>
      </c>
      <c r="Z8" s="527">
        <f t="shared" si="3"/>
        <v>22</v>
      </c>
      <c r="AA8" s="390">
        <f t="shared" si="4"/>
        <v>0</v>
      </c>
      <c r="AB8" s="304">
        <f>ROUND(((AA8/Z8-1)*100), 1)</f>
        <v>-100</v>
      </c>
      <c r="AC8" s="527">
        <v>86</v>
      </c>
      <c r="AD8" s="390">
        <v>19</v>
      </c>
      <c r="AE8" s="304">
        <f>ROUND(((AD8/AC8-1)*100), 1)</f>
        <v>-77.900000000000006</v>
      </c>
      <c r="AF8" s="527">
        <f t="shared" si="5"/>
        <v>0</v>
      </c>
      <c r="AG8" s="390">
        <f t="shared" si="5"/>
        <v>0</v>
      </c>
      <c r="AH8" s="526">
        <v>0</v>
      </c>
      <c r="AI8" s="527">
        <v>86</v>
      </c>
      <c r="AJ8" s="390">
        <v>19</v>
      </c>
      <c r="AK8" s="304">
        <f>ROUND(((AJ8/AI8-1)*100), 1)</f>
        <v>-77.900000000000006</v>
      </c>
      <c r="AL8" s="810">
        <f t="shared" si="6"/>
        <v>0</v>
      </c>
      <c r="AM8" s="813">
        <f t="shared" si="7"/>
        <v>0</v>
      </c>
      <c r="AN8" s="809">
        <v>0</v>
      </c>
      <c r="AO8" s="817">
        <v>86</v>
      </c>
      <c r="AP8" s="819">
        <v>19</v>
      </c>
      <c r="AQ8" s="805">
        <f>ROUND(((AP8/AO8-1)*100), 1)</f>
        <v>-77.900000000000006</v>
      </c>
      <c r="AR8" s="817">
        <f t="shared" si="8"/>
        <v>0</v>
      </c>
      <c r="AS8" s="819">
        <f t="shared" si="8"/>
        <v>0</v>
      </c>
      <c r="AT8" s="809">
        <v>0</v>
      </c>
      <c r="AU8" s="969">
        <v>86</v>
      </c>
      <c r="AV8" s="970">
        <v>19</v>
      </c>
      <c r="AW8" s="805">
        <f>ROUND(((AV8/AU8-1)*100), 1)</f>
        <v>-77.900000000000006</v>
      </c>
      <c r="AX8" s="817">
        <f t="shared" si="9"/>
        <v>0</v>
      </c>
      <c r="AY8" s="819">
        <f t="shared" si="10"/>
        <v>0</v>
      </c>
      <c r="AZ8" s="809">
        <v>0</v>
      </c>
      <c r="BA8" s="817">
        <v>86</v>
      </c>
      <c r="BB8" s="819">
        <v>19</v>
      </c>
      <c r="BC8" s="805">
        <f>ROUND(((BB8/BA8-1)*100), 1)</f>
        <v>-77.900000000000006</v>
      </c>
      <c r="BD8" s="817">
        <f t="shared" si="11"/>
        <v>0</v>
      </c>
      <c r="BE8" s="819">
        <f t="shared" si="11"/>
        <v>19</v>
      </c>
      <c r="BF8" s="809">
        <v>0</v>
      </c>
      <c r="BG8" s="817">
        <v>86</v>
      </c>
      <c r="BH8" s="819">
        <v>38</v>
      </c>
      <c r="BI8" s="805">
        <f>ROUND(((BH8/BG8-1)*100), 1)</f>
        <v>-55.8</v>
      </c>
      <c r="BJ8" s="817">
        <f t="shared" si="12"/>
        <v>0</v>
      </c>
      <c r="BK8" s="819">
        <f t="shared" si="12"/>
        <v>0</v>
      </c>
      <c r="BL8" s="809">
        <v>0</v>
      </c>
      <c r="BM8" s="817">
        <v>86</v>
      </c>
      <c r="BN8" s="819">
        <v>38</v>
      </c>
      <c r="BO8" s="805">
        <f>ROUND(((BN8/BM8-1)*100), 1)</f>
        <v>-55.8</v>
      </c>
      <c r="BP8" s="817">
        <f t="shared" si="13"/>
        <v>0</v>
      </c>
      <c r="BQ8" s="819">
        <f t="shared" si="13"/>
        <v>60</v>
      </c>
      <c r="BR8" s="809">
        <v>0</v>
      </c>
      <c r="BS8" s="817">
        <v>86</v>
      </c>
      <c r="BT8" s="819">
        <v>98</v>
      </c>
      <c r="BU8" s="805">
        <f>ROUND(((BT8/BS8-1)*100), 1)</f>
        <v>14</v>
      </c>
    </row>
    <row r="9" spans="1:73">
      <c r="A9" s="219"/>
      <c r="B9" s="43" t="s">
        <v>52</v>
      </c>
      <c r="C9" s="44">
        <v>0</v>
      </c>
      <c r="D9" s="44">
        <v>1</v>
      </c>
      <c r="E9" s="44">
        <v>2</v>
      </c>
      <c r="F9" s="44">
        <v>5</v>
      </c>
      <c r="G9" s="44">
        <v>28</v>
      </c>
      <c r="H9" s="44">
        <v>9</v>
      </c>
      <c r="I9" s="44">
        <v>6</v>
      </c>
      <c r="J9" s="44">
        <v>1</v>
      </c>
      <c r="K9" s="390">
        <v>0</v>
      </c>
      <c r="L9" s="390">
        <v>0</v>
      </c>
      <c r="M9" s="362">
        <v>0</v>
      </c>
      <c r="N9" s="390">
        <f t="shared" si="0"/>
        <v>0</v>
      </c>
      <c r="O9" s="390">
        <f t="shared" si="0"/>
        <v>0</v>
      </c>
      <c r="P9" s="362">
        <v>0</v>
      </c>
      <c r="Q9" s="390">
        <v>0</v>
      </c>
      <c r="R9" s="390">
        <v>0</v>
      </c>
      <c r="S9" s="362">
        <v>0</v>
      </c>
      <c r="T9" s="390">
        <f t="shared" si="1"/>
        <v>1</v>
      </c>
      <c r="U9" s="390">
        <f t="shared" si="2"/>
        <v>0</v>
      </c>
      <c r="V9" s="304">
        <f>ROUND(((U9/T9-1)*100), 1)</f>
        <v>-100</v>
      </c>
      <c r="W9" s="390">
        <v>1</v>
      </c>
      <c r="X9" s="390">
        <v>0</v>
      </c>
      <c r="Y9" s="304">
        <f>ROUND(((X9/W9-1)*100), 1)</f>
        <v>-100</v>
      </c>
      <c r="Z9" s="390">
        <f t="shared" si="3"/>
        <v>0</v>
      </c>
      <c r="AA9" s="390">
        <f t="shared" si="4"/>
        <v>0</v>
      </c>
      <c r="AB9" s="526">
        <v>0</v>
      </c>
      <c r="AC9" s="390">
        <v>1</v>
      </c>
      <c r="AD9" s="390">
        <v>0</v>
      </c>
      <c r="AE9" s="304">
        <f>ROUND(((AD9/AC9-1)*100), 1)</f>
        <v>-100</v>
      </c>
      <c r="AF9" s="390">
        <f t="shared" si="5"/>
        <v>0</v>
      </c>
      <c r="AG9" s="390">
        <f t="shared" si="5"/>
        <v>0</v>
      </c>
      <c r="AH9" s="526">
        <v>0</v>
      </c>
      <c r="AI9" s="390">
        <v>1</v>
      </c>
      <c r="AJ9" s="390">
        <v>0</v>
      </c>
      <c r="AK9" s="304">
        <f>ROUND(((AJ9/AI9-1)*100), 1)</f>
        <v>-100</v>
      </c>
      <c r="AL9" s="813">
        <f t="shared" si="6"/>
        <v>0</v>
      </c>
      <c r="AM9" s="813">
        <f t="shared" si="7"/>
        <v>0</v>
      </c>
      <c r="AN9" s="809">
        <v>0</v>
      </c>
      <c r="AO9" s="819">
        <v>1</v>
      </c>
      <c r="AP9" s="819">
        <v>0</v>
      </c>
      <c r="AQ9" s="805">
        <f>ROUND(((AP9/AO9-1)*100), 1)</f>
        <v>-100</v>
      </c>
      <c r="AR9" s="819">
        <f t="shared" si="8"/>
        <v>0</v>
      </c>
      <c r="AS9" s="819">
        <f t="shared" si="8"/>
        <v>0</v>
      </c>
      <c r="AT9" s="809">
        <v>0</v>
      </c>
      <c r="AU9" s="970">
        <v>1</v>
      </c>
      <c r="AV9" s="970">
        <v>0</v>
      </c>
      <c r="AW9" s="805">
        <f>ROUND(((AV9/AU9-1)*100), 1)</f>
        <v>-100</v>
      </c>
      <c r="AX9" s="819">
        <f t="shared" si="9"/>
        <v>0</v>
      </c>
      <c r="AY9" s="819">
        <f t="shared" si="10"/>
        <v>0</v>
      </c>
      <c r="AZ9" s="809">
        <v>0</v>
      </c>
      <c r="BA9" s="819">
        <v>1</v>
      </c>
      <c r="BB9" s="819">
        <v>0</v>
      </c>
      <c r="BC9" s="805">
        <f>ROUND(((BB9/BA9-1)*100), 1)</f>
        <v>-100</v>
      </c>
      <c r="BD9" s="819">
        <f t="shared" si="11"/>
        <v>0</v>
      </c>
      <c r="BE9" s="819">
        <f t="shared" si="11"/>
        <v>1</v>
      </c>
      <c r="BF9" s="809">
        <v>0</v>
      </c>
      <c r="BG9" s="819">
        <v>1</v>
      </c>
      <c r="BH9" s="819">
        <v>1</v>
      </c>
      <c r="BI9" s="805">
        <f>ROUND(((BH9/BG9-1)*100), 1)</f>
        <v>0</v>
      </c>
      <c r="BJ9" s="819">
        <f t="shared" si="12"/>
        <v>0</v>
      </c>
      <c r="BK9" s="819">
        <f t="shared" si="12"/>
        <v>0</v>
      </c>
      <c r="BL9" s="809">
        <v>0</v>
      </c>
      <c r="BM9" s="819">
        <v>1</v>
      </c>
      <c r="BN9" s="819">
        <v>1</v>
      </c>
      <c r="BO9" s="805">
        <f>ROUND(((BN9/BM9-1)*100), 1)</f>
        <v>0</v>
      </c>
      <c r="BP9" s="819">
        <f t="shared" si="13"/>
        <v>0</v>
      </c>
      <c r="BQ9" s="819">
        <f t="shared" si="13"/>
        <v>0</v>
      </c>
      <c r="BR9" s="809">
        <v>0</v>
      </c>
      <c r="BS9" s="819">
        <v>1</v>
      </c>
      <c r="BT9" s="819">
        <v>1</v>
      </c>
      <c r="BU9" s="805">
        <f>ROUND(((BT9/BS9-1)*100), 1)</f>
        <v>0</v>
      </c>
    </row>
    <row r="10" spans="1:73">
      <c r="A10" s="219"/>
      <c r="B10" s="43" t="s">
        <v>69</v>
      </c>
      <c r="C10" s="44">
        <v>20</v>
      </c>
      <c r="D10" s="44">
        <v>0</v>
      </c>
      <c r="E10" s="44">
        <v>19</v>
      </c>
      <c r="F10" s="44">
        <v>41</v>
      </c>
      <c r="G10" s="44">
        <v>312</v>
      </c>
      <c r="H10" s="44">
        <v>193</v>
      </c>
      <c r="I10" s="44">
        <v>68</v>
      </c>
      <c r="J10" s="44">
        <v>0</v>
      </c>
      <c r="K10" s="390">
        <v>0</v>
      </c>
      <c r="L10" s="390">
        <v>0</v>
      </c>
      <c r="M10" s="362">
        <v>0</v>
      </c>
      <c r="N10" s="390">
        <f t="shared" si="0"/>
        <v>0</v>
      </c>
      <c r="O10" s="390">
        <f t="shared" si="0"/>
        <v>20</v>
      </c>
      <c r="P10" s="362">
        <v>0</v>
      </c>
      <c r="Q10" s="390">
        <v>0</v>
      </c>
      <c r="R10" s="390">
        <v>20</v>
      </c>
      <c r="S10" s="362">
        <v>0</v>
      </c>
      <c r="T10" s="390">
        <f t="shared" si="1"/>
        <v>0</v>
      </c>
      <c r="U10" s="390">
        <f t="shared" si="2"/>
        <v>0</v>
      </c>
      <c r="V10" s="362">
        <v>0</v>
      </c>
      <c r="W10" s="390">
        <v>0</v>
      </c>
      <c r="X10" s="390">
        <v>20</v>
      </c>
      <c r="Y10" s="362">
        <v>0</v>
      </c>
      <c r="Z10" s="390">
        <f t="shared" si="3"/>
        <v>0</v>
      </c>
      <c r="AA10" s="390">
        <f t="shared" si="4"/>
        <v>0</v>
      </c>
      <c r="AB10" s="526">
        <v>0</v>
      </c>
      <c r="AC10" s="390">
        <v>0</v>
      </c>
      <c r="AD10" s="390">
        <v>20</v>
      </c>
      <c r="AE10" s="526">
        <v>0</v>
      </c>
      <c r="AF10" s="390">
        <f t="shared" si="5"/>
        <v>0</v>
      </c>
      <c r="AG10" s="390">
        <f t="shared" si="5"/>
        <v>0</v>
      </c>
      <c r="AH10" s="526">
        <v>0</v>
      </c>
      <c r="AI10" s="390">
        <v>0</v>
      </c>
      <c r="AJ10" s="390">
        <v>20</v>
      </c>
      <c r="AK10" s="526">
        <v>0</v>
      </c>
      <c r="AL10" s="813">
        <f t="shared" si="6"/>
        <v>0</v>
      </c>
      <c r="AM10" s="813">
        <f t="shared" si="7"/>
        <v>0</v>
      </c>
      <c r="AN10" s="809">
        <v>0</v>
      </c>
      <c r="AO10" s="819">
        <v>0</v>
      </c>
      <c r="AP10" s="819">
        <v>20</v>
      </c>
      <c r="AQ10" s="809">
        <v>0</v>
      </c>
      <c r="AR10" s="819">
        <f t="shared" si="8"/>
        <v>0</v>
      </c>
      <c r="AS10" s="819">
        <f t="shared" si="8"/>
        <v>0</v>
      </c>
      <c r="AT10" s="809">
        <v>0</v>
      </c>
      <c r="AU10" s="970">
        <v>0</v>
      </c>
      <c r="AV10" s="970">
        <v>20</v>
      </c>
      <c r="AW10" s="809">
        <v>0</v>
      </c>
      <c r="AX10" s="819">
        <f t="shared" si="9"/>
        <v>0</v>
      </c>
      <c r="AY10" s="819">
        <f t="shared" si="10"/>
        <v>0</v>
      </c>
      <c r="AZ10" s="809">
        <v>0</v>
      </c>
      <c r="BA10" s="819">
        <v>0</v>
      </c>
      <c r="BB10" s="819">
        <v>20</v>
      </c>
      <c r="BC10" s="809">
        <v>0</v>
      </c>
      <c r="BD10" s="819">
        <f t="shared" si="11"/>
        <v>0</v>
      </c>
      <c r="BE10" s="819">
        <f t="shared" si="11"/>
        <v>0</v>
      </c>
      <c r="BF10" s="809">
        <v>0</v>
      </c>
      <c r="BG10" s="819">
        <v>0</v>
      </c>
      <c r="BH10" s="819">
        <v>20</v>
      </c>
      <c r="BI10" s="809">
        <v>0</v>
      </c>
      <c r="BJ10" s="819">
        <f t="shared" si="12"/>
        <v>0</v>
      </c>
      <c r="BK10" s="819">
        <f t="shared" si="12"/>
        <v>0</v>
      </c>
      <c r="BL10" s="809">
        <v>0</v>
      </c>
      <c r="BM10" s="819">
        <v>0</v>
      </c>
      <c r="BN10" s="819">
        <v>20</v>
      </c>
      <c r="BO10" s="809">
        <v>0</v>
      </c>
      <c r="BP10" s="819">
        <f t="shared" si="13"/>
        <v>0</v>
      </c>
      <c r="BQ10" s="819">
        <f t="shared" si="13"/>
        <v>0</v>
      </c>
      <c r="BR10" s="809">
        <v>0</v>
      </c>
      <c r="BS10" s="819">
        <v>0</v>
      </c>
      <c r="BT10" s="819">
        <v>20</v>
      </c>
      <c r="BU10" s="809">
        <v>0</v>
      </c>
    </row>
    <row r="11" spans="1:73">
      <c r="A11" s="219"/>
      <c r="B11" s="43" t="s">
        <v>54</v>
      </c>
      <c r="C11" s="44">
        <v>1</v>
      </c>
      <c r="D11" s="44">
        <v>1</v>
      </c>
      <c r="E11" s="44">
        <v>0</v>
      </c>
      <c r="F11" s="44">
        <v>0</v>
      </c>
      <c r="G11" s="44">
        <v>94</v>
      </c>
      <c r="H11" s="44">
        <v>224</v>
      </c>
      <c r="I11" s="44">
        <v>19</v>
      </c>
      <c r="J11" s="44">
        <v>0</v>
      </c>
      <c r="K11" s="390">
        <v>0</v>
      </c>
      <c r="L11" s="390">
        <v>0</v>
      </c>
      <c r="M11" s="362">
        <v>0</v>
      </c>
      <c r="N11" s="390">
        <f t="shared" si="0"/>
        <v>0</v>
      </c>
      <c r="O11" s="390">
        <f t="shared" si="0"/>
        <v>0</v>
      </c>
      <c r="P11" s="362">
        <v>0</v>
      </c>
      <c r="Q11" s="390">
        <v>0</v>
      </c>
      <c r="R11" s="390">
        <v>0</v>
      </c>
      <c r="S11" s="362">
        <v>0</v>
      </c>
      <c r="T11" s="390">
        <f t="shared" si="1"/>
        <v>0</v>
      </c>
      <c r="U11" s="390">
        <f t="shared" si="2"/>
        <v>0</v>
      </c>
      <c r="V11" s="362">
        <v>0</v>
      </c>
      <c r="W11" s="390">
        <v>0</v>
      </c>
      <c r="X11" s="390">
        <v>0</v>
      </c>
      <c r="Y11" s="362">
        <v>0</v>
      </c>
      <c r="Z11" s="390">
        <f t="shared" si="3"/>
        <v>0</v>
      </c>
      <c r="AA11" s="390">
        <f t="shared" si="4"/>
        <v>0</v>
      </c>
      <c r="AB11" s="526">
        <v>0</v>
      </c>
      <c r="AC11" s="390">
        <v>0</v>
      </c>
      <c r="AD11" s="390">
        <v>0</v>
      </c>
      <c r="AE11" s="526">
        <v>0</v>
      </c>
      <c r="AF11" s="390">
        <f t="shared" si="5"/>
        <v>0</v>
      </c>
      <c r="AG11" s="390">
        <f t="shared" si="5"/>
        <v>0</v>
      </c>
      <c r="AH11" s="526">
        <v>0</v>
      </c>
      <c r="AI11" s="390">
        <v>0</v>
      </c>
      <c r="AJ11" s="390">
        <v>0</v>
      </c>
      <c r="AK11" s="526">
        <v>0</v>
      </c>
      <c r="AL11" s="813">
        <f t="shared" si="6"/>
        <v>0</v>
      </c>
      <c r="AM11" s="813">
        <f t="shared" si="7"/>
        <v>0</v>
      </c>
      <c r="AN11" s="809">
        <v>0</v>
      </c>
      <c r="AO11" s="819">
        <v>0</v>
      </c>
      <c r="AP11" s="819">
        <v>0</v>
      </c>
      <c r="AQ11" s="809">
        <v>0</v>
      </c>
      <c r="AR11" s="819">
        <f t="shared" si="8"/>
        <v>0</v>
      </c>
      <c r="AS11" s="819">
        <f t="shared" si="8"/>
        <v>0</v>
      </c>
      <c r="AT11" s="809">
        <v>0</v>
      </c>
      <c r="AU11" s="970">
        <v>0</v>
      </c>
      <c r="AV11" s="970">
        <v>0</v>
      </c>
      <c r="AW11" s="809">
        <v>0</v>
      </c>
      <c r="AX11" s="819">
        <f t="shared" si="9"/>
        <v>0</v>
      </c>
      <c r="AY11" s="819">
        <f t="shared" si="10"/>
        <v>0</v>
      </c>
      <c r="AZ11" s="809">
        <v>0</v>
      </c>
      <c r="BA11" s="819">
        <v>0</v>
      </c>
      <c r="BB11" s="819">
        <v>0</v>
      </c>
      <c r="BC11" s="809">
        <v>0</v>
      </c>
      <c r="BD11" s="819">
        <f t="shared" si="11"/>
        <v>0</v>
      </c>
      <c r="BE11" s="819">
        <f t="shared" si="11"/>
        <v>0</v>
      </c>
      <c r="BF11" s="809">
        <v>0</v>
      </c>
      <c r="BG11" s="819">
        <v>0</v>
      </c>
      <c r="BH11" s="819">
        <v>0</v>
      </c>
      <c r="BI11" s="809">
        <v>0</v>
      </c>
      <c r="BJ11" s="819">
        <f t="shared" si="12"/>
        <v>0</v>
      </c>
      <c r="BK11" s="819">
        <f t="shared" si="12"/>
        <v>0</v>
      </c>
      <c r="BL11" s="809">
        <v>0</v>
      </c>
      <c r="BM11" s="819">
        <v>0</v>
      </c>
      <c r="BN11" s="819">
        <v>0</v>
      </c>
      <c r="BO11" s="809">
        <v>0</v>
      </c>
      <c r="BP11" s="819">
        <f t="shared" si="13"/>
        <v>0</v>
      </c>
      <c r="BQ11" s="819">
        <f t="shared" si="13"/>
        <v>0</v>
      </c>
      <c r="BR11" s="809">
        <v>0</v>
      </c>
      <c r="BS11" s="819">
        <v>0</v>
      </c>
      <c r="BT11" s="819">
        <v>0</v>
      </c>
      <c r="BU11" s="809">
        <v>0</v>
      </c>
    </row>
    <row r="12" spans="1:73">
      <c r="A12" s="219"/>
      <c r="B12" s="43" t="s">
        <v>310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40</v>
      </c>
      <c r="I12" s="44">
        <v>0</v>
      </c>
      <c r="J12" s="44">
        <v>0</v>
      </c>
      <c r="K12" s="390">
        <v>0</v>
      </c>
      <c r="L12" s="390">
        <v>0</v>
      </c>
      <c r="M12" s="362">
        <v>0</v>
      </c>
      <c r="N12" s="390">
        <f t="shared" si="0"/>
        <v>0</v>
      </c>
      <c r="O12" s="390">
        <f t="shared" si="0"/>
        <v>0</v>
      </c>
      <c r="P12" s="362">
        <v>0</v>
      </c>
      <c r="Q12" s="390">
        <v>0</v>
      </c>
      <c r="R12" s="390">
        <v>0</v>
      </c>
      <c r="S12" s="362">
        <v>0</v>
      </c>
      <c r="T12" s="390">
        <f t="shared" si="1"/>
        <v>0</v>
      </c>
      <c r="U12" s="390">
        <f t="shared" si="2"/>
        <v>0</v>
      </c>
      <c r="V12" s="362">
        <v>0</v>
      </c>
      <c r="W12" s="390">
        <v>0</v>
      </c>
      <c r="X12" s="390">
        <v>0</v>
      </c>
      <c r="Y12" s="362">
        <v>0</v>
      </c>
      <c r="Z12" s="390">
        <f t="shared" si="3"/>
        <v>0</v>
      </c>
      <c r="AA12" s="390">
        <f t="shared" si="4"/>
        <v>0</v>
      </c>
      <c r="AB12" s="526">
        <v>0</v>
      </c>
      <c r="AC12" s="390">
        <v>0</v>
      </c>
      <c r="AD12" s="390">
        <v>0</v>
      </c>
      <c r="AE12" s="526">
        <v>0</v>
      </c>
      <c r="AF12" s="390">
        <f t="shared" si="5"/>
        <v>0</v>
      </c>
      <c r="AG12" s="390">
        <f t="shared" si="5"/>
        <v>0</v>
      </c>
      <c r="AH12" s="526">
        <v>0</v>
      </c>
      <c r="AI12" s="390">
        <v>0</v>
      </c>
      <c r="AJ12" s="390">
        <v>0</v>
      </c>
      <c r="AK12" s="526">
        <v>0</v>
      </c>
      <c r="AL12" s="813">
        <f t="shared" si="6"/>
        <v>0</v>
      </c>
      <c r="AM12" s="813">
        <f t="shared" si="7"/>
        <v>0</v>
      </c>
      <c r="AN12" s="809">
        <v>0</v>
      </c>
      <c r="AO12" s="819">
        <v>0</v>
      </c>
      <c r="AP12" s="819">
        <v>0</v>
      </c>
      <c r="AQ12" s="809">
        <v>0</v>
      </c>
      <c r="AR12" s="819">
        <f t="shared" si="8"/>
        <v>0</v>
      </c>
      <c r="AS12" s="819">
        <f t="shared" si="8"/>
        <v>0</v>
      </c>
      <c r="AT12" s="809">
        <v>0</v>
      </c>
      <c r="AU12" s="970">
        <v>0</v>
      </c>
      <c r="AV12" s="970">
        <v>0</v>
      </c>
      <c r="AW12" s="809">
        <v>0</v>
      </c>
      <c r="AX12" s="819">
        <f t="shared" si="9"/>
        <v>0</v>
      </c>
      <c r="AY12" s="819">
        <f t="shared" si="10"/>
        <v>0</v>
      </c>
      <c r="AZ12" s="809">
        <v>0</v>
      </c>
      <c r="BA12" s="819">
        <v>0</v>
      </c>
      <c r="BB12" s="819">
        <v>0</v>
      </c>
      <c r="BC12" s="809">
        <v>0</v>
      </c>
      <c r="BD12" s="819">
        <f t="shared" si="11"/>
        <v>0</v>
      </c>
      <c r="BE12" s="819">
        <f t="shared" si="11"/>
        <v>0</v>
      </c>
      <c r="BF12" s="809">
        <v>0</v>
      </c>
      <c r="BG12" s="819">
        <v>0</v>
      </c>
      <c r="BH12" s="819">
        <v>0</v>
      </c>
      <c r="BI12" s="809">
        <v>0</v>
      </c>
      <c r="BJ12" s="819">
        <f t="shared" si="12"/>
        <v>0</v>
      </c>
      <c r="BK12" s="819">
        <f t="shared" si="12"/>
        <v>0</v>
      </c>
      <c r="BL12" s="809">
        <v>0</v>
      </c>
      <c r="BM12" s="819">
        <v>0</v>
      </c>
      <c r="BN12" s="819">
        <v>0</v>
      </c>
      <c r="BO12" s="809">
        <v>0</v>
      </c>
      <c r="BP12" s="819">
        <f t="shared" si="13"/>
        <v>0</v>
      </c>
      <c r="BQ12" s="819">
        <f t="shared" si="13"/>
        <v>0</v>
      </c>
      <c r="BR12" s="809">
        <v>0</v>
      </c>
      <c r="BS12" s="819">
        <v>0</v>
      </c>
      <c r="BT12" s="819">
        <v>0</v>
      </c>
      <c r="BU12" s="809">
        <v>0</v>
      </c>
    </row>
    <row r="13" spans="1:73">
      <c r="A13" s="219"/>
      <c r="B13" s="43" t="s">
        <v>75</v>
      </c>
      <c r="C13" s="44">
        <v>0</v>
      </c>
      <c r="D13" s="44">
        <v>0</v>
      </c>
      <c r="E13" s="44">
        <v>0</v>
      </c>
      <c r="F13" s="44">
        <v>2</v>
      </c>
      <c r="G13" s="44">
        <v>0</v>
      </c>
      <c r="H13" s="44">
        <v>5</v>
      </c>
      <c r="I13" s="44">
        <v>0</v>
      </c>
      <c r="J13" s="44">
        <v>0</v>
      </c>
      <c r="K13" s="390">
        <v>0</v>
      </c>
      <c r="L13" s="390">
        <v>0</v>
      </c>
      <c r="M13" s="362">
        <v>0</v>
      </c>
      <c r="N13" s="390">
        <f t="shared" si="0"/>
        <v>0</v>
      </c>
      <c r="O13" s="390">
        <f t="shared" si="0"/>
        <v>0</v>
      </c>
      <c r="P13" s="362">
        <v>0</v>
      </c>
      <c r="Q13" s="390">
        <v>0</v>
      </c>
      <c r="R13" s="390">
        <v>0</v>
      </c>
      <c r="S13" s="362">
        <v>0</v>
      </c>
      <c r="T13" s="390">
        <f t="shared" si="1"/>
        <v>0</v>
      </c>
      <c r="U13" s="390">
        <f t="shared" si="2"/>
        <v>0</v>
      </c>
      <c r="V13" s="362">
        <v>0</v>
      </c>
      <c r="W13" s="390">
        <v>0</v>
      </c>
      <c r="X13" s="390">
        <v>0</v>
      </c>
      <c r="Y13" s="362">
        <v>0</v>
      </c>
      <c r="Z13" s="390">
        <f t="shared" si="3"/>
        <v>0</v>
      </c>
      <c r="AA13" s="390">
        <f t="shared" si="4"/>
        <v>0</v>
      </c>
      <c r="AB13" s="526">
        <v>0</v>
      </c>
      <c r="AC13" s="390">
        <v>0</v>
      </c>
      <c r="AD13" s="390">
        <v>0</v>
      </c>
      <c r="AE13" s="526">
        <v>0</v>
      </c>
      <c r="AF13" s="390">
        <f t="shared" si="5"/>
        <v>0</v>
      </c>
      <c r="AG13" s="390">
        <f t="shared" si="5"/>
        <v>0</v>
      </c>
      <c r="AH13" s="526">
        <v>0</v>
      </c>
      <c r="AI13" s="390">
        <v>0</v>
      </c>
      <c r="AJ13" s="390">
        <v>0</v>
      </c>
      <c r="AK13" s="526">
        <v>0</v>
      </c>
      <c r="AL13" s="813">
        <f t="shared" si="6"/>
        <v>0</v>
      </c>
      <c r="AM13" s="813">
        <f t="shared" si="7"/>
        <v>0</v>
      </c>
      <c r="AN13" s="809">
        <v>0</v>
      </c>
      <c r="AO13" s="819">
        <v>0</v>
      </c>
      <c r="AP13" s="819">
        <v>0</v>
      </c>
      <c r="AQ13" s="809">
        <v>0</v>
      </c>
      <c r="AR13" s="819">
        <f t="shared" si="8"/>
        <v>0</v>
      </c>
      <c r="AS13" s="819">
        <f t="shared" si="8"/>
        <v>0</v>
      </c>
      <c r="AT13" s="809">
        <v>0</v>
      </c>
      <c r="AU13" s="970">
        <v>0</v>
      </c>
      <c r="AV13" s="970">
        <v>0</v>
      </c>
      <c r="AW13" s="809">
        <v>0</v>
      </c>
      <c r="AX13" s="819">
        <f t="shared" si="9"/>
        <v>0</v>
      </c>
      <c r="AY13" s="819">
        <f t="shared" si="10"/>
        <v>0</v>
      </c>
      <c r="AZ13" s="809">
        <v>0</v>
      </c>
      <c r="BA13" s="819">
        <v>0</v>
      </c>
      <c r="BB13" s="819">
        <v>0</v>
      </c>
      <c r="BC13" s="809">
        <v>0</v>
      </c>
      <c r="BD13" s="819">
        <f t="shared" si="11"/>
        <v>0</v>
      </c>
      <c r="BE13" s="819">
        <f t="shared" si="11"/>
        <v>0</v>
      </c>
      <c r="BF13" s="809">
        <v>0</v>
      </c>
      <c r="BG13" s="819">
        <v>0</v>
      </c>
      <c r="BH13" s="819">
        <v>0</v>
      </c>
      <c r="BI13" s="809">
        <v>0</v>
      </c>
      <c r="BJ13" s="819">
        <f t="shared" si="12"/>
        <v>0</v>
      </c>
      <c r="BK13" s="819">
        <f t="shared" si="12"/>
        <v>0</v>
      </c>
      <c r="BL13" s="809">
        <v>0</v>
      </c>
      <c r="BM13" s="819">
        <v>0</v>
      </c>
      <c r="BN13" s="819">
        <v>0</v>
      </c>
      <c r="BO13" s="809">
        <v>0</v>
      </c>
      <c r="BP13" s="819">
        <f t="shared" si="13"/>
        <v>0</v>
      </c>
      <c r="BQ13" s="819">
        <f t="shared" si="13"/>
        <v>0</v>
      </c>
      <c r="BR13" s="809">
        <v>0</v>
      </c>
      <c r="BS13" s="819">
        <v>0</v>
      </c>
      <c r="BT13" s="819">
        <v>0</v>
      </c>
      <c r="BU13" s="809">
        <v>0</v>
      </c>
    </row>
    <row r="14" spans="1:73">
      <c r="A14" s="219"/>
      <c r="B14" s="43" t="s">
        <v>50</v>
      </c>
      <c r="C14" s="44">
        <v>0</v>
      </c>
      <c r="D14" s="44">
        <v>17</v>
      </c>
      <c r="E14" s="44">
        <v>6</v>
      </c>
      <c r="F14" s="44">
        <v>194</v>
      </c>
      <c r="G14" s="44">
        <v>53</v>
      </c>
      <c r="H14" s="44">
        <v>4</v>
      </c>
      <c r="I14" s="44">
        <v>0</v>
      </c>
      <c r="J14" s="44">
        <v>0</v>
      </c>
      <c r="K14" s="383">
        <v>0</v>
      </c>
      <c r="L14" s="390">
        <v>0</v>
      </c>
      <c r="M14" s="362">
        <v>0</v>
      </c>
      <c r="N14" s="383">
        <f t="shared" si="0"/>
        <v>0</v>
      </c>
      <c r="O14" s="390">
        <f t="shared" si="0"/>
        <v>0</v>
      </c>
      <c r="P14" s="362">
        <v>0</v>
      </c>
      <c r="Q14" s="383">
        <v>0</v>
      </c>
      <c r="R14" s="390">
        <v>0</v>
      </c>
      <c r="S14" s="362">
        <v>0</v>
      </c>
      <c r="T14" s="383">
        <f t="shared" si="1"/>
        <v>0</v>
      </c>
      <c r="U14" s="390">
        <f t="shared" si="2"/>
        <v>0</v>
      </c>
      <c r="V14" s="362">
        <v>0</v>
      </c>
      <c r="W14" s="383">
        <v>0</v>
      </c>
      <c r="X14" s="390">
        <v>0</v>
      </c>
      <c r="Y14" s="362">
        <v>0</v>
      </c>
      <c r="Z14" s="527">
        <f t="shared" si="3"/>
        <v>0</v>
      </c>
      <c r="AA14" s="390">
        <f t="shared" si="4"/>
        <v>6</v>
      </c>
      <c r="AB14" s="526">
        <v>0</v>
      </c>
      <c r="AC14" s="527">
        <v>0</v>
      </c>
      <c r="AD14" s="390">
        <v>6</v>
      </c>
      <c r="AE14" s="526">
        <v>0</v>
      </c>
      <c r="AF14" s="527">
        <f t="shared" si="5"/>
        <v>0</v>
      </c>
      <c r="AG14" s="390">
        <f t="shared" si="5"/>
        <v>0</v>
      </c>
      <c r="AH14" s="526">
        <v>0</v>
      </c>
      <c r="AI14" s="527">
        <v>0</v>
      </c>
      <c r="AJ14" s="390">
        <v>6</v>
      </c>
      <c r="AK14" s="526">
        <v>0</v>
      </c>
      <c r="AL14" s="810">
        <f t="shared" si="6"/>
        <v>0</v>
      </c>
      <c r="AM14" s="813">
        <f t="shared" si="7"/>
        <v>0</v>
      </c>
      <c r="AN14" s="809">
        <v>0</v>
      </c>
      <c r="AO14" s="817">
        <v>0</v>
      </c>
      <c r="AP14" s="819">
        <v>6</v>
      </c>
      <c r="AQ14" s="809">
        <v>0</v>
      </c>
      <c r="AR14" s="817">
        <f t="shared" si="8"/>
        <v>0</v>
      </c>
      <c r="AS14" s="819">
        <f t="shared" si="8"/>
        <v>0</v>
      </c>
      <c r="AT14" s="809">
        <v>0</v>
      </c>
      <c r="AU14" s="969">
        <v>0</v>
      </c>
      <c r="AV14" s="970">
        <v>6</v>
      </c>
      <c r="AW14" s="809">
        <v>0</v>
      </c>
      <c r="AX14" s="817">
        <f t="shared" si="9"/>
        <v>0</v>
      </c>
      <c r="AY14" s="819">
        <f t="shared" si="10"/>
        <v>0</v>
      </c>
      <c r="AZ14" s="809">
        <v>0</v>
      </c>
      <c r="BA14" s="817">
        <v>0</v>
      </c>
      <c r="BB14" s="819">
        <v>6</v>
      </c>
      <c r="BC14" s="809">
        <v>0</v>
      </c>
      <c r="BD14" s="817">
        <f t="shared" si="11"/>
        <v>0</v>
      </c>
      <c r="BE14" s="819">
        <f t="shared" si="11"/>
        <v>0</v>
      </c>
      <c r="BF14" s="809">
        <v>0</v>
      </c>
      <c r="BG14" s="817">
        <v>0</v>
      </c>
      <c r="BH14" s="819">
        <v>6</v>
      </c>
      <c r="BI14" s="809">
        <v>0</v>
      </c>
      <c r="BJ14" s="817">
        <f t="shared" si="12"/>
        <v>0</v>
      </c>
      <c r="BK14" s="819">
        <f t="shared" si="12"/>
        <v>0</v>
      </c>
      <c r="BL14" s="809">
        <v>0</v>
      </c>
      <c r="BM14" s="817">
        <v>0</v>
      </c>
      <c r="BN14" s="819">
        <v>6</v>
      </c>
      <c r="BO14" s="809">
        <v>0</v>
      </c>
      <c r="BP14" s="817">
        <f t="shared" si="13"/>
        <v>0</v>
      </c>
      <c r="BQ14" s="819">
        <f t="shared" si="13"/>
        <v>0</v>
      </c>
      <c r="BR14" s="809">
        <v>0</v>
      </c>
      <c r="BS14" s="817">
        <v>0</v>
      </c>
      <c r="BT14" s="819">
        <v>6</v>
      </c>
      <c r="BU14" s="809">
        <v>0</v>
      </c>
    </row>
    <row r="15" spans="1:73">
      <c r="A15" s="219"/>
      <c r="B15" s="43" t="s">
        <v>24</v>
      </c>
      <c r="C15" s="44">
        <f t="shared" ref="C15:L15" si="14">C16-SUM(C5:C14)</f>
        <v>17</v>
      </c>
      <c r="D15" s="44">
        <f t="shared" si="14"/>
        <v>61</v>
      </c>
      <c r="E15" s="44">
        <f t="shared" si="14"/>
        <v>359</v>
      </c>
      <c r="F15" s="44">
        <f t="shared" si="14"/>
        <v>761</v>
      </c>
      <c r="G15" s="44">
        <f t="shared" si="14"/>
        <v>66</v>
      </c>
      <c r="H15" s="44">
        <f t="shared" si="14"/>
        <v>4</v>
      </c>
      <c r="I15" s="44">
        <f t="shared" si="14"/>
        <v>21</v>
      </c>
      <c r="J15" s="44">
        <f>J16-SUM(J5:J14)</f>
        <v>5</v>
      </c>
      <c r="K15" s="383">
        <f t="shared" si="14"/>
        <v>0</v>
      </c>
      <c r="L15" s="390">
        <f t="shared" si="14"/>
        <v>0</v>
      </c>
      <c r="M15" s="178">
        <v>0</v>
      </c>
      <c r="N15" s="383">
        <f>N16-SUM(N5:N14)</f>
        <v>0</v>
      </c>
      <c r="O15" s="390">
        <f>O16-SUM(O5:O14)</f>
        <v>1</v>
      </c>
      <c r="P15" s="178">
        <v>0</v>
      </c>
      <c r="Q15" s="383">
        <f>Q16-SUM(Q5:Q14)</f>
        <v>0</v>
      </c>
      <c r="R15" s="390">
        <f>R16-SUM(R5:R14)</f>
        <v>1</v>
      </c>
      <c r="S15" s="178">
        <v>0</v>
      </c>
      <c r="T15" s="383">
        <f>T16-SUM(T5:T14)</f>
        <v>0</v>
      </c>
      <c r="U15" s="390">
        <f>U16-SUM(U5:U14)</f>
        <v>0</v>
      </c>
      <c r="V15" s="178">
        <v>0</v>
      </c>
      <c r="W15" s="383">
        <f>W16-SUM(W5:W14)</f>
        <v>0</v>
      </c>
      <c r="X15" s="390">
        <f>X16-SUM(X5:X14)</f>
        <v>1</v>
      </c>
      <c r="Y15" s="178">
        <v>0</v>
      </c>
      <c r="Z15" s="527">
        <f>Z16-SUM(Z5:Z14)</f>
        <v>0</v>
      </c>
      <c r="AA15" s="390">
        <f>AA16-SUM(AA5:AA14)</f>
        <v>1</v>
      </c>
      <c r="AB15" s="522">
        <v>0</v>
      </c>
      <c r="AC15" s="527">
        <f>AC16-SUM(AC5:AC14)</f>
        <v>0</v>
      </c>
      <c r="AD15" s="390">
        <f>AD16-SUM(AD5:AD14)</f>
        <v>2</v>
      </c>
      <c r="AE15" s="522">
        <v>0</v>
      </c>
      <c r="AF15" s="527">
        <f>AF16-SUM(AF5:AF14)</f>
        <v>0</v>
      </c>
      <c r="AG15" s="390">
        <f>AG16-SUM(AG5:AG14)</f>
        <v>0</v>
      </c>
      <c r="AH15" s="522">
        <v>0</v>
      </c>
      <c r="AI15" s="527">
        <f>AI16-SUM(AI5:AI14)</f>
        <v>0</v>
      </c>
      <c r="AJ15" s="390">
        <f>AJ16-SUM(AJ5:AJ14)</f>
        <v>2</v>
      </c>
      <c r="AK15" s="522">
        <v>0</v>
      </c>
      <c r="AL15" s="810">
        <f>AL16-SUM(AL5:AL14)</f>
        <v>0</v>
      </c>
      <c r="AM15" s="813">
        <f>AM16-SUM(AM5:AM14)</f>
        <v>0</v>
      </c>
      <c r="AN15" s="800">
        <v>0</v>
      </c>
      <c r="AO15" s="817">
        <f>AO16-SUM(AO5:AO14)</f>
        <v>0</v>
      </c>
      <c r="AP15" s="819">
        <f>AP16-SUM(AP5:AP14)</f>
        <v>2</v>
      </c>
      <c r="AQ15" s="800">
        <v>0</v>
      </c>
      <c r="AR15" s="817">
        <f>AR16-SUM(AR5:AR14)</f>
        <v>0</v>
      </c>
      <c r="AS15" s="819">
        <f>AS16-SUM(AS5:AS14)</f>
        <v>0</v>
      </c>
      <c r="AT15" s="800">
        <v>0</v>
      </c>
      <c r="AU15" s="969">
        <f>AU16-SUM(AU5:AU14)</f>
        <v>0</v>
      </c>
      <c r="AV15" s="970">
        <f>AV16-SUM(AV5:AV14)</f>
        <v>2</v>
      </c>
      <c r="AW15" s="800">
        <v>0</v>
      </c>
      <c r="AX15" s="817">
        <f>AX16-SUM(AX5:AX14)</f>
        <v>0</v>
      </c>
      <c r="AY15" s="819">
        <f>AY16-SUM(AY5:AY14)</f>
        <v>0</v>
      </c>
      <c r="AZ15" s="800">
        <v>0</v>
      </c>
      <c r="BA15" s="817">
        <f>BA16-SUM(BA5:BA14)</f>
        <v>0</v>
      </c>
      <c r="BB15" s="819">
        <f>BB16-SUM(BB5:BB14)</f>
        <v>2</v>
      </c>
      <c r="BC15" s="800">
        <v>0</v>
      </c>
      <c r="BD15" s="817">
        <f>BD16-SUM(BD5:BD14)</f>
        <v>0</v>
      </c>
      <c r="BE15" s="819">
        <f>BE16-SUM(BE5:BE14)</f>
        <v>0</v>
      </c>
      <c r="BF15" s="800">
        <v>0</v>
      </c>
      <c r="BG15" s="817">
        <f>BG16-SUM(BG5:BG14)</f>
        <v>0</v>
      </c>
      <c r="BH15" s="819">
        <f>BH16-SUM(BH5:BH14)</f>
        <v>2</v>
      </c>
      <c r="BI15" s="800">
        <v>0</v>
      </c>
      <c r="BJ15" s="817">
        <f>BJ16-SUM(BJ5:BJ14)</f>
        <v>0</v>
      </c>
      <c r="BK15" s="819">
        <f>BK16-SUM(BK5:BK14)</f>
        <v>0</v>
      </c>
      <c r="BL15" s="800">
        <v>0</v>
      </c>
      <c r="BM15" s="817">
        <f>BM16-SUM(BM5:BM14)</f>
        <v>0</v>
      </c>
      <c r="BN15" s="819">
        <f>BN16-SUM(BN5:BN14)</f>
        <v>2</v>
      </c>
      <c r="BO15" s="800">
        <v>0</v>
      </c>
      <c r="BP15" s="817">
        <f>BP16-SUM(BP5:BP14)</f>
        <v>0</v>
      </c>
      <c r="BQ15" s="819">
        <f>BQ16-SUM(BQ5:BQ14)</f>
        <v>0</v>
      </c>
      <c r="BR15" s="800">
        <v>0</v>
      </c>
      <c r="BS15" s="817">
        <f>BS16-SUM(BS5:BS14)</f>
        <v>0</v>
      </c>
      <c r="BT15" s="819">
        <f>BT16-SUM(BT5:BT14)</f>
        <v>2</v>
      </c>
      <c r="BU15" s="800">
        <v>0</v>
      </c>
    </row>
    <row r="16" spans="1:73">
      <c r="A16" s="218"/>
      <c r="B16" s="67" t="s">
        <v>108</v>
      </c>
      <c r="C16" s="46">
        <v>39</v>
      </c>
      <c r="D16" s="46">
        <v>1592</v>
      </c>
      <c r="E16" s="46">
        <v>1275</v>
      </c>
      <c r="F16" s="46">
        <v>1531</v>
      </c>
      <c r="G16" s="46">
        <v>2116</v>
      </c>
      <c r="H16" s="46">
        <v>2254</v>
      </c>
      <c r="I16" s="46">
        <v>1965</v>
      </c>
      <c r="J16" s="46">
        <v>2030</v>
      </c>
      <c r="K16" s="403">
        <v>148</v>
      </c>
      <c r="L16" s="295">
        <v>234</v>
      </c>
      <c r="M16" s="303">
        <f>ROUND(((L16/K16-1)*100), 1)</f>
        <v>58.1</v>
      </c>
      <c r="N16" s="403">
        <f t="shared" ref="N16:O22" si="15">Q16-K16</f>
        <v>78</v>
      </c>
      <c r="O16" s="295">
        <f t="shared" si="15"/>
        <v>232</v>
      </c>
      <c r="P16" s="303">
        <f>ROUND(((O16/N16-1)*100), 1)</f>
        <v>197.4</v>
      </c>
      <c r="Q16" s="403">
        <v>226</v>
      </c>
      <c r="R16" s="295">
        <v>466</v>
      </c>
      <c r="S16" s="303">
        <f>ROUND(((R16/Q16-1)*100), 1)</f>
        <v>106.2</v>
      </c>
      <c r="T16" s="403">
        <f t="shared" ref="T16:T22" si="16">W16-Q16</f>
        <v>64</v>
      </c>
      <c r="U16" s="295">
        <f t="shared" ref="U16:U22" si="17">X16-R16</f>
        <v>480</v>
      </c>
      <c r="V16" s="303">
        <f>ROUND(((U16/T16-1)*100), 1)</f>
        <v>650</v>
      </c>
      <c r="W16" s="403">
        <v>290</v>
      </c>
      <c r="X16" s="295">
        <v>946</v>
      </c>
      <c r="Y16" s="303">
        <f>ROUND(((X16/W16-1)*100), 1)</f>
        <v>226.2</v>
      </c>
      <c r="Z16" s="403">
        <f t="shared" ref="Z16:Z22" si="18">AC16-W16</f>
        <v>100</v>
      </c>
      <c r="AA16" s="295">
        <f t="shared" ref="AA16:AA22" si="19">AD16-X16</f>
        <v>252</v>
      </c>
      <c r="AB16" s="303">
        <f>ROUND(((AA16/Z16-1)*100), 1)</f>
        <v>152</v>
      </c>
      <c r="AC16" s="403">
        <v>390</v>
      </c>
      <c r="AD16" s="295">
        <v>1198</v>
      </c>
      <c r="AE16" s="303">
        <f>ROUND(((AD16/AC16-1)*100), 1)</f>
        <v>207.2</v>
      </c>
      <c r="AF16" s="403">
        <f t="shared" ref="AF16:AG22" si="20">AI16-AC16</f>
        <v>101</v>
      </c>
      <c r="AG16" s="295">
        <f t="shared" si="20"/>
        <v>182</v>
      </c>
      <c r="AH16" s="303">
        <f>ROUND(((AG16/AF16-1)*100), 1)</f>
        <v>80.2</v>
      </c>
      <c r="AI16" s="403">
        <v>491</v>
      </c>
      <c r="AJ16" s="295">
        <v>1380</v>
      </c>
      <c r="AK16" s="303">
        <f>ROUND(((AJ16/AI16-1)*100), 1)</f>
        <v>181.1</v>
      </c>
      <c r="AL16" s="814">
        <f t="shared" ref="AL16:AL22" si="21">AO16-AI16</f>
        <v>123</v>
      </c>
      <c r="AM16" s="808">
        <f t="shared" ref="AM16:AM22" si="22">AP16-AJ16</f>
        <v>136</v>
      </c>
      <c r="AN16" s="804">
        <f>ROUND(((AM16/AL16-1)*100), 1)</f>
        <v>10.6</v>
      </c>
      <c r="AO16" s="814">
        <v>614</v>
      </c>
      <c r="AP16" s="808">
        <v>1516</v>
      </c>
      <c r="AQ16" s="804">
        <f>ROUND(((AP16/AO16-1)*100), 1)</f>
        <v>146.9</v>
      </c>
      <c r="AR16" s="814">
        <f t="shared" ref="AR16:AS22" si="23">AU16-AO16</f>
        <v>144</v>
      </c>
      <c r="AS16" s="808">
        <f t="shared" si="23"/>
        <v>137</v>
      </c>
      <c r="AT16" s="804">
        <f>ROUND(((AS16/AR16-1)*100), 1)</f>
        <v>-4.9000000000000004</v>
      </c>
      <c r="AU16" s="971">
        <v>758</v>
      </c>
      <c r="AV16" s="972">
        <v>1653</v>
      </c>
      <c r="AW16" s="804">
        <f>ROUND(((AV16/AU16-1)*100), 1)</f>
        <v>118.1</v>
      </c>
      <c r="AX16" s="814">
        <f t="shared" ref="AX16:AX22" si="24">BA16-AU16</f>
        <v>519</v>
      </c>
      <c r="AY16" s="808">
        <f t="shared" ref="AY16:AY22" si="25">BB16-AV16</f>
        <v>104</v>
      </c>
      <c r="AZ16" s="804">
        <f>ROUND(((AY16/AX16-1)*100), 1)</f>
        <v>-80</v>
      </c>
      <c r="BA16" s="814">
        <v>1277</v>
      </c>
      <c r="BB16" s="808">
        <v>1757</v>
      </c>
      <c r="BC16" s="804">
        <f>ROUND(((BB16/BA16-1)*100), 1)</f>
        <v>37.6</v>
      </c>
      <c r="BD16" s="814">
        <f t="shared" ref="BD16:BE22" si="26">BG16-BA16</f>
        <v>136</v>
      </c>
      <c r="BE16" s="808">
        <f t="shared" si="26"/>
        <v>158</v>
      </c>
      <c r="BF16" s="804">
        <f>ROUND(((BE16/BD16-1)*100), 1)</f>
        <v>16.2</v>
      </c>
      <c r="BG16" s="814">
        <v>1413</v>
      </c>
      <c r="BH16" s="808">
        <v>1915</v>
      </c>
      <c r="BI16" s="804">
        <f>ROUND(((BH16/BG16-1)*100), 1)</f>
        <v>35.5</v>
      </c>
      <c r="BJ16" s="814">
        <f t="shared" ref="BJ16:BK22" si="27">BM16-BG16</f>
        <v>186</v>
      </c>
      <c r="BK16" s="808">
        <f t="shared" si="27"/>
        <v>161</v>
      </c>
      <c r="BL16" s="804">
        <f>ROUND(((BK16/BJ16-1)*100), 1)</f>
        <v>-13.4</v>
      </c>
      <c r="BM16" s="814">
        <v>1599</v>
      </c>
      <c r="BN16" s="808">
        <v>2076</v>
      </c>
      <c r="BO16" s="804">
        <f>ROUND(((BN16/BM16-1)*100), 1)</f>
        <v>29.8</v>
      </c>
      <c r="BP16" s="814">
        <f t="shared" ref="BP16:BQ22" si="28">BS16-BM16</f>
        <v>172</v>
      </c>
      <c r="BQ16" s="808">
        <f t="shared" si="28"/>
        <v>597</v>
      </c>
      <c r="BR16" s="804">
        <f>ROUND(((BQ16/BP16-1)*100), 1)</f>
        <v>247.1</v>
      </c>
      <c r="BS16" s="814">
        <v>1771</v>
      </c>
      <c r="BT16" s="808">
        <v>2673</v>
      </c>
      <c r="BU16" s="804">
        <f>ROUND(((BT16/BS16-1)*100), 1)</f>
        <v>50.9</v>
      </c>
    </row>
    <row r="17" spans="1:74">
      <c r="A17" s="219"/>
      <c r="B17" s="43" t="s">
        <v>50</v>
      </c>
      <c r="C17" s="44">
        <v>16852</v>
      </c>
      <c r="D17" s="44">
        <v>20430</v>
      </c>
      <c r="E17" s="44">
        <v>20274</v>
      </c>
      <c r="F17" s="44">
        <v>21660</v>
      </c>
      <c r="G17" s="44">
        <v>21949</v>
      </c>
      <c r="H17" s="44">
        <v>21522</v>
      </c>
      <c r="I17" s="44">
        <v>19173</v>
      </c>
      <c r="J17" s="44">
        <v>19689</v>
      </c>
      <c r="K17" s="390">
        <v>1902</v>
      </c>
      <c r="L17" s="390">
        <v>1534</v>
      </c>
      <c r="M17" s="303">
        <f>ROUND(((L17/K17-1)*100), 1)</f>
        <v>-19.3</v>
      </c>
      <c r="N17" s="390">
        <f t="shared" si="15"/>
        <v>1210</v>
      </c>
      <c r="O17" s="390">
        <f t="shared" si="15"/>
        <v>1391</v>
      </c>
      <c r="P17" s="303">
        <f>ROUND(((O17/N17-1)*100), 1)</f>
        <v>15</v>
      </c>
      <c r="Q17" s="390">
        <v>3112</v>
      </c>
      <c r="R17" s="390">
        <v>2925</v>
      </c>
      <c r="S17" s="303">
        <f>ROUND(((R17/Q17-1)*100), 1)</f>
        <v>-6</v>
      </c>
      <c r="T17" s="390">
        <f t="shared" si="16"/>
        <v>1553</v>
      </c>
      <c r="U17" s="390">
        <f t="shared" si="17"/>
        <v>2591</v>
      </c>
      <c r="V17" s="303">
        <f>ROUND(((U17/T17-1)*100), 1)</f>
        <v>66.8</v>
      </c>
      <c r="W17" s="390">
        <v>4665</v>
      </c>
      <c r="X17" s="390">
        <v>5516</v>
      </c>
      <c r="Y17" s="303">
        <f>ROUND(((X17/W17-1)*100), 1)</f>
        <v>18.2</v>
      </c>
      <c r="Z17" s="390">
        <f t="shared" si="18"/>
        <v>2007</v>
      </c>
      <c r="AA17" s="390">
        <f t="shared" si="19"/>
        <v>1653</v>
      </c>
      <c r="AB17" s="303">
        <f>ROUND(((AA17/Z17-1)*100), 1)</f>
        <v>-17.600000000000001</v>
      </c>
      <c r="AC17" s="390">
        <v>6672</v>
      </c>
      <c r="AD17" s="390">
        <v>7169</v>
      </c>
      <c r="AE17" s="303">
        <f>ROUND(((AD17/AC17-1)*100), 1)</f>
        <v>7.4</v>
      </c>
      <c r="AF17" s="390">
        <f t="shared" si="20"/>
        <v>1409</v>
      </c>
      <c r="AG17" s="390">
        <f t="shared" si="20"/>
        <v>1614</v>
      </c>
      <c r="AH17" s="303">
        <f>ROUND(((AG17/AF17-1)*100), 1)</f>
        <v>14.5</v>
      </c>
      <c r="AI17" s="390">
        <v>8081</v>
      </c>
      <c r="AJ17" s="390">
        <v>8783</v>
      </c>
      <c r="AK17" s="303">
        <f>ROUND(((AJ17/AI17-1)*100), 1)</f>
        <v>8.6999999999999993</v>
      </c>
      <c r="AL17" s="813">
        <f t="shared" si="21"/>
        <v>1417</v>
      </c>
      <c r="AM17" s="813">
        <f t="shared" si="22"/>
        <v>1376</v>
      </c>
      <c r="AN17" s="804">
        <f>ROUND(((AM17/AL17-1)*100), 1)</f>
        <v>-2.9</v>
      </c>
      <c r="AO17" s="819">
        <v>9498</v>
      </c>
      <c r="AP17" s="819">
        <v>10159</v>
      </c>
      <c r="AQ17" s="804">
        <f>ROUND(((AP17/AO17-1)*100), 1)</f>
        <v>7</v>
      </c>
      <c r="AR17" s="819">
        <f t="shared" si="23"/>
        <v>1733</v>
      </c>
      <c r="AS17" s="819">
        <f t="shared" si="23"/>
        <v>1076</v>
      </c>
      <c r="AT17" s="804">
        <f>ROUND(((AS17/AR17-1)*100), 1)</f>
        <v>-37.9</v>
      </c>
      <c r="AU17" s="970">
        <v>11231</v>
      </c>
      <c r="AV17" s="970">
        <v>11235</v>
      </c>
      <c r="AW17" s="804">
        <f>ROUND(((AV17/AU17-1)*100), 1)</f>
        <v>0</v>
      </c>
      <c r="AX17" s="819">
        <f t="shared" si="24"/>
        <v>1824</v>
      </c>
      <c r="AY17" s="819">
        <f t="shared" si="25"/>
        <v>1220</v>
      </c>
      <c r="AZ17" s="804">
        <f>ROUND(((AY17/AX17-1)*100), 1)</f>
        <v>-33.1</v>
      </c>
      <c r="BA17" s="819">
        <v>13055</v>
      </c>
      <c r="BB17" s="819">
        <v>12455</v>
      </c>
      <c r="BC17" s="804">
        <f>ROUND(((BB17/BA17-1)*100), 1)</f>
        <v>-4.5999999999999996</v>
      </c>
      <c r="BD17" s="819">
        <f t="shared" si="26"/>
        <v>1723</v>
      </c>
      <c r="BE17" s="819">
        <f t="shared" si="26"/>
        <v>1638</v>
      </c>
      <c r="BF17" s="1050">
        <f>ROUND(((BE17/BD17-1)*100), 1)</f>
        <v>-4.9000000000000004</v>
      </c>
      <c r="BG17" s="819">
        <v>14778</v>
      </c>
      <c r="BH17" s="819">
        <v>14093</v>
      </c>
      <c r="BI17" s="1050">
        <f>ROUND(((BH17/BG17-1)*100), 1)</f>
        <v>-4.5999999999999996</v>
      </c>
      <c r="BJ17" s="819">
        <f t="shared" si="27"/>
        <v>1625</v>
      </c>
      <c r="BK17" s="819">
        <f t="shared" si="27"/>
        <v>1789</v>
      </c>
      <c r="BL17" s="1050">
        <f>ROUND(((BK17/BJ17-1)*100), 1)</f>
        <v>10.1</v>
      </c>
      <c r="BM17" s="819">
        <v>16403</v>
      </c>
      <c r="BN17" s="819">
        <v>15882</v>
      </c>
      <c r="BO17" s="1050">
        <f>ROUND(((BN17/BM17-1)*100), 1)</f>
        <v>-3.2</v>
      </c>
      <c r="BP17" s="819">
        <f t="shared" si="28"/>
        <v>1430</v>
      </c>
      <c r="BQ17" s="819">
        <f t="shared" si="28"/>
        <v>2222</v>
      </c>
      <c r="BR17" s="1050">
        <f>ROUND(((BQ17/BP17-1)*100), 1)</f>
        <v>55.4</v>
      </c>
      <c r="BS17" s="819">
        <v>17833</v>
      </c>
      <c r="BT17" s="819">
        <v>18104</v>
      </c>
      <c r="BU17" s="1050">
        <f>ROUND(((BT17/BS17-1)*100), 1)</f>
        <v>1.5</v>
      </c>
    </row>
    <row r="18" spans="1:74">
      <c r="A18" s="219" t="s">
        <v>110</v>
      </c>
      <c r="B18" s="43" t="s">
        <v>335</v>
      </c>
      <c r="C18" s="44">
        <v>2043</v>
      </c>
      <c r="D18" s="44">
        <v>2265</v>
      </c>
      <c r="E18" s="44">
        <v>501</v>
      </c>
      <c r="F18" s="44">
        <v>299</v>
      </c>
      <c r="G18" s="44">
        <v>60</v>
      </c>
      <c r="H18" s="44">
        <v>0</v>
      </c>
      <c r="I18" s="44">
        <v>0</v>
      </c>
      <c r="J18" s="44">
        <v>22</v>
      </c>
      <c r="K18" s="383">
        <v>0</v>
      </c>
      <c r="L18" s="390">
        <v>0</v>
      </c>
      <c r="M18" s="177">
        <v>0</v>
      </c>
      <c r="N18" s="383">
        <f t="shared" si="15"/>
        <v>0</v>
      </c>
      <c r="O18" s="390">
        <f t="shared" si="15"/>
        <v>0</v>
      </c>
      <c r="P18" s="177">
        <v>0</v>
      </c>
      <c r="Q18" s="383">
        <v>0</v>
      </c>
      <c r="R18" s="390">
        <v>0</v>
      </c>
      <c r="S18" s="177">
        <v>0</v>
      </c>
      <c r="T18" s="383">
        <f t="shared" si="16"/>
        <v>0</v>
      </c>
      <c r="U18" s="390">
        <f t="shared" si="17"/>
        <v>0</v>
      </c>
      <c r="V18" s="177">
        <v>0</v>
      </c>
      <c r="W18" s="383">
        <v>0</v>
      </c>
      <c r="X18" s="390">
        <v>0</v>
      </c>
      <c r="Y18" s="177">
        <v>0</v>
      </c>
      <c r="Z18" s="527">
        <f t="shared" si="18"/>
        <v>0</v>
      </c>
      <c r="AA18" s="390">
        <f t="shared" si="19"/>
        <v>0</v>
      </c>
      <c r="AB18" s="521">
        <v>0</v>
      </c>
      <c r="AC18" s="527">
        <v>0</v>
      </c>
      <c r="AD18" s="390">
        <v>0</v>
      </c>
      <c r="AE18" s="521">
        <v>0</v>
      </c>
      <c r="AF18" s="527">
        <f t="shared" si="20"/>
        <v>0</v>
      </c>
      <c r="AG18" s="390">
        <f t="shared" si="20"/>
        <v>0</v>
      </c>
      <c r="AH18" s="521">
        <v>0</v>
      </c>
      <c r="AI18" s="527">
        <v>0</v>
      </c>
      <c r="AJ18" s="390">
        <v>0</v>
      </c>
      <c r="AK18" s="521">
        <v>0</v>
      </c>
      <c r="AL18" s="810">
        <f t="shared" si="21"/>
        <v>0</v>
      </c>
      <c r="AM18" s="813">
        <f t="shared" si="22"/>
        <v>0</v>
      </c>
      <c r="AN18" s="799">
        <v>0</v>
      </c>
      <c r="AO18" s="817">
        <v>0</v>
      </c>
      <c r="AP18" s="819">
        <v>0</v>
      </c>
      <c r="AQ18" s="799">
        <v>0</v>
      </c>
      <c r="AR18" s="817">
        <f t="shared" si="23"/>
        <v>0</v>
      </c>
      <c r="AS18" s="819">
        <f t="shared" si="23"/>
        <v>0</v>
      </c>
      <c r="AT18" s="799">
        <v>0</v>
      </c>
      <c r="AU18" s="969">
        <v>0</v>
      </c>
      <c r="AV18" s="970">
        <v>0</v>
      </c>
      <c r="AW18" s="799">
        <v>0</v>
      </c>
      <c r="AX18" s="817">
        <f t="shared" si="24"/>
        <v>0</v>
      </c>
      <c r="AY18" s="819">
        <f t="shared" si="25"/>
        <v>0</v>
      </c>
      <c r="AZ18" s="799">
        <v>0</v>
      </c>
      <c r="BA18" s="819">
        <v>0</v>
      </c>
      <c r="BB18" s="819">
        <v>0</v>
      </c>
      <c r="BC18" s="799">
        <v>0</v>
      </c>
      <c r="BD18" s="817">
        <f t="shared" si="26"/>
        <v>22</v>
      </c>
      <c r="BE18" s="819">
        <f t="shared" si="26"/>
        <v>0</v>
      </c>
      <c r="BF18" s="805">
        <f>ROUND(((BE18/BD18-1)*100), 1)</f>
        <v>-100</v>
      </c>
      <c r="BG18" s="819">
        <v>22</v>
      </c>
      <c r="BH18" s="819">
        <v>0</v>
      </c>
      <c r="BI18" s="805">
        <f>ROUND(((BH18/BG18-1)*100), 1)</f>
        <v>-100</v>
      </c>
      <c r="BJ18" s="817">
        <f t="shared" si="27"/>
        <v>0</v>
      </c>
      <c r="BK18" s="819">
        <f t="shared" si="27"/>
        <v>12</v>
      </c>
      <c r="BL18" s="809">
        <v>0</v>
      </c>
      <c r="BM18" s="819">
        <v>22</v>
      </c>
      <c r="BN18" s="819">
        <v>12</v>
      </c>
      <c r="BO18" s="805">
        <f>ROUND(((BN18/BM18-1)*100), 1)</f>
        <v>-45.5</v>
      </c>
      <c r="BP18" s="817">
        <f t="shared" si="28"/>
        <v>0</v>
      </c>
      <c r="BQ18" s="819">
        <f t="shared" si="28"/>
        <v>0</v>
      </c>
      <c r="BR18" s="809">
        <v>0</v>
      </c>
      <c r="BS18" s="819">
        <v>22</v>
      </c>
      <c r="BT18" s="819">
        <v>12</v>
      </c>
      <c r="BU18" s="805">
        <f>ROUND(((BT18/BS18-1)*100), 1)</f>
        <v>-45.5</v>
      </c>
    </row>
    <row r="19" spans="1:74">
      <c r="A19" s="219"/>
      <c r="B19" s="43" t="s">
        <v>53</v>
      </c>
      <c r="C19" s="44">
        <v>14</v>
      </c>
      <c r="D19" s="44">
        <v>30</v>
      </c>
      <c r="E19" s="44">
        <v>34</v>
      </c>
      <c r="F19" s="44">
        <v>21</v>
      </c>
      <c r="G19" s="44">
        <v>38</v>
      </c>
      <c r="H19" s="44">
        <v>38</v>
      </c>
      <c r="I19" s="44">
        <v>3</v>
      </c>
      <c r="J19" s="44">
        <v>1</v>
      </c>
      <c r="K19" s="383">
        <v>0</v>
      </c>
      <c r="L19" s="390">
        <v>0</v>
      </c>
      <c r="M19" s="177">
        <v>0</v>
      </c>
      <c r="N19" s="383">
        <f t="shared" si="15"/>
        <v>0</v>
      </c>
      <c r="O19" s="390">
        <f t="shared" si="15"/>
        <v>3</v>
      </c>
      <c r="P19" s="177">
        <v>0</v>
      </c>
      <c r="Q19" s="383">
        <v>0</v>
      </c>
      <c r="R19" s="390">
        <v>3</v>
      </c>
      <c r="S19" s="177">
        <v>0</v>
      </c>
      <c r="T19" s="383">
        <f t="shared" si="16"/>
        <v>0</v>
      </c>
      <c r="U19" s="390">
        <f t="shared" si="17"/>
        <v>0</v>
      </c>
      <c r="V19" s="177">
        <v>0</v>
      </c>
      <c r="W19" s="383">
        <v>0</v>
      </c>
      <c r="X19" s="390">
        <v>3</v>
      </c>
      <c r="Y19" s="177">
        <v>0</v>
      </c>
      <c r="Z19" s="527">
        <f t="shared" si="18"/>
        <v>0</v>
      </c>
      <c r="AA19" s="390">
        <f t="shared" si="19"/>
        <v>6</v>
      </c>
      <c r="AB19" s="521">
        <v>0</v>
      </c>
      <c r="AC19" s="527">
        <v>0</v>
      </c>
      <c r="AD19" s="390">
        <v>9</v>
      </c>
      <c r="AE19" s="521">
        <v>0</v>
      </c>
      <c r="AF19" s="527">
        <f t="shared" si="20"/>
        <v>0</v>
      </c>
      <c r="AG19" s="390">
        <f t="shared" si="20"/>
        <v>0</v>
      </c>
      <c r="AH19" s="521">
        <v>0</v>
      </c>
      <c r="AI19" s="527">
        <v>0</v>
      </c>
      <c r="AJ19" s="390">
        <v>9</v>
      </c>
      <c r="AK19" s="521">
        <v>0</v>
      </c>
      <c r="AL19" s="810">
        <f t="shared" si="21"/>
        <v>0</v>
      </c>
      <c r="AM19" s="813">
        <f t="shared" si="22"/>
        <v>0</v>
      </c>
      <c r="AN19" s="799">
        <v>0</v>
      </c>
      <c r="AO19" s="817">
        <v>0</v>
      </c>
      <c r="AP19" s="819">
        <v>9</v>
      </c>
      <c r="AQ19" s="799">
        <v>0</v>
      </c>
      <c r="AR19" s="817">
        <f t="shared" si="23"/>
        <v>0</v>
      </c>
      <c r="AS19" s="819">
        <f t="shared" si="23"/>
        <v>0</v>
      </c>
      <c r="AT19" s="799">
        <v>0</v>
      </c>
      <c r="AU19" s="969">
        <v>0</v>
      </c>
      <c r="AV19" s="970">
        <v>9</v>
      </c>
      <c r="AW19" s="799">
        <v>0</v>
      </c>
      <c r="AX19" s="817">
        <f t="shared" si="24"/>
        <v>0</v>
      </c>
      <c r="AY19" s="819">
        <f t="shared" si="25"/>
        <v>0</v>
      </c>
      <c r="AZ19" s="799">
        <v>0</v>
      </c>
      <c r="BA19" s="819">
        <v>0</v>
      </c>
      <c r="BB19" s="819">
        <v>9</v>
      </c>
      <c r="BC19" s="799">
        <v>0</v>
      </c>
      <c r="BD19" s="817">
        <f t="shared" si="26"/>
        <v>0</v>
      </c>
      <c r="BE19" s="819">
        <f t="shared" si="26"/>
        <v>0</v>
      </c>
      <c r="BF19" s="799">
        <v>0</v>
      </c>
      <c r="BG19" s="819">
        <v>0</v>
      </c>
      <c r="BH19" s="819">
        <v>9</v>
      </c>
      <c r="BI19" s="799">
        <v>0</v>
      </c>
      <c r="BJ19" s="817">
        <f t="shared" si="27"/>
        <v>0</v>
      </c>
      <c r="BK19" s="819">
        <f t="shared" si="27"/>
        <v>0</v>
      </c>
      <c r="BL19" s="799">
        <v>0</v>
      </c>
      <c r="BM19" s="819">
        <v>0</v>
      </c>
      <c r="BN19" s="819">
        <v>9</v>
      </c>
      <c r="BO19" s="799">
        <v>0</v>
      </c>
      <c r="BP19" s="817">
        <f t="shared" si="28"/>
        <v>0</v>
      </c>
      <c r="BQ19" s="819">
        <f t="shared" si="28"/>
        <v>0</v>
      </c>
      <c r="BR19" s="799">
        <v>0</v>
      </c>
      <c r="BS19" s="819">
        <v>0</v>
      </c>
      <c r="BT19" s="819">
        <v>9</v>
      </c>
      <c r="BU19" s="799">
        <v>0</v>
      </c>
    </row>
    <row r="20" spans="1:74">
      <c r="A20" s="219"/>
      <c r="B20" s="43" t="s">
        <v>68</v>
      </c>
      <c r="C20" s="44">
        <v>0</v>
      </c>
      <c r="D20" s="44">
        <v>0</v>
      </c>
      <c r="E20" s="44">
        <v>0</v>
      </c>
      <c r="F20" s="44">
        <v>21</v>
      </c>
      <c r="G20" s="44">
        <v>0</v>
      </c>
      <c r="H20" s="44">
        <v>20</v>
      </c>
      <c r="I20" s="44">
        <v>0</v>
      </c>
      <c r="J20" s="44">
        <v>0</v>
      </c>
      <c r="K20" s="383">
        <v>0</v>
      </c>
      <c r="L20" s="390">
        <v>0</v>
      </c>
      <c r="M20" s="177">
        <v>0</v>
      </c>
      <c r="N20" s="383">
        <f t="shared" si="15"/>
        <v>0</v>
      </c>
      <c r="O20" s="390">
        <f t="shared" si="15"/>
        <v>0</v>
      </c>
      <c r="P20" s="177">
        <v>0</v>
      </c>
      <c r="Q20" s="383">
        <v>0</v>
      </c>
      <c r="R20" s="390">
        <v>0</v>
      </c>
      <c r="S20" s="177">
        <v>0</v>
      </c>
      <c r="T20" s="383">
        <f t="shared" si="16"/>
        <v>0</v>
      </c>
      <c r="U20" s="390">
        <f t="shared" si="17"/>
        <v>0</v>
      </c>
      <c r="V20" s="177">
        <v>0</v>
      </c>
      <c r="W20" s="383">
        <v>0</v>
      </c>
      <c r="X20" s="390">
        <v>0</v>
      </c>
      <c r="Y20" s="177">
        <v>0</v>
      </c>
      <c r="Z20" s="527">
        <f t="shared" si="18"/>
        <v>0</v>
      </c>
      <c r="AA20" s="390">
        <f t="shared" si="19"/>
        <v>0</v>
      </c>
      <c r="AB20" s="521">
        <v>0</v>
      </c>
      <c r="AC20" s="527">
        <v>0</v>
      </c>
      <c r="AD20" s="390">
        <v>0</v>
      </c>
      <c r="AE20" s="521">
        <v>0</v>
      </c>
      <c r="AF20" s="527">
        <f t="shared" si="20"/>
        <v>0</v>
      </c>
      <c r="AG20" s="390">
        <f t="shared" si="20"/>
        <v>0</v>
      </c>
      <c r="AH20" s="521">
        <v>0</v>
      </c>
      <c r="AI20" s="527">
        <v>0</v>
      </c>
      <c r="AJ20" s="390">
        <v>0</v>
      </c>
      <c r="AK20" s="521">
        <v>0</v>
      </c>
      <c r="AL20" s="810">
        <f t="shared" si="21"/>
        <v>0</v>
      </c>
      <c r="AM20" s="813">
        <f t="shared" si="22"/>
        <v>0</v>
      </c>
      <c r="AN20" s="799">
        <v>0</v>
      </c>
      <c r="AO20" s="817">
        <v>0</v>
      </c>
      <c r="AP20" s="819">
        <v>0</v>
      </c>
      <c r="AQ20" s="799">
        <v>0</v>
      </c>
      <c r="AR20" s="817">
        <f t="shared" si="23"/>
        <v>0</v>
      </c>
      <c r="AS20" s="819">
        <f t="shared" si="23"/>
        <v>0</v>
      </c>
      <c r="AT20" s="799">
        <v>0</v>
      </c>
      <c r="AU20" s="969">
        <v>0</v>
      </c>
      <c r="AV20" s="970">
        <v>0</v>
      </c>
      <c r="AW20" s="799">
        <v>0</v>
      </c>
      <c r="AX20" s="817">
        <f t="shared" si="24"/>
        <v>0</v>
      </c>
      <c r="AY20" s="819">
        <f t="shared" si="25"/>
        <v>0</v>
      </c>
      <c r="AZ20" s="799">
        <v>0</v>
      </c>
      <c r="BA20" s="819">
        <v>0</v>
      </c>
      <c r="BB20" s="819">
        <v>0</v>
      </c>
      <c r="BC20" s="799">
        <v>0</v>
      </c>
      <c r="BD20" s="817">
        <f t="shared" si="26"/>
        <v>0</v>
      </c>
      <c r="BE20" s="819">
        <f t="shared" si="26"/>
        <v>0</v>
      </c>
      <c r="BF20" s="799">
        <v>0</v>
      </c>
      <c r="BG20" s="819">
        <v>0</v>
      </c>
      <c r="BH20" s="819">
        <v>0</v>
      </c>
      <c r="BI20" s="799">
        <v>0</v>
      </c>
      <c r="BJ20" s="817">
        <f t="shared" si="27"/>
        <v>0</v>
      </c>
      <c r="BK20" s="819">
        <f t="shared" si="27"/>
        <v>0</v>
      </c>
      <c r="BL20" s="799">
        <v>0</v>
      </c>
      <c r="BM20" s="819">
        <v>0</v>
      </c>
      <c r="BN20" s="819">
        <v>0</v>
      </c>
      <c r="BO20" s="799">
        <v>0</v>
      </c>
      <c r="BP20" s="817">
        <f t="shared" si="28"/>
        <v>0</v>
      </c>
      <c r="BQ20" s="819">
        <f t="shared" si="28"/>
        <v>0</v>
      </c>
      <c r="BR20" s="799">
        <v>0</v>
      </c>
      <c r="BS20" s="819">
        <v>0</v>
      </c>
      <c r="BT20" s="819">
        <v>0</v>
      </c>
      <c r="BU20" s="799">
        <v>0</v>
      </c>
    </row>
    <row r="21" spans="1:74" s="291" customFormat="1">
      <c r="A21" s="321"/>
      <c r="B21" s="43" t="s">
        <v>55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20</v>
      </c>
      <c r="I21" s="44">
        <v>0</v>
      </c>
      <c r="J21" s="44">
        <v>0</v>
      </c>
      <c r="K21" s="383">
        <v>0</v>
      </c>
      <c r="L21" s="390">
        <v>0</v>
      </c>
      <c r="M21" s="177">
        <v>0</v>
      </c>
      <c r="N21" s="383">
        <f t="shared" si="15"/>
        <v>0</v>
      </c>
      <c r="O21" s="390">
        <f t="shared" si="15"/>
        <v>0</v>
      </c>
      <c r="P21" s="177">
        <v>0</v>
      </c>
      <c r="Q21" s="383">
        <v>0</v>
      </c>
      <c r="R21" s="390">
        <v>0</v>
      </c>
      <c r="S21" s="177">
        <v>0</v>
      </c>
      <c r="T21" s="383">
        <f t="shared" si="16"/>
        <v>0</v>
      </c>
      <c r="U21" s="390">
        <f t="shared" si="17"/>
        <v>0</v>
      </c>
      <c r="V21" s="177">
        <v>0</v>
      </c>
      <c r="W21" s="383">
        <v>0</v>
      </c>
      <c r="X21" s="390">
        <v>0</v>
      </c>
      <c r="Y21" s="177">
        <v>0</v>
      </c>
      <c r="Z21" s="527">
        <f t="shared" si="18"/>
        <v>0</v>
      </c>
      <c r="AA21" s="390">
        <f t="shared" si="19"/>
        <v>0</v>
      </c>
      <c r="AB21" s="521">
        <v>0</v>
      </c>
      <c r="AC21" s="527">
        <v>0</v>
      </c>
      <c r="AD21" s="390">
        <v>0</v>
      </c>
      <c r="AE21" s="521">
        <v>0</v>
      </c>
      <c r="AF21" s="527">
        <f t="shared" si="20"/>
        <v>0</v>
      </c>
      <c r="AG21" s="390">
        <f t="shared" si="20"/>
        <v>0</v>
      </c>
      <c r="AH21" s="521">
        <v>0</v>
      </c>
      <c r="AI21" s="527">
        <v>0</v>
      </c>
      <c r="AJ21" s="390">
        <v>0</v>
      </c>
      <c r="AK21" s="521">
        <v>0</v>
      </c>
      <c r="AL21" s="810">
        <f t="shared" si="21"/>
        <v>0</v>
      </c>
      <c r="AM21" s="813">
        <f t="shared" si="22"/>
        <v>0</v>
      </c>
      <c r="AN21" s="799">
        <v>0</v>
      </c>
      <c r="AO21" s="817">
        <v>0</v>
      </c>
      <c r="AP21" s="819">
        <v>0</v>
      </c>
      <c r="AQ21" s="799">
        <v>0</v>
      </c>
      <c r="AR21" s="817">
        <f t="shared" si="23"/>
        <v>0</v>
      </c>
      <c r="AS21" s="819">
        <f t="shared" si="23"/>
        <v>0</v>
      </c>
      <c r="AT21" s="799">
        <v>0</v>
      </c>
      <c r="AU21" s="969">
        <v>0</v>
      </c>
      <c r="AV21" s="970">
        <v>0</v>
      </c>
      <c r="AW21" s="799">
        <v>0</v>
      </c>
      <c r="AX21" s="817">
        <f t="shared" si="24"/>
        <v>0</v>
      </c>
      <c r="AY21" s="819">
        <f t="shared" si="25"/>
        <v>0</v>
      </c>
      <c r="AZ21" s="799">
        <v>0</v>
      </c>
      <c r="BA21" s="819">
        <v>0</v>
      </c>
      <c r="BB21" s="819">
        <v>0</v>
      </c>
      <c r="BC21" s="799">
        <v>0</v>
      </c>
      <c r="BD21" s="817">
        <f t="shared" si="26"/>
        <v>0</v>
      </c>
      <c r="BE21" s="819">
        <f t="shared" si="26"/>
        <v>0</v>
      </c>
      <c r="BF21" s="799">
        <v>0</v>
      </c>
      <c r="BG21" s="819">
        <v>0</v>
      </c>
      <c r="BH21" s="819">
        <v>0</v>
      </c>
      <c r="BI21" s="799">
        <v>0</v>
      </c>
      <c r="BJ21" s="817">
        <f t="shared" si="27"/>
        <v>0</v>
      </c>
      <c r="BK21" s="819">
        <f t="shared" si="27"/>
        <v>0</v>
      </c>
      <c r="BL21" s="799">
        <v>0</v>
      </c>
      <c r="BM21" s="819">
        <v>0</v>
      </c>
      <c r="BN21" s="819">
        <v>0</v>
      </c>
      <c r="BO21" s="799">
        <v>0</v>
      </c>
      <c r="BP21" s="817">
        <f t="shared" si="28"/>
        <v>0</v>
      </c>
      <c r="BQ21" s="819">
        <f t="shared" si="28"/>
        <v>0</v>
      </c>
      <c r="BR21" s="799">
        <v>0</v>
      </c>
      <c r="BS21" s="819">
        <v>0</v>
      </c>
      <c r="BT21" s="819">
        <v>0</v>
      </c>
      <c r="BU21" s="799">
        <v>0</v>
      </c>
      <c r="BV21" s="846"/>
    </row>
    <row r="22" spans="1:74">
      <c r="A22" s="219"/>
      <c r="B22" s="43" t="s">
        <v>54</v>
      </c>
      <c r="C22" s="44">
        <v>1</v>
      </c>
      <c r="D22" s="44">
        <v>0</v>
      </c>
      <c r="E22" s="44"/>
      <c r="F22" s="44">
        <v>0</v>
      </c>
      <c r="G22" s="44"/>
      <c r="H22" s="44">
        <v>10</v>
      </c>
      <c r="I22" s="44">
        <v>0</v>
      </c>
      <c r="J22" s="44">
        <v>0</v>
      </c>
      <c r="K22" s="383">
        <v>0</v>
      </c>
      <c r="L22" s="390">
        <v>0</v>
      </c>
      <c r="M22" s="177">
        <v>0</v>
      </c>
      <c r="N22" s="383">
        <f t="shared" si="15"/>
        <v>0</v>
      </c>
      <c r="O22" s="390">
        <f t="shared" si="15"/>
        <v>0</v>
      </c>
      <c r="P22" s="177">
        <v>0</v>
      </c>
      <c r="Q22" s="383">
        <v>0</v>
      </c>
      <c r="R22" s="390">
        <v>0</v>
      </c>
      <c r="S22" s="177">
        <v>0</v>
      </c>
      <c r="T22" s="383">
        <f t="shared" si="16"/>
        <v>0</v>
      </c>
      <c r="U22" s="390">
        <f t="shared" si="17"/>
        <v>0</v>
      </c>
      <c r="V22" s="177">
        <v>0</v>
      </c>
      <c r="W22" s="383">
        <v>0</v>
      </c>
      <c r="X22" s="390">
        <v>0</v>
      </c>
      <c r="Y22" s="177">
        <v>0</v>
      </c>
      <c r="Z22" s="527">
        <f t="shared" si="18"/>
        <v>0</v>
      </c>
      <c r="AA22" s="390">
        <f t="shared" si="19"/>
        <v>0</v>
      </c>
      <c r="AB22" s="521">
        <v>0</v>
      </c>
      <c r="AC22" s="527">
        <v>0</v>
      </c>
      <c r="AD22" s="390">
        <v>0</v>
      </c>
      <c r="AE22" s="521">
        <v>0</v>
      </c>
      <c r="AF22" s="527">
        <f t="shared" si="20"/>
        <v>0</v>
      </c>
      <c r="AG22" s="390">
        <f t="shared" si="20"/>
        <v>0</v>
      </c>
      <c r="AH22" s="521">
        <v>0</v>
      </c>
      <c r="AI22" s="527">
        <v>0</v>
      </c>
      <c r="AJ22" s="390">
        <v>0</v>
      </c>
      <c r="AK22" s="521">
        <v>0</v>
      </c>
      <c r="AL22" s="810">
        <f t="shared" si="21"/>
        <v>0</v>
      </c>
      <c r="AM22" s="813">
        <f t="shared" si="22"/>
        <v>0</v>
      </c>
      <c r="AN22" s="799">
        <v>0</v>
      </c>
      <c r="AO22" s="817">
        <v>0</v>
      </c>
      <c r="AP22" s="819">
        <v>0</v>
      </c>
      <c r="AQ22" s="799">
        <v>0</v>
      </c>
      <c r="AR22" s="817">
        <f t="shared" si="23"/>
        <v>0</v>
      </c>
      <c r="AS22" s="819">
        <f t="shared" si="23"/>
        <v>0</v>
      </c>
      <c r="AT22" s="799">
        <v>0</v>
      </c>
      <c r="AU22" s="969">
        <v>0</v>
      </c>
      <c r="AV22" s="970">
        <v>0</v>
      </c>
      <c r="AW22" s="799">
        <v>0</v>
      </c>
      <c r="AX22" s="817">
        <f t="shared" si="24"/>
        <v>0</v>
      </c>
      <c r="AY22" s="819">
        <f t="shared" si="25"/>
        <v>0</v>
      </c>
      <c r="AZ22" s="799">
        <v>0</v>
      </c>
      <c r="BA22" s="819">
        <v>0</v>
      </c>
      <c r="BB22" s="819">
        <v>0</v>
      </c>
      <c r="BC22" s="799">
        <v>0</v>
      </c>
      <c r="BD22" s="817">
        <f t="shared" si="26"/>
        <v>0</v>
      </c>
      <c r="BE22" s="819">
        <f t="shared" si="26"/>
        <v>0</v>
      </c>
      <c r="BF22" s="799">
        <v>0</v>
      </c>
      <c r="BG22" s="819">
        <v>0</v>
      </c>
      <c r="BH22" s="819">
        <v>0</v>
      </c>
      <c r="BI22" s="799">
        <v>0</v>
      </c>
      <c r="BJ22" s="817">
        <f t="shared" si="27"/>
        <v>0</v>
      </c>
      <c r="BK22" s="819">
        <f t="shared" si="27"/>
        <v>0</v>
      </c>
      <c r="BL22" s="799">
        <v>0</v>
      </c>
      <c r="BM22" s="819">
        <v>0</v>
      </c>
      <c r="BN22" s="819">
        <v>0</v>
      </c>
      <c r="BO22" s="799">
        <v>0</v>
      </c>
      <c r="BP22" s="817">
        <f t="shared" si="28"/>
        <v>0</v>
      </c>
      <c r="BQ22" s="819">
        <f t="shared" si="28"/>
        <v>0</v>
      </c>
      <c r="BR22" s="799">
        <v>0</v>
      </c>
      <c r="BS22" s="819">
        <v>0</v>
      </c>
      <c r="BT22" s="819">
        <v>0</v>
      </c>
      <c r="BU22" s="799">
        <v>0</v>
      </c>
    </row>
    <row r="23" spans="1:74">
      <c r="A23" s="219"/>
      <c r="B23" s="43" t="s">
        <v>24</v>
      </c>
      <c r="C23" s="44">
        <f t="shared" ref="C23:L23" si="29">C24-SUM(C17:C22)</f>
        <v>0</v>
      </c>
      <c r="D23" s="44">
        <f t="shared" si="29"/>
        <v>2</v>
      </c>
      <c r="E23" s="44">
        <f t="shared" si="29"/>
        <v>21</v>
      </c>
      <c r="F23" s="44">
        <f t="shared" si="29"/>
        <v>1</v>
      </c>
      <c r="G23" s="44">
        <f t="shared" si="29"/>
        <v>2</v>
      </c>
      <c r="H23" s="44">
        <f t="shared" si="29"/>
        <v>2</v>
      </c>
      <c r="I23" s="44">
        <f t="shared" si="29"/>
        <v>1</v>
      </c>
      <c r="J23" s="44">
        <f>J24-SUM(J17:J22)</f>
        <v>0</v>
      </c>
      <c r="K23" s="383">
        <f t="shared" si="29"/>
        <v>0</v>
      </c>
      <c r="L23" s="390">
        <f t="shared" si="29"/>
        <v>0</v>
      </c>
      <c r="M23" s="178">
        <v>0</v>
      </c>
      <c r="N23" s="383">
        <f>N24-SUM(N17:N22)</f>
        <v>0</v>
      </c>
      <c r="O23" s="390">
        <f>O24-SUM(O17:O22)</f>
        <v>0</v>
      </c>
      <c r="P23" s="178">
        <v>0</v>
      </c>
      <c r="Q23" s="383">
        <f>Q24-SUM(Q17:Q22)</f>
        <v>0</v>
      </c>
      <c r="R23" s="390">
        <f>R24-SUM(R17:R22)</f>
        <v>0</v>
      </c>
      <c r="S23" s="178">
        <v>0</v>
      </c>
      <c r="T23" s="383">
        <f>T24-SUM(T17:T22)</f>
        <v>0</v>
      </c>
      <c r="U23" s="390">
        <f>U24-SUM(U17:U22)</f>
        <v>0</v>
      </c>
      <c r="V23" s="178">
        <v>0</v>
      </c>
      <c r="W23" s="383">
        <f>W24-SUM(W17:W22)</f>
        <v>0</v>
      </c>
      <c r="X23" s="390">
        <f>X24-SUM(X17:X22)</f>
        <v>0</v>
      </c>
      <c r="Y23" s="178">
        <v>0</v>
      </c>
      <c r="Z23" s="527">
        <f>Z24-SUM(Z17:Z22)</f>
        <v>0</v>
      </c>
      <c r="AA23" s="390">
        <f>AA24-SUM(AA17:AA22)</f>
        <v>0</v>
      </c>
      <c r="AB23" s="522">
        <v>0</v>
      </c>
      <c r="AC23" s="527">
        <f>AC24-SUM(AC17:AC22)</f>
        <v>0</v>
      </c>
      <c r="AD23" s="390">
        <f>AD24-SUM(AD17:AD22)</f>
        <v>0</v>
      </c>
      <c r="AE23" s="522">
        <v>0</v>
      </c>
      <c r="AF23" s="527">
        <f>AF24-SUM(AF17:AF22)</f>
        <v>0</v>
      </c>
      <c r="AG23" s="390">
        <f>AG24-SUM(AG17:AG22)</f>
        <v>0</v>
      </c>
      <c r="AH23" s="522">
        <v>0</v>
      </c>
      <c r="AI23" s="527">
        <f>AI24-SUM(AI17:AI22)</f>
        <v>0</v>
      </c>
      <c r="AJ23" s="390">
        <f>AJ24-SUM(AJ17:AJ22)</f>
        <v>0</v>
      </c>
      <c r="AK23" s="522">
        <v>0</v>
      </c>
      <c r="AL23" s="810">
        <f>AL24-SUM(AL17:AL22)</f>
        <v>0</v>
      </c>
      <c r="AM23" s="813">
        <f>AM24-SUM(AM17:AM22)</f>
        <v>0</v>
      </c>
      <c r="AN23" s="800">
        <v>0</v>
      </c>
      <c r="AO23" s="817">
        <f>AO24-SUM(AO17:AO22)</f>
        <v>0</v>
      </c>
      <c r="AP23" s="819">
        <f>AP24-SUM(AP17:AP22)</f>
        <v>0</v>
      </c>
      <c r="AQ23" s="800">
        <v>0</v>
      </c>
      <c r="AR23" s="817">
        <f>AR24-SUM(AR17:AR22)</f>
        <v>0</v>
      </c>
      <c r="AS23" s="819">
        <f>AS24-SUM(AS17:AS22)</f>
        <v>0</v>
      </c>
      <c r="AT23" s="800">
        <v>0</v>
      </c>
      <c r="AU23" s="969">
        <f>AU24-SUM(AU17:AU22)</f>
        <v>0</v>
      </c>
      <c r="AV23" s="970">
        <f>AV24-SUM(AV17:AV22)</f>
        <v>0</v>
      </c>
      <c r="AW23" s="800">
        <v>0</v>
      </c>
      <c r="AX23" s="817">
        <f>AX24-SUM(AX17:AX22)</f>
        <v>0</v>
      </c>
      <c r="AY23" s="819">
        <f>AY24-SUM(AY17:AY22)</f>
        <v>0</v>
      </c>
      <c r="AZ23" s="800">
        <v>0</v>
      </c>
      <c r="BA23" s="817">
        <f>BA24-SUM(BA17:BA22)</f>
        <v>0</v>
      </c>
      <c r="BB23" s="819">
        <f>BB24-SUM(BB17:BB22)</f>
        <v>0</v>
      </c>
      <c r="BC23" s="800">
        <v>0</v>
      </c>
      <c r="BD23" s="817">
        <f>BD24-SUM(BD17:BD22)</f>
        <v>0</v>
      </c>
      <c r="BE23" s="819">
        <f>BE24-SUM(BE17:BE22)</f>
        <v>0</v>
      </c>
      <c r="BF23" s="800">
        <v>0</v>
      </c>
      <c r="BG23" s="817">
        <f>BG24-SUM(BG17:BG22)</f>
        <v>0</v>
      </c>
      <c r="BH23" s="819">
        <f>BH24-SUM(BH17:BH22)</f>
        <v>0</v>
      </c>
      <c r="BI23" s="800">
        <v>0</v>
      </c>
      <c r="BJ23" s="817">
        <f>BJ24-SUM(BJ17:BJ22)</f>
        <v>0</v>
      </c>
      <c r="BK23" s="819">
        <f>BK24-SUM(BK17:BK22)</f>
        <v>0</v>
      </c>
      <c r="BL23" s="800">
        <v>0</v>
      </c>
      <c r="BM23" s="817">
        <f>BM24-SUM(BM17:BM22)</f>
        <v>0</v>
      </c>
      <c r="BN23" s="819">
        <f>BN24-SUM(BN17:BN22)</f>
        <v>0</v>
      </c>
      <c r="BO23" s="800">
        <v>0</v>
      </c>
      <c r="BP23" s="817">
        <f>BP24-SUM(BP17:BP22)</f>
        <v>0</v>
      </c>
      <c r="BQ23" s="819">
        <f>BQ24-SUM(BQ17:BQ22)</f>
        <v>0</v>
      </c>
      <c r="BR23" s="800">
        <v>0</v>
      </c>
      <c r="BS23" s="817">
        <f>BS24-SUM(BS17:BS22)</f>
        <v>0</v>
      </c>
      <c r="BT23" s="819">
        <f>BT24-SUM(BT17:BT22)</f>
        <v>0</v>
      </c>
      <c r="BU23" s="800">
        <v>0</v>
      </c>
    </row>
    <row r="24" spans="1:74">
      <c r="A24" s="218"/>
      <c r="B24" s="67" t="s">
        <v>108</v>
      </c>
      <c r="C24" s="46">
        <v>18910</v>
      </c>
      <c r="D24" s="46">
        <v>22727</v>
      </c>
      <c r="E24" s="46">
        <v>20830</v>
      </c>
      <c r="F24" s="46">
        <v>22002</v>
      </c>
      <c r="G24" s="46">
        <v>22049</v>
      </c>
      <c r="H24" s="46">
        <v>21612</v>
      </c>
      <c r="I24" s="46">
        <v>19177</v>
      </c>
      <c r="J24" s="46">
        <v>19712</v>
      </c>
      <c r="K24" s="295">
        <v>1902</v>
      </c>
      <c r="L24" s="295">
        <v>1534</v>
      </c>
      <c r="M24" s="305">
        <f>ROUND(((L24/K24-1)*100), 1)</f>
        <v>-19.3</v>
      </c>
      <c r="N24" s="295">
        <f>Q24-K24</f>
        <v>1210</v>
      </c>
      <c r="O24" s="295">
        <f>R24-L24</f>
        <v>1394</v>
      </c>
      <c r="P24" s="305">
        <f>ROUND(((O24/N24-1)*100), 1)</f>
        <v>15.2</v>
      </c>
      <c r="Q24" s="295">
        <v>3112</v>
      </c>
      <c r="R24" s="295">
        <v>2928</v>
      </c>
      <c r="S24" s="305">
        <f>ROUND(((R24/Q24-1)*100), 1)</f>
        <v>-5.9</v>
      </c>
      <c r="T24" s="295">
        <f>W24-Q24</f>
        <v>1553</v>
      </c>
      <c r="U24" s="295">
        <f>X24-R24</f>
        <v>2591</v>
      </c>
      <c r="V24" s="305">
        <f>ROUND(((U24/T24-1)*100), 1)</f>
        <v>66.8</v>
      </c>
      <c r="W24" s="295">
        <v>4665</v>
      </c>
      <c r="X24" s="295">
        <v>5519</v>
      </c>
      <c r="Y24" s="305">
        <f>ROUND(((X24/W24-1)*100), 1)</f>
        <v>18.3</v>
      </c>
      <c r="Z24" s="295">
        <f>AC24-W24</f>
        <v>2007</v>
      </c>
      <c r="AA24" s="295">
        <f>AD24-X24</f>
        <v>1659</v>
      </c>
      <c r="AB24" s="305">
        <f>ROUND(((AA24/Z24-1)*100), 1)</f>
        <v>-17.3</v>
      </c>
      <c r="AC24" s="295">
        <v>6672</v>
      </c>
      <c r="AD24" s="295">
        <v>7178</v>
      </c>
      <c r="AE24" s="305">
        <f>ROUND(((AD24/AC24-1)*100), 1)</f>
        <v>7.6</v>
      </c>
      <c r="AF24" s="295">
        <f>AI24-AC24</f>
        <v>1409</v>
      </c>
      <c r="AG24" s="295">
        <f>AJ24-AD24</f>
        <v>1614</v>
      </c>
      <c r="AH24" s="305">
        <f>ROUND(((AG24/AF24-1)*100), 1)</f>
        <v>14.5</v>
      </c>
      <c r="AI24" s="295">
        <v>8081</v>
      </c>
      <c r="AJ24" s="295">
        <v>8792</v>
      </c>
      <c r="AK24" s="305">
        <f>ROUND(((AJ24/AI24-1)*100), 1)</f>
        <v>8.8000000000000007</v>
      </c>
      <c r="AL24" s="808">
        <f>AO24-AI24</f>
        <v>1417</v>
      </c>
      <c r="AM24" s="808">
        <f>AP24-AJ24</f>
        <v>1376</v>
      </c>
      <c r="AN24" s="806">
        <f>ROUND(((AM24/AL24-1)*100), 1)</f>
        <v>-2.9</v>
      </c>
      <c r="AO24" s="808">
        <v>9498</v>
      </c>
      <c r="AP24" s="808">
        <v>10168</v>
      </c>
      <c r="AQ24" s="806">
        <f>ROUND(((AP24/AO24-1)*100), 1)</f>
        <v>7.1</v>
      </c>
      <c r="AR24" s="808">
        <f>AU24-AO24</f>
        <v>1733</v>
      </c>
      <c r="AS24" s="808">
        <f>AV24-AP24</f>
        <v>1076</v>
      </c>
      <c r="AT24" s="806">
        <f>ROUND(((AS24/AR24-1)*100), 1)</f>
        <v>-37.9</v>
      </c>
      <c r="AU24" s="972">
        <v>11231</v>
      </c>
      <c r="AV24" s="972">
        <v>11244</v>
      </c>
      <c r="AW24" s="806">
        <f>ROUND(((AV24/AU24-1)*100), 1)</f>
        <v>0.1</v>
      </c>
      <c r="AX24" s="808">
        <f>BA24-AU24</f>
        <v>1824</v>
      </c>
      <c r="AY24" s="808">
        <f>BB24-AV24</f>
        <v>1220</v>
      </c>
      <c r="AZ24" s="806">
        <f>ROUND(((AY24/AX24-1)*100), 1)</f>
        <v>-33.1</v>
      </c>
      <c r="BA24" s="808">
        <v>13055</v>
      </c>
      <c r="BB24" s="808">
        <v>12464</v>
      </c>
      <c r="BC24" s="806">
        <f>ROUND(((BB24/BA24-1)*100), 1)</f>
        <v>-4.5</v>
      </c>
      <c r="BD24" s="808">
        <f>BG24-BA24</f>
        <v>1745</v>
      </c>
      <c r="BE24" s="808">
        <f>BH24-BB24</f>
        <v>1638</v>
      </c>
      <c r="BF24" s="806">
        <f>ROUND(((BE24/BD24-1)*100), 1)</f>
        <v>-6.1</v>
      </c>
      <c r="BG24" s="808">
        <v>14800</v>
      </c>
      <c r="BH24" s="808">
        <v>14102</v>
      </c>
      <c r="BI24" s="806">
        <f>ROUND(((BH24/BG24-1)*100), 1)</f>
        <v>-4.7</v>
      </c>
      <c r="BJ24" s="808">
        <f>BM24-BG24</f>
        <v>1625</v>
      </c>
      <c r="BK24" s="808">
        <f>BN24-BH24</f>
        <v>1801</v>
      </c>
      <c r="BL24" s="806">
        <f>ROUND(((BK24/BJ24-1)*100), 1)</f>
        <v>10.8</v>
      </c>
      <c r="BM24" s="808">
        <v>16425</v>
      </c>
      <c r="BN24" s="808">
        <v>15903</v>
      </c>
      <c r="BO24" s="806">
        <f>ROUND(((BN24/BM24-1)*100), 1)</f>
        <v>-3.2</v>
      </c>
      <c r="BP24" s="808">
        <f>BS24-BM24</f>
        <v>1430</v>
      </c>
      <c r="BQ24" s="808">
        <f>BT24-BN24</f>
        <v>2222</v>
      </c>
      <c r="BR24" s="806">
        <f>ROUND(((BQ24/BP24-1)*100), 1)</f>
        <v>55.4</v>
      </c>
      <c r="BS24" s="808">
        <v>17855</v>
      </c>
      <c r="BT24" s="808">
        <v>18125</v>
      </c>
      <c r="BU24" s="806">
        <f>ROUND(((BT24/BS24-1)*100), 1)</f>
        <v>1.5</v>
      </c>
    </row>
  </sheetData>
  <sortState ref="B17:M22">
    <sortCondition descending="1" ref="J17:J22"/>
  </sortState>
  <mergeCells count="30">
    <mergeCell ref="BP3:BR3"/>
    <mergeCell ref="BS3:BU3"/>
    <mergeCell ref="BJ3:BL3"/>
    <mergeCell ref="BM3:BO3"/>
    <mergeCell ref="BD3:BF3"/>
    <mergeCell ref="BG3:BI3"/>
    <mergeCell ref="AX3:AZ3"/>
    <mergeCell ref="BA3:BC3"/>
    <mergeCell ref="AR3:AT3"/>
    <mergeCell ref="AU3:AW3"/>
    <mergeCell ref="AC3:AE3"/>
    <mergeCell ref="T3:V3"/>
    <mergeCell ref="N3:P3"/>
    <mergeCell ref="Q3:S3"/>
    <mergeCell ref="W3:Y3"/>
    <mergeCell ref="AL3:AN3"/>
    <mergeCell ref="AO3:AQ3"/>
    <mergeCell ref="AF3:AH3"/>
    <mergeCell ref="AI3:AK3"/>
    <mergeCell ref="Z3:AB3"/>
    <mergeCell ref="A3:B4"/>
    <mergeCell ref="K3:M3"/>
    <mergeCell ref="G3:G4"/>
    <mergeCell ref="C3:C4"/>
    <mergeCell ref="D3:D4"/>
    <mergeCell ref="E3:E4"/>
    <mergeCell ref="F3:F4"/>
    <mergeCell ref="H3:H4"/>
    <mergeCell ref="I3:I4"/>
    <mergeCell ref="J3:J4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7"/>
  <sheetViews>
    <sheetView workbookViewId="0">
      <pane xSplit="12" ySplit="5" topLeftCell="N63" activePane="bottomRight" state="frozen"/>
      <selection pane="topRight" activeCell="X1" sqref="X1"/>
      <selection pane="bottomLeft" activeCell="A6" sqref="A6"/>
      <selection pane="bottomRight" sqref="A1:BX1"/>
    </sheetView>
  </sheetViews>
  <sheetFormatPr defaultRowHeight="16.5"/>
  <cols>
    <col min="1" max="3" width="9.875" customWidth="1"/>
    <col min="4" max="4" width="6" customWidth="1"/>
    <col min="5" max="10" width="12.125" hidden="1" customWidth="1"/>
    <col min="11" max="11" width="12.625" style="1" hidden="1" customWidth="1"/>
    <col min="12" max="12" width="13.25" style="174" hidden="1" customWidth="1"/>
    <col min="13" max="13" width="13.25" style="319" hidden="1" customWidth="1"/>
    <col min="14" max="15" width="11.625" style="319" hidden="1" customWidth="1"/>
    <col min="16" max="16" width="8.625" hidden="1" customWidth="1"/>
    <col min="17" max="18" width="11.625" style="319" hidden="1" customWidth="1"/>
    <col min="19" max="19" width="8.625" style="291" hidden="1" customWidth="1"/>
    <col min="20" max="21" width="11.625" style="319" hidden="1" customWidth="1"/>
    <col min="22" max="22" width="8.625" style="291" hidden="1" customWidth="1"/>
    <col min="23" max="24" width="11.625" style="319" hidden="1" customWidth="1"/>
    <col min="25" max="25" width="8.625" style="291" hidden="1" customWidth="1"/>
    <col min="26" max="27" width="11.625" style="319" hidden="1" customWidth="1"/>
    <col min="28" max="28" width="8.625" style="291" hidden="1" customWidth="1"/>
    <col min="29" max="30" width="11.625" style="319" hidden="1" customWidth="1"/>
    <col min="31" max="31" width="8.625" style="291" hidden="1" customWidth="1"/>
    <col min="32" max="33" width="11.625" style="319" hidden="1" customWidth="1"/>
    <col min="34" max="34" width="8.625" style="291" hidden="1" customWidth="1"/>
    <col min="35" max="36" width="11.625" style="319" hidden="1" customWidth="1"/>
    <col min="37" max="37" width="8.625" style="291" hidden="1" customWidth="1"/>
    <col min="38" max="39" width="11.625" style="319" hidden="1" customWidth="1"/>
    <col min="40" max="40" width="8.625" style="291" hidden="1" customWidth="1"/>
    <col min="41" max="42" width="11.625" style="604" hidden="1" customWidth="1"/>
    <col min="43" max="43" width="8.625" style="554" hidden="1" customWidth="1"/>
    <col min="44" max="45" width="11.625" style="632" hidden="1" customWidth="1"/>
    <col min="46" max="46" width="8.625" style="554" hidden="1" customWidth="1"/>
    <col min="47" max="48" width="11.625" style="632" hidden="1" customWidth="1"/>
    <col min="49" max="49" width="8.625" style="846" hidden="1" customWidth="1"/>
    <col min="50" max="51" width="11.625" style="632" hidden="1" customWidth="1"/>
    <col min="52" max="52" width="8.625" style="846" hidden="1" customWidth="1"/>
    <col min="53" max="54" width="11.625" style="632" hidden="1" customWidth="1"/>
    <col min="55" max="55" width="8.625" style="846" hidden="1" customWidth="1"/>
    <col min="56" max="57" width="11.625" style="632" hidden="1" customWidth="1"/>
    <col min="58" max="58" width="8.625" style="846" hidden="1" customWidth="1"/>
    <col min="59" max="60" width="11.625" style="632" hidden="1" customWidth="1"/>
    <col min="61" max="61" width="8.625" style="846" hidden="1" customWidth="1"/>
    <col min="62" max="63" width="11.625" style="632" hidden="1" customWidth="1"/>
    <col min="64" max="64" width="8.625" style="846" hidden="1" customWidth="1"/>
    <col min="65" max="66" width="11.625" style="632" hidden="1" customWidth="1"/>
    <col min="67" max="67" width="8.625" style="846" hidden="1" customWidth="1"/>
    <col min="68" max="69" width="11.625" style="632" hidden="1" customWidth="1"/>
    <col min="70" max="70" width="8.625" style="846" hidden="1" customWidth="1"/>
    <col min="71" max="72" width="11.625" style="632" customWidth="1"/>
    <col min="73" max="73" width="8.625" style="846" customWidth="1"/>
    <col min="74" max="75" width="11.625" style="632" customWidth="1"/>
    <col min="76" max="76" width="8.625" style="846" customWidth="1"/>
  </cols>
  <sheetData>
    <row r="1" spans="1:76" ht="22.5">
      <c r="A1" s="1095" t="s">
        <v>710</v>
      </c>
      <c r="B1" s="1095"/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  <c r="AA1" s="1095"/>
      <c r="AB1" s="1095"/>
      <c r="AC1" s="1095"/>
      <c r="AD1" s="1095"/>
      <c r="AE1" s="1095"/>
      <c r="AF1" s="1095"/>
      <c r="AG1" s="1095"/>
      <c r="AH1" s="1095"/>
      <c r="AI1" s="1095"/>
      <c r="AJ1" s="1095"/>
      <c r="AK1" s="1095"/>
      <c r="AL1" s="1095"/>
      <c r="AM1" s="1095"/>
      <c r="AN1" s="1095"/>
      <c r="AO1" s="1095"/>
      <c r="AP1" s="1095"/>
      <c r="AQ1" s="1095"/>
      <c r="AR1" s="1095"/>
      <c r="AS1" s="1095"/>
      <c r="AT1" s="1095"/>
      <c r="AU1" s="1095"/>
      <c r="AV1" s="1095"/>
      <c r="AW1" s="1095"/>
      <c r="AX1" s="1095"/>
      <c r="AY1" s="1095"/>
      <c r="AZ1" s="1095"/>
      <c r="BA1" s="1095"/>
      <c r="BB1" s="1095"/>
      <c r="BC1" s="1095"/>
      <c r="BD1" s="1095"/>
      <c r="BE1" s="1095"/>
      <c r="BF1" s="1095"/>
      <c r="BG1" s="1095"/>
      <c r="BH1" s="1095"/>
      <c r="BI1" s="1095"/>
      <c r="BJ1" s="1095"/>
      <c r="BK1" s="1095"/>
      <c r="BL1" s="1095"/>
      <c r="BM1" s="1095"/>
      <c r="BN1" s="1095"/>
      <c r="BO1" s="1095"/>
      <c r="BP1" s="1095"/>
      <c r="BQ1" s="1095"/>
      <c r="BR1" s="1095"/>
      <c r="BS1" s="1095"/>
      <c r="BT1" s="1095"/>
      <c r="BU1" s="1095"/>
      <c r="BV1" s="1095"/>
      <c r="BW1" s="1095"/>
      <c r="BX1" s="1095"/>
    </row>
    <row r="3" spans="1:76">
      <c r="A3" s="2"/>
      <c r="B3" s="2"/>
      <c r="C3" s="2"/>
      <c r="D3" s="2"/>
      <c r="E3" s="2"/>
      <c r="F3" s="2"/>
      <c r="G3" s="2"/>
      <c r="H3" s="2"/>
      <c r="I3" s="2"/>
      <c r="J3" s="2"/>
      <c r="K3" s="3"/>
      <c r="L3" s="293"/>
      <c r="M3" s="293"/>
      <c r="N3" s="293"/>
      <c r="P3" s="470" t="s">
        <v>0</v>
      </c>
      <c r="Q3" s="293"/>
      <c r="R3" s="1113"/>
      <c r="S3" s="1113"/>
      <c r="T3" s="293"/>
      <c r="V3" s="470" t="s">
        <v>0</v>
      </c>
      <c r="W3" s="293"/>
      <c r="X3" s="1113"/>
      <c r="Y3" s="1113"/>
      <c r="Z3" s="293"/>
      <c r="AB3" s="502" t="s">
        <v>0</v>
      </c>
      <c r="AC3" s="293"/>
      <c r="AD3" s="1113"/>
      <c r="AE3" s="1113"/>
      <c r="AF3" s="293"/>
      <c r="AH3" s="514" t="s">
        <v>0</v>
      </c>
      <c r="AI3" s="293"/>
      <c r="AJ3" s="1113"/>
      <c r="AK3" s="1113"/>
      <c r="AL3" s="293"/>
      <c r="AN3" s="539" t="s">
        <v>0</v>
      </c>
      <c r="AO3" s="556"/>
      <c r="AP3" s="1113"/>
      <c r="AQ3" s="1113"/>
      <c r="AR3" s="556"/>
      <c r="AT3" s="609" t="s">
        <v>0</v>
      </c>
      <c r="AU3" s="556"/>
      <c r="AV3" s="1113"/>
      <c r="AW3" s="1113"/>
      <c r="AX3" s="556"/>
      <c r="AZ3" s="918" t="s">
        <v>0</v>
      </c>
      <c r="BA3" s="556"/>
      <c r="BB3" s="1113"/>
      <c r="BC3" s="1113"/>
      <c r="BD3" s="556"/>
      <c r="BF3" s="1031" t="s">
        <v>0</v>
      </c>
      <c r="BG3" s="556"/>
      <c r="BH3" s="1113"/>
      <c r="BI3" s="1113"/>
      <c r="BJ3" s="556"/>
      <c r="BL3" s="1043" t="s">
        <v>0</v>
      </c>
      <c r="BM3" s="556"/>
      <c r="BN3" s="1113"/>
      <c r="BO3" s="1113"/>
      <c r="BP3" s="556"/>
      <c r="BR3" s="1058" t="s">
        <v>0</v>
      </c>
      <c r="BS3" s="556"/>
      <c r="BT3" s="1113"/>
      <c r="BU3" s="1113"/>
      <c r="BV3" s="556"/>
      <c r="BX3" s="1075" t="s">
        <v>0</v>
      </c>
    </row>
    <row r="4" spans="1:76" ht="17.25" customHeight="1">
      <c r="A4" s="1082" t="s">
        <v>1</v>
      </c>
      <c r="B4" s="1082"/>
      <c r="C4" s="1082"/>
      <c r="D4" s="1082"/>
      <c r="E4" s="1082" t="s">
        <v>2</v>
      </c>
      <c r="F4" s="1082" t="s">
        <v>3</v>
      </c>
      <c r="G4" s="1082" t="s">
        <v>4</v>
      </c>
      <c r="H4" s="1082" t="s">
        <v>5</v>
      </c>
      <c r="I4" s="1082" t="s">
        <v>6</v>
      </c>
      <c r="J4" s="1082" t="s">
        <v>7</v>
      </c>
      <c r="K4" s="1115" t="s">
        <v>8</v>
      </c>
      <c r="L4" s="1115" t="s">
        <v>83</v>
      </c>
      <c r="M4" s="1115" t="s">
        <v>315</v>
      </c>
      <c r="N4" s="1082" t="s">
        <v>9</v>
      </c>
      <c r="O4" s="1082"/>
      <c r="P4" s="1082"/>
      <c r="Q4" s="1082" t="s">
        <v>489</v>
      </c>
      <c r="R4" s="1082"/>
      <c r="S4" s="1082"/>
      <c r="T4" s="1082" t="s">
        <v>490</v>
      </c>
      <c r="U4" s="1082"/>
      <c r="V4" s="1082"/>
      <c r="W4" s="1082" t="s">
        <v>515</v>
      </c>
      <c r="X4" s="1082"/>
      <c r="Y4" s="1082"/>
      <c r="Z4" s="1082" t="s">
        <v>516</v>
      </c>
      <c r="AA4" s="1082"/>
      <c r="AB4" s="1082"/>
      <c r="AC4" s="1082" t="s">
        <v>535</v>
      </c>
      <c r="AD4" s="1082"/>
      <c r="AE4" s="1082"/>
      <c r="AF4" s="1082" t="s">
        <v>536</v>
      </c>
      <c r="AG4" s="1082"/>
      <c r="AH4" s="1082"/>
      <c r="AI4" s="1082" t="s">
        <v>552</v>
      </c>
      <c r="AJ4" s="1082"/>
      <c r="AK4" s="1082"/>
      <c r="AL4" s="1082" t="s">
        <v>553</v>
      </c>
      <c r="AM4" s="1082"/>
      <c r="AN4" s="1082"/>
      <c r="AO4" s="1082" t="s">
        <v>586</v>
      </c>
      <c r="AP4" s="1082"/>
      <c r="AQ4" s="1082"/>
      <c r="AR4" s="1082" t="s">
        <v>587</v>
      </c>
      <c r="AS4" s="1082"/>
      <c r="AT4" s="1082"/>
      <c r="AU4" s="1082" t="s">
        <v>604</v>
      </c>
      <c r="AV4" s="1082"/>
      <c r="AW4" s="1082"/>
      <c r="AX4" s="1082" t="s">
        <v>606</v>
      </c>
      <c r="AY4" s="1082"/>
      <c r="AZ4" s="1082"/>
      <c r="BA4" s="1082" t="s">
        <v>627</v>
      </c>
      <c r="BB4" s="1082"/>
      <c r="BC4" s="1082"/>
      <c r="BD4" s="1082" t="s">
        <v>629</v>
      </c>
      <c r="BE4" s="1082"/>
      <c r="BF4" s="1082"/>
      <c r="BG4" s="1082" t="s">
        <v>648</v>
      </c>
      <c r="BH4" s="1082"/>
      <c r="BI4" s="1082"/>
      <c r="BJ4" s="1082" t="s">
        <v>649</v>
      </c>
      <c r="BK4" s="1082"/>
      <c r="BL4" s="1082"/>
      <c r="BM4" s="1082" t="s">
        <v>676</v>
      </c>
      <c r="BN4" s="1082"/>
      <c r="BO4" s="1082"/>
      <c r="BP4" s="1082" t="s">
        <v>677</v>
      </c>
      <c r="BQ4" s="1082"/>
      <c r="BR4" s="1082"/>
      <c r="BS4" s="1082" t="s">
        <v>713</v>
      </c>
      <c r="BT4" s="1082"/>
      <c r="BU4" s="1082"/>
      <c r="BV4" s="1082" t="s">
        <v>714</v>
      </c>
      <c r="BW4" s="1082"/>
      <c r="BX4" s="1082"/>
    </row>
    <row r="5" spans="1:76" ht="17.25" customHeight="1" thickBot="1">
      <c r="A5" s="1083"/>
      <c r="B5" s="1083"/>
      <c r="C5" s="1083"/>
      <c r="D5" s="1083"/>
      <c r="E5" s="1083"/>
      <c r="F5" s="1083"/>
      <c r="G5" s="1083"/>
      <c r="H5" s="1083"/>
      <c r="I5" s="1083"/>
      <c r="J5" s="1083"/>
      <c r="K5" s="1116"/>
      <c r="L5" s="1116"/>
      <c r="M5" s="1116"/>
      <c r="N5" s="412" t="s">
        <v>314</v>
      </c>
      <c r="O5" s="412" t="s">
        <v>444</v>
      </c>
      <c r="P5" s="363" t="s">
        <v>10</v>
      </c>
      <c r="Q5" s="471" t="s">
        <v>314</v>
      </c>
      <c r="R5" s="471" t="s">
        <v>444</v>
      </c>
      <c r="S5" s="468" t="s">
        <v>10</v>
      </c>
      <c r="T5" s="493" t="s">
        <v>510</v>
      </c>
      <c r="U5" s="493" t="s">
        <v>511</v>
      </c>
      <c r="V5" s="468" t="s">
        <v>10</v>
      </c>
      <c r="W5" s="501" t="s">
        <v>314</v>
      </c>
      <c r="X5" s="501" t="s">
        <v>444</v>
      </c>
      <c r="Y5" s="498" t="s">
        <v>10</v>
      </c>
      <c r="Z5" s="507" t="s">
        <v>314</v>
      </c>
      <c r="AA5" s="507" t="s">
        <v>444</v>
      </c>
      <c r="AB5" s="498" t="s">
        <v>10</v>
      </c>
      <c r="AC5" s="515" t="s">
        <v>314</v>
      </c>
      <c r="AD5" s="515" t="s">
        <v>444</v>
      </c>
      <c r="AE5" s="513" t="s">
        <v>10</v>
      </c>
      <c r="AF5" s="530" t="s">
        <v>314</v>
      </c>
      <c r="AG5" s="530" t="s">
        <v>444</v>
      </c>
      <c r="AH5" s="513" t="s">
        <v>10</v>
      </c>
      <c r="AI5" s="538" t="s">
        <v>314</v>
      </c>
      <c r="AJ5" s="538" t="s">
        <v>554</v>
      </c>
      <c r="AK5" s="534" t="s">
        <v>10</v>
      </c>
      <c r="AL5" s="538" t="s">
        <v>314</v>
      </c>
      <c r="AM5" s="538" t="s">
        <v>554</v>
      </c>
      <c r="AN5" s="534" t="s">
        <v>10</v>
      </c>
      <c r="AO5" s="607" t="s">
        <v>314</v>
      </c>
      <c r="AP5" s="607" t="s">
        <v>444</v>
      </c>
      <c r="AQ5" s="605" t="s">
        <v>10</v>
      </c>
      <c r="AR5" s="910" t="s">
        <v>314</v>
      </c>
      <c r="AS5" s="910" t="s">
        <v>444</v>
      </c>
      <c r="AT5" s="605" t="s">
        <v>10</v>
      </c>
      <c r="AU5" s="919" t="s">
        <v>314</v>
      </c>
      <c r="AV5" s="919" t="s">
        <v>444</v>
      </c>
      <c r="AW5" s="917" t="s">
        <v>10</v>
      </c>
      <c r="AX5" s="919" t="s">
        <v>314</v>
      </c>
      <c r="AY5" s="919" t="s">
        <v>444</v>
      </c>
      <c r="AZ5" s="917" t="s">
        <v>10</v>
      </c>
      <c r="BA5" s="1032" t="s">
        <v>314</v>
      </c>
      <c r="BB5" s="1032" t="s">
        <v>444</v>
      </c>
      <c r="BC5" s="1029" t="s">
        <v>10</v>
      </c>
      <c r="BD5" s="1032" t="s">
        <v>314</v>
      </c>
      <c r="BE5" s="1032" t="s">
        <v>444</v>
      </c>
      <c r="BF5" s="1029" t="s">
        <v>10</v>
      </c>
      <c r="BG5" s="1044" t="s">
        <v>652</v>
      </c>
      <c r="BH5" s="1044" t="s">
        <v>653</v>
      </c>
      <c r="BI5" s="1042" t="s">
        <v>10</v>
      </c>
      <c r="BJ5" s="1044" t="s">
        <v>652</v>
      </c>
      <c r="BK5" s="1044" t="s">
        <v>653</v>
      </c>
      <c r="BL5" s="1042" t="s">
        <v>10</v>
      </c>
      <c r="BM5" s="1059" t="s">
        <v>678</v>
      </c>
      <c r="BN5" s="1059" t="s">
        <v>511</v>
      </c>
      <c r="BO5" s="1057" t="s">
        <v>10</v>
      </c>
      <c r="BP5" s="1059" t="s">
        <v>678</v>
      </c>
      <c r="BQ5" s="1059" t="s">
        <v>511</v>
      </c>
      <c r="BR5" s="1057" t="s">
        <v>10</v>
      </c>
      <c r="BS5" s="1076" t="s">
        <v>314</v>
      </c>
      <c r="BT5" s="1076" t="s">
        <v>444</v>
      </c>
      <c r="BU5" s="1074" t="s">
        <v>10</v>
      </c>
      <c r="BV5" s="1076" t="s">
        <v>314</v>
      </c>
      <c r="BW5" s="1076" t="s">
        <v>715</v>
      </c>
      <c r="BX5" s="1074" t="s">
        <v>10</v>
      </c>
    </row>
    <row r="6" spans="1:76" ht="22.5" customHeight="1">
      <c r="A6" s="1101" t="s">
        <v>11</v>
      </c>
      <c r="B6" s="1117" t="s">
        <v>12</v>
      </c>
      <c r="C6" s="1118" t="s">
        <v>298</v>
      </c>
      <c r="D6" s="372" t="s">
        <v>13</v>
      </c>
      <c r="E6" s="448">
        <v>156244</v>
      </c>
      <c r="F6" s="448">
        <v>168772</v>
      </c>
      <c r="G6" s="448">
        <v>176621</v>
      </c>
      <c r="H6" s="448">
        <v>189565</v>
      </c>
      <c r="I6" s="448">
        <v>280136</v>
      </c>
      <c r="J6" s="448">
        <v>251454</v>
      </c>
      <c r="K6" s="200">
        <v>221889</v>
      </c>
      <c r="L6" s="60">
        <v>227517</v>
      </c>
      <c r="M6" s="435">
        <v>247593</v>
      </c>
      <c r="N6" s="316">
        <v>17689</v>
      </c>
      <c r="O6" s="316">
        <v>17841</v>
      </c>
      <c r="P6" s="201">
        <f>ROUND(((O6/N6-1)*100),1)</f>
        <v>0.9</v>
      </c>
      <c r="Q6" s="482">
        <f>T6-N6</f>
        <v>21604</v>
      </c>
      <c r="R6" s="482">
        <f>U6-O6</f>
        <v>18523</v>
      </c>
      <c r="S6" s="201">
        <f>ROUND(((R6/Q6-1)*100),1)</f>
        <v>-14.3</v>
      </c>
      <c r="T6" s="316">
        <v>39293</v>
      </c>
      <c r="U6" s="316">
        <v>36364</v>
      </c>
      <c r="V6" s="201">
        <f>ROUND(((U6/T6-1)*100),1)</f>
        <v>-7.5</v>
      </c>
      <c r="W6" s="482">
        <f>Z6-T6</f>
        <v>18902</v>
      </c>
      <c r="X6" s="482">
        <f>AA6-U6</f>
        <v>12867</v>
      </c>
      <c r="Y6" s="201">
        <f>ROUND(((X6/W6-1)*100),1)</f>
        <v>-31.9</v>
      </c>
      <c r="Z6" s="316">
        <v>58195</v>
      </c>
      <c r="AA6" s="316">
        <v>49231</v>
      </c>
      <c r="AB6" s="201">
        <f>ROUND(((AA6/Z6-1)*100),1)</f>
        <v>-15.4</v>
      </c>
      <c r="AC6" s="482">
        <f>AF6-Z6</f>
        <v>15747</v>
      </c>
      <c r="AD6" s="482">
        <f>AG6-AA6</f>
        <v>19926</v>
      </c>
      <c r="AE6" s="201">
        <f>ROUND(((AD6/AC6-1)*100),1)</f>
        <v>26.5</v>
      </c>
      <c r="AF6" s="316">
        <v>73942</v>
      </c>
      <c r="AG6" s="316">
        <v>69157</v>
      </c>
      <c r="AH6" s="201">
        <f>ROUND(((AG6/AF6-1)*100),1)</f>
        <v>-6.5</v>
      </c>
      <c r="AI6" s="482">
        <f>AL6-AF6</f>
        <v>28378</v>
      </c>
      <c r="AJ6" s="482">
        <f>AM6-AG6</f>
        <v>19134</v>
      </c>
      <c r="AK6" s="201">
        <f>ROUND(((AJ6/AI6-1)*100),1)</f>
        <v>-32.6</v>
      </c>
      <c r="AL6" s="309">
        <v>102320</v>
      </c>
      <c r="AM6" s="316">
        <v>88291</v>
      </c>
      <c r="AN6" s="201">
        <f>ROUND(((AM6/AL6-1)*100),1)</f>
        <v>-13.7</v>
      </c>
      <c r="AO6" s="610">
        <f>AR6-AL6</f>
        <v>19012</v>
      </c>
      <c r="AP6" s="610">
        <f>AS6-AM6</f>
        <v>24271</v>
      </c>
      <c r="AQ6" s="593">
        <f>ROUND(((AP6/AO6-1)*100),1)</f>
        <v>27.7</v>
      </c>
      <c r="AR6" s="868">
        <v>121332</v>
      </c>
      <c r="AS6" s="316">
        <v>112562</v>
      </c>
      <c r="AT6" s="593">
        <f>ROUND(((AS6/AR6-1)*100),1)</f>
        <v>-7.2</v>
      </c>
      <c r="AU6" s="636">
        <f>AX6-AR6</f>
        <v>24739</v>
      </c>
      <c r="AV6" s="636">
        <f>AY6-AS6</f>
        <v>24817</v>
      </c>
      <c r="AW6" s="621">
        <f>ROUND(((AV6/AU6-1)*100),1)</f>
        <v>0.3</v>
      </c>
      <c r="AX6" s="925">
        <v>146071</v>
      </c>
      <c r="AY6" s="926">
        <v>137379</v>
      </c>
      <c r="AZ6" s="621">
        <f>ROUND(((AY6/AX6-1)*100),1)</f>
        <v>-6</v>
      </c>
      <c r="BA6" s="636">
        <f>BD6-AX6</f>
        <v>21870</v>
      </c>
      <c r="BB6" s="636">
        <f>BE6-AY6</f>
        <v>19285</v>
      </c>
      <c r="BC6" s="621">
        <f>ROUND(((BB6/BA6-1)*100),1)</f>
        <v>-11.8</v>
      </c>
      <c r="BD6" s="868">
        <v>167941</v>
      </c>
      <c r="BE6" s="316">
        <v>156664</v>
      </c>
      <c r="BF6" s="621">
        <f>ROUND(((BE6/BD6-1)*100),1)</f>
        <v>-6.7</v>
      </c>
      <c r="BG6" s="636">
        <f>BJ6-BD6</f>
        <v>16932</v>
      </c>
      <c r="BH6" s="636">
        <f>BK6-BE6</f>
        <v>20717</v>
      </c>
      <c r="BI6" s="621">
        <f>ROUND(((BH6/BG6-1)*100),1)</f>
        <v>22.4</v>
      </c>
      <c r="BJ6" s="868">
        <v>184873</v>
      </c>
      <c r="BK6" s="316">
        <v>177381</v>
      </c>
      <c r="BL6" s="621">
        <f>ROUND(((BK6/BJ6-1)*100),1)</f>
        <v>-4.0999999999999996</v>
      </c>
      <c r="BM6" s="636">
        <f>BP6-BJ6</f>
        <v>23532</v>
      </c>
      <c r="BN6" s="636">
        <f>BQ6-BK6</f>
        <v>26087</v>
      </c>
      <c r="BO6" s="621">
        <f>ROUND(((BN6/BM6-1)*100),1)</f>
        <v>10.9</v>
      </c>
      <c r="BP6" s="868">
        <v>208405</v>
      </c>
      <c r="BQ6" s="316">
        <v>203468</v>
      </c>
      <c r="BR6" s="621">
        <f>ROUND(((BQ6/BP6-1)*100),1)</f>
        <v>-2.4</v>
      </c>
      <c r="BS6" s="636">
        <f>BV6-BP6</f>
        <v>20055</v>
      </c>
      <c r="BT6" s="636">
        <f>BW6-BQ6</f>
        <v>24884</v>
      </c>
      <c r="BU6" s="621">
        <f>ROUND(((BT6/BS6-1)*100),1)</f>
        <v>24.1</v>
      </c>
      <c r="BV6" s="868">
        <v>228460</v>
      </c>
      <c r="BW6" s="316">
        <v>228352</v>
      </c>
      <c r="BX6" s="621">
        <f>ROUND(((BW6/BV6-1)*100),1)</f>
        <v>0</v>
      </c>
    </row>
    <row r="7" spans="1:76" ht="22.5" customHeight="1">
      <c r="A7" s="1102"/>
      <c r="B7" s="1099"/>
      <c r="C7" s="1100"/>
      <c r="D7" s="366" t="s">
        <v>14</v>
      </c>
      <c r="E7" s="449">
        <v>1356529</v>
      </c>
      <c r="F7" s="449">
        <v>1352442</v>
      </c>
      <c r="G7" s="449">
        <v>1321518</v>
      </c>
      <c r="H7" s="449">
        <v>1324398</v>
      </c>
      <c r="I7" s="449">
        <v>1565691</v>
      </c>
      <c r="J7" s="449">
        <v>1242633</v>
      </c>
      <c r="K7" s="202">
        <v>1413589</v>
      </c>
      <c r="L7" s="180">
        <v>1510157</v>
      </c>
      <c r="M7" s="438">
        <v>1503008</v>
      </c>
      <c r="N7" s="309">
        <v>110820</v>
      </c>
      <c r="O7" s="309">
        <v>109683</v>
      </c>
      <c r="P7" s="193">
        <f t="shared" ref="P7:P70" si="0">ROUND(((O7/N7-1)*100),1)</f>
        <v>-1</v>
      </c>
      <c r="Q7" s="309">
        <f>T7-N7</f>
        <v>138907</v>
      </c>
      <c r="R7" s="309">
        <f>U7-O7</f>
        <v>108883</v>
      </c>
      <c r="S7" s="193">
        <f t="shared" ref="S7:S70" si="1">ROUND(((R7/Q7-1)*100),1)</f>
        <v>-21.6</v>
      </c>
      <c r="T7" s="309">
        <v>249727</v>
      </c>
      <c r="U7" s="309">
        <v>218566</v>
      </c>
      <c r="V7" s="193">
        <f t="shared" ref="V7:V70" si="2">ROUND(((U7/T7-1)*100),1)</f>
        <v>-12.5</v>
      </c>
      <c r="W7" s="309">
        <f>Z7-T7</f>
        <v>122763</v>
      </c>
      <c r="X7" s="309">
        <f>AA7-U7</f>
        <v>64419</v>
      </c>
      <c r="Y7" s="193">
        <f t="shared" ref="Y7:Y70" si="3">ROUND(((X7/W7-1)*100),1)</f>
        <v>-47.5</v>
      </c>
      <c r="Z7" s="309">
        <v>372490</v>
      </c>
      <c r="AA7" s="309">
        <v>282985</v>
      </c>
      <c r="AB7" s="193">
        <f t="shared" ref="AB7:AB70" si="4">ROUND(((AA7/Z7-1)*100),1)</f>
        <v>-24</v>
      </c>
      <c r="AC7" s="309">
        <f>AF7-Z7</f>
        <v>98780</v>
      </c>
      <c r="AD7" s="309">
        <f>AG7-AA7</f>
        <v>103122</v>
      </c>
      <c r="AE7" s="193">
        <f t="shared" ref="AE7:AE70" si="5">ROUND(((AD7/AC7-1)*100),1)</f>
        <v>4.4000000000000004</v>
      </c>
      <c r="AF7" s="309">
        <v>471270</v>
      </c>
      <c r="AG7" s="309">
        <v>386107</v>
      </c>
      <c r="AH7" s="193">
        <f t="shared" ref="AH7:AH70" si="6">ROUND(((AG7/AF7-1)*100),1)</f>
        <v>-18.100000000000001</v>
      </c>
      <c r="AI7" s="309">
        <f>AL7-AF7</f>
        <v>171123</v>
      </c>
      <c r="AJ7" s="309">
        <f>AM7-AG7</f>
        <v>101965</v>
      </c>
      <c r="AK7" s="193">
        <f t="shared" ref="AK7:AK70" si="7">ROUND(((AJ7/AI7-1)*100),1)</f>
        <v>-40.4</v>
      </c>
      <c r="AL7" s="309">
        <v>642393</v>
      </c>
      <c r="AM7" s="309">
        <v>488072</v>
      </c>
      <c r="AN7" s="193">
        <f t="shared" ref="AN7:AN70" si="8">ROUND(((AM7/AL7-1)*100),1)</f>
        <v>-24</v>
      </c>
      <c r="AO7" s="597">
        <f>AR7-AL7</f>
        <v>113173</v>
      </c>
      <c r="AP7" s="597">
        <f>AS7-AM7</f>
        <v>139675</v>
      </c>
      <c r="AQ7" s="587">
        <f t="shared" ref="AQ7:AQ70" si="9">ROUND(((AP7/AO7-1)*100),1)</f>
        <v>23.4</v>
      </c>
      <c r="AR7" s="868">
        <v>755566</v>
      </c>
      <c r="AS7" s="868">
        <v>627747</v>
      </c>
      <c r="AT7" s="587">
        <f t="shared" ref="AT7:AT70" si="10">ROUND(((AS7/AR7-1)*100),1)</f>
        <v>-16.899999999999999</v>
      </c>
      <c r="AU7" s="868">
        <f>AX7-AR7</f>
        <v>146783</v>
      </c>
      <c r="AV7" s="868">
        <f>AY7-AS7</f>
        <v>159060</v>
      </c>
      <c r="AW7" s="615">
        <f t="shared" ref="AW7:AW70" si="11">ROUND(((AV7/AU7-1)*100),1)</f>
        <v>8.4</v>
      </c>
      <c r="AX7" s="925">
        <v>902349</v>
      </c>
      <c r="AY7" s="925">
        <v>786807</v>
      </c>
      <c r="AZ7" s="615">
        <f t="shared" ref="AZ7:AZ70" si="12">ROUND(((AY7/AX7-1)*100),1)</f>
        <v>-12.8</v>
      </c>
      <c r="BA7" s="868">
        <f>BD7-AX7</f>
        <v>126796</v>
      </c>
      <c r="BB7" s="868">
        <f>BE7-AY7</f>
        <v>125899</v>
      </c>
      <c r="BC7" s="615">
        <f t="shared" ref="BC7:BC70" si="13">ROUND(((BB7/BA7-1)*100),1)</f>
        <v>-0.7</v>
      </c>
      <c r="BD7" s="868">
        <v>1029145</v>
      </c>
      <c r="BE7" s="868">
        <v>912706</v>
      </c>
      <c r="BF7" s="615">
        <f t="shared" ref="BF7:BF70" si="14">ROUND(((BE7/BD7-1)*100),1)</f>
        <v>-11.3</v>
      </c>
      <c r="BG7" s="868">
        <f>BJ7-BD7</f>
        <v>98524</v>
      </c>
      <c r="BH7" s="868">
        <f>BK7-BE7</f>
        <v>141172</v>
      </c>
      <c r="BI7" s="615">
        <f t="shared" ref="BI7:BI70" si="15">ROUND(((BH7/BG7-1)*100),1)</f>
        <v>43.3</v>
      </c>
      <c r="BJ7" s="868">
        <v>1127669</v>
      </c>
      <c r="BK7" s="868">
        <v>1053878</v>
      </c>
      <c r="BL7" s="615">
        <f t="shared" ref="BL7:BL70" si="16">ROUND(((BK7/BJ7-1)*100),1)</f>
        <v>-6.5</v>
      </c>
      <c r="BM7" s="868">
        <f>BP7-BJ7</f>
        <v>137859</v>
      </c>
      <c r="BN7" s="868">
        <f>BQ7-BK7</f>
        <v>177132</v>
      </c>
      <c r="BO7" s="615">
        <f t="shared" ref="BO7:BO70" si="17">ROUND(((BN7/BM7-1)*100),1)</f>
        <v>28.5</v>
      </c>
      <c r="BP7" s="868">
        <v>1265528</v>
      </c>
      <c r="BQ7" s="868">
        <v>1231010</v>
      </c>
      <c r="BR7" s="615">
        <f t="shared" ref="BR7:BR70" si="18">ROUND(((BQ7/BP7-1)*100),1)</f>
        <v>-2.7</v>
      </c>
      <c r="BS7" s="868">
        <f>BV7-BP7</f>
        <v>120855</v>
      </c>
      <c r="BT7" s="868">
        <f>BW7-BQ7</f>
        <v>176981</v>
      </c>
      <c r="BU7" s="615">
        <f t="shared" ref="BU7:BU70" si="19">ROUND(((BT7/BS7-1)*100),1)</f>
        <v>46.4</v>
      </c>
      <c r="BV7" s="868">
        <v>1386383</v>
      </c>
      <c r="BW7" s="868">
        <v>1407991</v>
      </c>
      <c r="BX7" s="615">
        <f t="shared" ref="BX7:BX70" si="20">ROUND(((BW7/BV7-1)*100),1)</f>
        <v>1.6</v>
      </c>
    </row>
    <row r="8" spans="1:76" ht="22.5" customHeight="1">
      <c r="A8" s="14"/>
      <c r="B8" s="1099"/>
      <c r="C8" s="1100"/>
      <c r="D8" s="369" t="s">
        <v>15</v>
      </c>
      <c r="E8" s="450">
        <f t="shared" ref="E8:L8" si="21">E7/E6*1000</f>
        <v>8682.1189933693458</v>
      </c>
      <c r="F8" s="450">
        <f t="shared" si="21"/>
        <v>8013.4263977437022</v>
      </c>
      <c r="G8" s="450">
        <f t="shared" si="21"/>
        <v>7482.2246505228704</v>
      </c>
      <c r="H8" s="450">
        <f t="shared" si="21"/>
        <v>6986.5112230633285</v>
      </c>
      <c r="I8" s="450">
        <f t="shared" si="21"/>
        <v>5589.0388953936663</v>
      </c>
      <c r="J8" s="450">
        <f t="shared" si="21"/>
        <v>4941.7905461833971</v>
      </c>
      <c r="K8" s="203">
        <f t="shared" si="21"/>
        <v>6370.7033697028701</v>
      </c>
      <c r="L8" s="181">
        <f t="shared" si="21"/>
        <v>6637.5567540007996</v>
      </c>
      <c r="M8" s="439">
        <f>M7/M6*1000</f>
        <v>6070.4785676493284</v>
      </c>
      <c r="N8" s="317">
        <f>N7/N6*1000</f>
        <v>6264.9103962914805</v>
      </c>
      <c r="O8" s="317">
        <f>O7/O6*1000</f>
        <v>6147.8056162771145</v>
      </c>
      <c r="P8" s="204">
        <f t="shared" si="0"/>
        <v>-1.9</v>
      </c>
      <c r="Q8" s="317">
        <f>Q7/Q6*1000</f>
        <v>6429.6889464913911</v>
      </c>
      <c r="R8" s="317">
        <f>R7/R6*1000</f>
        <v>5878.2594612103867</v>
      </c>
      <c r="S8" s="204">
        <f t="shared" si="1"/>
        <v>-8.6</v>
      </c>
      <c r="T8" s="317">
        <f>T7/T6*1000</f>
        <v>6355.5086147659886</v>
      </c>
      <c r="U8" s="317">
        <f>U7/U6*1000</f>
        <v>6010.5048949510501</v>
      </c>
      <c r="V8" s="204">
        <f t="shared" si="2"/>
        <v>-5.4</v>
      </c>
      <c r="W8" s="317">
        <f>W7/W6*1000</f>
        <v>6494.7095545444927</v>
      </c>
      <c r="X8" s="317">
        <f>X7/X6*1000</f>
        <v>5006.5283282816508</v>
      </c>
      <c r="Y8" s="204">
        <f t="shared" si="3"/>
        <v>-22.9</v>
      </c>
      <c r="Z8" s="317">
        <f>Z7/Z6*1000</f>
        <v>6400.721711487241</v>
      </c>
      <c r="AA8" s="317">
        <f>AA7/AA6*1000</f>
        <v>5748.1058682537423</v>
      </c>
      <c r="AB8" s="204">
        <f t="shared" si="4"/>
        <v>-10.199999999999999</v>
      </c>
      <c r="AC8" s="317">
        <f>AC7/AC6*1000</f>
        <v>6272.940877627485</v>
      </c>
      <c r="AD8" s="317">
        <f>AD7/AD6*1000</f>
        <v>5175.2484191508574</v>
      </c>
      <c r="AE8" s="204">
        <f t="shared" si="5"/>
        <v>-17.5</v>
      </c>
      <c r="AF8" s="317">
        <f>AF7/AF6*1000</f>
        <v>6373.5089664872467</v>
      </c>
      <c r="AG8" s="317">
        <f>AG7/AG6*1000</f>
        <v>5583.0501612273529</v>
      </c>
      <c r="AH8" s="204">
        <f t="shared" si="6"/>
        <v>-12.4</v>
      </c>
      <c r="AI8" s="317">
        <f>AI7/AI6*1000</f>
        <v>6030.1289731482129</v>
      </c>
      <c r="AJ8" s="317">
        <f>AJ7/AJ6*1000</f>
        <v>5328.9955053830872</v>
      </c>
      <c r="AK8" s="204">
        <f t="shared" si="7"/>
        <v>-11.6</v>
      </c>
      <c r="AL8" s="317">
        <f>AL7/AL6*1000</f>
        <v>6278.2740422204843</v>
      </c>
      <c r="AM8" s="317">
        <f>AM7/AM6*1000</f>
        <v>5527.9926606335866</v>
      </c>
      <c r="AN8" s="204">
        <f t="shared" si="8"/>
        <v>-12</v>
      </c>
      <c r="AO8" s="603">
        <f>AO7/AO6*1000</f>
        <v>5952.7140753208505</v>
      </c>
      <c r="AP8" s="603">
        <f>AP7/AP6*1000</f>
        <v>5754.8102673973053</v>
      </c>
      <c r="AQ8" s="594">
        <f t="shared" si="9"/>
        <v>-3.3</v>
      </c>
      <c r="AR8" s="631">
        <f>AR7/AR6*1000</f>
        <v>6227.2607391290021</v>
      </c>
      <c r="AS8" s="631">
        <f>AS7/AS6*1000</f>
        <v>5576.899841864928</v>
      </c>
      <c r="AT8" s="594">
        <f t="shared" si="10"/>
        <v>-10.4</v>
      </c>
      <c r="AU8" s="631">
        <f>AU7/AU6*1000</f>
        <v>5933.2632685233839</v>
      </c>
      <c r="AV8" s="631">
        <f>AV7/AV6*1000</f>
        <v>6409.3161945440625</v>
      </c>
      <c r="AW8" s="622">
        <f t="shared" si="11"/>
        <v>8</v>
      </c>
      <c r="AX8" s="927">
        <f>AX7/AX6*1000</f>
        <v>6177.4684913500969</v>
      </c>
      <c r="AY8" s="927">
        <f>AY7/AY6*1000</f>
        <v>5727.2727272727279</v>
      </c>
      <c r="AZ8" s="622">
        <f t="shared" si="12"/>
        <v>-7.3</v>
      </c>
      <c r="BA8" s="631">
        <f>BA7/BA6*1000</f>
        <v>5797.7137631458618</v>
      </c>
      <c r="BB8" s="631">
        <f>BB7/BB6*1000</f>
        <v>6528.3380865957997</v>
      </c>
      <c r="BC8" s="622">
        <f t="shared" si="13"/>
        <v>12.6</v>
      </c>
      <c r="BD8" s="631">
        <f>BD7/BD6*1000</f>
        <v>6128.0151958128154</v>
      </c>
      <c r="BE8" s="631">
        <f>BE7/BE6*1000</f>
        <v>5825.8821426747691</v>
      </c>
      <c r="BF8" s="622">
        <f t="shared" si="14"/>
        <v>-4.9000000000000004</v>
      </c>
      <c r="BG8" s="631">
        <f>BG7/BG6*1000</f>
        <v>5818.8046302858493</v>
      </c>
      <c r="BH8" s="631">
        <f>BH7/BH6*1000</f>
        <v>6814.3070907949996</v>
      </c>
      <c r="BI8" s="622">
        <f t="shared" si="15"/>
        <v>17.100000000000001</v>
      </c>
      <c r="BJ8" s="631">
        <f>BJ7/BJ6*1000</f>
        <v>6099.6954666176243</v>
      </c>
      <c r="BK8" s="631">
        <f>BK7/BK6*1000</f>
        <v>5941.3240425975728</v>
      </c>
      <c r="BL8" s="622">
        <f t="shared" si="16"/>
        <v>-2.6</v>
      </c>
      <c r="BM8" s="631">
        <f>BM7/BM6*1000</f>
        <v>5858.3630800611927</v>
      </c>
      <c r="BN8" s="631">
        <f>BN7/BN6*1000</f>
        <v>6790.0486832521947</v>
      </c>
      <c r="BO8" s="622">
        <f t="shared" si="17"/>
        <v>15.9</v>
      </c>
      <c r="BP8" s="631">
        <f>BP7/BP6*1000</f>
        <v>6072.4454787553086</v>
      </c>
      <c r="BQ8" s="631">
        <f>BQ7/BQ6*1000</f>
        <v>6050.1405626437572</v>
      </c>
      <c r="BR8" s="622">
        <f t="shared" si="18"/>
        <v>-0.4</v>
      </c>
      <c r="BS8" s="631">
        <f>BS7/BS6*1000</f>
        <v>6026.1780104712043</v>
      </c>
      <c r="BT8" s="631">
        <f>BT7/BT6*1000</f>
        <v>7112.2407972994697</v>
      </c>
      <c r="BU8" s="622">
        <f t="shared" si="19"/>
        <v>18</v>
      </c>
      <c r="BV8" s="631">
        <f>BV7/BV6*1000</f>
        <v>6068.3839621815632</v>
      </c>
      <c r="BW8" s="631">
        <f>BW7/BW6*1000</f>
        <v>6165.8798696748881</v>
      </c>
      <c r="BX8" s="622">
        <f t="shared" si="20"/>
        <v>1.6</v>
      </c>
    </row>
    <row r="9" spans="1:76" ht="22.5" customHeight="1">
      <c r="A9" s="14"/>
      <c r="B9" s="1099" t="s">
        <v>16</v>
      </c>
      <c r="C9" s="1103" t="s">
        <v>299</v>
      </c>
      <c r="D9" s="364" t="s">
        <v>13</v>
      </c>
      <c r="E9" s="451">
        <f>176063-E6</f>
        <v>19819</v>
      </c>
      <c r="F9" s="451">
        <f>191096-F6</f>
        <v>22324</v>
      </c>
      <c r="G9" s="451">
        <f>200499-G6</f>
        <v>23878</v>
      </c>
      <c r="H9" s="451">
        <f>210248-H6</f>
        <v>20683</v>
      </c>
      <c r="I9" s="451">
        <f>299552-I6</f>
        <v>19416</v>
      </c>
      <c r="J9" s="451">
        <f>268749-J6</f>
        <v>17295</v>
      </c>
      <c r="K9" s="205">
        <f>238175-K6</f>
        <v>16286</v>
      </c>
      <c r="L9" s="182">
        <f>243944-L6</f>
        <v>16427</v>
      </c>
      <c r="M9" s="312">
        <f>275234-M6</f>
        <v>27641</v>
      </c>
      <c r="N9" s="318">
        <f>20409-N6</f>
        <v>2720</v>
      </c>
      <c r="O9" s="318">
        <f>20029-O6</f>
        <v>2188</v>
      </c>
      <c r="P9" s="206">
        <f t="shared" si="0"/>
        <v>-19.600000000000001</v>
      </c>
      <c r="Q9" s="311">
        <f>T9-N9</f>
        <v>1573</v>
      </c>
      <c r="R9" s="311">
        <f>U9-O9</f>
        <v>2410</v>
      </c>
      <c r="S9" s="206">
        <f t="shared" si="1"/>
        <v>53.2</v>
      </c>
      <c r="T9" s="318">
        <f>43586-T6</f>
        <v>4293</v>
      </c>
      <c r="U9" s="318">
        <f>40962-U6</f>
        <v>4598</v>
      </c>
      <c r="V9" s="206">
        <f t="shared" si="2"/>
        <v>7.1</v>
      </c>
      <c r="W9" s="311">
        <f>Z9-T9</f>
        <v>1772</v>
      </c>
      <c r="X9" s="311">
        <f>AA9-U9</f>
        <v>2702</v>
      </c>
      <c r="Y9" s="206">
        <f t="shared" si="3"/>
        <v>52.5</v>
      </c>
      <c r="Z9" s="318">
        <f>64260-Z6</f>
        <v>6065</v>
      </c>
      <c r="AA9" s="318">
        <f>56531-AA6</f>
        <v>7300</v>
      </c>
      <c r="AB9" s="206">
        <f t="shared" si="4"/>
        <v>20.399999999999999</v>
      </c>
      <c r="AC9" s="311">
        <f>AF9-Z9</f>
        <v>2650</v>
      </c>
      <c r="AD9" s="311">
        <f>AG9-AA9</f>
        <v>2768</v>
      </c>
      <c r="AE9" s="206">
        <f t="shared" si="5"/>
        <v>4.5</v>
      </c>
      <c r="AF9" s="318">
        <f>82657-AF6</f>
        <v>8715</v>
      </c>
      <c r="AG9" s="318">
        <f>79225-AG6</f>
        <v>10068</v>
      </c>
      <c r="AH9" s="206">
        <f t="shared" si="6"/>
        <v>15.5</v>
      </c>
      <c r="AI9" s="311">
        <f>AL9-AF9</f>
        <v>2310</v>
      </c>
      <c r="AJ9" s="311">
        <f>AM9-AG9</f>
        <v>2300</v>
      </c>
      <c r="AK9" s="206">
        <f t="shared" si="7"/>
        <v>-0.4</v>
      </c>
      <c r="AL9" s="318">
        <f>113345-AL6</f>
        <v>11025</v>
      </c>
      <c r="AM9" s="318">
        <f>100659-AM6</f>
        <v>12368</v>
      </c>
      <c r="AN9" s="206">
        <f t="shared" si="8"/>
        <v>12.2</v>
      </c>
      <c r="AO9" s="599">
        <f>AR9-AL9</f>
        <v>2465</v>
      </c>
      <c r="AP9" s="599">
        <f>AS9-AM9</f>
        <v>2605</v>
      </c>
      <c r="AQ9" s="595">
        <f t="shared" si="9"/>
        <v>5.7</v>
      </c>
      <c r="AR9" s="612">
        <f>134822-AR6</f>
        <v>13490</v>
      </c>
      <c r="AS9" s="612">
        <f>127535-AS6</f>
        <v>14973</v>
      </c>
      <c r="AT9" s="595">
        <f t="shared" si="10"/>
        <v>11</v>
      </c>
      <c r="AU9" s="869">
        <f>AX9-AR9</f>
        <v>2535</v>
      </c>
      <c r="AV9" s="869">
        <f>AY9-AS9</f>
        <v>2723</v>
      </c>
      <c r="AW9" s="623">
        <f t="shared" si="11"/>
        <v>7.4</v>
      </c>
      <c r="AX9" s="928">
        <f>162096-AX6</f>
        <v>16025</v>
      </c>
      <c r="AY9" s="928">
        <f>155075-AY6</f>
        <v>17696</v>
      </c>
      <c r="AZ9" s="623">
        <f t="shared" si="12"/>
        <v>10.4</v>
      </c>
      <c r="BA9" s="869">
        <f>BD9-AX9</f>
        <v>2201</v>
      </c>
      <c r="BB9" s="869">
        <f>BE9-AY9</f>
        <v>3131</v>
      </c>
      <c r="BC9" s="623">
        <f t="shared" si="13"/>
        <v>42.3</v>
      </c>
      <c r="BD9" s="612">
        <f>186167-BD6</f>
        <v>18226</v>
      </c>
      <c r="BE9" s="612">
        <f>177491-BE6</f>
        <v>20827</v>
      </c>
      <c r="BF9" s="623">
        <f t="shared" si="14"/>
        <v>14.3</v>
      </c>
      <c r="BG9" s="869">
        <f>BJ9-BD9</f>
        <v>2341</v>
      </c>
      <c r="BH9" s="869">
        <f>BK9-BE9</f>
        <v>4083</v>
      </c>
      <c r="BI9" s="623">
        <f t="shared" si="15"/>
        <v>74.400000000000006</v>
      </c>
      <c r="BJ9" s="612">
        <f>205440-BJ6</f>
        <v>20567</v>
      </c>
      <c r="BK9" s="612">
        <f>202291-BK6</f>
        <v>24910</v>
      </c>
      <c r="BL9" s="623">
        <f t="shared" si="16"/>
        <v>21.1</v>
      </c>
      <c r="BM9" s="869">
        <f>BP9-BJ9</f>
        <v>2733</v>
      </c>
      <c r="BN9" s="869">
        <f>BQ9-BK9</f>
        <v>3206</v>
      </c>
      <c r="BO9" s="623">
        <f t="shared" si="17"/>
        <v>17.3</v>
      </c>
      <c r="BP9" s="612">
        <f>231705-BP6</f>
        <v>23300</v>
      </c>
      <c r="BQ9" s="612">
        <f>231584-BQ6</f>
        <v>28116</v>
      </c>
      <c r="BR9" s="623">
        <f t="shared" si="18"/>
        <v>20.7</v>
      </c>
      <c r="BS9" s="869">
        <f>BV9-BP9</f>
        <v>1770</v>
      </c>
      <c r="BT9" s="869">
        <f>BW9-BQ9</f>
        <v>3436</v>
      </c>
      <c r="BU9" s="623">
        <f t="shared" si="19"/>
        <v>94.1</v>
      </c>
      <c r="BV9" s="612">
        <f>253530-BV6</f>
        <v>25070</v>
      </c>
      <c r="BW9" s="612">
        <f>259904-BW6</f>
        <v>31552</v>
      </c>
      <c r="BX9" s="623">
        <f t="shared" si="20"/>
        <v>25.9</v>
      </c>
    </row>
    <row r="10" spans="1:76" ht="22.5" customHeight="1">
      <c r="A10" s="14"/>
      <c r="B10" s="1099"/>
      <c r="C10" s="1100"/>
      <c r="D10" s="366" t="s">
        <v>14</v>
      </c>
      <c r="E10" s="449">
        <f>1487793-E7</f>
        <v>131264</v>
      </c>
      <c r="F10" s="449">
        <f>1490195-F7</f>
        <v>137753</v>
      </c>
      <c r="G10" s="449">
        <f>1472264-G7</f>
        <v>150746</v>
      </c>
      <c r="H10" s="449">
        <f>1447788-H7</f>
        <v>123390</v>
      </c>
      <c r="I10" s="449">
        <f>1664834-I7</f>
        <v>99143</v>
      </c>
      <c r="J10" s="449">
        <f>1318095-J7</f>
        <v>75462</v>
      </c>
      <c r="K10" s="202">
        <f>1499091-K7</f>
        <v>85502</v>
      </c>
      <c r="L10" s="180">
        <f>1604338-L7</f>
        <v>94181</v>
      </c>
      <c r="M10" s="440">
        <f>1642853-M7</f>
        <v>139845</v>
      </c>
      <c r="N10" s="309">
        <f>124473-N7</f>
        <v>13653</v>
      </c>
      <c r="O10" s="309">
        <f>120395-O7</f>
        <v>10712</v>
      </c>
      <c r="P10" s="193">
        <f t="shared" si="0"/>
        <v>-21.5</v>
      </c>
      <c r="Q10" s="309">
        <f>T10-N10</f>
        <v>7500</v>
      </c>
      <c r="R10" s="309">
        <f>U10-O10</f>
        <v>10659</v>
      </c>
      <c r="S10" s="193">
        <f t="shared" si="1"/>
        <v>42.1</v>
      </c>
      <c r="T10" s="309">
        <f>270880-T7</f>
        <v>21153</v>
      </c>
      <c r="U10" s="309">
        <f>239937-U7</f>
        <v>21371</v>
      </c>
      <c r="V10" s="193">
        <f t="shared" si="2"/>
        <v>1</v>
      </c>
      <c r="W10" s="309">
        <f>Z10-T10</f>
        <v>9931</v>
      </c>
      <c r="X10" s="309">
        <f>AA10-U10</f>
        <v>11703</v>
      </c>
      <c r="Y10" s="193">
        <f t="shared" si="3"/>
        <v>17.8</v>
      </c>
      <c r="Z10" s="309">
        <f>403574-Z7</f>
        <v>31084</v>
      </c>
      <c r="AA10" s="309">
        <f>316059-AA7</f>
        <v>33074</v>
      </c>
      <c r="AB10" s="193">
        <f t="shared" si="4"/>
        <v>6.4</v>
      </c>
      <c r="AC10" s="309">
        <f>AF10-Z10</f>
        <v>15018</v>
      </c>
      <c r="AD10" s="309">
        <f>AG10-AA10</f>
        <v>9819</v>
      </c>
      <c r="AE10" s="193">
        <f t="shared" si="5"/>
        <v>-34.6</v>
      </c>
      <c r="AF10" s="309">
        <f>517372-AF7</f>
        <v>46102</v>
      </c>
      <c r="AG10" s="309">
        <f>429000-AG7</f>
        <v>42893</v>
      </c>
      <c r="AH10" s="193">
        <f t="shared" si="6"/>
        <v>-7</v>
      </c>
      <c r="AI10" s="309">
        <f>AL10-AF10</f>
        <v>12238</v>
      </c>
      <c r="AJ10" s="309">
        <f>AM10-AG10</f>
        <v>9602</v>
      </c>
      <c r="AK10" s="193">
        <f t="shared" si="7"/>
        <v>-21.5</v>
      </c>
      <c r="AL10" s="309">
        <f>700733-AL7</f>
        <v>58340</v>
      </c>
      <c r="AM10" s="309">
        <f>540567-AM7</f>
        <v>52495</v>
      </c>
      <c r="AN10" s="193">
        <f t="shared" si="8"/>
        <v>-10</v>
      </c>
      <c r="AO10" s="597">
        <f>AR10-AL10</f>
        <v>11757</v>
      </c>
      <c r="AP10" s="597">
        <f>AS10-AM10</f>
        <v>11227</v>
      </c>
      <c r="AQ10" s="587">
        <f t="shared" si="9"/>
        <v>-4.5</v>
      </c>
      <c r="AR10" s="868">
        <f>825663-AR7</f>
        <v>70097</v>
      </c>
      <c r="AS10" s="868">
        <f>691469-AS7</f>
        <v>63722</v>
      </c>
      <c r="AT10" s="587">
        <f t="shared" si="10"/>
        <v>-9.1</v>
      </c>
      <c r="AU10" s="868">
        <f>AX10-AR10</f>
        <v>12927</v>
      </c>
      <c r="AV10" s="868">
        <f>AY10-AS10</f>
        <v>12707</v>
      </c>
      <c r="AW10" s="615">
        <f t="shared" si="11"/>
        <v>-1.7</v>
      </c>
      <c r="AX10" s="925">
        <f>985373-AX7</f>
        <v>83024</v>
      </c>
      <c r="AY10" s="925">
        <f>863236-AY7</f>
        <v>76429</v>
      </c>
      <c r="AZ10" s="615">
        <f t="shared" si="12"/>
        <v>-7.9</v>
      </c>
      <c r="BA10" s="868">
        <f>BD10-AX10</f>
        <v>11132</v>
      </c>
      <c r="BB10" s="868">
        <f>BE10-AY10</f>
        <v>13628</v>
      </c>
      <c r="BC10" s="615">
        <f t="shared" si="13"/>
        <v>22.4</v>
      </c>
      <c r="BD10" s="868">
        <f>1123301-BD7</f>
        <v>94156</v>
      </c>
      <c r="BE10" s="868">
        <f>1002763-BE7</f>
        <v>90057</v>
      </c>
      <c r="BF10" s="615">
        <f t="shared" si="14"/>
        <v>-4.4000000000000004</v>
      </c>
      <c r="BG10" s="868">
        <f>BJ10-BD10</f>
        <v>11746</v>
      </c>
      <c r="BH10" s="868">
        <f>BK10-BE10</f>
        <v>21862</v>
      </c>
      <c r="BI10" s="615">
        <f t="shared" si="15"/>
        <v>86.1</v>
      </c>
      <c r="BJ10" s="868">
        <f>1233571-BJ7</f>
        <v>105902</v>
      </c>
      <c r="BK10" s="868">
        <f>1165797-BK7</f>
        <v>111919</v>
      </c>
      <c r="BL10" s="615">
        <f t="shared" si="16"/>
        <v>5.7</v>
      </c>
      <c r="BM10" s="868">
        <f>BP10-BJ10</f>
        <v>13124</v>
      </c>
      <c r="BN10" s="868">
        <f>BQ10-BK10</f>
        <v>15751</v>
      </c>
      <c r="BO10" s="615">
        <f t="shared" si="17"/>
        <v>20</v>
      </c>
      <c r="BP10" s="868">
        <f>1384554-BP7</f>
        <v>119026</v>
      </c>
      <c r="BQ10" s="868">
        <f>1358680-BQ7</f>
        <v>127670</v>
      </c>
      <c r="BR10" s="615">
        <f t="shared" si="18"/>
        <v>7.3</v>
      </c>
      <c r="BS10" s="868">
        <f>BV10-BP10</f>
        <v>8651</v>
      </c>
      <c r="BT10" s="868">
        <f>BW10-BQ10</f>
        <v>18130</v>
      </c>
      <c r="BU10" s="615">
        <f t="shared" si="19"/>
        <v>109.6</v>
      </c>
      <c r="BV10" s="868">
        <f>1514060-BV7</f>
        <v>127677</v>
      </c>
      <c r="BW10" s="868">
        <f>1553791-BW7</f>
        <v>145800</v>
      </c>
      <c r="BX10" s="615">
        <f t="shared" si="20"/>
        <v>14.2</v>
      </c>
    </row>
    <row r="11" spans="1:76" ht="22.5" customHeight="1">
      <c r="A11" s="14"/>
      <c r="B11" s="1099"/>
      <c r="C11" s="1100"/>
      <c r="D11" s="370" t="s">
        <v>15</v>
      </c>
      <c r="E11" s="450">
        <f t="shared" ref="E11:L11" si="22">E10/E9*1000</f>
        <v>6623.1394116756646</v>
      </c>
      <c r="F11" s="450">
        <f t="shared" si="22"/>
        <v>6170.6235441677118</v>
      </c>
      <c r="G11" s="450">
        <f t="shared" si="22"/>
        <v>6313.1753078147249</v>
      </c>
      <c r="H11" s="450">
        <f t="shared" si="22"/>
        <v>5965.768989024803</v>
      </c>
      <c r="I11" s="450">
        <f t="shared" si="22"/>
        <v>5106.2525751957146</v>
      </c>
      <c r="J11" s="450">
        <f t="shared" si="22"/>
        <v>4363.2263660017352</v>
      </c>
      <c r="K11" s="203">
        <f t="shared" si="22"/>
        <v>5250.0307012157682</v>
      </c>
      <c r="L11" s="181">
        <f t="shared" si="22"/>
        <v>5733.3049248188954</v>
      </c>
      <c r="M11" s="439">
        <f>M10/M9*1000</f>
        <v>5059.3321515140551</v>
      </c>
      <c r="N11" s="317">
        <f>N10/N9*1000</f>
        <v>5019.4852941176468</v>
      </c>
      <c r="O11" s="317">
        <f>O10/O9*1000</f>
        <v>4895.7952468007315</v>
      </c>
      <c r="P11" s="204">
        <f t="shared" si="0"/>
        <v>-2.5</v>
      </c>
      <c r="Q11" s="317">
        <f>Q10/Q9*1000</f>
        <v>4767.9593134138586</v>
      </c>
      <c r="R11" s="317">
        <f>R10/R9*1000</f>
        <v>4422.8215767634856</v>
      </c>
      <c r="S11" s="204">
        <f t="shared" si="1"/>
        <v>-7.2</v>
      </c>
      <c r="T11" s="317">
        <f>T10/T9*1000</f>
        <v>4927.32354996506</v>
      </c>
      <c r="U11" s="317">
        <f>U10/U9*1000</f>
        <v>4647.8903871248367</v>
      </c>
      <c r="V11" s="204">
        <f t="shared" si="2"/>
        <v>-5.7</v>
      </c>
      <c r="W11" s="317">
        <f>W10/W9*1000</f>
        <v>5604.4018058690745</v>
      </c>
      <c r="X11" s="317">
        <f>X10/X9*1000</f>
        <v>4331.2361213915619</v>
      </c>
      <c r="Y11" s="204">
        <f t="shared" si="3"/>
        <v>-22.7</v>
      </c>
      <c r="Z11" s="317">
        <f>Z10/Z9*1000</f>
        <v>5125.1442704039564</v>
      </c>
      <c r="AA11" s="317">
        <f>AA10/AA9*1000</f>
        <v>4530.6849315068494</v>
      </c>
      <c r="AB11" s="204">
        <f t="shared" si="4"/>
        <v>-11.6</v>
      </c>
      <c r="AC11" s="317">
        <f>AC10/AC9*1000</f>
        <v>5667.1698113207549</v>
      </c>
      <c r="AD11" s="317">
        <f>AD10/AD9*1000</f>
        <v>3547.3265895953755</v>
      </c>
      <c r="AE11" s="204">
        <f t="shared" si="5"/>
        <v>-37.4</v>
      </c>
      <c r="AF11" s="317">
        <f>AF10/AF9*1000</f>
        <v>5289.9598393574297</v>
      </c>
      <c r="AG11" s="317">
        <f>AG10/AG9*1000</f>
        <v>4260.3297576479936</v>
      </c>
      <c r="AH11" s="204">
        <f t="shared" si="6"/>
        <v>-19.5</v>
      </c>
      <c r="AI11" s="317">
        <f>AI10/AI9*1000</f>
        <v>5297.8354978354982</v>
      </c>
      <c r="AJ11" s="317">
        <f>AJ10/AJ9*1000</f>
        <v>4174.7826086956529</v>
      </c>
      <c r="AK11" s="204">
        <f t="shared" si="7"/>
        <v>-21.2</v>
      </c>
      <c r="AL11" s="317">
        <f>AL10/AL9*1000</f>
        <v>5291.6099773242622</v>
      </c>
      <c r="AM11" s="317">
        <f>AM10/AM9*1000</f>
        <v>4244.421086675291</v>
      </c>
      <c r="AN11" s="204">
        <f t="shared" si="8"/>
        <v>-19.8</v>
      </c>
      <c r="AO11" s="603">
        <f>AO10/AO9*1000</f>
        <v>4769.574036511156</v>
      </c>
      <c r="AP11" s="603">
        <f>AP10/AP9*1000</f>
        <v>4309.7888675623799</v>
      </c>
      <c r="AQ11" s="594">
        <f t="shared" si="9"/>
        <v>-9.6</v>
      </c>
      <c r="AR11" s="631">
        <f>AR10/AR9*1000</f>
        <v>5196.2194217939214</v>
      </c>
      <c r="AS11" s="631">
        <f>AS10/AS9*1000</f>
        <v>4255.7937621051224</v>
      </c>
      <c r="AT11" s="594">
        <f t="shared" si="10"/>
        <v>-18.100000000000001</v>
      </c>
      <c r="AU11" s="631">
        <f>AU10/AU9*1000</f>
        <v>5099.4082840236688</v>
      </c>
      <c r="AV11" s="631">
        <f>AV10/AV9*1000</f>
        <v>4666.5442526625047</v>
      </c>
      <c r="AW11" s="622">
        <f t="shared" si="11"/>
        <v>-8.5</v>
      </c>
      <c r="AX11" s="927">
        <f>AX10/AX9*1000</f>
        <v>5180.9048361934474</v>
      </c>
      <c r="AY11" s="927">
        <f>AY10/AY9*1000</f>
        <v>4318.9986437613015</v>
      </c>
      <c r="AZ11" s="622">
        <f t="shared" si="12"/>
        <v>-16.600000000000001</v>
      </c>
      <c r="BA11" s="631">
        <f>BA10/BA9*1000</f>
        <v>5057.7010449795553</v>
      </c>
      <c r="BB11" s="631">
        <f>BB10/BB9*1000</f>
        <v>4352.6030022357081</v>
      </c>
      <c r="BC11" s="622">
        <f t="shared" si="13"/>
        <v>-13.9</v>
      </c>
      <c r="BD11" s="631">
        <f>BD10/BD9*1000</f>
        <v>5166.0265554702073</v>
      </c>
      <c r="BE11" s="631">
        <f>BE10/BE9*1000</f>
        <v>4324.0505113554518</v>
      </c>
      <c r="BF11" s="622">
        <f t="shared" si="14"/>
        <v>-16.3</v>
      </c>
      <c r="BG11" s="631">
        <f>BG10/BG9*1000</f>
        <v>5017.5138829560019</v>
      </c>
      <c r="BH11" s="631">
        <f>BH10/BH9*1000</f>
        <v>5354.3962772471223</v>
      </c>
      <c r="BI11" s="622">
        <f t="shared" si="15"/>
        <v>6.7</v>
      </c>
      <c r="BJ11" s="631">
        <f>BJ10/BJ9*1000</f>
        <v>5149.1223805124719</v>
      </c>
      <c r="BK11" s="631">
        <f>BK10/BK9*1000</f>
        <v>4492.9345644319556</v>
      </c>
      <c r="BL11" s="622">
        <f t="shared" si="16"/>
        <v>-12.7</v>
      </c>
      <c r="BM11" s="631">
        <f>BM10/BM9*1000</f>
        <v>4802.0490303695569</v>
      </c>
      <c r="BN11" s="631">
        <f>BN10/BN9*1000</f>
        <v>4912.9756706175922</v>
      </c>
      <c r="BO11" s="622">
        <f t="shared" si="17"/>
        <v>2.2999999999999998</v>
      </c>
      <c r="BP11" s="631">
        <f>BP10/BP9*1000</f>
        <v>5108.4120171673821</v>
      </c>
      <c r="BQ11" s="631">
        <f>BQ10/BQ9*1000</f>
        <v>4540.8308436477455</v>
      </c>
      <c r="BR11" s="622">
        <f t="shared" si="18"/>
        <v>-11.1</v>
      </c>
      <c r="BS11" s="631">
        <f>BS10/BS9*1000</f>
        <v>4887.5706214689262</v>
      </c>
      <c r="BT11" s="631">
        <f>BT10/BT9*1000</f>
        <v>5276.4842840512229</v>
      </c>
      <c r="BU11" s="622">
        <f t="shared" si="19"/>
        <v>8</v>
      </c>
      <c r="BV11" s="631">
        <f>BV10/BV9*1000</f>
        <v>5092.8201037096132</v>
      </c>
      <c r="BW11" s="631">
        <f>BW10/BW9*1000</f>
        <v>4620.9432048681538</v>
      </c>
      <c r="BX11" s="622">
        <f t="shared" si="20"/>
        <v>-9.3000000000000007</v>
      </c>
    </row>
    <row r="12" spans="1:76" ht="22.5" customHeight="1">
      <c r="A12" s="14"/>
      <c r="B12" s="1099" t="s">
        <v>17</v>
      </c>
      <c r="C12" s="1100">
        <v>7404</v>
      </c>
      <c r="D12" s="364" t="s">
        <v>13</v>
      </c>
      <c r="E12" s="451">
        <v>84608</v>
      </c>
      <c r="F12" s="451">
        <v>119105</v>
      </c>
      <c r="G12" s="451">
        <v>95652</v>
      </c>
      <c r="H12" s="451">
        <v>85638</v>
      </c>
      <c r="I12" s="451">
        <v>71322</v>
      </c>
      <c r="J12" s="451">
        <v>82296</v>
      </c>
      <c r="K12" s="205">
        <v>96775</v>
      </c>
      <c r="L12" s="182">
        <v>77824</v>
      </c>
      <c r="M12" s="441">
        <v>78452</v>
      </c>
      <c r="N12" s="318">
        <v>5152</v>
      </c>
      <c r="O12" s="318">
        <v>5141</v>
      </c>
      <c r="P12" s="206">
        <f t="shared" si="0"/>
        <v>-0.2</v>
      </c>
      <c r="Q12" s="311">
        <f>T12-N12</f>
        <v>4603</v>
      </c>
      <c r="R12" s="311">
        <f>U12-O12</f>
        <v>3339</v>
      </c>
      <c r="S12" s="206">
        <f t="shared" si="1"/>
        <v>-27.5</v>
      </c>
      <c r="T12" s="318">
        <v>9755</v>
      </c>
      <c r="U12" s="318">
        <v>8480</v>
      </c>
      <c r="V12" s="206">
        <f t="shared" si="2"/>
        <v>-13.1</v>
      </c>
      <c r="W12" s="311">
        <f>Z12-T12</f>
        <v>7769</v>
      </c>
      <c r="X12" s="311">
        <f>AA12-U12</f>
        <v>3736</v>
      </c>
      <c r="Y12" s="206">
        <f t="shared" si="3"/>
        <v>-51.9</v>
      </c>
      <c r="Z12" s="318">
        <v>17524</v>
      </c>
      <c r="AA12" s="318">
        <v>12216</v>
      </c>
      <c r="AB12" s="206">
        <f t="shared" si="4"/>
        <v>-30.3</v>
      </c>
      <c r="AC12" s="311">
        <f>AF12-Z12</f>
        <v>9769</v>
      </c>
      <c r="AD12" s="311">
        <f>AG12-AA12</f>
        <v>1985</v>
      </c>
      <c r="AE12" s="206">
        <f t="shared" si="5"/>
        <v>-79.7</v>
      </c>
      <c r="AF12" s="318">
        <v>27293</v>
      </c>
      <c r="AG12" s="318">
        <v>14201</v>
      </c>
      <c r="AH12" s="206">
        <f t="shared" si="6"/>
        <v>-48</v>
      </c>
      <c r="AI12" s="311">
        <f>AL12-AF12</f>
        <v>11932</v>
      </c>
      <c r="AJ12" s="311">
        <f>AM12-AG12</f>
        <v>4048</v>
      </c>
      <c r="AK12" s="206">
        <f t="shared" si="7"/>
        <v>-66.099999999999994</v>
      </c>
      <c r="AL12" s="318">
        <v>39225</v>
      </c>
      <c r="AM12" s="318">
        <v>18249</v>
      </c>
      <c r="AN12" s="206">
        <f t="shared" si="8"/>
        <v>-53.5</v>
      </c>
      <c r="AO12" s="599">
        <f>AR12-AL12</f>
        <v>6394</v>
      </c>
      <c r="AP12" s="599">
        <f>AS12-AM12</f>
        <v>6879</v>
      </c>
      <c r="AQ12" s="595">
        <f t="shared" si="9"/>
        <v>7.6</v>
      </c>
      <c r="AR12" s="612">
        <v>45619</v>
      </c>
      <c r="AS12" s="612">
        <v>25128</v>
      </c>
      <c r="AT12" s="595">
        <f t="shared" si="10"/>
        <v>-44.9</v>
      </c>
      <c r="AU12" s="869">
        <f>AX12-AR12</f>
        <v>5701</v>
      </c>
      <c r="AV12" s="869">
        <f>AY12-AS12</f>
        <v>7001</v>
      </c>
      <c r="AW12" s="623">
        <f t="shared" si="11"/>
        <v>22.8</v>
      </c>
      <c r="AX12" s="928">
        <v>51320</v>
      </c>
      <c r="AY12" s="928">
        <v>32129</v>
      </c>
      <c r="AZ12" s="623">
        <f t="shared" si="12"/>
        <v>-37.4</v>
      </c>
      <c r="BA12" s="869">
        <f>BD12-AX12</f>
        <v>5732</v>
      </c>
      <c r="BB12" s="869">
        <f>BE12-AY12</f>
        <v>6220</v>
      </c>
      <c r="BC12" s="623">
        <f t="shared" si="13"/>
        <v>8.5</v>
      </c>
      <c r="BD12" s="612">
        <v>57052</v>
      </c>
      <c r="BE12" s="612">
        <v>38349</v>
      </c>
      <c r="BF12" s="623">
        <f t="shared" si="14"/>
        <v>-32.799999999999997</v>
      </c>
      <c r="BG12" s="869">
        <f>BJ12-BD12</f>
        <v>6581</v>
      </c>
      <c r="BH12" s="869">
        <f>BK12-BE12</f>
        <v>5953</v>
      </c>
      <c r="BI12" s="623">
        <f t="shared" si="15"/>
        <v>-9.5</v>
      </c>
      <c r="BJ12" s="612">
        <v>63633</v>
      </c>
      <c r="BK12" s="612">
        <v>44302</v>
      </c>
      <c r="BL12" s="623">
        <f t="shared" si="16"/>
        <v>-30.4</v>
      </c>
      <c r="BM12" s="869">
        <f>BP12-BJ12</f>
        <v>6134</v>
      </c>
      <c r="BN12" s="869">
        <f>BQ12-BK12</f>
        <v>5772</v>
      </c>
      <c r="BO12" s="623">
        <f t="shared" si="17"/>
        <v>-5.9</v>
      </c>
      <c r="BP12" s="612">
        <v>69767</v>
      </c>
      <c r="BQ12" s="612">
        <v>50074</v>
      </c>
      <c r="BR12" s="623">
        <f t="shared" si="18"/>
        <v>-28.2</v>
      </c>
      <c r="BS12" s="869">
        <f>BV12-BP12</f>
        <v>4491</v>
      </c>
      <c r="BT12" s="869">
        <f>BW12-BQ12</f>
        <v>7761</v>
      </c>
      <c r="BU12" s="623">
        <f t="shared" si="19"/>
        <v>72.8</v>
      </c>
      <c r="BV12" s="612">
        <v>74258</v>
      </c>
      <c r="BW12" s="612">
        <v>57835</v>
      </c>
      <c r="BX12" s="623">
        <f t="shared" si="20"/>
        <v>-22.1</v>
      </c>
    </row>
    <row r="13" spans="1:76" ht="22.5" customHeight="1">
      <c r="A13" s="14"/>
      <c r="B13" s="1099"/>
      <c r="C13" s="1100"/>
      <c r="D13" s="366" t="s">
        <v>14</v>
      </c>
      <c r="E13" s="449">
        <v>197789</v>
      </c>
      <c r="F13" s="449">
        <v>315155</v>
      </c>
      <c r="G13" s="449">
        <v>211276</v>
      </c>
      <c r="H13" s="449">
        <v>189623</v>
      </c>
      <c r="I13" s="449">
        <v>158575</v>
      </c>
      <c r="J13" s="449">
        <v>122410</v>
      </c>
      <c r="K13" s="202">
        <v>116910</v>
      </c>
      <c r="L13" s="180">
        <v>105269</v>
      </c>
      <c r="M13" s="438">
        <v>119834</v>
      </c>
      <c r="N13" s="309">
        <v>5529</v>
      </c>
      <c r="O13" s="309">
        <v>4551</v>
      </c>
      <c r="P13" s="193">
        <f t="shared" si="0"/>
        <v>-17.7</v>
      </c>
      <c r="Q13" s="309">
        <f>T13-N13</f>
        <v>5325</v>
      </c>
      <c r="R13" s="309">
        <f>U13-O13</f>
        <v>4311</v>
      </c>
      <c r="S13" s="193">
        <f t="shared" si="1"/>
        <v>-19</v>
      </c>
      <c r="T13" s="309">
        <v>10854</v>
      </c>
      <c r="U13" s="309">
        <v>8862</v>
      </c>
      <c r="V13" s="193">
        <f t="shared" si="2"/>
        <v>-18.399999999999999</v>
      </c>
      <c r="W13" s="309">
        <f>Z13-T13</f>
        <v>12796</v>
      </c>
      <c r="X13" s="309">
        <f>AA13-U13</f>
        <v>4936</v>
      </c>
      <c r="Y13" s="193">
        <f t="shared" si="3"/>
        <v>-61.4</v>
      </c>
      <c r="Z13" s="309">
        <v>23650</v>
      </c>
      <c r="AA13" s="309">
        <v>13798</v>
      </c>
      <c r="AB13" s="193">
        <f t="shared" si="4"/>
        <v>-41.7</v>
      </c>
      <c r="AC13" s="309">
        <f>AF13-Z13</f>
        <v>15966</v>
      </c>
      <c r="AD13" s="309">
        <f>AG13-AA13</f>
        <v>3680</v>
      </c>
      <c r="AE13" s="193">
        <f t="shared" si="5"/>
        <v>-77</v>
      </c>
      <c r="AF13" s="309">
        <v>39616</v>
      </c>
      <c r="AG13" s="309">
        <v>17478</v>
      </c>
      <c r="AH13" s="193">
        <f t="shared" si="6"/>
        <v>-55.9</v>
      </c>
      <c r="AI13" s="309">
        <f>AL13-AF13</f>
        <v>27280</v>
      </c>
      <c r="AJ13" s="309">
        <f>AM13-AG13</f>
        <v>5312</v>
      </c>
      <c r="AK13" s="193">
        <f t="shared" si="7"/>
        <v>-80.5</v>
      </c>
      <c r="AL13" s="309">
        <v>66896</v>
      </c>
      <c r="AM13" s="309">
        <v>22790</v>
      </c>
      <c r="AN13" s="193">
        <f t="shared" si="8"/>
        <v>-65.900000000000006</v>
      </c>
      <c r="AO13" s="597">
        <f>AR13-AL13</f>
        <v>15940</v>
      </c>
      <c r="AP13" s="597">
        <f>AS13-AM13</f>
        <v>6395</v>
      </c>
      <c r="AQ13" s="587">
        <f t="shared" si="9"/>
        <v>-59.9</v>
      </c>
      <c r="AR13" s="868">
        <v>82836</v>
      </c>
      <c r="AS13" s="868">
        <v>29185</v>
      </c>
      <c r="AT13" s="587">
        <f t="shared" si="10"/>
        <v>-64.8</v>
      </c>
      <c r="AU13" s="868">
        <f>AX13-AR13</f>
        <v>8371</v>
      </c>
      <c r="AV13" s="868">
        <f>AY13-AS13</f>
        <v>9171</v>
      </c>
      <c r="AW13" s="615">
        <f t="shared" si="11"/>
        <v>9.6</v>
      </c>
      <c r="AX13" s="925">
        <v>91207</v>
      </c>
      <c r="AY13" s="925">
        <v>38356</v>
      </c>
      <c r="AZ13" s="615">
        <f t="shared" si="12"/>
        <v>-57.9</v>
      </c>
      <c r="BA13" s="868">
        <f>BD13-AX13</f>
        <v>4630</v>
      </c>
      <c r="BB13" s="868">
        <f>BE13-AY13</f>
        <v>7159</v>
      </c>
      <c r="BC13" s="615">
        <f t="shared" si="13"/>
        <v>54.6</v>
      </c>
      <c r="BD13" s="868">
        <v>95837</v>
      </c>
      <c r="BE13" s="868">
        <v>45515</v>
      </c>
      <c r="BF13" s="615">
        <f t="shared" si="14"/>
        <v>-52.5</v>
      </c>
      <c r="BG13" s="868">
        <f>BJ13-BD13</f>
        <v>8889</v>
      </c>
      <c r="BH13" s="868">
        <f>BK13-BE13</f>
        <v>8024</v>
      </c>
      <c r="BI13" s="615">
        <f t="shared" si="15"/>
        <v>-9.6999999999999993</v>
      </c>
      <c r="BJ13" s="868">
        <v>104726</v>
      </c>
      <c r="BK13" s="868">
        <v>53539</v>
      </c>
      <c r="BL13" s="615">
        <f t="shared" si="16"/>
        <v>-48.9</v>
      </c>
      <c r="BM13" s="868">
        <f>BP13-BJ13</f>
        <v>6526</v>
      </c>
      <c r="BN13" s="868">
        <f>BQ13-BK13</f>
        <v>8307</v>
      </c>
      <c r="BO13" s="615">
        <f t="shared" si="17"/>
        <v>27.3</v>
      </c>
      <c r="BP13" s="868">
        <v>111252</v>
      </c>
      <c r="BQ13" s="868">
        <v>61846</v>
      </c>
      <c r="BR13" s="615">
        <f t="shared" si="18"/>
        <v>-44.4</v>
      </c>
      <c r="BS13" s="868">
        <f>BV13-BP13</f>
        <v>4367</v>
      </c>
      <c r="BT13" s="868">
        <f>BW13-BQ13</f>
        <v>13311</v>
      </c>
      <c r="BU13" s="615">
        <f t="shared" si="19"/>
        <v>204.8</v>
      </c>
      <c r="BV13" s="868">
        <v>115619</v>
      </c>
      <c r="BW13" s="868">
        <v>75157</v>
      </c>
      <c r="BX13" s="615">
        <f t="shared" si="20"/>
        <v>-35</v>
      </c>
    </row>
    <row r="14" spans="1:76" ht="22.5" customHeight="1">
      <c r="A14" s="14"/>
      <c r="B14" s="1099"/>
      <c r="C14" s="1100"/>
      <c r="D14" s="370" t="s">
        <v>15</v>
      </c>
      <c r="E14" s="450">
        <f t="shared" ref="E14:L14" si="23">E13/E12*1000</f>
        <v>2337.7103819969743</v>
      </c>
      <c r="F14" s="450">
        <f t="shared" si="23"/>
        <v>2646.0266151714877</v>
      </c>
      <c r="G14" s="450">
        <f t="shared" si="23"/>
        <v>2208.7985614519303</v>
      </c>
      <c r="H14" s="450">
        <f t="shared" si="23"/>
        <v>2214.2390060487169</v>
      </c>
      <c r="I14" s="450">
        <f t="shared" si="23"/>
        <v>2223.3672639578249</v>
      </c>
      <c r="J14" s="450">
        <f t="shared" si="23"/>
        <v>1487.4355983279868</v>
      </c>
      <c r="K14" s="203">
        <f t="shared" si="23"/>
        <v>1208.0599328338931</v>
      </c>
      <c r="L14" s="181">
        <f t="shared" si="23"/>
        <v>1352.6547080592106</v>
      </c>
      <c r="M14" s="439">
        <f>M13/M12*1000</f>
        <v>1527.4817722938867</v>
      </c>
      <c r="N14" s="317">
        <f>N13/N12*1000</f>
        <v>1073.1754658385094</v>
      </c>
      <c r="O14" s="317">
        <f>O13/O12*1000</f>
        <v>885.2363353433185</v>
      </c>
      <c r="P14" s="204">
        <f t="shared" si="0"/>
        <v>-17.5</v>
      </c>
      <c r="Q14" s="317">
        <f>Q13/Q12*1000</f>
        <v>1156.8542255051052</v>
      </c>
      <c r="R14" s="317">
        <f>R13/R12*1000</f>
        <v>1291.1051212938005</v>
      </c>
      <c r="S14" s="204">
        <f t="shared" si="1"/>
        <v>11.6</v>
      </c>
      <c r="T14" s="317">
        <f>T13/T12*1000</f>
        <v>1112.6601742696055</v>
      </c>
      <c r="U14" s="317">
        <f>U13/U12*1000</f>
        <v>1045.0471698113208</v>
      </c>
      <c r="V14" s="204">
        <f t="shared" si="2"/>
        <v>-6.1</v>
      </c>
      <c r="W14" s="317">
        <f>W13/W12*1000</f>
        <v>1647.0588235294117</v>
      </c>
      <c r="X14" s="317">
        <f>X13/X12*1000</f>
        <v>1321.1991434689508</v>
      </c>
      <c r="Y14" s="204">
        <f t="shared" si="3"/>
        <v>-19.8</v>
      </c>
      <c r="Z14" s="317">
        <f>Z13/Z12*1000</f>
        <v>1349.5777219812828</v>
      </c>
      <c r="AA14" s="317">
        <f>AA13/AA12*1000</f>
        <v>1129.5022920759659</v>
      </c>
      <c r="AB14" s="204">
        <f t="shared" si="4"/>
        <v>-16.3</v>
      </c>
      <c r="AC14" s="317">
        <f>AC13/AC12*1000</f>
        <v>1634.353567407104</v>
      </c>
      <c r="AD14" s="317">
        <f>AD13/AD12*1000</f>
        <v>1853.9042821158691</v>
      </c>
      <c r="AE14" s="204">
        <f t="shared" si="5"/>
        <v>13.4</v>
      </c>
      <c r="AF14" s="317">
        <f>AF13/AF12*1000</f>
        <v>1451.5077126003005</v>
      </c>
      <c r="AG14" s="317">
        <f>AG13/AG12*1000</f>
        <v>1230.7583972959651</v>
      </c>
      <c r="AH14" s="204">
        <f t="shared" si="6"/>
        <v>-15.2</v>
      </c>
      <c r="AI14" s="317">
        <f>AI13/AI12*1000</f>
        <v>2286.2889708347302</v>
      </c>
      <c r="AJ14" s="317">
        <f>AJ13/AJ12*1000</f>
        <v>1312.2529644268775</v>
      </c>
      <c r="AK14" s="204">
        <f t="shared" si="7"/>
        <v>-42.6</v>
      </c>
      <c r="AL14" s="317">
        <f>AL13/AL12*1000</f>
        <v>1705.4429572976417</v>
      </c>
      <c r="AM14" s="317">
        <f>AM13/AM12*1000</f>
        <v>1248.8355526330211</v>
      </c>
      <c r="AN14" s="204">
        <f t="shared" si="8"/>
        <v>-26.8</v>
      </c>
      <c r="AO14" s="603">
        <f>AO13/AO12*1000</f>
        <v>2492.9621520175165</v>
      </c>
      <c r="AP14" s="603">
        <f>AP13/AP12*1000</f>
        <v>929.64093618258471</v>
      </c>
      <c r="AQ14" s="594">
        <f t="shared" si="9"/>
        <v>-62.7</v>
      </c>
      <c r="AR14" s="631">
        <f>AR13/AR12*1000</f>
        <v>1815.8223547206208</v>
      </c>
      <c r="AS14" s="631">
        <f>AS13/AS12*1000</f>
        <v>1161.453358802929</v>
      </c>
      <c r="AT14" s="594">
        <f t="shared" si="10"/>
        <v>-36</v>
      </c>
      <c r="AU14" s="631">
        <f>AU13/AU12*1000</f>
        <v>1468.3388879144011</v>
      </c>
      <c r="AV14" s="631">
        <f>AV13/AV12*1000</f>
        <v>1309.9557206113413</v>
      </c>
      <c r="AW14" s="622">
        <f t="shared" si="11"/>
        <v>-10.8</v>
      </c>
      <c r="AX14" s="927">
        <f>AX13/AX12*1000</f>
        <v>1777.2213561964147</v>
      </c>
      <c r="AY14" s="927">
        <f>AY13/AY12*1000</f>
        <v>1193.8124435867908</v>
      </c>
      <c r="AZ14" s="622">
        <f t="shared" si="12"/>
        <v>-32.799999999999997</v>
      </c>
      <c r="BA14" s="631">
        <f>BA13/BA12*1000</f>
        <v>807.74598743893932</v>
      </c>
      <c r="BB14" s="631">
        <f>BB13/BB12*1000</f>
        <v>1150.9646302250806</v>
      </c>
      <c r="BC14" s="622">
        <f t="shared" si="13"/>
        <v>42.5</v>
      </c>
      <c r="BD14" s="631">
        <f>BD13/BD12*1000</f>
        <v>1679.8184112739257</v>
      </c>
      <c r="BE14" s="631">
        <f>BE13/BE12*1000</f>
        <v>1186.8627604370388</v>
      </c>
      <c r="BF14" s="622">
        <f t="shared" si="14"/>
        <v>-29.3</v>
      </c>
      <c r="BG14" s="631">
        <f>BG13/BG12*1000</f>
        <v>1350.7065795471813</v>
      </c>
      <c r="BH14" s="631">
        <f>BH13/BH12*1000</f>
        <v>1347.8918192507979</v>
      </c>
      <c r="BI14" s="622">
        <f t="shared" si="15"/>
        <v>-0.2</v>
      </c>
      <c r="BJ14" s="631">
        <f>BJ13/BJ12*1000</f>
        <v>1645.7812770103565</v>
      </c>
      <c r="BK14" s="631">
        <f>BK13/BK12*1000</f>
        <v>1208.5007448873639</v>
      </c>
      <c r="BL14" s="622">
        <f t="shared" si="16"/>
        <v>-26.6</v>
      </c>
      <c r="BM14" s="631">
        <f>BM13/BM12*1000</f>
        <v>1063.9060971633519</v>
      </c>
      <c r="BN14" s="631">
        <f>BN13/BN12*1000</f>
        <v>1439.1891891891892</v>
      </c>
      <c r="BO14" s="622">
        <f t="shared" si="17"/>
        <v>35.299999999999997</v>
      </c>
      <c r="BP14" s="631">
        <f>BP13/BP12*1000</f>
        <v>1594.6220992732954</v>
      </c>
      <c r="BQ14" s="631">
        <f>BQ13/BQ12*1000</f>
        <v>1235.0920637456563</v>
      </c>
      <c r="BR14" s="622">
        <f t="shared" si="18"/>
        <v>-22.5</v>
      </c>
      <c r="BS14" s="631">
        <f>BS13/BS12*1000</f>
        <v>972.38922289022491</v>
      </c>
      <c r="BT14" s="631">
        <f>BT13/BT12*1000</f>
        <v>1715.1140316969463</v>
      </c>
      <c r="BU14" s="622">
        <f t="shared" si="19"/>
        <v>76.400000000000006</v>
      </c>
      <c r="BV14" s="631">
        <f>BV13/BV12*1000</f>
        <v>1556.9904926068573</v>
      </c>
      <c r="BW14" s="631">
        <f>BW13/BW12*1000</f>
        <v>1299.507218812138</v>
      </c>
      <c r="BX14" s="622">
        <f t="shared" si="20"/>
        <v>-16.5</v>
      </c>
    </row>
    <row r="15" spans="1:76" ht="22.5" customHeight="1">
      <c r="A15" s="14" t="s">
        <v>18</v>
      </c>
      <c r="B15" s="1099" t="s">
        <v>19</v>
      </c>
      <c r="C15" s="1100">
        <v>7407</v>
      </c>
      <c r="D15" s="364" t="s">
        <v>13</v>
      </c>
      <c r="E15" s="451">
        <v>59728</v>
      </c>
      <c r="F15" s="451">
        <v>63116</v>
      </c>
      <c r="G15" s="451">
        <v>66286</v>
      </c>
      <c r="H15" s="451">
        <v>66368</v>
      </c>
      <c r="I15" s="451">
        <v>62305</v>
      </c>
      <c r="J15" s="451">
        <v>40345</v>
      </c>
      <c r="K15" s="205">
        <v>52182</v>
      </c>
      <c r="L15" s="182">
        <v>54931</v>
      </c>
      <c r="M15" s="441">
        <v>49199</v>
      </c>
      <c r="N15" s="318">
        <v>4313</v>
      </c>
      <c r="O15" s="318">
        <v>3969</v>
      </c>
      <c r="P15" s="206">
        <f t="shared" si="0"/>
        <v>-8</v>
      </c>
      <c r="Q15" s="311">
        <f>T15-N15</f>
        <v>3285</v>
      </c>
      <c r="R15" s="311">
        <f>U15-O15</f>
        <v>4325</v>
      </c>
      <c r="S15" s="206">
        <f t="shared" si="1"/>
        <v>31.7</v>
      </c>
      <c r="T15" s="318">
        <v>7598</v>
      </c>
      <c r="U15" s="318">
        <v>8294</v>
      </c>
      <c r="V15" s="206">
        <f t="shared" si="2"/>
        <v>9.1999999999999993</v>
      </c>
      <c r="W15" s="311">
        <f>Z15-T15</f>
        <v>4521</v>
      </c>
      <c r="X15" s="311">
        <f>AA15-U15</f>
        <v>4534</v>
      </c>
      <c r="Y15" s="206">
        <f t="shared" si="3"/>
        <v>0.3</v>
      </c>
      <c r="Z15" s="318">
        <v>12119</v>
      </c>
      <c r="AA15" s="318">
        <v>12828</v>
      </c>
      <c r="AB15" s="206">
        <f t="shared" si="4"/>
        <v>5.9</v>
      </c>
      <c r="AC15" s="311">
        <f>AF15-Z15</f>
        <v>4066</v>
      </c>
      <c r="AD15" s="311">
        <f>AG15-AA15</f>
        <v>4504</v>
      </c>
      <c r="AE15" s="206">
        <f t="shared" si="5"/>
        <v>10.8</v>
      </c>
      <c r="AF15" s="318">
        <v>16185</v>
      </c>
      <c r="AG15" s="318">
        <v>17332</v>
      </c>
      <c r="AH15" s="206">
        <f t="shared" si="6"/>
        <v>7.1</v>
      </c>
      <c r="AI15" s="311">
        <f>AL15-AF15</f>
        <v>4095</v>
      </c>
      <c r="AJ15" s="311">
        <f>AM15-AG15</f>
        <v>3765</v>
      </c>
      <c r="AK15" s="206">
        <f t="shared" si="7"/>
        <v>-8.1</v>
      </c>
      <c r="AL15" s="318">
        <v>20280</v>
      </c>
      <c r="AM15" s="318">
        <v>21097</v>
      </c>
      <c r="AN15" s="206">
        <f t="shared" si="8"/>
        <v>4</v>
      </c>
      <c r="AO15" s="599">
        <f>AR15-AL15</f>
        <v>4198</v>
      </c>
      <c r="AP15" s="599">
        <f>AS15-AM15</f>
        <v>3613</v>
      </c>
      <c r="AQ15" s="595">
        <f t="shared" si="9"/>
        <v>-13.9</v>
      </c>
      <c r="AR15" s="612">
        <v>24478</v>
      </c>
      <c r="AS15" s="612">
        <v>24710</v>
      </c>
      <c r="AT15" s="595">
        <f t="shared" si="10"/>
        <v>0.9</v>
      </c>
      <c r="AU15" s="869">
        <f>AX15-AR15</f>
        <v>4500</v>
      </c>
      <c r="AV15" s="869">
        <f>AY15-AS15</f>
        <v>4105</v>
      </c>
      <c r="AW15" s="623">
        <f t="shared" si="11"/>
        <v>-8.8000000000000007</v>
      </c>
      <c r="AX15" s="928">
        <v>28978</v>
      </c>
      <c r="AY15" s="928">
        <v>28815</v>
      </c>
      <c r="AZ15" s="623">
        <f t="shared" si="12"/>
        <v>-0.6</v>
      </c>
      <c r="BA15" s="869">
        <f>BD15-AX15</f>
        <v>3320</v>
      </c>
      <c r="BB15" s="869">
        <f>BE15-AY15</f>
        <v>3611</v>
      </c>
      <c r="BC15" s="623">
        <f t="shared" si="13"/>
        <v>8.8000000000000007</v>
      </c>
      <c r="BD15" s="612">
        <v>32298</v>
      </c>
      <c r="BE15" s="612">
        <v>32426</v>
      </c>
      <c r="BF15" s="623">
        <f t="shared" si="14"/>
        <v>0.4</v>
      </c>
      <c r="BG15" s="869">
        <f>BJ15-BD15</f>
        <v>3514</v>
      </c>
      <c r="BH15" s="869">
        <f>BK15-BE15</f>
        <v>4926</v>
      </c>
      <c r="BI15" s="623">
        <f t="shared" si="15"/>
        <v>40.200000000000003</v>
      </c>
      <c r="BJ15" s="612">
        <v>35812</v>
      </c>
      <c r="BK15" s="612">
        <v>37352</v>
      </c>
      <c r="BL15" s="623">
        <f t="shared" si="16"/>
        <v>4.3</v>
      </c>
      <c r="BM15" s="869">
        <f>BP15-BJ15</f>
        <v>4314</v>
      </c>
      <c r="BN15" s="869">
        <f>BQ15-BK15</f>
        <v>4786</v>
      </c>
      <c r="BO15" s="623">
        <f t="shared" si="17"/>
        <v>10.9</v>
      </c>
      <c r="BP15" s="612">
        <v>40126</v>
      </c>
      <c r="BQ15" s="612">
        <v>42138</v>
      </c>
      <c r="BR15" s="623">
        <f t="shared" si="18"/>
        <v>5</v>
      </c>
      <c r="BS15" s="869">
        <f>BV15-BP15</f>
        <v>4657</v>
      </c>
      <c r="BT15" s="869">
        <f>BW15-BQ15</f>
        <v>4874</v>
      </c>
      <c r="BU15" s="623">
        <f t="shared" si="19"/>
        <v>4.7</v>
      </c>
      <c r="BV15" s="612">
        <v>44783</v>
      </c>
      <c r="BW15" s="612">
        <v>47012</v>
      </c>
      <c r="BX15" s="623">
        <f t="shared" si="20"/>
        <v>5</v>
      </c>
    </row>
    <row r="16" spans="1:76" ht="22.5" customHeight="1">
      <c r="A16" s="14" t="s">
        <v>18</v>
      </c>
      <c r="B16" s="1099"/>
      <c r="C16" s="1100"/>
      <c r="D16" s="366" t="s">
        <v>14</v>
      </c>
      <c r="E16" s="449">
        <v>418053</v>
      </c>
      <c r="F16" s="449">
        <v>398679</v>
      </c>
      <c r="G16" s="449">
        <v>401589</v>
      </c>
      <c r="H16" s="449">
        <v>396189</v>
      </c>
      <c r="I16" s="449">
        <v>318069</v>
      </c>
      <c r="J16" s="449">
        <v>184532</v>
      </c>
      <c r="K16" s="202">
        <v>286211</v>
      </c>
      <c r="L16" s="180">
        <v>328150</v>
      </c>
      <c r="M16" s="438">
        <v>275844</v>
      </c>
      <c r="N16" s="309">
        <v>24327</v>
      </c>
      <c r="O16" s="309">
        <v>20908</v>
      </c>
      <c r="P16" s="193">
        <f t="shared" si="0"/>
        <v>-14.1</v>
      </c>
      <c r="Q16" s="309">
        <f>T16-N16</f>
        <v>17961</v>
      </c>
      <c r="R16" s="309">
        <f>U16-O16</f>
        <v>23284</v>
      </c>
      <c r="S16" s="193">
        <f t="shared" si="1"/>
        <v>29.6</v>
      </c>
      <c r="T16" s="309">
        <v>42288</v>
      </c>
      <c r="U16" s="309">
        <v>44192</v>
      </c>
      <c r="V16" s="193">
        <f t="shared" si="2"/>
        <v>4.5</v>
      </c>
      <c r="W16" s="309">
        <f>Z16-T16</f>
        <v>25451</v>
      </c>
      <c r="X16" s="309">
        <f>AA16-U16</f>
        <v>23886</v>
      </c>
      <c r="Y16" s="193">
        <f t="shared" si="3"/>
        <v>-6.1</v>
      </c>
      <c r="Z16" s="309">
        <v>67739</v>
      </c>
      <c r="AA16" s="309">
        <v>68078</v>
      </c>
      <c r="AB16" s="193">
        <f t="shared" si="4"/>
        <v>0.5</v>
      </c>
      <c r="AC16" s="309">
        <f>AF16-Z16</f>
        <v>23880</v>
      </c>
      <c r="AD16" s="309">
        <f>AG16-AA16</f>
        <v>21578</v>
      </c>
      <c r="AE16" s="193">
        <f t="shared" si="5"/>
        <v>-9.6</v>
      </c>
      <c r="AF16" s="309">
        <v>91619</v>
      </c>
      <c r="AG16" s="309">
        <v>89656</v>
      </c>
      <c r="AH16" s="193">
        <f t="shared" si="6"/>
        <v>-2.1</v>
      </c>
      <c r="AI16" s="309">
        <f>AL16-AF16</f>
        <v>23455</v>
      </c>
      <c r="AJ16" s="309">
        <f>AM16-AG16</f>
        <v>17752</v>
      </c>
      <c r="AK16" s="193">
        <f t="shared" si="7"/>
        <v>-24.3</v>
      </c>
      <c r="AL16" s="309">
        <v>115074</v>
      </c>
      <c r="AM16" s="309">
        <v>107408</v>
      </c>
      <c r="AN16" s="193">
        <f t="shared" si="8"/>
        <v>-6.7</v>
      </c>
      <c r="AO16" s="597">
        <f>AR16-AL16</f>
        <v>23748</v>
      </c>
      <c r="AP16" s="597">
        <f>AS16-AM16</f>
        <v>17699</v>
      </c>
      <c r="AQ16" s="587">
        <f t="shared" si="9"/>
        <v>-25.5</v>
      </c>
      <c r="AR16" s="868">
        <v>138822</v>
      </c>
      <c r="AS16" s="868">
        <v>125107</v>
      </c>
      <c r="AT16" s="587">
        <f t="shared" si="10"/>
        <v>-9.9</v>
      </c>
      <c r="AU16" s="868">
        <f>AX16-AR16</f>
        <v>24894</v>
      </c>
      <c r="AV16" s="868">
        <f>AY16-AS16</f>
        <v>20716</v>
      </c>
      <c r="AW16" s="615">
        <f t="shared" si="11"/>
        <v>-16.8</v>
      </c>
      <c r="AX16" s="925">
        <v>163716</v>
      </c>
      <c r="AY16" s="925">
        <v>145823</v>
      </c>
      <c r="AZ16" s="615">
        <f t="shared" si="12"/>
        <v>-10.9</v>
      </c>
      <c r="BA16" s="868">
        <f>BD16-AX16</f>
        <v>18005</v>
      </c>
      <c r="BB16" s="868">
        <f>BE16-AY16</f>
        <v>18278</v>
      </c>
      <c r="BC16" s="615">
        <f t="shared" si="13"/>
        <v>1.5</v>
      </c>
      <c r="BD16" s="868">
        <v>181721</v>
      </c>
      <c r="BE16" s="868">
        <v>164101</v>
      </c>
      <c r="BF16" s="615">
        <f t="shared" si="14"/>
        <v>-9.6999999999999993</v>
      </c>
      <c r="BG16" s="868">
        <f>BJ16-BD16</f>
        <v>19402</v>
      </c>
      <c r="BH16" s="868">
        <f>BK16-BE16</f>
        <v>25601</v>
      </c>
      <c r="BI16" s="615">
        <f t="shared" si="15"/>
        <v>32</v>
      </c>
      <c r="BJ16" s="868">
        <v>201123</v>
      </c>
      <c r="BK16" s="868">
        <v>189702</v>
      </c>
      <c r="BL16" s="615">
        <f t="shared" si="16"/>
        <v>-5.7</v>
      </c>
      <c r="BM16" s="868">
        <f>BP16-BJ16</f>
        <v>23641</v>
      </c>
      <c r="BN16" s="868">
        <f>BQ16-BK16</f>
        <v>25781</v>
      </c>
      <c r="BO16" s="615">
        <f t="shared" si="17"/>
        <v>9.1</v>
      </c>
      <c r="BP16" s="868">
        <v>224764</v>
      </c>
      <c r="BQ16" s="868">
        <v>215483</v>
      </c>
      <c r="BR16" s="615">
        <f t="shared" si="18"/>
        <v>-4.0999999999999996</v>
      </c>
      <c r="BS16" s="868">
        <f>BV16-BP16</f>
        <v>25926</v>
      </c>
      <c r="BT16" s="868">
        <f>BW16-BQ16</f>
        <v>27225</v>
      </c>
      <c r="BU16" s="615">
        <f t="shared" si="19"/>
        <v>5</v>
      </c>
      <c r="BV16" s="868">
        <v>250690</v>
      </c>
      <c r="BW16" s="868">
        <v>242708</v>
      </c>
      <c r="BX16" s="615">
        <f t="shared" si="20"/>
        <v>-3.2</v>
      </c>
    </row>
    <row r="17" spans="1:76" ht="22.5" customHeight="1">
      <c r="A17" s="14"/>
      <c r="B17" s="1099"/>
      <c r="C17" s="1100"/>
      <c r="D17" s="370" t="s">
        <v>15</v>
      </c>
      <c r="E17" s="450">
        <f t="shared" ref="E17:L17" si="24">E16/E15*1000</f>
        <v>6999.2800696490758</v>
      </c>
      <c r="F17" s="450">
        <f t="shared" si="24"/>
        <v>6316.6075163191581</v>
      </c>
      <c r="G17" s="450">
        <f t="shared" si="24"/>
        <v>6058.4286274628121</v>
      </c>
      <c r="H17" s="450">
        <f t="shared" si="24"/>
        <v>5969.578712632594</v>
      </c>
      <c r="I17" s="450">
        <f t="shared" si="24"/>
        <v>5105.0316989005696</v>
      </c>
      <c r="J17" s="450">
        <f t="shared" si="24"/>
        <v>4573.8505391002609</v>
      </c>
      <c r="K17" s="203">
        <f t="shared" si="24"/>
        <v>5484.8606799279441</v>
      </c>
      <c r="L17" s="181">
        <f t="shared" si="24"/>
        <v>5973.8581129052818</v>
      </c>
      <c r="M17" s="439">
        <f>M16/M15*1000</f>
        <v>5606.699323156975</v>
      </c>
      <c r="N17" s="317">
        <f>N16/N15*1000</f>
        <v>5640.3895200556453</v>
      </c>
      <c r="O17" s="317">
        <f>O16/O15*1000</f>
        <v>5267.82564877803</v>
      </c>
      <c r="P17" s="204">
        <f t="shared" si="0"/>
        <v>-6.6</v>
      </c>
      <c r="Q17" s="317">
        <f>Q16/Q15*1000</f>
        <v>5467.5799086757988</v>
      </c>
      <c r="R17" s="317">
        <f>R16/R15*1000</f>
        <v>5383.5838150289019</v>
      </c>
      <c r="S17" s="204">
        <f t="shared" si="1"/>
        <v>-1.5</v>
      </c>
      <c r="T17" s="317">
        <f>T16/T15*1000</f>
        <v>5565.6751776783367</v>
      </c>
      <c r="U17" s="317">
        <f>U16/U15*1000</f>
        <v>5328.189052326984</v>
      </c>
      <c r="V17" s="204">
        <f t="shared" si="2"/>
        <v>-4.3</v>
      </c>
      <c r="W17" s="317">
        <f>W16/W15*1000</f>
        <v>5629.5067462950674</v>
      </c>
      <c r="X17" s="317">
        <f>X16/X15*1000</f>
        <v>5268.1958535509484</v>
      </c>
      <c r="Y17" s="204">
        <f t="shared" si="3"/>
        <v>-6.4</v>
      </c>
      <c r="Z17" s="317">
        <f>Z16/Z15*1000</f>
        <v>5589.4875814836205</v>
      </c>
      <c r="AA17" s="317">
        <f>AA16/AA15*1000</f>
        <v>5306.9847209229811</v>
      </c>
      <c r="AB17" s="204">
        <f t="shared" si="4"/>
        <v>-5.0999999999999996</v>
      </c>
      <c r="AC17" s="317">
        <f>AC16/AC15*1000</f>
        <v>5873.0939498278403</v>
      </c>
      <c r="AD17" s="317">
        <f>AD16/AD15*1000</f>
        <v>4790.852575488454</v>
      </c>
      <c r="AE17" s="204">
        <f t="shared" si="5"/>
        <v>-18.399999999999999</v>
      </c>
      <c r="AF17" s="317">
        <f>AF16/AF15*1000</f>
        <v>5660.7352486870559</v>
      </c>
      <c r="AG17" s="317">
        <f>AG16/AG15*1000</f>
        <v>5172.859450726979</v>
      </c>
      <c r="AH17" s="204">
        <f t="shared" si="6"/>
        <v>-8.6</v>
      </c>
      <c r="AI17" s="317">
        <f>AI16/AI15*1000</f>
        <v>5727.7167277167282</v>
      </c>
      <c r="AJ17" s="317">
        <f>AJ16/AJ15*1000</f>
        <v>4715.0066401062413</v>
      </c>
      <c r="AK17" s="204">
        <f t="shared" si="7"/>
        <v>-17.7</v>
      </c>
      <c r="AL17" s="317">
        <f>AL16/AL15*1000</f>
        <v>5674.2603550295853</v>
      </c>
      <c r="AM17" s="317">
        <f>AM16/AM15*1000</f>
        <v>5091.1504005308816</v>
      </c>
      <c r="AN17" s="204">
        <f t="shared" si="8"/>
        <v>-10.3</v>
      </c>
      <c r="AO17" s="603">
        <f>AO16/AO15*1000</f>
        <v>5656.9795140543119</v>
      </c>
      <c r="AP17" s="603">
        <f>AP16/AP15*1000</f>
        <v>4898.6991419872675</v>
      </c>
      <c r="AQ17" s="594">
        <f t="shared" si="9"/>
        <v>-13.4</v>
      </c>
      <c r="AR17" s="631">
        <f>AR16/AR15*1000</f>
        <v>5671.2966745649155</v>
      </c>
      <c r="AS17" s="631">
        <f>AS16/AS15*1000</f>
        <v>5063.010926750303</v>
      </c>
      <c r="AT17" s="594">
        <f t="shared" si="10"/>
        <v>-10.7</v>
      </c>
      <c r="AU17" s="631">
        <f>AU16/AU15*1000</f>
        <v>5532</v>
      </c>
      <c r="AV17" s="631">
        <f>AV16/AV15*1000</f>
        <v>5046.5286236297197</v>
      </c>
      <c r="AW17" s="622">
        <f t="shared" si="11"/>
        <v>-8.8000000000000007</v>
      </c>
      <c r="AX17" s="927">
        <f>AX16/AX15*1000</f>
        <v>5649.6652633031963</v>
      </c>
      <c r="AY17" s="927">
        <f>AY16/AY15*1000</f>
        <v>5060.6628492104801</v>
      </c>
      <c r="AZ17" s="622">
        <f t="shared" si="12"/>
        <v>-10.4</v>
      </c>
      <c r="BA17" s="631">
        <f>BA16/BA15*1000</f>
        <v>5423.1927710843374</v>
      </c>
      <c r="BB17" s="631">
        <f>BB16/BB15*1000</f>
        <v>5061.7557463306566</v>
      </c>
      <c r="BC17" s="622">
        <f t="shared" si="13"/>
        <v>-6.7</v>
      </c>
      <c r="BD17" s="631">
        <f>BD16/BD15*1000</f>
        <v>5626.3855347080316</v>
      </c>
      <c r="BE17" s="631">
        <f>BE16/BE15*1000</f>
        <v>5060.7845556035281</v>
      </c>
      <c r="BF17" s="622">
        <f t="shared" si="14"/>
        <v>-10.1</v>
      </c>
      <c r="BG17" s="631">
        <f>BG16/BG15*1000</f>
        <v>5521.3431986340356</v>
      </c>
      <c r="BH17" s="631">
        <f>BH16/BH15*1000</f>
        <v>5197.1173365814047</v>
      </c>
      <c r="BI17" s="622">
        <f t="shared" si="15"/>
        <v>-5.9</v>
      </c>
      <c r="BJ17" s="631">
        <f>BJ16/BJ15*1000</f>
        <v>5616.0784094716855</v>
      </c>
      <c r="BK17" s="631">
        <f>BK16/BK15*1000</f>
        <v>5078.7641893339051</v>
      </c>
      <c r="BL17" s="622">
        <f t="shared" si="16"/>
        <v>-9.6</v>
      </c>
      <c r="BM17" s="631">
        <f>BM16/BM15*1000</f>
        <v>5480.0649049605936</v>
      </c>
      <c r="BN17" s="631">
        <f>BN16/BN15*1000</f>
        <v>5386.7530296698706</v>
      </c>
      <c r="BO17" s="622">
        <f t="shared" si="17"/>
        <v>-1.7</v>
      </c>
      <c r="BP17" s="631">
        <f>BP16/BP15*1000</f>
        <v>5601.4554154413599</v>
      </c>
      <c r="BQ17" s="631">
        <f>BQ16/BQ15*1000</f>
        <v>5113.7453130191279</v>
      </c>
      <c r="BR17" s="622">
        <f t="shared" si="18"/>
        <v>-8.6999999999999993</v>
      </c>
      <c r="BS17" s="631">
        <f>BS16/BS15*1000</f>
        <v>5567.103285376852</v>
      </c>
      <c r="BT17" s="631">
        <f>BT16/BT15*1000</f>
        <v>5585.7611817808784</v>
      </c>
      <c r="BU17" s="622">
        <f t="shared" si="19"/>
        <v>0.3</v>
      </c>
      <c r="BV17" s="631">
        <f>BV16/BV15*1000</f>
        <v>5597.8831252930804</v>
      </c>
      <c r="BW17" s="631">
        <f>BW16/BW15*1000</f>
        <v>5162.6818684591171</v>
      </c>
      <c r="BX17" s="622">
        <f t="shared" si="20"/>
        <v>-7.8</v>
      </c>
    </row>
    <row r="18" spans="1:76" ht="22.5" customHeight="1">
      <c r="A18" s="14"/>
      <c r="B18" s="1099" t="s">
        <v>20</v>
      </c>
      <c r="C18" s="1100">
        <v>7408</v>
      </c>
      <c r="D18" s="364" t="s">
        <v>13</v>
      </c>
      <c r="E18" s="451">
        <v>101173</v>
      </c>
      <c r="F18" s="451">
        <v>64157</v>
      </c>
      <c r="G18" s="451">
        <v>83626</v>
      </c>
      <c r="H18" s="451">
        <v>78026</v>
      </c>
      <c r="I18" s="451">
        <v>73091</v>
      </c>
      <c r="J18" s="451">
        <v>91334</v>
      </c>
      <c r="K18" s="205">
        <v>104324</v>
      </c>
      <c r="L18" s="182">
        <v>108278</v>
      </c>
      <c r="M18" s="441">
        <v>96401</v>
      </c>
      <c r="N18" s="318">
        <v>9070</v>
      </c>
      <c r="O18" s="318">
        <v>7276</v>
      </c>
      <c r="P18" s="206">
        <f t="shared" si="0"/>
        <v>-19.8</v>
      </c>
      <c r="Q18" s="311">
        <f>T18-N18</f>
        <v>8162</v>
      </c>
      <c r="R18" s="311">
        <f>U18-O18</f>
        <v>7904</v>
      </c>
      <c r="S18" s="206">
        <f t="shared" si="1"/>
        <v>-3.2</v>
      </c>
      <c r="T18" s="318">
        <v>17232</v>
      </c>
      <c r="U18" s="318">
        <v>15180</v>
      </c>
      <c r="V18" s="206">
        <f t="shared" si="2"/>
        <v>-11.9</v>
      </c>
      <c r="W18" s="311">
        <f>Z18-T18</f>
        <v>7108</v>
      </c>
      <c r="X18" s="311">
        <f>AA18-U18</f>
        <v>8701</v>
      </c>
      <c r="Y18" s="206">
        <f t="shared" si="3"/>
        <v>22.4</v>
      </c>
      <c r="Z18" s="318">
        <v>24340</v>
      </c>
      <c r="AA18" s="318">
        <v>23881</v>
      </c>
      <c r="AB18" s="206">
        <f t="shared" si="4"/>
        <v>-1.9</v>
      </c>
      <c r="AC18" s="311">
        <f>AF18-Z18</f>
        <v>9167</v>
      </c>
      <c r="AD18" s="311">
        <f>AG18-AA18</f>
        <v>4455</v>
      </c>
      <c r="AE18" s="206">
        <f t="shared" si="5"/>
        <v>-51.4</v>
      </c>
      <c r="AF18" s="318">
        <v>33507</v>
      </c>
      <c r="AG18" s="318">
        <v>28336</v>
      </c>
      <c r="AH18" s="206">
        <f t="shared" si="6"/>
        <v>-15.4</v>
      </c>
      <c r="AI18" s="311">
        <f>AL18-AF18</f>
        <v>9174</v>
      </c>
      <c r="AJ18" s="311">
        <f>AM18-AG18</f>
        <v>3818</v>
      </c>
      <c r="AK18" s="206">
        <f t="shared" si="7"/>
        <v>-58.4</v>
      </c>
      <c r="AL18" s="318">
        <v>42681</v>
      </c>
      <c r="AM18" s="318">
        <v>32154</v>
      </c>
      <c r="AN18" s="206">
        <f t="shared" si="8"/>
        <v>-24.7</v>
      </c>
      <c r="AO18" s="599">
        <f>AR18-AL18</f>
        <v>7090</v>
      </c>
      <c r="AP18" s="599">
        <f>AS18-AM18</f>
        <v>6728</v>
      </c>
      <c r="AQ18" s="595">
        <f t="shared" si="9"/>
        <v>-5.0999999999999996</v>
      </c>
      <c r="AR18" s="612">
        <v>49771</v>
      </c>
      <c r="AS18" s="612">
        <v>38882</v>
      </c>
      <c r="AT18" s="595">
        <f t="shared" si="10"/>
        <v>-21.9</v>
      </c>
      <c r="AU18" s="869">
        <f>AX18-AR18</f>
        <v>8486</v>
      </c>
      <c r="AV18" s="869">
        <f>AY18-AS18</f>
        <v>7556</v>
      </c>
      <c r="AW18" s="623">
        <f t="shared" si="11"/>
        <v>-11</v>
      </c>
      <c r="AX18" s="928">
        <v>58257</v>
      </c>
      <c r="AY18" s="928">
        <v>46438</v>
      </c>
      <c r="AZ18" s="623">
        <f t="shared" si="12"/>
        <v>-20.3</v>
      </c>
      <c r="BA18" s="869">
        <f>BD18-AX18</f>
        <v>6265</v>
      </c>
      <c r="BB18" s="869">
        <f>BE18-AY18</f>
        <v>5181</v>
      </c>
      <c r="BC18" s="623">
        <f t="shared" si="13"/>
        <v>-17.3</v>
      </c>
      <c r="BD18" s="612">
        <v>64522</v>
      </c>
      <c r="BE18" s="869">
        <v>51619</v>
      </c>
      <c r="BF18" s="623">
        <f t="shared" si="14"/>
        <v>-20</v>
      </c>
      <c r="BG18" s="869">
        <f>BJ18-BD18</f>
        <v>8766</v>
      </c>
      <c r="BH18" s="869">
        <f>BK18-BE18</f>
        <v>7495</v>
      </c>
      <c r="BI18" s="623">
        <f t="shared" si="15"/>
        <v>-14.5</v>
      </c>
      <c r="BJ18" s="612">
        <v>73288</v>
      </c>
      <c r="BK18" s="869">
        <v>59114</v>
      </c>
      <c r="BL18" s="623">
        <f t="shared" si="16"/>
        <v>-19.3</v>
      </c>
      <c r="BM18" s="869">
        <f>BP18-BJ18</f>
        <v>7659</v>
      </c>
      <c r="BN18" s="869">
        <f>BQ18-BK18</f>
        <v>7103</v>
      </c>
      <c r="BO18" s="623">
        <f t="shared" si="17"/>
        <v>-7.3</v>
      </c>
      <c r="BP18" s="612">
        <v>80947</v>
      </c>
      <c r="BQ18" s="869">
        <v>66217</v>
      </c>
      <c r="BR18" s="623">
        <f t="shared" si="18"/>
        <v>-18.2</v>
      </c>
      <c r="BS18" s="869">
        <f>BV18-BP18</f>
        <v>8028</v>
      </c>
      <c r="BT18" s="869">
        <f>BW18-BQ18</f>
        <v>8137</v>
      </c>
      <c r="BU18" s="623">
        <f t="shared" si="19"/>
        <v>1.4</v>
      </c>
      <c r="BV18" s="612">
        <v>88975</v>
      </c>
      <c r="BW18" s="869">
        <v>74354</v>
      </c>
      <c r="BX18" s="623">
        <f t="shared" si="20"/>
        <v>-16.399999999999999</v>
      </c>
    </row>
    <row r="19" spans="1:76" ht="22.5" customHeight="1">
      <c r="A19" s="14"/>
      <c r="B19" s="1099"/>
      <c r="C19" s="1100"/>
      <c r="D19" s="366" t="s">
        <v>14</v>
      </c>
      <c r="E19" s="449">
        <v>942801</v>
      </c>
      <c r="F19" s="449">
        <v>555276</v>
      </c>
      <c r="G19" s="449">
        <v>682203</v>
      </c>
      <c r="H19" s="449">
        <v>612170</v>
      </c>
      <c r="I19" s="449">
        <v>482757</v>
      </c>
      <c r="J19" s="449">
        <v>518270</v>
      </c>
      <c r="K19" s="202">
        <v>687401</v>
      </c>
      <c r="L19" s="180">
        <v>760853</v>
      </c>
      <c r="M19" s="438">
        <v>645233</v>
      </c>
      <c r="N19" s="309">
        <v>60247</v>
      </c>
      <c r="O19" s="309">
        <v>49526</v>
      </c>
      <c r="P19" s="193">
        <f t="shared" si="0"/>
        <v>-17.8</v>
      </c>
      <c r="Q19" s="309">
        <f>T19-N19</f>
        <v>54712</v>
      </c>
      <c r="R19" s="309">
        <f>U19-O19</f>
        <v>51891</v>
      </c>
      <c r="S19" s="193">
        <f t="shared" si="1"/>
        <v>-5.2</v>
      </c>
      <c r="T19" s="309">
        <v>114959</v>
      </c>
      <c r="U19" s="309">
        <v>101417</v>
      </c>
      <c r="V19" s="193">
        <f t="shared" si="2"/>
        <v>-11.8</v>
      </c>
      <c r="W19" s="309">
        <f>Z19-T19</f>
        <v>49223</v>
      </c>
      <c r="X19" s="309">
        <f>AA19-U19</f>
        <v>56212</v>
      </c>
      <c r="Y19" s="193">
        <f t="shared" si="3"/>
        <v>14.2</v>
      </c>
      <c r="Z19" s="309">
        <v>164182</v>
      </c>
      <c r="AA19" s="309">
        <v>157629</v>
      </c>
      <c r="AB19" s="193">
        <f t="shared" si="4"/>
        <v>-4</v>
      </c>
      <c r="AC19" s="309">
        <f>AF19-Z19</f>
        <v>62766</v>
      </c>
      <c r="AD19" s="309">
        <f>AG19-AA19</f>
        <v>29524</v>
      </c>
      <c r="AE19" s="193">
        <f t="shared" si="5"/>
        <v>-53</v>
      </c>
      <c r="AF19" s="309">
        <v>226948</v>
      </c>
      <c r="AG19" s="309">
        <v>187153</v>
      </c>
      <c r="AH19" s="193">
        <f t="shared" si="6"/>
        <v>-17.5</v>
      </c>
      <c r="AI19" s="309">
        <f>AL19-AF19</f>
        <v>62402</v>
      </c>
      <c r="AJ19" s="309">
        <f>AM19-AG19</f>
        <v>24500</v>
      </c>
      <c r="AK19" s="193">
        <f t="shared" si="7"/>
        <v>-60.7</v>
      </c>
      <c r="AL19" s="309">
        <v>289350</v>
      </c>
      <c r="AM19" s="309">
        <v>211653</v>
      </c>
      <c r="AN19" s="193">
        <f t="shared" si="8"/>
        <v>-26.9</v>
      </c>
      <c r="AO19" s="597">
        <f>AR19-AL19</f>
        <v>47570</v>
      </c>
      <c r="AP19" s="597">
        <f>AS19-AM19</f>
        <v>41970</v>
      </c>
      <c r="AQ19" s="587">
        <f t="shared" si="9"/>
        <v>-11.8</v>
      </c>
      <c r="AR19" s="868">
        <v>336920</v>
      </c>
      <c r="AS19" s="868">
        <v>253623</v>
      </c>
      <c r="AT19" s="587">
        <f t="shared" si="10"/>
        <v>-24.7</v>
      </c>
      <c r="AU19" s="868">
        <f>AX19-AR19</f>
        <v>56176</v>
      </c>
      <c r="AV19" s="868">
        <f>AY19-AS19</f>
        <v>50512</v>
      </c>
      <c r="AW19" s="615">
        <f t="shared" si="11"/>
        <v>-10.1</v>
      </c>
      <c r="AX19" s="925">
        <v>393096</v>
      </c>
      <c r="AY19" s="925">
        <v>304135</v>
      </c>
      <c r="AZ19" s="615">
        <f t="shared" si="12"/>
        <v>-22.6</v>
      </c>
      <c r="BA19" s="868">
        <f>BD19-AX19</f>
        <v>42350</v>
      </c>
      <c r="BB19" s="868">
        <f>BE19-AY19</f>
        <v>36905</v>
      </c>
      <c r="BC19" s="615">
        <f t="shared" si="13"/>
        <v>-12.9</v>
      </c>
      <c r="BD19" s="868">
        <v>435446</v>
      </c>
      <c r="BE19" s="868">
        <v>341040</v>
      </c>
      <c r="BF19" s="615">
        <f t="shared" si="14"/>
        <v>-21.7</v>
      </c>
      <c r="BG19" s="868">
        <f>BJ19-BD19</f>
        <v>57235</v>
      </c>
      <c r="BH19" s="868">
        <f>BK19-BE19</f>
        <v>53367</v>
      </c>
      <c r="BI19" s="615">
        <f t="shared" si="15"/>
        <v>-6.8</v>
      </c>
      <c r="BJ19" s="868">
        <v>492681</v>
      </c>
      <c r="BK19" s="868">
        <v>394407</v>
      </c>
      <c r="BL19" s="615">
        <f t="shared" si="16"/>
        <v>-19.899999999999999</v>
      </c>
      <c r="BM19" s="868">
        <f>BP19-BJ19</f>
        <v>50487</v>
      </c>
      <c r="BN19" s="868">
        <f>BQ19-BK19</f>
        <v>51393</v>
      </c>
      <c r="BO19" s="615">
        <f t="shared" si="17"/>
        <v>1.8</v>
      </c>
      <c r="BP19" s="868">
        <v>543168</v>
      </c>
      <c r="BQ19" s="868">
        <v>445800</v>
      </c>
      <c r="BR19" s="615">
        <f t="shared" si="18"/>
        <v>-17.899999999999999</v>
      </c>
      <c r="BS19" s="868">
        <f>BV19-BP19</f>
        <v>52669</v>
      </c>
      <c r="BT19" s="868">
        <f>BW19-BQ19</f>
        <v>60469</v>
      </c>
      <c r="BU19" s="615">
        <f t="shared" si="19"/>
        <v>14.8</v>
      </c>
      <c r="BV19" s="868">
        <v>595837</v>
      </c>
      <c r="BW19" s="868">
        <v>506269</v>
      </c>
      <c r="BX19" s="615">
        <f t="shared" si="20"/>
        <v>-15</v>
      </c>
    </row>
    <row r="20" spans="1:76" ht="22.5" customHeight="1">
      <c r="A20" s="14"/>
      <c r="B20" s="1099"/>
      <c r="C20" s="1100"/>
      <c r="D20" s="370" t="s">
        <v>15</v>
      </c>
      <c r="E20" s="450">
        <f t="shared" ref="E20:L20" si="25">E19/E18*1000</f>
        <v>9318.7016298814906</v>
      </c>
      <c r="F20" s="450">
        <f t="shared" si="25"/>
        <v>8654.9558115248528</v>
      </c>
      <c r="G20" s="450">
        <f t="shared" si="25"/>
        <v>8157.7858560734703</v>
      </c>
      <c r="H20" s="450">
        <f t="shared" si="25"/>
        <v>7845.7180939686768</v>
      </c>
      <c r="I20" s="450">
        <f t="shared" si="25"/>
        <v>6604.8761133381677</v>
      </c>
      <c r="J20" s="450">
        <f t="shared" si="25"/>
        <v>5674.4476317691115</v>
      </c>
      <c r="K20" s="203">
        <f t="shared" si="25"/>
        <v>6589.097427245888</v>
      </c>
      <c r="L20" s="181">
        <f t="shared" si="25"/>
        <v>7026.8475590609351</v>
      </c>
      <c r="M20" s="439">
        <f>M19/M18*1000</f>
        <v>6693.2189500108925</v>
      </c>
      <c r="N20" s="317">
        <f>N19/N18*1000</f>
        <v>6642.4476295479599</v>
      </c>
      <c r="O20" s="317">
        <f>O19/O18*1000</f>
        <v>6806.7619571192963</v>
      </c>
      <c r="P20" s="204">
        <f t="shared" si="0"/>
        <v>2.5</v>
      </c>
      <c r="Q20" s="317">
        <f>Q19/Q18*1000</f>
        <v>6703.2590051457973</v>
      </c>
      <c r="R20" s="317">
        <f>R19/R18*1000</f>
        <v>6565.1568825910936</v>
      </c>
      <c r="S20" s="204">
        <f t="shared" si="1"/>
        <v>-2.1</v>
      </c>
      <c r="T20" s="317">
        <f>T19/T18*1000</f>
        <v>6671.2511606313838</v>
      </c>
      <c r="U20" s="317">
        <f>U19/U18*1000</f>
        <v>6680.961791831357</v>
      </c>
      <c r="V20" s="204">
        <f t="shared" si="2"/>
        <v>0.1</v>
      </c>
      <c r="W20" s="317">
        <f>W19/W18*1000</f>
        <v>6925.0140686550367</v>
      </c>
      <c r="X20" s="317">
        <f>X19/X18*1000</f>
        <v>6460.4068497873805</v>
      </c>
      <c r="Y20" s="204">
        <f t="shared" si="3"/>
        <v>-6.7</v>
      </c>
      <c r="Z20" s="317">
        <f>Z19/Z18*1000</f>
        <v>6745.3574363188172</v>
      </c>
      <c r="AA20" s="317">
        <f>AA19/AA18*1000</f>
        <v>6600.602989824547</v>
      </c>
      <c r="AB20" s="204">
        <f t="shared" si="4"/>
        <v>-2.1</v>
      </c>
      <c r="AC20" s="317">
        <f>AC19/AC18*1000</f>
        <v>6846.9510199629103</v>
      </c>
      <c r="AD20" s="317">
        <f>AD19/AD18*1000</f>
        <v>6627.1604938271603</v>
      </c>
      <c r="AE20" s="204">
        <f t="shared" si="5"/>
        <v>-3.2</v>
      </c>
      <c r="AF20" s="317">
        <f>AF19/AF18*1000</f>
        <v>6773.1518787119103</v>
      </c>
      <c r="AG20" s="317">
        <f>AG19/AG18*1000</f>
        <v>6604.7783738001135</v>
      </c>
      <c r="AH20" s="204">
        <f t="shared" si="6"/>
        <v>-2.5</v>
      </c>
      <c r="AI20" s="317">
        <f>AI19/AI18*1000</f>
        <v>6802.0492696751689</v>
      </c>
      <c r="AJ20" s="317">
        <f>AJ19/AJ18*1000</f>
        <v>6416.9722367731802</v>
      </c>
      <c r="AK20" s="204">
        <f t="shared" si="7"/>
        <v>-5.7</v>
      </c>
      <c r="AL20" s="317">
        <f>AL19/AL18*1000</f>
        <v>6779.3631826808178</v>
      </c>
      <c r="AM20" s="317">
        <f>AM19/AM18*1000</f>
        <v>6582.4780742675866</v>
      </c>
      <c r="AN20" s="204">
        <f t="shared" si="8"/>
        <v>-2.9</v>
      </c>
      <c r="AO20" s="603">
        <f>AO19/AO18*1000</f>
        <v>6709.4499294781381</v>
      </c>
      <c r="AP20" s="603">
        <f>AP19/AP18*1000</f>
        <v>6238.1093935790723</v>
      </c>
      <c r="AQ20" s="594">
        <f t="shared" si="9"/>
        <v>-7</v>
      </c>
      <c r="AR20" s="631">
        <f>AR19/AR18*1000</f>
        <v>6769.4038697233327</v>
      </c>
      <c r="AS20" s="631">
        <f>AS19/AS18*1000</f>
        <v>6522.8897690448021</v>
      </c>
      <c r="AT20" s="594">
        <f t="shared" si="10"/>
        <v>-3.6</v>
      </c>
      <c r="AU20" s="631">
        <f>AU19/AU18*1000</f>
        <v>6619.8444496818292</v>
      </c>
      <c r="AV20" s="631">
        <f>AV19/AV18*1000</f>
        <v>6685.0185283218634</v>
      </c>
      <c r="AW20" s="622">
        <f t="shared" si="11"/>
        <v>1</v>
      </c>
      <c r="AX20" s="927">
        <f>AX19/AX18*1000</f>
        <v>6747.6183119625111</v>
      </c>
      <c r="AY20" s="927">
        <f>AY19/AY18*1000</f>
        <v>6549.2699944011374</v>
      </c>
      <c r="AZ20" s="622">
        <f t="shared" si="12"/>
        <v>-2.9</v>
      </c>
      <c r="BA20" s="631">
        <f>BA19/BA18*1000</f>
        <v>6759.7765363128492</v>
      </c>
      <c r="BB20" s="631">
        <f>BB19/BB18*1000</f>
        <v>7123.1422505307855</v>
      </c>
      <c r="BC20" s="622">
        <f t="shared" si="13"/>
        <v>5.4</v>
      </c>
      <c r="BD20" s="631">
        <f>BD19/BD18*1000</f>
        <v>6748.7988593038035</v>
      </c>
      <c r="BE20" s="631">
        <f>BE19/BE18*1000</f>
        <v>6606.8695635328077</v>
      </c>
      <c r="BF20" s="622">
        <f t="shared" si="14"/>
        <v>-2.1</v>
      </c>
      <c r="BG20" s="631">
        <f>BG19/BG18*1000</f>
        <v>6529.2037417294096</v>
      </c>
      <c r="BH20" s="631">
        <f>BH19/BH18*1000</f>
        <v>7120.346897931955</v>
      </c>
      <c r="BI20" s="622">
        <f t="shared" si="15"/>
        <v>9.1</v>
      </c>
      <c r="BJ20" s="631">
        <f>BJ19/BJ18*1000</f>
        <v>6722.5330204126185</v>
      </c>
      <c r="BK20" s="631">
        <f>BK19/BK18*1000</f>
        <v>6671.9727983218863</v>
      </c>
      <c r="BL20" s="622">
        <f t="shared" si="16"/>
        <v>-0.8</v>
      </c>
      <c r="BM20" s="631">
        <f>BM19/BM18*1000</f>
        <v>6591.8527222875045</v>
      </c>
      <c r="BN20" s="631">
        <f>BN19/BN18*1000</f>
        <v>7235.3934957060401</v>
      </c>
      <c r="BO20" s="622">
        <f t="shared" si="17"/>
        <v>9.8000000000000007</v>
      </c>
      <c r="BP20" s="631">
        <f>BP19/BP18*1000</f>
        <v>6710.1683817806716</v>
      </c>
      <c r="BQ20" s="631">
        <f>BQ19/BQ18*1000</f>
        <v>6732.4101061660904</v>
      </c>
      <c r="BR20" s="622">
        <f t="shared" si="18"/>
        <v>0.3</v>
      </c>
      <c r="BS20" s="631">
        <f>BS19/BS18*1000</f>
        <v>6560.6626806178374</v>
      </c>
      <c r="BT20" s="631">
        <f>BT19/BT18*1000</f>
        <v>7431.3629101634515</v>
      </c>
      <c r="BU20" s="622">
        <f t="shared" si="19"/>
        <v>13.3</v>
      </c>
      <c r="BV20" s="631">
        <f>BV19/BV18*1000</f>
        <v>6696.6788423714534</v>
      </c>
      <c r="BW20" s="631">
        <f>BW19/BW18*1000</f>
        <v>6808.9006643892726</v>
      </c>
      <c r="BX20" s="622">
        <f t="shared" si="20"/>
        <v>1.7</v>
      </c>
    </row>
    <row r="21" spans="1:76" ht="22.5" customHeight="1">
      <c r="A21" s="14"/>
      <c r="B21" s="1099" t="s">
        <v>21</v>
      </c>
      <c r="C21" s="1100">
        <v>7409</v>
      </c>
      <c r="D21" s="364" t="s">
        <v>13</v>
      </c>
      <c r="E21" s="451">
        <v>66728</v>
      </c>
      <c r="F21" s="451">
        <v>67057</v>
      </c>
      <c r="G21" s="451">
        <v>73672</v>
      </c>
      <c r="H21" s="451">
        <v>79577</v>
      </c>
      <c r="I21" s="451">
        <v>68827</v>
      </c>
      <c r="J21" s="451">
        <v>71366</v>
      </c>
      <c r="K21" s="205">
        <v>80702</v>
      </c>
      <c r="L21" s="182">
        <v>82947</v>
      </c>
      <c r="M21" s="441">
        <v>73853</v>
      </c>
      <c r="N21" s="318">
        <v>6492</v>
      </c>
      <c r="O21" s="318">
        <v>5665</v>
      </c>
      <c r="P21" s="206">
        <f t="shared" si="0"/>
        <v>-12.7</v>
      </c>
      <c r="Q21" s="311">
        <f>T21-N21</f>
        <v>5634</v>
      </c>
      <c r="R21" s="311">
        <f>U21-O21</f>
        <v>5797</v>
      </c>
      <c r="S21" s="206">
        <f t="shared" si="1"/>
        <v>2.9</v>
      </c>
      <c r="T21" s="318">
        <v>12126</v>
      </c>
      <c r="U21" s="318">
        <v>11462</v>
      </c>
      <c r="V21" s="206">
        <f t="shared" si="2"/>
        <v>-5.5</v>
      </c>
      <c r="W21" s="311">
        <f>Z21-T21</f>
        <v>6054</v>
      </c>
      <c r="X21" s="311">
        <f>AA21-U21</f>
        <v>7645</v>
      </c>
      <c r="Y21" s="206">
        <f t="shared" si="3"/>
        <v>26.3</v>
      </c>
      <c r="Z21" s="318">
        <v>18180</v>
      </c>
      <c r="AA21" s="318">
        <v>19107</v>
      </c>
      <c r="AB21" s="206">
        <f t="shared" si="4"/>
        <v>5.0999999999999996</v>
      </c>
      <c r="AC21" s="311">
        <f>AF21-Z21</f>
        <v>6973</v>
      </c>
      <c r="AD21" s="311">
        <f>AG21-AA21</f>
        <v>5934</v>
      </c>
      <c r="AE21" s="206">
        <f t="shared" si="5"/>
        <v>-14.9</v>
      </c>
      <c r="AF21" s="318">
        <v>25153</v>
      </c>
      <c r="AG21" s="318">
        <v>25041</v>
      </c>
      <c r="AH21" s="206">
        <f t="shared" si="6"/>
        <v>-0.4</v>
      </c>
      <c r="AI21" s="311">
        <f>AL21-AF21</f>
        <v>5853</v>
      </c>
      <c r="AJ21" s="311">
        <f>AM21-AG21</f>
        <v>5215</v>
      </c>
      <c r="AK21" s="206">
        <f t="shared" si="7"/>
        <v>-10.9</v>
      </c>
      <c r="AL21" s="318">
        <v>31006</v>
      </c>
      <c r="AM21" s="318">
        <v>30256</v>
      </c>
      <c r="AN21" s="206">
        <f t="shared" si="8"/>
        <v>-2.4</v>
      </c>
      <c r="AO21" s="599">
        <f>AR21-AL21</f>
        <v>5627</v>
      </c>
      <c r="AP21" s="599">
        <f>AS21-AM21</f>
        <v>4403</v>
      </c>
      <c r="AQ21" s="595">
        <f t="shared" si="9"/>
        <v>-21.8</v>
      </c>
      <c r="AR21" s="612">
        <v>36633</v>
      </c>
      <c r="AS21" s="612">
        <v>34659</v>
      </c>
      <c r="AT21" s="595">
        <f t="shared" si="10"/>
        <v>-5.4</v>
      </c>
      <c r="AU21" s="869">
        <f>AX21-AR21</f>
        <v>6423</v>
      </c>
      <c r="AV21" s="869">
        <f>AY21-AS21</f>
        <v>5688</v>
      </c>
      <c r="AW21" s="623">
        <f t="shared" si="11"/>
        <v>-11.4</v>
      </c>
      <c r="AX21" s="928">
        <v>43056</v>
      </c>
      <c r="AY21" s="928">
        <v>40347</v>
      </c>
      <c r="AZ21" s="623">
        <f t="shared" si="12"/>
        <v>-6.3</v>
      </c>
      <c r="BA21" s="869">
        <f>BD21-AX21</f>
        <v>4947</v>
      </c>
      <c r="BB21" s="869">
        <f>BE21-AY21</f>
        <v>4934</v>
      </c>
      <c r="BC21" s="623">
        <f t="shared" si="13"/>
        <v>-0.3</v>
      </c>
      <c r="BD21" s="612">
        <v>48003</v>
      </c>
      <c r="BE21" s="612">
        <v>45281</v>
      </c>
      <c r="BF21" s="623">
        <f t="shared" si="14"/>
        <v>-5.7</v>
      </c>
      <c r="BG21" s="869">
        <f>BJ21-BD21</f>
        <v>6663</v>
      </c>
      <c r="BH21" s="869">
        <f>BK21-BE21</f>
        <v>6226</v>
      </c>
      <c r="BI21" s="623">
        <f t="shared" si="15"/>
        <v>-6.6</v>
      </c>
      <c r="BJ21" s="612">
        <v>54666</v>
      </c>
      <c r="BK21" s="612">
        <v>51507</v>
      </c>
      <c r="BL21" s="623">
        <f t="shared" si="16"/>
        <v>-5.8</v>
      </c>
      <c r="BM21" s="869">
        <f>BP21-BJ21</f>
        <v>6785</v>
      </c>
      <c r="BN21" s="869">
        <f>BQ21-BK21</f>
        <v>6356</v>
      </c>
      <c r="BO21" s="623">
        <f t="shared" si="17"/>
        <v>-6.3</v>
      </c>
      <c r="BP21" s="612">
        <v>61451</v>
      </c>
      <c r="BQ21" s="612">
        <v>57863</v>
      </c>
      <c r="BR21" s="623">
        <f t="shared" si="18"/>
        <v>-5.8</v>
      </c>
      <c r="BS21" s="869">
        <f>BV21-BP21</f>
        <v>6028</v>
      </c>
      <c r="BT21" s="869">
        <f>BW21-BQ21</f>
        <v>7138</v>
      </c>
      <c r="BU21" s="623">
        <f t="shared" si="19"/>
        <v>18.399999999999999</v>
      </c>
      <c r="BV21" s="612">
        <v>67479</v>
      </c>
      <c r="BW21" s="612">
        <v>65001</v>
      </c>
      <c r="BX21" s="623">
        <f t="shared" si="20"/>
        <v>-3.7</v>
      </c>
    </row>
    <row r="22" spans="1:76" ht="22.5" customHeight="1">
      <c r="A22" s="14"/>
      <c r="B22" s="1099"/>
      <c r="C22" s="1100"/>
      <c r="D22" s="366" t="s">
        <v>14</v>
      </c>
      <c r="E22" s="449">
        <v>593649</v>
      </c>
      <c r="F22" s="449">
        <v>536988</v>
      </c>
      <c r="G22" s="449">
        <v>564937</v>
      </c>
      <c r="H22" s="449">
        <v>602401</v>
      </c>
      <c r="I22" s="449">
        <v>459377</v>
      </c>
      <c r="J22" s="449">
        <v>422317</v>
      </c>
      <c r="K22" s="202">
        <v>576522</v>
      </c>
      <c r="L22" s="180">
        <v>645568</v>
      </c>
      <c r="M22" s="438">
        <v>526077</v>
      </c>
      <c r="N22" s="309">
        <v>46164</v>
      </c>
      <c r="O22" s="309">
        <v>40434</v>
      </c>
      <c r="P22" s="193">
        <f t="shared" si="0"/>
        <v>-12.4</v>
      </c>
      <c r="Q22" s="309">
        <f>T22-N22</f>
        <v>40089</v>
      </c>
      <c r="R22" s="309">
        <f>U22-O22</f>
        <v>41281</v>
      </c>
      <c r="S22" s="193">
        <f t="shared" si="1"/>
        <v>3</v>
      </c>
      <c r="T22" s="309">
        <v>86253</v>
      </c>
      <c r="U22" s="309">
        <v>81715</v>
      </c>
      <c r="V22" s="193">
        <f t="shared" si="2"/>
        <v>-5.3</v>
      </c>
      <c r="W22" s="309">
        <f>Z22-T22</f>
        <v>43631</v>
      </c>
      <c r="X22" s="309">
        <f>AA22-U22</f>
        <v>53271</v>
      </c>
      <c r="Y22" s="193">
        <f t="shared" si="3"/>
        <v>22.1</v>
      </c>
      <c r="Z22" s="309">
        <v>129884</v>
      </c>
      <c r="AA22" s="309">
        <v>134986</v>
      </c>
      <c r="AB22" s="193">
        <f t="shared" si="4"/>
        <v>3.9</v>
      </c>
      <c r="AC22" s="309">
        <f>AF22-Z22</f>
        <v>50303</v>
      </c>
      <c r="AD22" s="309">
        <f>AG22-AA22</f>
        <v>38304</v>
      </c>
      <c r="AE22" s="193">
        <f t="shared" si="5"/>
        <v>-23.9</v>
      </c>
      <c r="AF22" s="309">
        <v>180187</v>
      </c>
      <c r="AG22" s="309">
        <v>173290</v>
      </c>
      <c r="AH22" s="193">
        <f t="shared" si="6"/>
        <v>-3.8</v>
      </c>
      <c r="AI22" s="309">
        <f>AL22-AF22</f>
        <v>42647</v>
      </c>
      <c r="AJ22" s="309">
        <f>AM22-AG22</f>
        <v>34818</v>
      </c>
      <c r="AK22" s="193">
        <f t="shared" si="7"/>
        <v>-18.399999999999999</v>
      </c>
      <c r="AL22" s="309">
        <v>222834</v>
      </c>
      <c r="AM22" s="309">
        <v>208108</v>
      </c>
      <c r="AN22" s="193">
        <f t="shared" si="8"/>
        <v>-6.6</v>
      </c>
      <c r="AO22" s="597">
        <f>AR22-AL22</f>
        <v>39943</v>
      </c>
      <c r="AP22" s="597">
        <f>AS22-AM22</f>
        <v>28978</v>
      </c>
      <c r="AQ22" s="587">
        <f t="shared" si="9"/>
        <v>-27.5</v>
      </c>
      <c r="AR22" s="868">
        <v>262777</v>
      </c>
      <c r="AS22" s="868">
        <v>237086</v>
      </c>
      <c r="AT22" s="587">
        <f t="shared" si="10"/>
        <v>-9.8000000000000007</v>
      </c>
      <c r="AU22" s="868">
        <f>AX22-AR22</f>
        <v>45340</v>
      </c>
      <c r="AV22" s="868">
        <f>AY22-AS22</f>
        <v>37934</v>
      </c>
      <c r="AW22" s="615">
        <f t="shared" si="11"/>
        <v>-16.3</v>
      </c>
      <c r="AX22" s="925">
        <v>308117</v>
      </c>
      <c r="AY22" s="925">
        <v>275020</v>
      </c>
      <c r="AZ22" s="615">
        <f t="shared" si="12"/>
        <v>-10.7</v>
      </c>
      <c r="BA22" s="868">
        <f>BD22-AX22</f>
        <v>35425</v>
      </c>
      <c r="BB22" s="868">
        <f>BE22-AY22</f>
        <v>34792</v>
      </c>
      <c r="BC22" s="615">
        <f t="shared" si="13"/>
        <v>-1.8</v>
      </c>
      <c r="BD22" s="868">
        <v>343542</v>
      </c>
      <c r="BE22" s="868">
        <v>309812</v>
      </c>
      <c r="BF22" s="615">
        <f t="shared" si="14"/>
        <v>-9.8000000000000007</v>
      </c>
      <c r="BG22" s="868">
        <f>BJ22-BD22</f>
        <v>47125</v>
      </c>
      <c r="BH22" s="868">
        <f>BK22-BE22</f>
        <v>46141</v>
      </c>
      <c r="BI22" s="615">
        <f t="shared" si="15"/>
        <v>-2.1</v>
      </c>
      <c r="BJ22" s="868">
        <v>390667</v>
      </c>
      <c r="BK22" s="868">
        <v>355953</v>
      </c>
      <c r="BL22" s="615">
        <f t="shared" si="16"/>
        <v>-8.9</v>
      </c>
      <c r="BM22" s="868">
        <f>BP22-BJ22</f>
        <v>47522</v>
      </c>
      <c r="BN22" s="868">
        <f>BQ22-BK22</f>
        <v>48736</v>
      </c>
      <c r="BO22" s="615">
        <f t="shared" si="17"/>
        <v>2.6</v>
      </c>
      <c r="BP22" s="868">
        <v>438189</v>
      </c>
      <c r="BQ22" s="868">
        <v>404689</v>
      </c>
      <c r="BR22" s="615">
        <f t="shared" si="18"/>
        <v>-7.6</v>
      </c>
      <c r="BS22" s="868">
        <f>BV22-BP22</f>
        <v>42067</v>
      </c>
      <c r="BT22" s="868">
        <f>BW22-BQ22</f>
        <v>54872</v>
      </c>
      <c r="BU22" s="615">
        <f t="shared" si="19"/>
        <v>30.4</v>
      </c>
      <c r="BV22" s="868">
        <v>480256</v>
      </c>
      <c r="BW22" s="868">
        <v>459561</v>
      </c>
      <c r="BX22" s="615">
        <f t="shared" si="20"/>
        <v>-4.3</v>
      </c>
    </row>
    <row r="23" spans="1:76" ht="22.5" customHeight="1">
      <c r="A23" s="14"/>
      <c r="B23" s="1099"/>
      <c r="C23" s="1100"/>
      <c r="D23" s="370" t="s">
        <v>15</v>
      </c>
      <c r="E23" s="450">
        <f t="shared" ref="E23:L23" si="26">E22/E21*1000</f>
        <v>8896.5501738400671</v>
      </c>
      <c r="F23" s="450">
        <f t="shared" si="26"/>
        <v>8007.9335490701933</v>
      </c>
      <c r="G23" s="450">
        <f t="shared" si="26"/>
        <v>7668.2728852209793</v>
      </c>
      <c r="H23" s="450">
        <f t="shared" si="26"/>
        <v>7570.0390816441941</v>
      </c>
      <c r="I23" s="450">
        <f t="shared" si="26"/>
        <v>6674.3719761140246</v>
      </c>
      <c r="J23" s="450">
        <f t="shared" si="26"/>
        <v>5917.6218367289748</v>
      </c>
      <c r="K23" s="203">
        <f t="shared" si="26"/>
        <v>7143.8378231022771</v>
      </c>
      <c r="L23" s="181">
        <f t="shared" si="26"/>
        <v>7782.8975128696629</v>
      </c>
      <c r="M23" s="439">
        <f>M22/M21*1000</f>
        <v>7123.2989858231895</v>
      </c>
      <c r="N23" s="317">
        <f>N22/N21*1000</f>
        <v>7110.9057301293897</v>
      </c>
      <c r="O23" s="317">
        <f>O22/O21*1000</f>
        <v>7137.5110326566637</v>
      </c>
      <c r="P23" s="204">
        <f t="shared" si="0"/>
        <v>0.4</v>
      </c>
      <c r="Q23" s="317">
        <f>Q22/Q21*1000</f>
        <v>7115.5484558040462</v>
      </c>
      <c r="R23" s="317">
        <f>R22/R21*1000</f>
        <v>7121.0971191995859</v>
      </c>
      <c r="S23" s="204">
        <f t="shared" si="1"/>
        <v>0.1</v>
      </c>
      <c r="T23" s="317">
        <f>T22/T21*1000</f>
        <v>7113.0628401781296</v>
      </c>
      <c r="U23" s="317">
        <f>U22/U21*1000</f>
        <v>7129.2095620310592</v>
      </c>
      <c r="V23" s="204">
        <f t="shared" si="2"/>
        <v>0.2</v>
      </c>
      <c r="W23" s="317">
        <f>W22/W21*1000</f>
        <v>7206.9705979517676</v>
      </c>
      <c r="X23" s="317">
        <f>X22/X21*1000</f>
        <v>6968.0837148463052</v>
      </c>
      <c r="Y23" s="204">
        <f t="shared" si="3"/>
        <v>-3.3</v>
      </c>
      <c r="Z23" s="317">
        <f>Z22/Z21*1000</f>
        <v>7144.3344334433441</v>
      </c>
      <c r="AA23" s="317">
        <f>AA22/AA21*1000</f>
        <v>7064.7406709582874</v>
      </c>
      <c r="AB23" s="204">
        <f t="shared" si="4"/>
        <v>-1.1000000000000001</v>
      </c>
      <c r="AC23" s="317">
        <f>AC22/AC21*1000</f>
        <v>7213.9681629140969</v>
      </c>
      <c r="AD23" s="317">
        <f>AD22/AD21*1000</f>
        <v>6455.0050556117294</v>
      </c>
      <c r="AE23" s="204">
        <f t="shared" si="5"/>
        <v>-10.5</v>
      </c>
      <c r="AF23" s="317">
        <f>AF22/AF21*1000</f>
        <v>7163.6385321830394</v>
      </c>
      <c r="AG23" s="317">
        <f>AG22/AG21*1000</f>
        <v>6920.2507887065212</v>
      </c>
      <c r="AH23" s="204">
        <f t="shared" si="6"/>
        <v>-3.4</v>
      </c>
      <c r="AI23" s="317">
        <f>AI22/AI21*1000</f>
        <v>7286.3488809157698</v>
      </c>
      <c r="AJ23" s="317">
        <f>AJ22/AJ21*1000</f>
        <v>6676.5100671140945</v>
      </c>
      <c r="AK23" s="204">
        <f t="shared" si="7"/>
        <v>-8.4</v>
      </c>
      <c r="AL23" s="317">
        <f>AL22/AL21*1000</f>
        <v>7186.8025543443209</v>
      </c>
      <c r="AM23" s="317">
        <f>AM22/AM21*1000</f>
        <v>6878.2390269698572</v>
      </c>
      <c r="AN23" s="204">
        <f t="shared" si="8"/>
        <v>-4.3</v>
      </c>
      <c r="AO23" s="603">
        <f>AO22/AO21*1000</f>
        <v>7098.4538830637994</v>
      </c>
      <c r="AP23" s="603">
        <f>AP22/AP21*1000</f>
        <v>6581.4217578923462</v>
      </c>
      <c r="AQ23" s="594">
        <f t="shared" si="9"/>
        <v>-7.3</v>
      </c>
      <c r="AR23" s="631">
        <f>AR22/AR21*1000</f>
        <v>7173.2317855485489</v>
      </c>
      <c r="AS23" s="631">
        <f>AS22/AS21*1000</f>
        <v>6840.5320407397794</v>
      </c>
      <c r="AT23" s="594">
        <f t="shared" si="10"/>
        <v>-4.5999999999999996</v>
      </c>
      <c r="AU23" s="631">
        <f>AU22/AU21*1000</f>
        <v>7059.0066946909546</v>
      </c>
      <c r="AV23" s="631">
        <f>AV22/AV21*1000</f>
        <v>6669.1279887482424</v>
      </c>
      <c r="AW23" s="622">
        <f t="shared" si="11"/>
        <v>-5.5</v>
      </c>
      <c r="AX23" s="927">
        <f>AX22/AX21*1000</f>
        <v>7156.1919360832399</v>
      </c>
      <c r="AY23" s="927">
        <f>AY22/AY21*1000</f>
        <v>6816.3680075346365</v>
      </c>
      <c r="AZ23" s="622">
        <f t="shared" si="12"/>
        <v>-4.7</v>
      </c>
      <c r="BA23" s="631">
        <f>BA22/BA21*1000</f>
        <v>7160.9055993531438</v>
      </c>
      <c r="BB23" s="631">
        <f>BB22/BB21*1000</f>
        <v>7051.4795297932715</v>
      </c>
      <c r="BC23" s="622">
        <f t="shared" si="13"/>
        <v>-1.5</v>
      </c>
      <c r="BD23" s="631">
        <f>BD22/BD21*1000</f>
        <v>7156.6777076432718</v>
      </c>
      <c r="BE23" s="631">
        <f>BE22/BE21*1000</f>
        <v>6841.9867052406089</v>
      </c>
      <c r="BF23" s="622">
        <f t="shared" si="14"/>
        <v>-4.4000000000000004</v>
      </c>
      <c r="BG23" s="631">
        <f>BG22/BG21*1000</f>
        <v>7072.639951973586</v>
      </c>
      <c r="BH23" s="631">
        <f>BH22/BH21*1000</f>
        <v>7411.018310311596</v>
      </c>
      <c r="BI23" s="622">
        <f t="shared" si="15"/>
        <v>4.8</v>
      </c>
      <c r="BJ23" s="631">
        <f>BJ22/BJ21*1000</f>
        <v>7146.4347126184466</v>
      </c>
      <c r="BK23" s="631">
        <f>BK22/BK21*1000</f>
        <v>6910.7694099831087</v>
      </c>
      <c r="BL23" s="622">
        <f t="shared" si="16"/>
        <v>-3.3</v>
      </c>
      <c r="BM23" s="631">
        <f>BM22/BM21*1000</f>
        <v>7003.9793662490792</v>
      </c>
      <c r="BN23" s="631">
        <f>BN22/BN21*1000</f>
        <v>7667.7155443675265</v>
      </c>
      <c r="BO23" s="622">
        <f t="shared" si="17"/>
        <v>9.5</v>
      </c>
      <c r="BP23" s="631">
        <f>BP22/BP21*1000</f>
        <v>7130.7057655693152</v>
      </c>
      <c r="BQ23" s="631">
        <f>BQ22/BQ21*1000</f>
        <v>6993.916665226483</v>
      </c>
      <c r="BR23" s="622">
        <f t="shared" si="18"/>
        <v>-1.9</v>
      </c>
      <c r="BS23" s="631">
        <f>BS22/BS21*1000</f>
        <v>6978.5998672859987</v>
      </c>
      <c r="BT23" s="631">
        <f>BT22/BT21*1000</f>
        <v>7687.3073690109277</v>
      </c>
      <c r="BU23" s="622">
        <f t="shared" si="19"/>
        <v>10.199999999999999</v>
      </c>
      <c r="BV23" s="631">
        <f>BV22/BV21*1000</f>
        <v>7117.1179181671341</v>
      </c>
      <c r="BW23" s="631">
        <f>BW22/BW21*1000</f>
        <v>7070.0604606082979</v>
      </c>
      <c r="BX23" s="622">
        <f t="shared" si="20"/>
        <v>-0.7</v>
      </c>
    </row>
    <row r="24" spans="1:76" ht="22.5" customHeight="1">
      <c r="A24" s="14"/>
      <c r="B24" s="1099" t="s">
        <v>22</v>
      </c>
      <c r="C24" s="1100">
        <v>7410</v>
      </c>
      <c r="D24" s="365" t="s">
        <v>13</v>
      </c>
      <c r="E24" s="452">
        <v>42143</v>
      </c>
      <c r="F24" s="452">
        <v>34306</v>
      </c>
      <c r="G24" s="452">
        <v>24639</v>
      </c>
      <c r="H24" s="452">
        <v>26784</v>
      </c>
      <c r="I24" s="452">
        <v>28141</v>
      </c>
      <c r="J24" s="452">
        <v>29624</v>
      </c>
      <c r="K24" s="207">
        <v>32581</v>
      </c>
      <c r="L24" s="183">
        <v>34731</v>
      </c>
      <c r="M24" s="312">
        <v>34761</v>
      </c>
      <c r="N24" s="311">
        <v>3028</v>
      </c>
      <c r="O24" s="311">
        <v>2265</v>
      </c>
      <c r="P24" s="195">
        <f t="shared" si="0"/>
        <v>-25.2</v>
      </c>
      <c r="Q24" s="311">
        <f>T24-N24</f>
        <v>2586</v>
      </c>
      <c r="R24" s="311">
        <f>U24-O24</f>
        <v>2410</v>
      </c>
      <c r="S24" s="195">
        <f t="shared" si="1"/>
        <v>-6.8</v>
      </c>
      <c r="T24" s="311">
        <v>5614</v>
      </c>
      <c r="U24" s="311">
        <v>4675</v>
      </c>
      <c r="V24" s="195">
        <f t="shared" si="2"/>
        <v>-16.7</v>
      </c>
      <c r="W24" s="311">
        <f>Z24-T24</f>
        <v>2823</v>
      </c>
      <c r="X24" s="311">
        <f>AA24-U24</f>
        <v>3373</v>
      </c>
      <c r="Y24" s="195">
        <f t="shared" si="3"/>
        <v>19.5</v>
      </c>
      <c r="Z24" s="311">
        <v>8437</v>
      </c>
      <c r="AA24" s="311">
        <v>8048</v>
      </c>
      <c r="AB24" s="195">
        <f t="shared" si="4"/>
        <v>-4.5999999999999996</v>
      </c>
      <c r="AC24" s="311">
        <f>AF24-Z24</f>
        <v>3176</v>
      </c>
      <c r="AD24" s="311">
        <f>AG24-AA24</f>
        <v>3199</v>
      </c>
      <c r="AE24" s="195">
        <f t="shared" si="5"/>
        <v>0.7</v>
      </c>
      <c r="AF24" s="311">
        <v>11613</v>
      </c>
      <c r="AG24" s="311">
        <v>11247</v>
      </c>
      <c r="AH24" s="195">
        <f t="shared" si="6"/>
        <v>-3.2</v>
      </c>
      <c r="AI24" s="311">
        <f>AL24-AF24</f>
        <v>3209</v>
      </c>
      <c r="AJ24" s="311">
        <f>AM24-AG24</f>
        <v>2721</v>
      </c>
      <c r="AK24" s="195">
        <f t="shared" si="7"/>
        <v>-15.2</v>
      </c>
      <c r="AL24" s="311">
        <v>14822</v>
      </c>
      <c r="AM24" s="311">
        <v>13968</v>
      </c>
      <c r="AN24" s="195">
        <f t="shared" si="8"/>
        <v>-5.8</v>
      </c>
      <c r="AO24" s="599">
        <f>AR24-AL24</f>
        <v>2637</v>
      </c>
      <c r="AP24" s="599">
        <f>AS24-AM24</f>
        <v>3073</v>
      </c>
      <c r="AQ24" s="589">
        <f t="shared" si="9"/>
        <v>16.5</v>
      </c>
      <c r="AR24" s="869">
        <v>17459</v>
      </c>
      <c r="AS24" s="869">
        <v>17041</v>
      </c>
      <c r="AT24" s="589">
        <f t="shared" si="10"/>
        <v>-2.4</v>
      </c>
      <c r="AU24" s="869">
        <f>AX24-AR24</f>
        <v>3143</v>
      </c>
      <c r="AV24" s="869">
        <f>AY24-AS24</f>
        <v>3586</v>
      </c>
      <c r="AW24" s="617">
        <f t="shared" si="11"/>
        <v>14.1</v>
      </c>
      <c r="AX24" s="929">
        <v>20602</v>
      </c>
      <c r="AY24" s="929">
        <v>20627</v>
      </c>
      <c r="AZ24" s="617">
        <f t="shared" si="12"/>
        <v>0.1</v>
      </c>
      <c r="BA24" s="869">
        <f>BD24-AX24</f>
        <v>3092</v>
      </c>
      <c r="BB24" s="869">
        <f>BE24-AY24</f>
        <v>3676</v>
      </c>
      <c r="BC24" s="617">
        <f t="shared" si="13"/>
        <v>18.899999999999999</v>
      </c>
      <c r="BD24" s="869">
        <v>23694</v>
      </c>
      <c r="BE24" s="869">
        <v>24303</v>
      </c>
      <c r="BF24" s="617">
        <f t="shared" si="14"/>
        <v>2.6</v>
      </c>
      <c r="BG24" s="869">
        <f>BJ24-BD24</f>
        <v>3029</v>
      </c>
      <c r="BH24" s="869">
        <f>BK24-BE24</f>
        <v>4229</v>
      </c>
      <c r="BI24" s="617">
        <f t="shared" si="15"/>
        <v>39.6</v>
      </c>
      <c r="BJ24" s="869">
        <v>26723</v>
      </c>
      <c r="BK24" s="869">
        <v>28532</v>
      </c>
      <c r="BL24" s="617">
        <f t="shared" si="16"/>
        <v>6.8</v>
      </c>
      <c r="BM24" s="869">
        <f>BP24-BJ24</f>
        <v>2852</v>
      </c>
      <c r="BN24" s="869">
        <f>BQ24-BK24</f>
        <v>4047</v>
      </c>
      <c r="BO24" s="617">
        <f t="shared" si="17"/>
        <v>41.9</v>
      </c>
      <c r="BP24" s="869">
        <v>29575</v>
      </c>
      <c r="BQ24" s="869">
        <v>32579</v>
      </c>
      <c r="BR24" s="617">
        <f t="shared" si="18"/>
        <v>10.199999999999999</v>
      </c>
      <c r="BS24" s="869">
        <f>BV24-BP24</f>
        <v>2858</v>
      </c>
      <c r="BT24" s="869">
        <f>BW24-BQ24</f>
        <v>4176</v>
      </c>
      <c r="BU24" s="617">
        <f t="shared" si="19"/>
        <v>46.1</v>
      </c>
      <c r="BV24" s="869">
        <v>32433</v>
      </c>
      <c r="BW24" s="869">
        <v>36755</v>
      </c>
      <c r="BX24" s="617">
        <f t="shared" si="20"/>
        <v>13.3</v>
      </c>
    </row>
    <row r="25" spans="1:76" ht="22.5" customHeight="1">
      <c r="A25" s="14"/>
      <c r="B25" s="1099"/>
      <c r="C25" s="1100"/>
      <c r="D25" s="366" t="s">
        <v>14</v>
      </c>
      <c r="E25" s="449">
        <v>443404</v>
      </c>
      <c r="F25" s="449">
        <v>425095</v>
      </c>
      <c r="G25" s="449">
        <v>363665</v>
      </c>
      <c r="H25" s="449">
        <v>405154</v>
      </c>
      <c r="I25" s="449">
        <v>377313</v>
      </c>
      <c r="J25" s="449">
        <v>424780</v>
      </c>
      <c r="K25" s="202">
        <v>524567</v>
      </c>
      <c r="L25" s="180">
        <v>650746</v>
      </c>
      <c r="M25" s="438">
        <v>680716</v>
      </c>
      <c r="N25" s="309">
        <v>54382</v>
      </c>
      <c r="O25" s="309">
        <v>50493</v>
      </c>
      <c r="P25" s="193">
        <f t="shared" si="0"/>
        <v>-7.2</v>
      </c>
      <c r="Q25" s="309">
        <f>T25-N25</f>
        <v>44730</v>
      </c>
      <c r="R25" s="309">
        <f>U25-O25</f>
        <v>48218</v>
      </c>
      <c r="S25" s="193">
        <f t="shared" si="1"/>
        <v>7.8</v>
      </c>
      <c r="T25" s="309">
        <v>99112</v>
      </c>
      <c r="U25" s="309">
        <v>98711</v>
      </c>
      <c r="V25" s="193">
        <f t="shared" si="2"/>
        <v>-0.4</v>
      </c>
      <c r="W25" s="309">
        <f>Z25-T25</f>
        <v>53885</v>
      </c>
      <c r="X25" s="309">
        <f>AA25-U25</f>
        <v>65812</v>
      </c>
      <c r="Y25" s="193">
        <f t="shared" si="3"/>
        <v>22.1</v>
      </c>
      <c r="Z25" s="309">
        <v>152997</v>
      </c>
      <c r="AA25" s="309">
        <v>164523</v>
      </c>
      <c r="AB25" s="193">
        <f t="shared" si="4"/>
        <v>7.5</v>
      </c>
      <c r="AC25" s="309">
        <f>AF25-Z25</f>
        <v>59962</v>
      </c>
      <c r="AD25" s="309">
        <f>AG25-AA25</f>
        <v>59347</v>
      </c>
      <c r="AE25" s="193">
        <f t="shared" si="5"/>
        <v>-1</v>
      </c>
      <c r="AF25" s="309">
        <v>212959</v>
      </c>
      <c r="AG25" s="309">
        <v>223870</v>
      </c>
      <c r="AH25" s="193">
        <f t="shared" si="6"/>
        <v>5.0999999999999996</v>
      </c>
      <c r="AI25" s="309">
        <f>AL25-AF25</f>
        <v>62628</v>
      </c>
      <c r="AJ25" s="309">
        <f>AM25-AG25</f>
        <v>52690</v>
      </c>
      <c r="AK25" s="193">
        <f t="shared" si="7"/>
        <v>-15.9</v>
      </c>
      <c r="AL25" s="309">
        <v>275587</v>
      </c>
      <c r="AM25" s="309">
        <v>276560</v>
      </c>
      <c r="AN25" s="193">
        <f t="shared" si="8"/>
        <v>0.4</v>
      </c>
      <c r="AO25" s="597">
        <f>AR25-AL25</f>
        <v>53645</v>
      </c>
      <c r="AP25" s="597">
        <f>AS25-AM25</f>
        <v>56496</v>
      </c>
      <c r="AQ25" s="587">
        <f t="shared" si="9"/>
        <v>5.3</v>
      </c>
      <c r="AR25" s="868">
        <v>329232</v>
      </c>
      <c r="AS25" s="868">
        <v>333056</v>
      </c>
      <c r="AT25" s="587">
        <f t="shared" si="10"/>
        <v>1.2</v>
      </c>
      <c r="AU25" s="868">
        <f>AX25-AR25</f>
        <v>65837</v>
      </c>
      <c r="AV25" s="868">
        <f>AY25-AS25</f>
        <v>67464</v>
      </c>
      <c r="AW25" s="615">
        <f t="shared" si="11"/>
        <v>2.5</v>
      </c>
      <c r="AX25" s="925">
        <v>395069</v>
      </c>
      <c r="AY25" s="925">
        <v>400520</v>
      </c>
      <c r="AZ25" s="615">
        <f t="shared" si="12"/>
        <v>1.4</v>
      </c>
      <c r="BA25" s="868">
        <f>BD25-AX25</f>
        <v>61686</v>
      </c>
      <c r="BB25" s="868">
        <f>BE25-AY25</f>
        <v>67873</v>
      </c>
      <c r="BC25" s="615">
        <f t="shared" si="13"/>
        <v>10</v>
      </c>
      <c r="BD25" s="868">
        <v>456755</v>
      </c>
      <c r="BE25" s="868">
        <v>468393</v>
      </c>
      <c r="BF25" s="615">
        <f t="shared" si="14"/>
        <v>2.5</v>
      </c>
      <c r="BG25" s="868">
        <f>BJ25-BD25</f>
        <v>59782</v>
      </c>
      <c r="BH25" s="868">
        <f>BK25-BE25</f>
        <v>77266</v>
      </c>
      <c r="BI25" s="615">
        <f t="shared" si="15"/>
        <v>29.2</v>
      </c>
      <c r="BJ25" s="868">
        <v>516537</v>
      </c>
      <c r="BK25" s="868">
        <v>545659</v>
      </c>
      <c r="BL25" s="615">
        <f t="shared" si="16"/>
        <v>5.6</v>
      </c>
      <c r="BM25" s="868">
        <f>BP25-BJ25</f>
        <v>56909</v>
      </c>
      <c r="BN25" s="868">
        <f>BQ25-BK25</f>
        <v>72778</v>
      </c>
      <c r="BO25" s="615">
        <f t="shared" si="17"/>
        <v>27.9</v>
      </c>
      <c r="BP25" s="868">
        <v>573446</v>
      </c>
      <c r="BQ25" s="868">
        <v>618437</v>
      </c>
      <c r="BR25" s="615">
        <f t="shared" si="18"/>
        <v>7.8</v>
      </c>
      <c r="BS25" s="868">
        <f>BV25-BP25</f>
        <v>58157</v>
      </c>
      <c r="BT25" s="868">
        <f>BW25-BQ25</f>
        <v>75670</v>
      </c>
      <c r="BU25" s="615">
        <f t="shared" si="19"/>
        <v>30.1</v>
      </c>
      <c r="BV25" s="868">
        <v>631603</v>
      </c>
      <c r="BW25" s="868">
        <v>694107</v>
      </c>
      <c r="BX25" s="615">
        <f t="shared" si="20"/>
        <v>9.9</v>
      </c>
    </row>
    <row r="26" spans="1:76" ht="22.5" customHeight="1">
      <c r="A26" s="14"/>
      <c r="B26" s="1099"/>
      <c r="C26" s="1100"/>
      <c r="D26" s="370" t="s">
        <v>15</v>
      </c>
      <c r="E26" s="453">
        <f t="shared" ref="E26:L26" si="27">E25/E24*1000</f>
        <v>10521.415181643451</v>
      </c>
      <c r="F26" s="453">
        <f t="shared" si="27"/>
        <v>12391.272663673994</v>
      </c>
      <c r="G26" s="453">
        <f t="shared" si="27"/>
        <v>14759.730508543367</v>
      </c>
      <c r="H26" s="453">
        <f t="shared" si="27"/>
        <v>15126.717443249701</v>
      </c>
      <c r="I26" s="453">
        <f t="shared" si="27"/>
        <v>13407.945702000641</v>
      </c>
      <c r="J26" s="453">
        <f t="shared" si="27"/>
        <v>14339.049419389685</v>
      </c>
      <c r="K26" s="208">
        <f t="shared" si="27"/>
        <v>16100.39593628188</v>
      </c>
      <c r="L26" s="184">
        <f t="shared" si="27"/>
        <v>18736.748150067662</v>
      </c>
      <c r="M26" s="439">
        <f>M25/M24*1000</f>
        <v>19582.750783924515</v>
      </c>
      <c r="N26" s="310">
        <f>N25/N24*1000</f>
        <v>17959.70937912814</v>
      </c>
      <c r="O26" s="310">
        <f>O25/O24*1000</f>
        <v>22292.715231788079</v>
      </c>
      <c r="P26" s="194">
        <f t="shared" si="0"/>
        <v>24.1</v>
      </c>
      <c r="Q26" s="310">
        <f>Q25/Q24*1000</f>
        <v>17296.983758700699</v>
      </c>
      <c r="R26" s="310">
        <f>R25/R24*1000</f>
        <v>20007.468879668049</v>
      </c>
      <c r="S26" s="194">
        <f t="shared" si="1"/>
        <v>15.7</v>
      </c>
      <c r="T26" s="310">
        <f>T25/T24*1000</f>
        <v>17654.435340220876</v>
      </c>
      <c r="U26" s="310">
        <f>U25/U24*1000</f>
        <v>21114.65240641711</v>
      </c>
      <c r="V26" s="194">
        <f t="shared" si="2"/>
        <v>19.600000000000001</v>
      </c>
      <c r="W26" s="310">
        <f>W25/W24*1000</f>
        <v>19087.849805171802</v>
      </c>
      <c r="X26" s="310">
        <f>X25/X24*1000</f>
        <v>19511.414171360804</v>
      </c>
      <c r="Y26" s="194">
        <f t="shared" si="3"/>
        <v>2.2000000000000002</v>
      </c>
      <c r="Z26" s="310">
        <f>Z25/Z24*1000</f>
        <v>18134.052388289674</v>
      </c>
      <c r="AA26" s="310">
        <f>AA25/AA24*1000</f>
        <v>20442.718687872763</v>
      </c>
      <c r="AB26" s="194">
        <f t="shared" si="4"/>
        <v>12.7</v>
      </c>
      <c r="AC26" s="310">
        <f>AC25/AC24*1000</f>
        <v>18879.722921914359</v>
      </c>
      <c r="AD26" s="310">
        <f>AD25/AD24*1000</f>
        <v>18551.734917161615</v>
      </c>
      <c r="AE26" s="194">
        <f t="shared" si="5"/>
        <v>-1.7</v>
      </c>
      <c r="AF26" s="310">
        <f>AF25/AF24*1000</f>
        <v>18337.983294583653</v>
      </c>
      <c r="AG26" s="310">
        <f>AG25/AG24*1000</f>
        <v>19904.863519160663</v>
      </c>
      <c r="AH26" s="194">
        <f t="shared" si="6"/>
        <v>8.5</v>
      </c>
      <c r="AI26" s="310">
        <f>AI25/AI24*1000</f>
        <v>19516.360236833905</v>
      </c>
      <c r="AJ26" s="310">
        <f>AJ25/AJ24*1000</f>
        <v>19364.204336640942</v>
      </c>
      <c r="AK26" s="194">
        <f t="shared" si="7"/>
        <v>-0.8</v>
      </c>
      <c r="AL26" s="310">
        <f>AL25/AL24*1000</f>
        <v>18593.104844150588</v>
      </c>
      <c r="AM26" s="310">
        <f>AM25/AM24*1000</f>
        <v>19799.541809851089</v>
      </c>
      <c r="AN26" s="194">
        <f t="shared" si="8"/>
        <v>6.5</v>
      </c>
      <c r="AO26" s="598">
        <f>AO25/AO24*1000</f>
        <v>20343.193022373911</v>
      </c>
      <c r="AP26" s="598">
        <f>AP25/AP24*1000</f>
        <v>18384.640416531078</v>
      </c>
      <c r="AQ26" s="588">
        <f t="shared" si="9"/>
        <v>-9.6</v>
      </c>
      <c r="AR26" s="626">
        <f>AR25/AR24*1000</f>
        <v>18857.437424823875</v>
      </c>
      <c r="AS26" s="626">
        <f>AS25/AS24*1000</f>
        <v>19544.392934686934</v>
      </c>
      <c r="AT26" s="588">
        <f t="shared" si="10"/>
        <v>3.6</v>
      </c>
      <c r="AU26" s="626">
        <f>AU25/AU24*1000</f>
        <v>20947.184218899143</v>
      </c>
      <c r="AV26" s="626">
        <f>AV25/AV24*1000</f>
        <v>18813.162297824874</v>
      </c>
      <c r="AW26" s="616">
        <f t="shared" si="11"/>
        <v>-10.199999999999999</v>
      </c>
      <c r="AX26" s="930">
        <f>AX25/AX24*1000</f>
        <v>19176.245024754877</v>
      </c>
      <c r="AY26" s="930">
        <f>AY25/AY24*1000</f>
        <v>19417.268628496629</v>
      </c>
      <c r="AZ26" s="616">
        <f t="shared" si="12"/>
        <v>1.3</v>
      </c>
      <c r="BA26" s="626">
        <f>BA25/BA24*1000</f>
        <v>19950.194049159119</v>
      </c>
      <c r="BB26" s="626">
        <f>BB25/BB24*1000</f>
        <v>18463.819368879216</v>
      </c>
      <c r="BC26" s="616">
        <f t="shared" si="13"/>
        <v>-7.5</v>
      </c>
      <c r="BD26" s="626">
        <f>BD25/BD24*1000</f>
        <v>19277.243183928418</v>
      </c>
      <c r="BE26" s="626">
        <f>BE25/BE24*1000</f>
        <v>19273.052709542033</v>
      </c>
      <c r="BF26" s="616">
        <f t="shared" si="14"/>
        <v>0</v>
      </c>
      <c r="BG26" s="626">
        <f>BG25/BG24*1000</f>
        <v>19736.54671508749</v>
      </c>
      <c r="BH26" s="626">
        <f>BH25/BH24*1000</f>
        <v>18270.513123669898</v>
      </c>
      <c r="BI26" s="616">
        <f t="shared" si="15"/>
        <v>-7.4</v>
      </c>
      <c r="BJ26" s="626">
        <f>BJ25/BJ24*1000</f>
        <v>19329.30434457209</v>
      </c>
      <c r="BK26" s="626">
        <f>BK25/BK24*1000</f>
        <v>19124.456750315436</v>
      </c>
      <c r="BL26" s="616">
        <f t="shared" si="16"/>
        <v>-1.1000000000000001</v>
      </c>
      <c r="BM26" s="626">
        <f>BM25/BM24*1000</f>
        <v>19954.067321178118</v>
      </c>
      <c r="BN26" s="626">
        <f>BN25/BN24*1000</f>
        <v>17983.197430195207</v>
      </c>
      <c r="BO26" s="616">
        <f t="shared" si="17"/>
        <v>-9.9</v>
      </c>
      <c r="BP26" s="626">
        <f>BP25/BP24*1000</f>
        <v>19389.551986475064</v>
      </c>
      <c r="BQ26" s="626">
        <f>BQ25/BQ24*1000</f>
        <v>18982.688234752448</v>
      </c>
      <c r="BR26" s="616">
        <f t="shared" si="18"/>
        <v>-2.1</v>
      </c>
      <c r="BS26" s="626">
        <f>BS25/BS24*1000</f>
        <v>20348.845346396083</v>
      </c>
      <c r="BT26" s="626">
        <f>BT25/BT24*1000</f>
        <v>18120.210727969348</v>
      </c>
      <c r="BU26" s="616">
        <f t="shared" si="19"/>
        <v>-11</v>
      </c>
      <c r="BV26" s="626">
        <f>BV25/BV24*1000</f>
        <v>19474.08503684519</v>
      </c>
      <c r="BW26" s="626">
        <f>BW25/BW24*1000</f>
        <v>18884.69595973337</v>
      </c>
      <c r="BX26" s="616">
        <f t="shared" si="20"/>
        <v>-3</v>
      </c>
    </row>
    <row r="27" spans="1:76" ht="22.5" customHeight="1">
      <c r="A27" s="14"/>
      <c r="B27" s="1099" t="s">
        <v>23</v>
      </c>
      <c r="C27" s="1100">
        <v>7411</v>
      </c>
      <c r="D27" s="365" t="s">
        <v>13</v>
      </c>
      <c r="E27" s="452">
        <v>49152</v>
      </c>
      <c r="F27" s="452">
        <v>50311</v>
      </c>
      <c r="G27" s="452">
        <v>54991</v>
      </c>
      <c r="H27" s="452">
        <v>55735</v>
      </c>
      <c r="I27" s="452">
        <v>55395</v>
      </c>
      <c r="J27" s="452">
        <v>48516</v>
      </c>
      <c r="K27" s="207">
        <v>48036</v>
      </c>
      <c r="L27" s="183">
        <v>44820</v>
      </c>
      <c r="M27" s="312">
        <v>42479</v>
      </c>
      <c r="N27" s="311">
        <v>3667</v>
      </c>
      <c r="O27" s="311">
        <v>3087</v>
      </c>
      <c r="P27" s="195">
        <f t="shared" si="0"/>
        <v>-15.8</v>
      </c>
      <c r="Q27" s="311">
        <f>T27-N27</f>
        <v>3373</v>
      </c>
      <c r="R27" s="311">
        <f>U27-O27</f>
        <v>3646</v>
      </c>
      <c r="S27" s="195">
        <f t="shared" si="1"/>
        <v>8.1</v>
      </c>
      <c r="T27" s="311">
        <v>7040</v>
      </c>
      <c r="U27" s="311">
        <v>6733</v>
      </c>
      <c r="V27" s="195">
        <f t="shared" si="2"/>
        <v>-4.4000000000000004</v>
      </c>
      <c r="W27" s="311">
        <f>Z27-T27</f>
        <v>3471</v>
      </c>
      <c r="X27" s="311">
        <f>AA27-U27</f>
        <v>4103</v>
      </c>
      <c r="Y27" s="195">
        <f t="shared" si="3"/>
        <v>18.2</v>
      </c>
      <c r="Z27" s="311">
        <v>10511</v>
      </c>
      <c r="AA27" s="311">
        <v>10836</v>
      </c>
      <c r="AB27" s="195">
        <f t="shared" si="4"/>
        <v>3.1</v>
      </c>
      <c r="AC27" s="311">
        <f>AF27-Z27</f>
        <v>4048</v>
      </c>
      <c r="AD27" s="311">
        <f>AG27-AA27</f>
        <v>3455</v>
      </c>
      <c r="AE27" s="195">
        <f t="shared" si="5"/>
        <v>-14.6</v>
      </c>
      <c r="AF27" s="311">
        <v>14559</v>
      </c>
      <c r="AG27" s="311">
        <v>14291</v>
      </c>
      <c r="AH27" s="195">
        <f t="shared" si="6"/>
        <v>-1.8</v>
      </c>
      <c r="AI27" s="311">
        <f>AL27-AF27</f>
        <v>3885</v>
      </c>
      <c r="AJ27" s="311">
        <f>AM27-AG27</f>
        <v>2721</v>
      </c>
      <c r="AK27" s="195">
        <f t="shared" si="7"/>
        <v>-30</v>
      </c>
      <c r="AL27" s="311">
        <v>18444</v>
      </c>
      <c r="AM27" s="311">
        <v>17012</v>
      </c>
      <c r="AN27" s="195">
        <f t="shared" si="8"/>
        <v>-7.8</v>
      </c>
      <c r="AO27" s="599">
        <f>AR27-AL27</f>
        <v>3715</v>
      </c>
      <c r="AP27" s="599">
        <f>AS27-AM27</f>
        <v>2883</v>
      </c>
      <c r="AQ27" s="589">
        <f t="shared" si="9"/>
        <v>-22.4</v>
      </c>
      <c r="AR27" s="869">
        <v>22159</v>
      </c>
      <c r="AS27" s="869">
        <v>19895</v>
      </c>
      <c r="AT27" s="589">
        <f t="shared" si="10"/>
        <v>-10.199999999999999</v>
      </c>
      <c r="AU27" s="869">
        <f>AX27-AR27</f>
        <v>3464</v>
      </c>
      <c r="AV27" s="869">
        <f>AY27-AS27</f>
        <v>3735</v>
      </c>
      <c r="AW27" s="617">
        <f t="shared" si="11"/>
        <v>7.8</v>
      </c>
      <c r="AX27" s="929">
        <v>25623</v>
      </c>
      <c r="AY27" s="929">
        <v>23630</v>
      </c>
      <c r="AZ27" s="617">
        <f t="shared" si="12"/>
        <v>-7.8</v>
      </c>
      <c r="BA27" s="869">
        <f>BD27-AX27</f>
        <v>2902</v>
      </c>
      <c r="BB27" s="869">
        <f>BE27-AY27</f>
        <v>2118</v>
      </c>
      <c r="BC27" s="617">
        <f t="shared" si="13"/>
        <v>-27</v>
      </c>
      <c r="BD27" s="869">
        <v>28525</v>
      </c>
      <c r="BE27" s="869">
        <v>25748</v>
      </c>
      <c r="BF27" s="617">
        <f t="shared" si="14"/>
        <v>-9.6999999999999993</v>
      </c>
      <c r="BG27" s="869">
        <f>BJ27-BD27</f>
        <v>3411</v>
      </c>
      <c r="BH27" s="869">
        <f>BK27-BE27</f>
        <v>3376</v>
      </c>
      <c r="BI27" s="617">
        <f t="shared" si="15"/>
        <v>-1</v>
      </c>
      <c r="BJ27" s="869">
        <v>31936</v>
      </c>
      <c r="BK27" s="869">
        <v>29124</v>
      </c>
      <c r="BL27" s="617">
        <f t="shared" si="16"/>
        <v>-8.8000000000000007</v>
      </c>
      <c r="BM27" s="869">
        <f>BP27-BJ27</f>
        <v>4010</v>
      </c>
      <c r="BN27" s="869">
        <f>BQ27-BK27</f>
        <v>3296</v>
      </c>
      <c r="BO27" s="617">
        <f t="shared" si="17"/>
        <v>-17.8</v>
      </c>
      <c r="BP27" s="869">
        <v>35946</v>
      </c>
      <c r="BQ27" s="869">
        <v>32420</v>
      </c>
      <c r="BR27" s="617">
        <f t="shared" si="18"/>
        <v>-9.8000000000000007</v>
      </c>
      <c r="BS27" s="869">
        <f>BV27-BP27</f>
        <v>2985</v>
      </c>
      <c r="BT27" s="869">
        <f>BW27-BQ27</f>
        <v>3379</v>
      </c>
      <c r="BU27" s="617">
        <f t="shared" si="19"/>
        <v>13.2</v>
      </c>
      <c r="BV27" s="869">
        <v>38931</v>
      </c>
      <c r="BW27" s="869">
        <v>35799</v>
      </c>
      <c r="BX27" s="617">
        <f t="shared" si="20"/>
        <v>-8</v>
      </c>
    </row>
    <row r="28" spans="1:76" ht="22.5" customHeight="1">
      <c r="A28" s="14"/>
      <c r="B28" s="1099"/>
      <c r="C28" s="1100"/>
      <c r="D28" s="366" t="s">
        <v>14</v>
      </c>
      <c r="E28" s="449">
        <v>509400</v>
      </c>
      <c r="F28" s="449">
        <v>473657</v>
      </c>
      <c r="G28" s="449">
        <v>490980</v>
      </c>
      <c r="H28" s="449">
        <v>465135</v>
      </c>
      <c r="I28" s="449">
        <v>395296</v>
      </c>
      <c r="J28" s="449">
        <v>308688</v>
      </c>
      <c r="K28" s="202">
        <v>353775</v>
      </c>
      <c r="L28" s="180">
        <v>355679</v>
      </c>
      <c r="M28" s="438">
        <v>321454</v>
      </c>
      <c r="N28" s="309">
        <v>27528</v>
      </c>
      <c r="O28" s="309">
        <v>23048</v>
      </c>
      <c r="P28" s="193">
        <f t="shared" si="0"/>
        <v>-16.3</v>
      </c>
      <c r="Q28" s="309">
        <f>T28-N28</f>
        <v>25444</v>
      </c>
      <c r="R28" s="309">
        <f>U28-O28</f>
        <v>27611</v>
      </c>
      <c r="S28" s="193">
        <f t="shared" si="1"/>
        <v>8.5</v>
      </c>
      <c r="T28" s="309">
        <v>52972</v>
      </c>
      <c r="U28" s="309">
        <v>50659</v>
      </c>
      <c r="V28" s="193">
        <f t="shared" si="2"/>
        <v>-4.4000000000000004</v>
      </c>
      <c r="W28" s="309">
        <f>Z28-T28</f>
        <v>26828</v>
      </c>
      <c r="X28" s="309">
        <f>AA28-U28</f>
        <v>29463</v>
      </c>
      <c r="Y28" s="193">
        <f t="shared" si="3"/>
        <v>9.8000000000000007</v>
      </c>
      <c r="Z28" s="309">
        <v>79800</v>
      </c>
      <c r="AA28" s="309">
        <v>80122</v>
      </c>
      <c r="AB28" s="193">
        <f t="shared" si="4"/>
        <v>0.4</v>
      </c>
      <c r="AC28" s="309">
        <f>AF28-Z28</f>
        <v>31717</v>
      </c>
      <c r="AD28" s="309">
        <f>AG28-AA28</f>
        <v>23110</v>
      </c>
      <c r="AE28" s="193">
        <f t="shared" si="5"/>
        <v>-27.1</v>
      </c>
      <c r="AF28" s="309">
        <v>111517</v>
      </c>
      <c r="AG28" s="309">
        <v>103232</v>
      </c>
      <c r="AH28" s="193">
        <f t="shared" si="6"/>
        <v>-7.4</v>
      </c>
      <c r="AI28" s="309">
        <f>AL28-AF28</f>
        <v>30307</v>
      </c>
      <c r="AJ28" s="309">
        <f>AM28-AG28</f>
        <v>18627</v>
      </c>
      <c r="AK28" s="193">
        <f t="shared" si="7"/>
        <v>-38.5</v>
      </c>
      <c r="AL28" s="309">
        <v>141824</v>
      </c>
      <c r="AM28" s="309">
        <v>121859</v>
      </c>
      <c r="AN28" s="193">
        <f t="shared" si="8"/>
        <v>-14.1</v>
      </c>
      <c r="AO28" s="597">
        <f>AR28-AL28</f>
        <v>28417</v>
      </c>
      <c r="AP28" s="597">
        <f>AS28-AM28</f>
        <v>20532</v>
      </c>
      <c r="AQ28" s="587">
        <f t="shared" si="9"/>
        <v>-27.7</v>
      </c>
      <c r="AR28" s="868">
        <v>170241</v>
      </c>
      <c r="AS28" s="868">
        <v>142391</v>
      </c>
      <c r="AT28" s="587">
        <f t="shared" si="10"/>
        <v>-16.399999999999999</v>
      </c>
      <c r="AU28" s="868">
        <f>AX28-AR28</f>
        <v>25851</v>
      </c>
      <c r="AV28" s="868">
        <f>AY28-AS28</f>
        <v>27890</v>
      </c>
      <c r="AW28" s="615">
        <f t="shared" si="11"/>
        <v>7.9</v>
      </c>
      <c r="AX28" s="925">
        <v>196092</v>
      </c>
      <c r="AY28" s="925">
        <v>170281</v>
      </c>
      <c r="AZ28" s="615">
        <f t="shared" si="12"/>
        <v>-13.2</v>
      </c>
      <c r="BA28" s="868">
        <f>BD28-AX28</f>
        <v>21274</v>
      </c>
      <c r="BB28" s="868">
        <f>BE28-AY28</f>
        <v>16903</v>
      </c>
      <c r="BC28" s="615">
        <f t="shared" si="13"/>
        <v>-20.5</v>
      </c>
      <c r="BD28" s="868">
        <v>217366</v>
      </c>
      <c r="BE28" s="868">
        <v>187184</v>
      </c>
      <c r="BF28" s="615">
        <f t="shared" si="14"/>
        <v>-13.9</v>
      </c>
      <c r="BG28" s="868">
        <f>BJ28-BD28</f>
        <v>24872</v>
      </c>
      <c r="BH28" s="868">
        <f>BK28-BE28</f>
        <v>26208</v>
      </c>
      <c r="BI28" s="615">
        <f t="shared" si="15"/>
        <v>5.4</v>
      </c>
      <c r="BJ28" s="868">
        <v>242238</v>
      </c>
      <c r="BK28" s="868">
        <v>213392</v>
      </c>
      <c r="BL28" s="615">
        <f t="shared" si="16"/>
        <v>-11.9</v>
      </c>
      <c r="BM28" s="868">
        <f>BP28-BJ28</f>
        <v>30211</v>
      </c>
      <c r="BN28" s="868">
        <f>BQ28-BK28</f>
        <v>26347</v>
      </c>
      <c r="BO28" s="615">
        <f t="shared" si="17"/>
        <v>-12.8</v>
      </c>
      <c r="BP28" s="868">
        <v>272449</v>
      </c>
      <c r="BQ28" s="868">
        <v>239739</v>
      </c>
      <c r="BR28" s="615">
        <f t="shared" si="18"/>
        <v>-12</v>
      </c>
      <c r="BS28" s="868">
        <f>BV28-BP28</f>
        <v>22330</v>
      </c>
      <c r="BT28" s="868">
        <f>BW28-BQ28</f>
        <v>27829</v>
      </c>
      <c r="BU28" s="615">
        <f t="shared" si="19"/>
        <v>24.6</v>
      </c>
      <c r="BV28" s="868">
        <v>294779</v>
      </c>
      <c r="BW28" s="868">
        <v>267568</v>
      </c>
      <c r="BX28" s="615">
        <f t="shared" si="20"/>
        <v>-9.1999999999999993</v>
      </c>
    </row>
    <row r="29" spans="1:76" ht="22.5" customHeight="1">
      <c r="A29" s="14"/>
      <c r="B29" s="1099"/>
      <c r="C29" s="1100"/>
      <c r="D29" s="370" t="s">
        <v>15</v>
      </c>
      <c r="E29" s="453">
        <f t="shared" ref="E29:L29" si="28">E28/E27*1000</f>
        <v>10363.76953125</v>
      </c>
      <c r="F29" s="453">
        <f t="shared" si="28"/>
        <v>9414.5813042873324</v>
      </c>
      <c r="G29" s="453">
        <f t="shared" si="28"/>
        <v>8928.3700969249512</v>
      </c>
      <c r="H29" s="453">
        <f t="shared" si="28"/>
        <v>8345.4741185969324</v>
      </c>
      <c r="I29" s="453">
        <f t="shared" si="28"/>
        <v>7135.9508980954961</v>
      </c>
      <c r="J29" s="453">
        <f t="shared" si="28"/>
        <v>6362.602028196884</v>
      </c>
      <c r="K29" s="208">
        <f t="shared" si="28"/>
        <v>7364.7889083187601</v>
      </c>
      <c r="L29" s="184">
        <f t="shared" si="28"/>
        <v>7935.7206604194562</v>
      </c>
      <c r="M29" s="439">
        <f>M28/M27*1000</f>
        <v>7567.3626968619792</v>
      </c>
      <c r="N29" s="310">
        <f>N28/N27*1000</f>
        <v>7506.9539132806103</v>
      </c>
      <c r="O29" s="310">
        <f>O28/O27*1000</f>
        <v>7466.1483641075483</v>
      </c>
      <c r="P29" s="194">
        <f t="shared" si="0"/>
        <v>-0.5</v>
      </c>
      <c r="Q29" s="310">
        <f>Q28/Q27*1000</f>
        <v>7543.4331455677438</v>
      </c>
      <c r="R29" s="310">
        <f>R28/R27*1000</f>
        <v>7572.9566648381788</v>
      </c>
      <c r="S29" s="194">
        <f t="shared" si="1"/>
        <v>0.4</v>
      </c>
      <c r="T29" s="310">
        <f>T28/T27*1000</f>
        <v>7524.431818181818</v>
      </c>
      <c r="U29" s="310">
        <f>U28/U27*1000</f>
        <v>7523.9863359572255</v>
      </c>
      <c r="V29" s="194">
        <f t="shared" si="2"/>
        <v>0</v>
      </c>
      <c r="W29" s="310">
        <f>W28/W27*1000</f>
        <v>7729.1846730048983</v>
      </c>
      <c r="X29" s="310">
        <f>X28/X27*1000</f>
        <v>7180.8432854009261</v>
      </c>
      <c r="Y29" s="194">
        <f t="shared" si="3"/>
        <v>-7.1</v>
      </c>
      <c r="Z29" s="310">
        <f>Z28/Z27*1000</f>
        <v>7592.046427552089</v>
      </c>
      <c r="AA29" s="310">
        <f>AA28/AA27*1000</f>
        <v>7394.0568475452201</v>
      </c>
      <c r="AB29" s="194">
        <f t="shared" si="4"/>
        <v>-2.6</v>
      </c>
      <c r="AC29" s="310">
        <f>AC28/AC27*1000</f>
        <v>7835.2272727272721</v>
      </c>
      <c r="AD29" s="310">
        <f>AD28/AD27*1000</f>
        <v>6688.8567293777132</v>
      </c>
      <c r="AE29" s="194">
        <f t="shared" si="5"/>
        <v>-14.6</v>
      </c>
      <c r="AF29" s="310">
        <f>AF28/AF27*1000</f>
        <v>7659.6606909815237</v>
      </c>
      <c r="AG29" s="310">
        <f>AG28/AG27*1000</f>
        <v>7223.5672801063602</v>
      </c>
      <c r="AH29" s="194">
        <f t="shared" si="6"/>
        <v>-5.7</v>
      </c>
      <c r="AI29" s="310">
        <f>AI28/AI27*1000</f>
        <v>7801.0296010296006</v>
      </c>
      <c r="AJ29" s="310">
        <f>AJ28/AJ27*1000</f>
        <v>6845.6449834619625</v>
      </c>
      <c r="AK29" s="194">
        <f t="shared" si="7"/>
        <v>-12.2</v>
      </c>
      <c r="AL29" s="310">
        <f>AL28/AL27*1000</f>
        <v>7689.4382997180655</v>
      </c>
      <c r="AM29" s="310">
        <f>AM28/AM27*1000</f>
        <v>7163.1201504820128</v>
      </c>
      <c r="AN29" s="194">
        <f t="shared" si="8"/>
        <v>-6.8</v>
      </c>
      <c r="AO29" s="598">
        <f>AO28/AO27*1000</f>
        <v>7649.259757738896</v>
      </c>
      <c r="AP29" s="598">
        <f>AP28/AP27*1000</f>
        <v>7121.7481789802287</v>
      </c>
      <c r="AQ29" s="588">
        <f t="shared" si="9"/>
        <v>-6.9</v>
      </c>
      <c r="AR29" s="626">
        <f>AR28/AR27*1000</f>
        <v>7682.7022880093873</v>
      </c>
      <c r="AS29" s="626">
        <f>AS28/AS27*1000</f>
        <v>7157.124905755215</v>
      </c>
      <c r="AT29" s="588">
        <f t="shared" si="10"/>
        <v>-6.8</v>
      </c>
      <c r="AU29" s="626">
        <f>AU28/AU27*1000</f>
        <v>7462.7598152424944</v>
      </c>
      <c r="AV29" s="626">
        <f>AV28/AV27*1000</f>
        <v>7467.202141900937</v>
      </c>
      <c r="AW29" s="616">
        <f t="shared" si="11"/>
        <v>0.1</v>
      </c>
      <c r="AX29" s="930">
        <f>AX28/AX27*1000</f>
        <v>7652.9680365296799</v>
      </c>
      <c r="AY29" s="930">
        <f>AY28/AY27*1000</f>
        <v>7206.1362674566226</v>
      </c>
      <c r="AZ29" s="616">
        <f t="shared" si="12"/>
        <v>-5.8</v>
      </c>
      <c r="BA29" s="626">
        <f>BA28/BA27*1000</f>
        <v>7330.8063404548593</v>
      </c>
      <c r="BB29" s="626">
        <f>BB28/BB27*1000</f>
        <v>7980.6421152030216</v>
      </c>
      <c r="BC29" s="616">
        <f t="shared" si="13"/>
        <v>8.9</v>
      </c>
      <c r="BD29" s="626">
        <f>BD28/BD27*1000</f>
        <v>7620.1928133216479</v>
      </c>
      <c r="BE29" s="626">
        <f>BE28/BE27*1000</f>
        <v>7269.8462016467302</v>
      </c>
      <c r="BF29" s="616">
        <f t="shared" si="14"/>
        <v>-4.5999999999999996</v>
      </c>
      <c r="BG29" s="626">
        <f>BG28/BG27*1000</f>
        <v>7291.7033128114927</v>
      </c>
      <c r="BH29" s="626">
        <f>BH28/BH27*1000</f>
        <v>7763.0331753554501</v>
      </c>
      <c r="BI29" s="616">
        <f t="shared" si="15"/>
        <v>6.5</v>
      </c>
      <c r="BJ29" s="626">
        <f>BJ28/BJ27*1000</f>
        <v>7585.1077154308623</v>
      </c>
      <c r="BK29" s="626">
        <f>BK28/BK27*1000</f>
        <v>7327.0155198461753</v>
      </c>
      <c r="BL29" s="616">
        <f t="shared" si="16"/>
        <v>-3.4</v>
      </c>
      <c r="BM29" s="626">
        <f>BM28/BM27*1000</f>
        <v>7533.9152119700748</v>
      </c>
      <c r="BN29" s="626">
        <f>BN28/BN27*1000</f>
        <v>7993.6286407766993</v>
      </c>
      <c r="BO29" s="616">
        <f t="shared" si="17"/>
        <v>6.1</v>
      </c>
      <c r="BP29" s="626">
        <f>BP28/BP27*1000</f>
        <v>7579.3968730874085</v>
      </c>
      <c r="BQ29" s="626">
        <f>BQ28/BQ27*1000</f>
        <v>7394.7871684145584</v>
      </c>
      <c r="BR29" s="616">
        <f t="shared" si="18"/>
        <v>-2.4</v>
      </c>
      <c r="BS29" s="626">
        <f>BS28/BS27*1000</f>
        <v>7480.7370184254605</v>
      </c>
      <c r="BT29" s="626">
        <f>BT28/BT27*1000</f>
        <v>8235.8686001775677</v>
      </c>
      <c r="BU29" s="616">
        <f t="shared" si="19"/>
        <v>10.1</v>
      </c>
      <c r="BV29" s="626">
        <f>BV28/BV27*1000</f>
        <v>7571.8322159718473</v>
      </c>
      <c r="BW29" s="626">
        <f>BW28/BW27*1000</f>
        <v>7474.1752562920756</v>
      </c>
      <c r="BX29" s="616">
        <f t="shared" si="20"/>
        <v>-1.3</v>
      </c>
    </row>
    <row r="30" spans="1:76" ht="22.5" customHeight="1">
      <c r="A30" s="14"/>
      <c r="B30" s="1099" t="s">
        <v>24</v>
      </c>
      <c r="C30" s="1100"/>
      <c r="D30" s="365" t="s">
        <v>13</v>
      </c>
      <c r="E30" s="452">
        <f t="shared" ref="E30:G31" si="29">E33-SUM(E6+E9+E12+E15+E18+E21+E24+E27)</f>
        <v>39563</v>
      </c>
      <c r="F30" s="452">
        <f t="shared" si="29"/>
        <v>52247</v>
      </c>
      <c r="G30" s="452">
        <f t="shared" si="29"/>
        <v>48114</v>
      </c>
      <c r="H30" s="452">
        <f>H33-SUM(H6+H9+H12+H15+H18+H21+H24+H27)</f>
        <v>50255</v>
      </c>
      <c r="I30" s="452">
        <f>I33-SUM(I6+I9+I12+I15+I18+I21+I24+I27)</f>
        <v>50736</v>
      </c>
      <c r="J30" s="452">
        <f t="shared" ref="J30:L31" si="30">J33-SUM(J6+J9+J12+J15+J18+J21+J24+J27)</f>
        <v>54342</v>
      </c>
      <c r="K30" s="207">
        <f t="shared" si="30"/>
        <v>42745</v>
      </c>
      <c r="L30" s="183">
        <f t="shared" si="30"/>
        <v>44907</v>
      </c>
      <c r="M30" s="312">
        <f t="shared" ref="M30:O31" si="31">M33-SUM(M6+M9+M12+M15+M18+M21+M24+M27)</f>
        <v>39553</v>
      </c>
      <c r="N30" s="311">
        <f t="shared" si="31"/>
        <v>3837</v>
      </c>
      <c r="O30" s="311">
        <f t="shared" si="31"/>
        <v>4943</v>
      </c>
      <c r="P30" s="195">
        <f t="shared" si="0"/>
        <v>28.8</v>
      </c>
      <c r="Q30" s="311">
        <f>Q33-SUM(Q6+Q9+Q12+Q15+Q18+Q21+Q24+Q27)</f>
        <v>2696</v>
      </c>
      <c r="R30" s="311">
        <f>R33-SUM(R6+R9+R12+R15+R18+R21+R24+R27)</f>
        <v>3979</v>
      </c>
      <c r="S30" s="195">
        <f t="shared" si="1"/>
        <v>47.6</v>
      </c>
      <c r="T30" s="311">
        <f>T33-SUM(T6+T9+T12+T15+T18+T21+T24+T27)</f>
        <v>6533</v>
      </c>
      <c r="U30" s="311">
        <f>U33-SUM(U6+U9+U12+U15+U18+U21+U24+U27)</f>
        <v>8922</v>
      </c>
      <c r="V30" s="195">
        <f t="shared" si="2"/>
        <v>36.6</v>
      </c>
      <c r="W30" s="311">
        <f>W33-SUM(W6+W9+W12+W15+W18+W21+W24+W27)</f>
        <v>2969</v>
      </c>
      <c r="X30" s="311">
        <f>X33-SUM(X6+X9+X12+X15+X18+X21+X24+X27)</f>
        <v>6235</v>
      </c>
      <c r="Y30" s="195">
        <f t="shared" si="3"/>
        <v>110</v>
      </c>
      <c r="Z30" s="311">
        <f>Z33-SUM(Z6+Z9+Z12+Z15+Z18+Z21+Z24+Z27)</f>
        <v>9502</v>
      </c>
      <c r="AA30" s="311">
        <f>AA33-SUM(AA6+AA9+AA12+AA15+AA18+AA21+AA24+AA27)</f>
        <v>15157</v>
      </c>
      <c r="AB30" s="195">
        <f t="shared" si="4"/>
        <v>59.5</v>
      </c>
      <c r="AC30" s="311">
        <f>AC33-SUM(AC6+AC9+AC12+AC15+AC18+AC21+AC24+AC27)</f>
        <v>3679</v>
      </c>
      <c r="AD30" s="311">
        <f>AD33-SUM(AD6+AD9+AD12+AD15+AD18+AD21+AD24+AD27)</f>
        <v>5715</v>
      </c>
      <c r="AE30" s="195">
        <f t="shared" si="5"/>
        <v>55.3</v>
      </c>
      <c r="AF30" s="311">
        <f>AF33-SUM(AF6+AF9+AF12+AF15+AF18+AF21+AF24+AF27)</f>
        <v>13181</v>
      </c>
      <c r="AG30" s="311">
        <f>AG33-SUM(AG6+AG9+AG12+AG15+AG18+AG21+AG24+AG27)</f>
        <v>20872</v>
      </c>
      <c r="AH30" s="195">
        <f t="shared" si="6"/>
        <v>58.3</v>
      </c>
      <c r="AI30" s="311">
        <f>AI33-SUM(AI6+AI9+AI12+AI15+AI18+AI21+AI24+AI27)</f>
        <v>3268</v>
      </c>
      <c r="AJ30" s="311">
        <f>AJ33-SUM(AJ6+AJ9+AJ12+AJ15+AJ18+AJ21+AJ24+AJ27)</f>
        <v>5234</v>
      </c>
      <c r="AK30" s="195">
        <f t="shared" si="7"/>
        <v>60.2</v>
      </c>
      <c r="AL30" s="311">
        <f>AL33-SUM(AL6+AL9+AL12+AL15+AL18+AL21+AL24+AL27)</f>
        <v>16449</v>
      </c>
      <c r="AM30" s="311">
        <f>AM33-SUM(AM6+AM9+AM12+AM15+AM18+AM21+AM24+AM27)</f>
        <v>26106</v>
      </c>
      <c r="AN30" s="195">
        <f t="shared" si="8"/>
        <v>58.7</v>
      </c>
      <c r="AO30" s="599">
        <f>AO33-SUM(AO6+AO9+AO12+AO15+AO18+AO21+AO24+AO27)</f>
        <v>2567</v>
      </c>
      <c r="AP30" s="599">
        <f>AP33-SUM(AP6+AP9+AP12+AP15+AP18+AP21+AP24+AP27)</f>
        <v>5231</v>
      </c>
      <c r="AQ30" s="589">
        <f t="shared" si="9"/>
        <v>103.8</v>
      </c>
      <c r="AR30" s="869">
        <f>AR33-SUM(AR6+AR9+AR12+AR15+AR18+AR21+AR24+AR27)</f>
        <v>19016</v>
      </c>
      <c r="AS30" s="869">
        <f>AS33-SUM(AS6+AS9+AS12+AS15+AS18+AS21+AS24+AS27)</f>
        <v>31337</v>
      </c>
      <c r="AT30" s="589">
        <f t="shared" si="10"/>
        <v>64.8</v>
      </c>
      <c r="AU30" s="869">
        <f>AU33-SUM(AU6+AU9+AU12+AU15+AU18+AU21+AU24+AU27)</f>
        <v>2993</v>
      </c>
      <c r="AV30" s="869">
        <f>AV33-SUM(AV6+AV9+AV12+AV15+AV18+AV21+AV24+AV27)</f>
        <v>4933</v>
      </c>
      <c r="AW30" s="617">
        <f t="shared" si="11"/>
        <v>64.8</v>
      </c>
      <c r="AX30" s="929">
        <f>AX33-SUM(AX6+AX9+AX12+AX15+AX18+AX21+AX24+AX27)</f>
        <v>22009</v>
      </c>
      <c r="AY30" s="929">
        <f>AY33-SUM(AY6+AY9+AY12+AY15+AY18+AY21+AY24+AY27)</f>
        <v>36270</v>
      </c>
      <c r="AZ30" s="617">
        <f t="shared" si="12"/>
        <v>64.8</v>
      </c>
      <c r="BA30" s="869">
        <f>BA33-SUM(BA6+BA9+BA12+BA15+BA18+BA21+BA24+BA27)</f>
        <v>3002</v>
      </c>
      <c r="BB30" s="869">
        <f>BB33-SUM(BB6+BB9+BB12+BB15+BB18+BB21+BB24+BB27)</f>
        <v>4016</v>
      </c>
      <c r="BC30" s="617">
        <f t="shared" si="13"/>
        <v>33.799999999999997</v>
      </c>
      <c r="BD30" s="869">
        <f>BD33-SUM(BD6+BD9+BD12+BD15+BD18+BD21+BD24+BD27)</f>
        <v>25011</v>
      </c>
      <c r="BE30" s="869">
        <f>BE33-SUM(BE6+BE9+BE12+BE15+BE18+BE21+BE24+BE27)</f>
        <v>40286</v>
      </c>
      <c r="BF30" s="617">
        <f t="shared" si="14"/>
        <v>61.1</v>
      </c>
      <c r="BG30" s="869">
        <f>BG33-SUM(BG6+BG9+BG12+BG15+BG18+BG21+BG24+BG27)</f>
        <v>2747</v>
      </c>
      <c r="BH30" s="869">
        <f>BH33-SUM(BH6+BH9+BH12+BH15+BH18+BH21+BH24+BH27)</f>
        <v>7023</v>
      </c>
      <c r="BI30" s="617">
        <f t="shared" si="15"/>
        <v>155.69999999999999</v>
      </c>
      <c r="BJ30" s="869">
        <f>BJ33-SUM(BJ6+BJ9+BJ12+BJ15+BJ18+BJ21+BJ24+BJ27)</f>
        <v>27758</v>
      </c>
      <c r="BK30" s="869">
        <f>BK33-SUM(BK6+BK9+BK12+BK15+BK18+BK21+BK24+BK27)</f>
        <v>47309</v>
      </c>
      <c r="BL30" s="617">
        <f t="shared" si="16"/>
        <v>70.400000000000006</v>
      </c>
      <c r="BM30" s="869">
        <f>BM33-SUM(BM6+BM9+BM12+BM15+BM18+BM21+BM24+BM27)</f>
        <v>3271</v>
      </c>
      <c r="BN30" s="869">
        <f>BN33-SUM(BN6+BN9+BN12+BN15+BN18+BN21+BN24+BN27)</f>
        <v>6325</v>
      </c>
      <c r="BO30" s="617">
        <f t="shared" si="17"/>
        <v>93.4</v>
      </c>
      <c r="BP30" s="869">
        <f>BP33-SUM(BP6+BP9+BP12+BP15+BP18+BP21+BP24+BP27)</f>
        <v>31029</v>
      </c>
      <c r="BQ30" s="869">
        <f>BQ33-SUM(BQ6+BQ9+BQ12+BQ15+BQ18+BQ21+BQ24+BQ27)</f>
        <v>53634</v>
      </c>
      <c r="BR30" s="617">
        <f t="shared" si="18"/>
        <v>72.900000000000006</v>
      </c>
      <c r="BS30" s="869">
        <f>BS33-SUM(BS6+BS9+BS12+BS15+BS18+BS21+BS24+BS27)</f>
        <v>3978</v>
      </c>
      <c r="BT30" s="869">
        <f>BT33-SUM(BT6+BT9+BT12+BT15+BT18+BT21+BT24+BT27)</f>
        <v>7782</v>
      </c>
      <c r="BU30" s="617">
        <f t="shared" si="19"/>
        <v>95.6</v>
      </c>
      <c r="BV30" s="869">
        <f>BV33-SUM(BV6+BV9+BV12+BV15+BV18+BV21+BV24+BV27)</f>
        <v>35007</v>
      </c>
      <c r="BW30" s="869">
        <f>BW33-SUM(BW6+BW9+BW12+BW15+BW18+BW21+BW24+BW27)</f>
        <v>61416</v>
      </c>
      <c r="BX30" s="617">
        <f t="shared" si="20"/>
        <v>75.400000000000006</v>
      </c>
    </row>
    <row r="31" spans="1:76" ht="22.5" customHeight="1">
      <c r="A31" s="14"/>
      <c r="B31" s="1099"/>
      <c r="C31" s="1100"/>
      <c r="D31" s="366" t="s">
        <v>14</v>
      </c>
      <c r="E31" s="449">
        <f t="shared" si="29"/>
        <v>425242</v>
      </c>
      <c r="F31" s="449">
        <f t="shared" si="29"/>
        <v>375406</v>
      </c>
      <c r="G31" s="449">
        <f t="shared" si="29"/>
        <v>333875</v>
      </c>
      <c r="H31" s="449">
        <f>H34-SUM(H7+H10+H13+H16+H19+H22+H25+H28)</f>
        <v>379281</v>
      </c>
      <c r="I31" s="449">
        <f>I34-SUM(I7+I10+I13+I16+I19+I22+I25+I28)</f>
        <v>389556</v>
      </c>
      <c r="J31" s="449">
        <f t="shared" si="30"/>
        <v>388035</v>
      </c>
      <c r="K31" s="202">
        <f t="shared" si="30"/>
        <v>383771</v>
      </c>
      <c r="L31" s="180">
        <f t="shared" si="30"/>
        <v>453285</v>
      </c>
      <c r="M31" s="438">
        <f t="shared" si="31"/>
        <v>431133</v>
      </c>
      <c r="N31" s="309">
        <f t="shared" si="31"/>
        <v>43350</v>
      </c>
      <c r="O31" s="309">
        <f t="shared" si="31"/>
        <v>45496</v>
      </c>
      <c r="P31" s="193">
        <f t="shared" si="0"/>
        <v>5</v>
      </c>
      <c r="Q31" s="309">
        <f>Q34-SUM(Q7+Q10+Q13+Q16+Q19+Q22+Q25+Q28)</f>
        <v>30121</v>
      </c>
      <c r="R31" s="309">
        <f>R34-SUM(R7+R10+R13+R16+R19+R22+R25+R28)</f>
        <v>39360</v>
      </c>
      <c r="S31" s="193">
        <f t="shared" si="1"/>
        <v>30.7</v>
      </c>
      <c r="T31" s="309">
        <f>T34-SUM(T7+T10+T13+T16+T19+T22+T25+T28)</f>
        <v>73471</v>
      </c>
      <c r="U31" s="309">
        <f>U34-SUM(U7+U10+U13+U16+U19+U22+U25+U28)</f>
        <v>84856</v>
      </c>
      <c r="V31" s="193">
        <f t="shared" si="2"/>
        <v>15.5</v>
      </c>
      <c r="W31" s="309">
        <f>W34-SUM(W7+W10+W13+W16+W19+W22+W25+W28)</f>
        <v>34109</v>
      </c>
      <c r="X31" s="309">
        <f>X34-SUM(X7+X10+X13+X16+X19+X22+X25+X28)</f>
        <v>50764</v>
      </c>
      <c r="Y31" s="193">
        <f t="shared" si="3"/>
        <v>48.8</v>
      </c>
      <c r="Z31" s="309">
        <f>Z34-SUM(Z7+Z10+Z13+Z16+Z19+Z22+Z25+Z28)</f>
        <v>107580</v>
      </c>
      <c r="AA31" s="309">
        <f>AA34-SUM(AA7+AA10+AA13+AA16+AA19+AA22+AA25+AA28)</f>
        <v>135620</v>
      </c>
      <c r="AB31" s="193">
        <f t="shared" si="4"/>
        <v>26.1</v>
      </c>
      <c r="AC31" s="309">
        <f>AC34-SUM(AC7+AC10+AC13+AC16+AC19+AC22+AC25+AC28)</f>
        <v>36967</v>
      </c>
      <c r="AD31" s="309">
        <f>AD34-SUM(AD7+AD10+AD13+AD16+AD19+AD22+AD25+AD28)</f>
        <v>43195</v>
      </c>
      <c r="AE31" s="193">
        <f t="shared" si="5"/>
        <v>16.8</v>
      </c>
      <c r="AF31" s="309">
        <f>AF34-SUM(AF7+AF10+AF13+AF16+AF19+AF22+AF25+AF28)</f>
        <v>144547</v>
      </c>
      <c r="AG31" s="309">
        <f>AG34-SUM(AG7+AG10+AG13+AG16+AG19+AG22+AG25+AG28)</f>
        <v>178815</v>
      </c>
      <c r="AH31" s="193">
        <f t="shared" si="6"/>
        <v>23.7</v>
      </c>
      <c r="AI31" s="309">
        <f>AI34-SUM(AI7+AI10+AI13+AI16+AI19+AI22+AI25+AI28)</f>
        <v>35038</v>
      </c>
      <c r="AJ31" s="309">
        <f>AJ34-SUM(AJ7+AJ10+AJ13+AJ16+AJ19+AJ22+AJ25+AJ28)</f>
        <v>36326</v>
      </c>
      <c r="AK31" s="193">
        <f t="shared" si="7"/>
        <v>3.7</v>
      </c>
      <c r="AL31" s="309">
        <f>AL34-SUM(AL7+AL10+AL13+AL16+AL19+AL22+AL25+AL28)</f>
        <v>179585</v>
      </c>
      <c r="AM31" s="309">
        <f>AM34-SUM(AM7+AM10+AM13+AM16+AM19+AM22+AM25+AM28)</f>
        <v>215141</v>
      </c>
      <c r="AN31" s="193">
        <f t="shared" si="8"/>
        <v>19.8</v>
      </c>
      <c r="AO31" s="597">
        <f>AO34-SUM(AO7+AO10+AO13+AO16+AO19+AO22+AO25+AO28)</f>
        <v>31968</v>
      </c>
      <c r="AP31" s="597">
        <f>AP34-SUM(AP7+AP10+AP13+AP16+AP19+AP22+AP25+AP28)</f>
        <v>40505</v>
      </c>
      <c r="AQ31" s="587">
        <f t="shared" si="9"/>
        <v>26.7</v>
      </c>
      <c r="AR31" s="868">
        <f>AR34-SUM(AR7+AR10+AR13+AR16+AR19+AR22+AR25+AR28)</f>
        <v>211553</v>
      </c>
      <c r="AS31" s="868">
        <f>AS34-SUM(AS7+AS10+AS13+AS16+AS19+AS22+AS25+AS28)</f>
        <v>255646</v>
      </c>
      <c r="AT31" s="587">
        <f t="shared" si="10"/>
        <v>20.8</v>
      </c>
      <c r="AU31" s="868">
        <f>AU34-SUM(AU7+AU10+AU13+AU16+AU19+AU22+AU25+AU28)</f>
        <v>36015</v>
      </c>
      <c r="AV31" s="868">
        <f>AV34-SUM(AV7+AV10+AV13+AV16+AV19+AV22+AV25+AV28)</f>
        <v>42383</v>
      </c>
      <c r="AW31" s="615">
        <f t="shared" si="11"/>
        <v>17.7</v>
      </c>
      <c r="AX31" s="925">
        <f>AX34-SUM(AX7+AX10+AX13+AX16+AX19+AX22+AX25+AX28)</f>
        <v>247568</v>
      </c>
      <c r="AY31" s="925">
        <f>AY34-SUM(AY7+AY10+AY13+AY16+AY19+AY22+AY25+AY28)</f>
        <v>298029</v>
      </c>
      <c r="AZ31" s="615">
        <f t="shared" si="12"/>
        <v>20.399999999999999</v>
      </c>
      <c r="BA31" s="868">
        <f>BA34-SUM(BA7+BA10+BA13+BA16+BA19+BA22+BA25+BA28)</f>
        <v>34199</v>
      </c>
      <c r="BB31" s="868">
        <f>BB34-SUM(BB7+BB10+BB13+BB16+BB19+BB22+BB25+BB28)</f>
        <v>38718</v>
      </c>
      <c r="BC31" s="615">
        <f t="shared" si="13"/>
        <v>13.2</v>
      </c>
      <c r="BD31" s="868">
        <f>BD34-SUM(BD7+BD10+BD13+BD16+BD19+BD22+BD25+BD28)</f>
        <v>281767</v>
      </c>
      <c r="BE31" s="868">
        <f>BE34-SUM(BE7+BE10+BE13+BE16+BE19+BE22+BE25+BE28)</f>
        <v>336747</v>
      </c>
      <c r="BF31" s="615">
        <f t="shared" si="14"/>
        <v>19.5</v>
      </c>
      <c r="BG31" s="868">
        <f>BG34-SUM(BG7+BG10+BG13+BG16+BG19+BG22+BG25+BG28)</f>
        <v>30409</v>
      </c>
      <c r="BH31" s="868">
        <f>BH34-SUM(BH7+BH10+BH13+BH16+BH19+BH22+BH25+BH28)</f>
        <v>58130</v>
      </c>
      <c r="BI31" s="615">
        <f t="shared" si="15"/>
        <v>91.2</v>
      </c>
      <c r="BJ31" s="868">
        <f>BJ34-SUM(BJ7+BJ10+BJ13+BJ16+BJ19+BJ22+BJ25+BJ28)</f>
        <v>312176</v>
      </c>
      <c r="BK31" s="868">
        <f>BK34-SUM(BK7+BK10+BK13+BK16+BK19+BK22+BK25+BK28)</f>
        <v>394877</v>
      </c>
      <c r="BL31" s="615">
        <f t="shared" si="16"/>
        <v>26.5</v>
      </c>
      <c r="BM31" s="868">
        <f>BM34-SUM(BM7+BM10+BM13+BM16+BM19+BM22+BM25+BM28)</f>
        <v>36293</v>
      </c>
      <c r="BN31" s="868">
        <f>BN34-SUM(BN7+BN10+BN13+BN16+BN19+BN22+BN25+BN28)</f>
        <v>52415</v>
      </c>
      <c r="BO31" s="615">
        <f t="shared" si="17"/>
        <v>44.4</v>
      </c>
      <c r="BP31" s="868">
        <f>BP34-SUM(BP7+BP10+BP13+BP16+BP19+BP22+BP25+BP28)</f>
        <v>348469</v>
      </c>
      <c r="BQ31" s="868">
        <f>BQ34-SUM(BQ7+BQ10+BQ13+BQ16+BQ19+BQ22+BQ25+BQ28)</f>
        <v>447292</v>
      </c>
      <c r="BR31" s="615">
        <f t="shared" si="18"/>
        <v>28.4</v>
      </c>
      <c r="BS31" s="868">
        <f>BS34-SUM(BS7+BS10+BS13+BS16+BS19+BS22+BS25+BS28)</f>
        <v>38293</v>
      </c>
      <c r="BT31" s="868">
        <f>BT34-SUM(BT7+BT10+BT13+BT16+BT19+BT22+BT25+BT28)</f>
        <v>65563</v>
      </c>
      <c r="BU31" s="615">
        <f t="shared" si="19"/>
        <v>71.2</v>
      </c>
      <c r="BV31" s="868">
        <f>BV34-SUM(BV7+BV10+BV13+BV16+BV19+BV22+BV25+BV28)</f>
        <v>386762</v>
      </c>
      <c r="BW31" s="868">
        <f>BW34-SUM(BW7+BW10+BW13+BW16+BW19+BW22+BW25+BW28)</f>
        <v>512855</v>
      </c>
      <c r="BX31" s="615">
        <f t="shared" si="20"/>
        <v>32.6</v>
      </c>
    </row>
    <row r="32" spans="1:76" ht="22.5" customHeight="1">
      <c r="A32" s="14"/>
      <c r="B32" s="1099"/>
      <c r="C32" s="1100"/>
      <c r="D32" s="370" t="s">
        <v>15</v>
      </c>
      <c r="E32" s="453">
        <f t="shared" ref="E32:L32" si="32">E31/E30*1000</f>
        <v>10748.477112453555</v>
      </c>
      <c r="F32" s="453">
        <f t="shared" si="32"/>
        <v>7185.2163760598687</v>
      </c>
      <c r="G32" s="453">
        <f t="shared" si="32"/>
        <v>6939.2484515941305</v>
      </c>
      <c r="H32" s="453">
        <f t="shared" si="32"/>
        <v>7547.1296388419069</v>
      </c>
      <c r="I32" s="453">
        <f t="shared" si="32"/>
        <v>7678.0983916745508</v>
      </c>
      <c r="J32" s="453">
        <f t="shared" si="32"/>
        <v>7140.6094733355421</v>
      </c>
      <c r="K32" s="208">
        <f t="shared" si="32"/>
        <v>8978.1494911685586</v>
      </c>
      <c r="L32" s="184">
        <f t="shared" si="32"/>
        <v>10093.860645333691</v>
      </c>
      <c r="M32" s="442">
        <f>M31/M30*1000</f>
        <v>10900.133997421182</v>
      </c>
      <c r="N32" s="310">
        <f>N31/N30*1000</f>
        <v>11297.888975762315</v>
      </c>
      <c r="O32" s="310">
        <f>O31/O30*1000</f>
        <v>9204.1270483512035</v>
      </c>
      <c r="P32" s="194">
        <f t="shared" si="0"/>
        <v>-18.5</v>
      </c>
      <c r="Q32" s="310">
        <f>Q31/Q30*1000</f>
        <v>11172.477744807122</v>
      </c>
      <c r="R32" s="310">
        <f>R31/R30*1000</f>
        <v>9891.9326463935668</v>
      </c>
      <c r="S32" s="194">
        <f t="shared" si="1"/>
        <v>-11.5</v>
      </c>
      <c r="T32" s="310">
        <f>T31/T30*1000</f>
        <v>11246.135006888107</v>
      </c>
      <c r="U32" s="310">
        <f>U31/U30*1000</f>
        <v>9510.872001793321</v>
      </c>
      <c r="V32" s="194">
        <f t="shared" si="2"/>
        <v>-15.4</v>
      </c>
      <c r="W32" s="310">
        <f>W31/W30*1000</f>
        <v>11488.379925900977</v>
      </c>
      <c r="X32" s="310">
        <f>X31/X30*1000</f>
        <v>8141.7802726543705</v>
      </c>
      <c r="Y32" s="194">
        <f t="shared" si="3"/>
        <v>-29.1</v>
      </c>
      <c r="Z32" s="310">
        <f>Z31/Z30*1000</f>
        <v>11321.826983792886</v>
      </c>
      <c r="AA32" s="310">
        <f>AA31/AA30*1000</f>
        <v>8947.6809394999</v>
      </c>
      <c r="AB32" s="194">
        <f t="shared" si="4"/>
        <v>-21</v>
      </c>
      <c r="AC32" s="310">
        <f>AC31/AC30*1000</f>
        <v>10048.110899701007</v>
      </c>
      <c r="AD32" s="310">
        <f>AD31/AD30*1000</f>
        <v>7558.1802274715665</v>
      </c>
      <c r="AE32" s="194">
        <f t="shared" si="5"/>
        <v>-24.8</v>
      </c>
      <c r="AF32" s="310">
        <f>AF31/AF30*1000</f>
        <v>10966.315150595554</v>
      </c>
      <c r="AG32" s="310">
        <f>AG31/AG30*1000</f>
        <v>8567.2192410885382</v>
      </c>
      <c r="AH32" s="194">
        <f t="shared" si="6"/>
        <v>-21.9</v>
      </c>
      <c r="AI32" s="310">
        <f>AI31/AI30*1000</f>
        <v>10721.542227662178</v>
      </c>
      <c r="AJ32" s="310">
        <f>AJ31/AJ30*1000</f>
        <v>6940.3897592663361</v>
      </c>
      <c r="AK32" s="194">
        <f t="shared" si="7"/>
        <v>-35.299999999999997</v>
      </c>
      <c r="AL32" s="310">
        <f>AL31/AL30*1000</f>
        <v>10917.684965651408</v>
      </c>
      <c r="AM32" s="310">
        <f>AM31/AM30*1000</f>
        <v>8241.0556960085796</v>
      </c>
      <c r="AN32" s="194">
        <f t="shared" si="8"/>
        <v>-24.5</v>
      </c>
      <c r="AO32" s="598">
        <f>AO31/AO30*1000</f>
        <v>12453.447604207247</v>
      </c>
      <c r="AP32" s="598">
        <f>AP31/AP30*1000</f>
        <v>7743.2613267061743</v>
      </c>
      <c r="AQ32" s="588">
        <f t="shared" si="9"/>
        <v>-37.799999999999997</v>
      </c>
      <c r="AR32" s="626">
        <f>AR31/AR30*1000</f>
        <v>11125</v>
      </c>
      <c r="AS32" s="626">
        <f>AS31/AS30*1000</f>
        <v>8157.9602386954712</v>
      </c>
      <c r="AT32" s="588">
        <f t="shared" si="10"/>
        <v>-26.7</v>
      </c>
      <c r="AU32" s="626">
        <f>AU31/AU30*1000</f>
        <v>12033.077180086868</v>
      </c>
      <c r="AV32" s="626">
        <f>AV31/AV30*1000</f>
        <v>8591.7291708899247</v>
      </c>
      <c r="AW32" s="616">
        <f t="shared" si="11"/>
        <v>-28.6</v>
      </c>
      <c r="AX32" s="930">
        <f>AX31/AX30*1000</f>
        <v>11248.489254395929</v>
      </c>
      <c r="AY32" s="930">
        <f>AY31/AY30*1000</f>
        <v>8216.9561621174507</v>
      </c>
      <c r="AZ32" s="616">
        <f t="shared" si="12"/>
        <v>-27</v>
      </c>
      <c r="BA32" s="626">
        <f>BA31/BA30*1000</f>
        <v>11392.071952031978</v>
      </c>
      <c r="BB32" s="626">
        <f>BB31/BB30*1000</f>
        <v>9640.936254980079</v>
      </c>
      <c r="BC32" s="616">
        <f t="shared" si="13"/>
        <v>-15.4</v>
      </c>
      <c r="BD32" s="626">
        <f>BD31/BD30*1000</f>
        <v>11265.723081843989</v>
      </c>
      <c r="BE32" s="626">
        <f>BE31/BE30*1000</f>
        <v>8358.9088020652325</v>
      </c>
      <c r="BF32" s="616">
        <f t="shared" si="14"/>
        <v>-25.8</v>
      </c>
      <c r="BG32" s="626">
        <f>BG31/BG30*1000</f>
        <v>11069.894430287586</v>
      </c>
      <c r="BH32" s="626">
        <f>BH31/BH30*1000</f>
        <v>8277.0895628648723</v>
      </c>
      <c r="BI32" s="616">
        <f t="shared" si="15"/>
        <v>-25.2</v>
      </c>
      <c r="BJ32" s="626">
        <f>BJ31/BJ30*1000</f>
        <v>11246.343396498307</v>
      </c>
      <c r="BK32" s="626">
        <f>BK31/BK30*1000</f>
        <v>8346.7627724111699</v>
      </c>
      <c r="BL32" s="616">
        <f t="shared" si="16"/>
        <v>-25.8</v>
      </c>
      <c r="BM32" s="626">
        <f>BM31/BM30*1000</f>
        <v>11095.383674717212</v>
      </c>
      <c r="BN32" s="626">
        <f>BN31/BN30*1000</f>
        <v>8286.95652173913</v>
      </c>
      <c r="BO32" s="616">
        <f t="shared" si="17"/>
        <v>-25.3</v>
      </c>
      <c r="BP32" s="626">
        <f>BP31/BP30*1000</f>
        <v>11230.429598117891</v>
      </c>
      <c r="BQ32" s="626">
        <f>BQ31/BQ30*1000</f>
        <v>8339.7098855203803</v>
      </c>
      <c r="BR32" s="616">
        <f t="shared" si="18"/>
        <v>-25.7</v>
      </c>
      <c r="BS32" s="626">
        <f>BS31/BS30*1000</f>
        <v>9626.1940673705376</v>
      </c>
      <c r="BT32" s="626">
        <f>BT31/BT30*1000</f>
        <v>8424.9550244153161</v>
      </c>
      <c r="BU32" s="616">
        <f t="shared" si="19"/>
        <v>-12.5</v>
      </c>
      <c r="BV32" s="626">
        <f>BV31/BV30*1000</f>
        <v>11048.133230496758</v>
      </c>
      <c r="BW32" s="626">
        <f>BW31/BW30*1000</f>
        <v>8350.5112674221709</v>
      </c>
      <c r="BX32" s="616">
        <f t="shared" si="20"/>
        <v>-24.4</v>
      </c>
    </row>
    <row r="33" spans="1:76" ht="22.5" customHeight="1">
      <c r="A33" s="14"/>
      <c r="B33" s="1104" t="s">
        <v>25</v>
      </c>
      <c r="C33" s="1105"/>
      <c r="D33" s="15" t="s">
        <v>271</v>
      </c>
      <c r="E33" s="454">
        <v>619158</v>
      </c>
      <c r="F33" s="454">
        <v>641395</v>
      </c>
      <c r="G33" s="454">
        <v>647479</v>
      </c>
      <c r="H33" s="454">
        <v>652631</v>
      </c>
      <c r="I33" s="454">
        <v>709369</v>
      </c>
      <c r="J33" s="454">
        <v>686572</v>
      </c>
      <c r="K33" s="209">
        <v>695520</v>
      </c>
      <c r="L33" s="185">
        <v>692382</v>
      </c>
      <c r="M33" s="443">
        <v>689932</v>
      </c>
      <c r="N33" s="313">
        <v>55968</v>
      </c>
      <c r="O33" s="313">
        <v>52375</v>
      </c>
      <c r="P33" s="197">
        <f t="shared" si="0"/>
        <v>-6.4</v>
      </c>
      <c r="Q33" s="313">
        <f>T33-N33</f>
        <v>53516</v>
      </c>
      <c r="R33" s="313">
        <f>U33-O33</f>
        <v>52333</v>
      </c>
      <c r="S33" s="197">
        <f t="shared" si="1"/>
        <v>-2.2000000000000002</v>
      </c>
      <c r="T33" s="313">
        <v>109484</v>
      </c>
      <c r="U33" s="313">
        <v>104708</v>
      </c>
      <c r="V33" s="197">
        <f t="shared" si="2"/>
        <v>-4.4000000000000004</v>
      </c>
      <c r="W33" s="313">
        <f>Z33-T33</f>
        <v>55389</v>
      </c>
      <c r="X33" s="313">
        <f>AA33-U33</f>
        <v>53896</v>
      </c>
      <c r="Y33" s="197">
        <f t="shared" si="3"/>
        <v>-2.7</v>
      </c>
      <c r="Z33" s="313">
        <v>164873</v>
      </c>
      <c r="AA33" s="313">
        <v>158604</v>
      </c>
      <c r="AB33" s="197">
        <f t="shared" si="4"/>
        <v>-3.8</v>
      </c>
      <c r="AC33" s="313">
        <f>AF33-Z33</f>
        <v>59275</v>
      </c>
      <c r="AD33" s="313">
        <f>AG33-AA33</f>
        <v>51941</v>
      </c>
      <c r="AE33" s="197">
        <f t="shared" si="5"/>
        <v>-12.4</v>
      </c>
      <c r="AF33" s="313">
        <v>224148</v>
      </c>
      <c r="AG33" s="313">
        <v>210545</v>
      </c>
      <c r="AH33" s="197">
        <f t="shared" si="6"/>
        <v>-6.1</v>
      </c>
      <c r="AI33" s="313">
        <f>AL33-AF33</f>
        <v>72104</v>
      </c>
      <c r="AJ33" s="313">
        <f>AM33-AG33</f>
        <v>48956</v>
      </c>
      <c r="AK33" s="197">
        <f t="shared" si="7"/>
        <v>-32.1</v>
      </c>
      <c r="AL33" s="313">
        <v>296252</v>
      </c>
      <c r="AM33" s="313">
        <v>259501</v>
      </c>
      <c r="AN33" s="197">
        <f t="shared" si="8"/>
        <v>-12.4</v>
      </c>
      <c r="AO33" s="600">
        <f>AR33-AL33</f>
        <v>53705</v>
      </c>
      <c r="AP33" s="600">
        <f>AS33-AM33</f>
        <v>59686</v>
      </c>
      <c r="AQ33" s="590">
        <f t="shared" si="9"/>
        <v>11.1</v>
      </c>
      <c r="AR33" s="640">
        <v>349957</v>
      </c>
      <c r="AS33" s="640">
        <v>319187</v>
      </c>
      <c r="AT33" s="590">
        <f t="shared" si="10"/>
        <v>-8.8000000000000007</v>
      </c>
      <c r="AU33" s="640">
        <f>AX33-AR33</f>
        <v>61984</v>
      </c>
      <c r="AV33" s="640">
        <f>AY33-AS33</f>
        <v>64144</v>
      </c>
      <c r="AW33" s="618">
        <f t="shared" si="11"/>
        <v>3.5</v>
      </c>
      <c r="AX33" s="931">
        <v>411941</v>
      </c>
      <c r="AY33" s="931">
        <v>383331</v>
      </c>
      <c r="AZ33" s="618">
        <f t="shared" si="12"/>
        <v>-6.9</v>
      </c>
      <c r="BA33" s="640">
        <f>BD33-AX33</f>
        <v>53331</v>
      </c>
      <c r="BB33" s="640">
        <f>BE33-AY33</f>
        <v>52172</v>
      </c>
      <c r="BC33" s="618">
        <f t="shared" si="13"/>
        <v>-2.2000000000000002</v>
      </c>
      <c r="BD33" s="640">
        <v>465272</v>
      </c>
      <c r="BE33" s="640">
        <v>435503</v>
      </c>
      <c r="BF33" s="618">
        <f t="shared" si="14"/>
        <v>-6.4</v>
      </c>
      <c r="BG33" s="640">
        <f>BJ33-BD33</f>
        <v>53984</v>
      </c>
      <c r="BH33" s="640">
        <f>BK33-BE33</f>
        <v>64028</v>
      </c>
      <c r="BI33" s="618">
        <f t="shared" si="15"/>
        <v>18.600000000000001</v>
      </c>
      <c r="BJ33" s="640">
        <v>519256</v>
      </c>
      <c r="BK33" s="640">
        <v>499531</v>
      </c>
      <c r="BL33" s="618">
        <f t="shared" si="16"/>
        <v>-3.8</v>
      </c>
      <c r="BM33" s="640">
        <f>BP33-BJ33</f>
        <v>61290</v>
      </c>
      <c r="BN33" s="640">
        <f>BQ33-BK33</f>
        <v>66978</v>
      </c>
      <c r="BO33" s="618">
        <f t="shared" si="17"/>
        <v>9.3000000000000007</v>
      </c>
      <c r="BP33" s="640">
        <v>580546</v>
      </c>
      <c r="BQ33" s="640">
        <v>566509</v>
      </c>
      <c r="BR33" s="618">
        <f t="shared" si="18"/>
        <v>-2.4</v>
      </c>
      <c r="BS33" s="640">
        <f>BV33-BP33</f>
        <v>54850</v>
      </c>
      <c r="BT33" s="640">
        <f>BW33-BQ33</f>
        <v>71567</v>
      </c>
      <c r="BU33" s="618">
        <f t="shared" si="19"/>
        <v>30.5</v>
      </c>
      <c r="BV33" s="640">
        <v>635396</v>
      </c>
      <c r="BW33" s="640">
        <v>638076</v>
      </c>
      <c r="BX33" s="618">
        <f t="shared" si="20"/>
        <v>0.4</v>
      </c>
    </row>
    <row r="34" spans="1:76" ht="22.5" customHeight="1">
      <c r="A34" s="14"/>
      <c r="B34" s="1104"/>
      <c r="C34" s="1105"/>
      <c r="D34" s="367" t="s">
        <v>272</v>
      </c>
      <c r="E34" s="455">
        <v>5018131</v>
      </c>
      <c r="F34" s="455">
        <v>4570451</v>
      </c>
      <c r="G34" s="455">
        <v>4520789</v>
      </c>
      <c r="H34" s="455">
        <v>4497741</v>
      </c>
      <c r="I34" s="455">
        <v>4245777</v>
      </c>
      <c r="J34" s="455">
        <v>3687127</v>
      </c>
      <c r="K34" s="210">
        <v>4428248</v>
      </c>
      <c r="L34" s="186">
        <v>4903888</v>
      </c>
      <c r="M34" s="444">
        <v>4643144</v>
      </c>
      <c r="N34" s="314">
        <v>386000</v>
      </c>
      <c r="O34" s="314">
        <v>354851</v>
      </c>
      <c r="P34" s="198">
        <f t="shared" si="0"/>
        <v>-8.1</v>
      </c>
      <c r="Q34" s="314">
        <f>T34-N34</f>
        <v>364789</v>
      </c>
      <c r="R34" s="314">
        <f>U34-O34</f>
        <v>355498</v>
      </c>
      <c r="S34" s="198">
        <f t="shared" si="1"/>
        <v>-2.5</v>
      </c>
      <c r="T34" s="314">
        <v>750789</v>
      </c>
      <c r="U34" s="314">
        <v>710349</v>
      </c>
      <c r="V34" s="198">
        <f t="shared" si="2"/>
        <v>-5.4</v>
      </c>
      <c r="W34" s="314">
        <f>Z34-T34</f>
        <v>378617</v>
      </c>
      <c r="X34" s="314">
        <f>AA34-U34</f>
        <v>360466</v>
      </c>
      <c r="Y34" s="198">
        <f t="shared" si="3"/>
        <v>-4.8</v>
      </c>
      <c r="Z34" s="314">
        <v>1129406</v>
      </c>
      <c r="AA34" s="314">
        <v>1070815</v>
      </c>
      <c r="AB34" s="198">
        <f t="shared" si="4"/>
        <v>-5.2</v>
      </c>
      <c r="AC34" s="314">
        <f>AF34-Z34</f>
        <v>395359</v>
      </c>
      <c r="AD34" s="314">
        <f>AG34-AA34</f>
        <v>331679</v>
      </c>
      <c r="AE34" s="198">
        <f t="shared" si="5"/>
        <v>-16.100000000000001</v>
      </c>
      <c r="AF34" s="314">
        <v>1524765</v>
      </c>
      <c r="AG34" s="314">
        <v>1402494</v>
      </c>
      <c r="AH34" s="198">
        <f t="shared" si="6"/>
        <v>-8</v>
      </c>
      <c r="AI34" s="314">
        <f>AL34-AF34</f>
        <v>467118</v>
      </c>
      <c r="AJ34" s="314">
        <f>AM34-AG34</f>
        <v>301592</v>
      </c>
      <c r="AK34" s="198">
        <f t="shared" si="7"/>
        <v>-35.4</v>
      </c>
      <c r="AL34" s="314">
        <v>1991883</v>
      </c>
      <c r="AM34" s="314">
        <v>1704086</v>
      </c>
      <c r="AN34" s="198">
        <f t="shared" si="8"/>
        <v>-14.4</v>
      </c>
      <c r="AO34" s="601">
        <f>AR34-AL34</f>
        <v>366161</v>
      </c>
      <c r="AP34" s="601">
        <f>AS34-AM34</f>
        <v>363477</v>
      </c>
      <c r="AQ34" s="591">
        <f t="shared" si="9"/>
        <v>-0.7</v>
      </c>
      <c r="AR34" s="641">
        <v>2358044</v>
      </c>
      <c r="AS34" s="641">
        <v>2067563</v>
      </c>
      <c r="AT34" s="591">
        <f t="shared" si="10"/>
        <v>-12.3</v>
      </c>
      <c r="AU34" s="641">
        <f>AX34-AR34</f>
        <v>422194</v>
      </c>
      <c r="AV34" s="641">
        <f>AY34-AS34</f>
        <v>427837</v>
      </c>
      <c r="AW34" s="619">
        <f t="shared" si="11"/>
        <v>1.3</v>
      </c>
      <c r="AX34" s="932">
        <v>2780238</v>
      </c>
      <c r="AY34" s="932">
        <v>2495400</v>
      </c>
      <c r="AZ34" s="619">
        <f t="shared" si="12"/>
        <v>-10.199999999999999</v>
      </c>
      <c r="BA34" s="641">
        <f>BD34-AX34</f>
        <v>355497</v>
      </c>
      <c r="BB34" s="641">
        <f>BE34-AY34</f>
        <v>360155</v>
      </c>
      <c r="BC34" s="619">
        <f t="shared" si="13"/>
        <v>1.3</v>
      </c>
      <c r="BD34" s="641">
        <v>3135735</v>
      </c>
      <c r="BE34" s="641">
        <v>2855555</v>
      </c>
      <c r="BF34" s="619">
        <f t="shared" si="14"/>
        <v>-8.9</v>
      </c>
      <c r="BG34" s="641">
        <f>BJ34-BD34</f>
        <v>357984</v>
      </c>
      <c r="BH34" s="641">
        <f>BK34-BE34</f>
        <v>457771</v>
      </c>
      <c r="BI34" s="619">
        <f t="shared" si="15"/>
        <v>27.9</v>
      </c>
      <c r="BJ34" s="641">
        <v>3493719</v>
      </c>
      <c r="BK34" s="641">
        <v>3313326</v>
      </c>
      <c r="BL34" s="619">
        <f t="shared" si="16"/>
        <v>-5.2</v>
      </c>
      <c r="BM34" s="641">
        <f>BP34-BJ34</f>
        <v>402572</v>
      </c>
      <c r="BN34" s="641">
        <f>BQ34-BK34</f>
        <v>478640</v>
      </c>
      <c r="BO34" s="619">
        <f t="shared" si="17"/>
        <v>18.899999999999999</v>
      </c>
      <c r="BP34" s="641">
        <v>3896291</v>
      </c>
      <c r="BQ34" s="641">
        <v>3791966</v>
      </c>
      <c r="BR34" s="619">
        <f t="shared" si="18"/>
        <v>-2.7</v>
      </c>
      <c r="BS34" s="641">
        <f>BV34-BP34</f>
        <v>373315</v>
      </c>
      <c r="BT34" s="641">
        <f>BW34-BQ34</f>
        <v>520050</v>
      </c>
      <c r="BU34" s="619">
        <f t="shared" si="19"/>
        <v>39.299999999999997</v>
      </c>
      <c r="BV34" s="641">
        <v>4269606</v>
      </c>
      <c r="BW34" s="641">
        <v>4312016</v>
      </c>
      <c r="BX34" s="619">
        <f t="shared" si="20"/>
        <v>1</v>
      </c>
    </row>
    <row r="35" spans="1:76" ht="22.5" customHeight="1">
      <c r="A35" s="14"/>
      <c r="B35" s="1104"/>
      <c r="C35" s="1105"/>
      <c r="D35" s="371" t="s">
        <v>317</v>
      </c>
      <c r="E35" s="456">
        <f t="shared" ref="E35:L35" si="33">E34/E33*1000</f>
        <v>8104.7664731780906</v>
      </c>
      <c r="F35" s="456">
        <f t="shared" si="33"/>
        <v>7125.7976753794464</v>
      </c>
      <c r="G35" s="456">
        <f t="shared" si="33"/>
        <v>6982.1399612960422</v>
      </c>
      <c r="H35" s="456">
        <f t="shared" si="33"/>
        <v>6891.7060329650294</v>
      </c>
      <c r="I35" s="456">
        <f t="shared" si="33"/>
        <v>5985.2869240127493</v>
      </c>
      <c r="J35" s="456">
        <f t="shared" si="33"/>
        <v>5370.3428045419851</v>
      </c>
      <c r="K35" s="211">
        <f t="shared" si="33"/>
        <v>6366.8161950770645</v>
      </c>
      <c r="L35" s="187">
        <f t="shared" si="33"/>
        <v>7082.633575107383</v>
      </c>
      <c r="M35" s="445">
        <f>M34/M33*1000</f>
        <v>6729.8574352255</v>
      </c>
      <c r="N35" s="315">
        <f>N34/N33*1000</f>
        <v>6896.7981703830765</v>
      </c>
      <c r="O35" s="315">
        <f>O34/O33*1000</f>
        <v>6775.1980906921244</v>
      </c>
      <c r="P35" s="199">
        <f t="shared" si="0"/>
        <v>-1.8</v>
      </c>
      <c r="Q35" s="315">
        <f>Q34/Q33*1000</f>
        <v>6816.447417594738</v>
      </c>
      <c r="R35" s="315">
        <f>R34/R33*1000</f>
        <v>6792.9986815202637</v>
      </c>
      <c r="S35" s="199">
        <f t="shared" si="1"/>
        <v>-0.3</v>
      </c>
      <c r="T35" s="315">
        <f>T34/T33*1000</f>
        <v>6857.5225603741192</v>
      </c>
      <c r="U35" s="315">
        <f>U34/U33*1000</f>
        <v>6784.0948160599</v>
      </c>
      <c r="V35" s="199">
        <f t="shared" si="2"/>
        <v>-1.1000000000000001</v>
      </c>
      <c r="W35" s="315">
        <f>W34/W33*1000</f>
        <v>6835.5991261802883</v>
      </c>
      <c r="X35" s="315">
        <f>X34/X33*1000</f>
        <v>6688.1772302211666</v>
      </c>
      <c r="Y35" s="199">
        <f t="shared" si="3"/>
        <v>-2.2000000000000002</v>
      </c>
      <c r="Z35" s="315">
        <f>Z34/Z33*1000</f>
        <v>6850.1573938728598</v>
      </c>
      <c r="AA35" s="315">
        <f>AA34/AA33*1000</f>
        <v>6751.5005926710546</v>
      </c>
      <c r="AB35" s="199">
        <f t="shared" si="4"/>
        <v>-1.4</v>
      </c>
      <c r="AC35" s="315">
        <f>AC34/AC33*1000</f>
        <v>6669.9114297764663</v>
      </c>
      <c r="AD35" s="315">
        <f>AD34/AD33*1000</f>
        <v>6385.6876070926628</v>
      </c>
      <c r="AE35" s="199">
        <f t="shared" si="5"/>
        <v>-4.3</v>
      </c>
      <c r="AF35" s="315">
        <f>AF34/AF33*1000</f>
        <v>6802.4921034316612</v>
      </c>
      <c r="AG35" s="315">
        <f>AG34/AG33*1000</f>
        <v>6661.2553135909193</v>
      </c>
      <c r="AH35" s="199">
        <f t="shared" si="6"/>
        <v>-2.1</v>
      </c>
      <c r="AI35" s="315">
        <f>AI34/AI33*1000</f>
        <v>6478.3923222012654</v>
      </c>
      <c r="AJ35" s="315">
        <f>AJ34/AJ33*1000</f>
        <v>6160.4706266851863</v>
      </c>
      <c r="AK35" s="199">
        <f t="shared" si="7"/>
        <v>-4.9000000000000004</v>
      </c>
      <c r="AL35" s="315">
        <f>AL34/AL33*1000</f>
        <v>6723.6103047405586</v>
      </c>
      <c r="AM35" s="315">
        <f>AM34/AM33*1000</f>
        <v>6566.7800894794245</v>
      </c>
      <c r="AN35" s="199">
        <f t="shared" si="8"/>
        <v>-2.2999999999999998</v>
      </c>
      <c r="AO35" s="602">
        <f>AO34/AO33*1000</f>
        <v>6818.0057722744623</v>
      </c>
      <c r="AP35" s="602">
        <f>AP34/AP33*1000</f>
        <v>6089.8200583051303</v>
      </c>
      <c r="AQ35" s="592">
        <f t="shared" si="9"/>
        <v>-10.7</v>
      </c>
      <c r="AR35" s="630">
        <f>AR34/AR33*1000</f>
        <v>6738.09639469992</v>
      </c>
      <c r="AS35" s="630">
        <f>AS34/AS33*1000</f>
        <v>6477.5915059197268</v>
      </c>
      <c r="AT35" s="592">
        <f t="shared" si="10"/>
        <v>-3.9</v>
      </c>
      <c r="AU35" s="630">
        <f>AU34/AU33*1000</f>
        <v>6811.3384099122359</v>
      </c>
      <c r="AV35" s="630">
        <f>AV34/AV33*1000</f>
        <v>6669.945747069095</v>
      </c>
      <c r="AW35" s="620">
        <f t="shared" si="11"/>
        <v>-2.1</v>
      </c>
      <c r="AX35" s="933">
        <f>AX34/AX33*1000</f>
        <v>6749.1169851993373</v>
      </c>
      <c r="AY35" s="933">
        <f>AY34/AY33*1000</f>
        <v>6509.7787551750316</v>
      </c>
      <c r="AZ35" s="620">
        <f t="shared" si="12"/>
        <v>-3.5</v>
      </c>
      <c r="BA35" s="630">
        <f>BA34/BA33*1000</f>
        <v>6665.8603813916861</v>
      </c>
      <c r="BB35" s="630">
        <f>BB34/BB33*1000</f>
        <v>6903.22395154489</v>
      </c>
      <c r="BC35" s="620">
        <f t="shared" si="13"/>
        <v>3.6</v>
      </c>
      <c r="BD35" s="630">
        <f>BD34/BD33*1000</f>
        <v>6739.5738406781411</v>
      </c>
      <c r="BE35" s="630">
        <f>BE34/BE33*1000</f>
        <v>6556.9123519240966</v>
      </c>
      <c r="BF35" s="620">
        <f t="shared" si="14"/>
        <v>-2.7</v>
      </c>
      <c r="BG35" s="630">
        <f>BG34/BG33*1000</f>
        <v>6631.2981624184949</v>
      </c>
      <c r="BH35" s="630">
        <f>BH34/BH33*1000</f>
        <v>7149.5439495220844</v>
      </c>
      <c r="BI35" s="620">
        <f t="shared" si="15"/>
        <v>7.8</v>
      </c>
      <c r="BJ35" s="630">
        <f>BJ34/BJ33*1000</f>
        <v>6728.3170536305788</v>
      </c>
      <c r="BK35" s="630">
        <f>BK34/BK33*1000</f>
        <v>6632.8736354700713</v>
      </c>
      <c r="BL35" s="620">
        <f t="shared" si="16"/>
        <v>-1.4</v>
      </c>
      <c r="BM35" s="630">
        <f>BM34/BM33*1000</f>
        <v>6568.3145700766845</v>
      </c>
      <c r="BN35" s="630">
        <f>BN34/BN33*1000</f>
        <v>7146.227119352623</v>
      </c>
      <c r="BO35" s="620">
        <f t="shared" si="17"/>
        <v>8.8000000000000007</v>
      </c>
      <c r="BP35" s="630">
        <f>BP34/BP33*1000</f>
        <v>6711.4251067098903</v>
      </c>
      <c r="BQ35" s="630">
        <f>BQ34/BQ33*1000</f>
        <v>6693.5670924910282</v>
      </c>
      <c r="BR35" s="620">
        <f t="shared" si="18"/>
        <v>-0.3</v>
      </c>
      <c r="BS35" s="630">
        <f>BS34/BS33*1000</f>
        <v>6806.1075660893348</v>
      </c>
      <c r="BT35" s="630">
        <f>BT34/BT33*1000</f>
        <v>7266.6172956809705</v>
      </c>
      <c r="BU35" s="620">
        <f t="shared" si="19"/>
        <v>6.8</v>
      </c>
      <c r="BV35" s="630">
        <f>BV34/BV33*1000</f>
        <v>6719.598486613073</v>
      </c>
      <c r="BW35" s="630">
        <f>BW34/BW33*1000</f>
        <v>6757.8407587810862</v>
      </c>
      <c r="BX35" s="620">
        <f t="shared" si="20"/>
        <v>0.6</v>
      </c>
    </row>
    <row r="36" spans="1:76" ht="22.5" customHeight="1">
      <c r="A36" s="1107" t="s">
        <v>26</v>
      </c>
      <c r="B36" s="1099" t="s">
        <v>27</v>
      </c>
      <c r="C36" s="1103" t="s">
        <v>300</v>
      </c>
      <c r="D36" s="365" t="s">
        <v>13</v>
      </c>
      <c r="E36" s="452">
        <v>5624</v>
      </c>
      <c r="F36" s="452">
        <v>4625</v>
      </c>
      <c r="G36" s="452">
        <v>8414</v>
      </c>
      <c r="H36" s="452">
        <v>12502</v>
      </c>
      <c r="I36" s="452">
        <v>6697</v>
      </c>
      <c r="J36" s="452">
        <v>1068</v>
      </c>
      <c r="K36" s="207">
        <v>1053</v>
      </c>
      <c r="L36" s="183">
        <v>784</v>
      </c>
      <c r="M36" s="312">
        <v>520</v>
      </c>
      <c r="N36" s="311">
        <v>39</v>
      </c>
      <c r="O36" s="311">
        <v>66</v>
      </c>
      <c r="P36" s="195">
        <f t="shared" si="0"/>
        <v>69.2</v>
      </c>
      <c r="Q36" s="311">
        <f>T36-N36</f>
        <v>38</v>
      </c>
      <c r="R36" s="311">
        <f>U36-O36</f>
        <v>39</v>
      </c>
      <c r="S36" s="195">
        <f t="shared" si="1"/>
        <v>2.6</v>
      </c>
      <c r="T36" s="311">
        <v>77</v>
      </c>
      <c r="U36" s="311">
        <v>105</v>
      </c>
      <c r="V36" s="195">
        <f t="shared" si="2"/>
        <v>36.4</v>
      </c>
      <c r="W36" s="311">
        <f>Z36-T36</f>
        <v>39</v>
      </c>
      <c r="X36" s="311">
        <f>AA36-U36</f>
        <v>78</v>
      </c>
      <c r="Y36" s="195">
        <f t="shared" si="3"/>
        <v>100</v>
      </c>
      <c r="Z36" s="311">
        <v>116</v>
      </c>
      <c r="AA36" s="311">
        <v>183</v>
      </c>
      <c r="AB36" s="195">
        <f t="shared" si="4"/>
        <v>57.8</v>
      </c>
      <c r="AC36" s="311">
        <f>AF36-Z36</f>
        <v>42</v>
      </c>
      <c r="AD36" s="311">
        <f>AG36-AA36</f>
        <v>64</v>
      </c>
      <c r="AE36" s="195">
        <f t="shared" si="5"/>
        <v>52.4</v>
      </c>
      <c r="AF36" s="311">
        <v>158</v>
      </c>
      <c r="AG36" s="311">
        <v>247</v>
      </c>
      <c r="AH36" s="195">
        <f t="shared" si="6"/>
        <v>56.3</v>
      </c>
      <c r="AI36" s="311">
        <f>AL36-AF36</f>
        <v>41</v>
      </c>
      <c r="AJ36" s="311">
        <f>AM36-AG36</f>
        <v>92</v>
      </c>
      <c r="AK36" s="195">
        <f t="shared" si="7"/>
        <v>124.4</v>
      </c>
      <c r="AL36" s="311">
        <v>199</v>
      </c>
      <c r="AM36" s="311">
        <v>339</v>
      </c>
      <c r="AN36" s="195">
        <f t="shared" si="8"/>
        <v>70.400000000000006</v>
      </c>
      <c r="AO36" s="599">
        <f>AR36-AL36</f>
        <v>65</v>
      </c>
      <c r="AP36" s="599">
        <f>AS36-AM36</f>
        <v>41</v>
      </c>
      <c r="AQ36" s="589">
        <f t="shared" si="9"/>
        <v>-36.9</v>
      </c>
      <c r="AR36" s="869">
        <v>264</v>
      </c>
      <c r="AS36" s="869">
        <v>380</v>
      </c>
      <c r="AT36" s="589">
        <f t="shared" si="10"/>
        <v>43.9</v>
      </c>
      <c r="AU36" s="869">
        <f>AX36-AR36</f>
        <v>38</v>
      </c>
      <c r="AV36" s="869">
        <f>AY36-AS36</f>
        <v>1021</v>
      </c>
      <c r="AW36" s="617">
        <f t="shared" si="11"/>
        <v>2586.8000000000002</v>
      </c>
      <c r="AX36" s="929">
        <v>302</v>
      </c>
      <c r="AY36" s="929">
        <v>1401</v>
      </c>
      <c r="AZ36" s="617">
        <f t="shared" si="12"/>
        <v>363.9</v>
      </c>
      <c r="BA36" s="869">
        <f>BD36-AX36</f>
        <v>38</v>
      </c>
      <c r="BB36" s="869">
        <f>BE36-AY36</f>
        <v>361</v>
      </c>
      <c r="BC36" s="617">
        <f t="shared" si="13"/>
        <v>850</v>
      </c>
      <c r="BD36" s="869">
        <v>340</v>
      </c>
      <c r="BE36" s="869">
        <v>1762</v>
      </c>
      <c r="BF36" s="617">
        <f t="shared" si="14"/>
        <v>418.2</v>
      </c>
      <c r="BG36" s="869">
        <f>BJ36-BD36</f>
        <v>38</v>
      </c>
      <c r="BH36" s="869">
        <f>BK36-BE36</f>
        <v>39</v>
      </c>
      <c r="BI36" s="617">
        <f t="shared" si="15"/>
        <v>2.6</v>
      </c>
      <c r="BJ36" s="869">
        <v>378</v>
      </c>
      <c r="BK36" s="869">
        <v>1801</v>
      </c>
      <c r="BL36" s="617">
        <f t="shared" si="16"/>
        <v>376.5</v>
      </c>
      <c r="BM36" s="869">
        <f>BP36-BJ36</f>
        <v>41</v>
      </c>
      <c r="BN36" s="869">
        <f>BQ36-BK36</f>
        <v>64</v>
      </c>
      <c r="BO36" s="617">
        <f t="shared" si="17"/>
        <v>56.1</v>
      </c>
      <c r="BP36" s="869">
        <v>419</v>
      </c>
      <c r="BQ36" s="869">
        <v>1865</v>
      </c>
      <c r="BR36" s="617">
        <f t="shared" si="18"/>
        <v>345.1</v>
      </c>
      <c r="BS36" s="869">
        <f>BV36-BP36</f>
        <v>62</v>
      </c>
      <c r="BT36" s="869">
        <f>BW36-BQ36</f>
        <v>65</v>
      </c>
      <c r="BU36" s="617">
        <f t="shared" si="19"/>
        <v>4.8</v>
      </c>
      <c r="BV36" s="869">
        <v>481</v>
      </c>
      <c r="BW36" s="869">
        <v>1930</v>
      </c>
      <c r="BX36" s="617">
        <f t="shared" si="20"/>
        <v>301.2</v>
      </c>
    </row>
    <row r="37" spans="1:76" ht="22.5" customHeight="1">
      <c r="A37" s="1108"/>
      <c r="B37" s="1099"/>
      <c r="C37" s="1100"/>
      <c r="D37" s="366" t="s">
        <v>14</v>
      </c>
      <c r="E37" s="449">
        <v>14023</v>
      </c>
      <c r="F37" s="449">
        <v>12132</v>
      </c>
      <c r="G37" s="449">
        <v>21578</v>
      </c>
      <c r="H37" s="449">
        <v>34710</v>
      </c>
      <c r="I37" s="449">
        <v>17836</v>
      </c>
      <c r="J37" s="449">
        <v>3067</v>
      </c>
      <c r="K37" s="202">
        <v>2060</v>
      </c>
      <c r="L37" s="180">
        <v>1485</v>
      </c>
      <c r="M37" s="438">
        <v>1012</v>
      </c>
      <c r="N37" s="309">
        <v>66</v>
      </c>
      <c r="O37" s="309">
        <v>111</v>
      </c>
      <c r="P37" s="193">
        <f t="shared" si="0"/>
        <v>68.2</v>
      </c>
      <c r="Q37" s="309">
        <f>T37-N37</f>
        <v>86</v>
      </c>
      <c r="R37" s="309">
        <f>U37-O37</f>
        <v>117</v>
      </c>
      <c r="S37" s="193">
        <f t="shared" si="1"/>
        <v>36</v>
      </c>
      <c r="T37" s="309">
        <v>152</v>
      </c>
      <c r="U37" s="309">
        <v>228</v>
      </c>
      <c r="V37" s="193">
        <f t="shared" si="2"/>
        <v>50</v>
      </c>
      <c r="W37" s="309">
        <f>Z37-T37</f>
        <v>63</v>
      </c>
      <c r="X37" s="309">
        <f>AA37-U37</f>
        <v>111</v>
      </c>
      <c r="Y37" s="193">
        <f t="shared" si="3"/>
        <v>76.2</v>
      </c>
      <c r="Z37" s="309">
        <v>215</v>
      </c>
      <c r="AA37" s="309">
        <v>339</v>
      </c>
      <c r="AB37" s="193">
        <f t="shared" si="4"/>
        <v>57.7</v>
      </c>
      <c r="AC37" s="309">
        <f>AF37-Z37</f>
        <v>88</v>
      </c>
      <c r="AD37" s="309">
        <f>AG37-AA37</f>
        <v>97</v>
      </c>
      <c r="AE37" s="193">
        <f t="shared" si="5"/>
        <v>10.199999999999999</v>
      </c>
      <c r="AF37" s="309">
        <v>303</v>
      </c>
      <c r="AG37" s="309">
        <v>436</v>
      </c>
      <c r="AH37" s="193">
        <f t="shared" si="6"/>
        <v>43.9</v>
      </c>
      <c r="AI37" s="309">
        <f>AL37-AF37</f>
        <v>69</v>
      </c>
      <c r="AJ37" s="309">
        <f>AM37-AG37</f>
        <v>409</v>
      </c>
      <c r="AK37" s="193">
        <f t="shared" si="7"/>
        <v>492.8</v>
      </c>
      <c r="AL37" s="309">
        <v>372</v>
      </c>
      <c r="AM37" s="309">
        <v>845</v>
      </c>
      <c r="AN37" s="193">
        <f t="shared" si="8"/>
        <v>127.2</v>
      </c>
      <c r="AO37" s="597">
        <f>AR37-AL37</f>
        <v>115</v>
      </c>
      <c r="AP37" s="597">
        <f>AS37-AM37</f>
        <v>251</v>
      </c>
      <c r="AQ37" s="587">
        <f t="shared" si="9"/>
        <v>118.3</v>
      </c>
      <c r="AR37" s="868">
        <v>487</v>
      </c>
      <c r="AS37" s="868">
        <v>1096</v>
      </c>
      <c r="AT37" s="587">
        <f t="shared" si="10"/>
        <v>125.1</v>
      </c>
      <c r="AU37" s="868">
        <f>AX37-AR37</f>
        <v>55</v>
      </c>
      <c r="AV37" s="868">
        <f>AY37-AS37</f>
        <v>2180</v>
      </c>
      <c r="AW37" s="615">
        <f t="shared" si="11"/>
        <v>3863.6</v>
      </c>
      <c r="AX37" s="925">
        <v>542</v>
      </c>
      <c r="AY37" s="925">
        <v>3276</v>
      </c>
      <c r="AZ37" s="615">
        <f t="shared" si="12"/>
        <v>504.4</v>
      </c>
      <c r="BA37" s="868">
        <f>BD37-AX37</f>
        <v>60</v>
      </c>
      <c r="BB37" s="868">
        <f>BE37-AY37</f>
        <v>633</v>
      </c>
      <c r="BC37" s="615">
        <f t="shared" si="13"/>
        <v>955</v>
      </c>
      <c r="BD37" s="868">
        <v>602</v>
      </c>
      <c r="BE37" s="868">
        <v>3909</v>
      </c>
      <c r="BF37" s="615">
        <f t="shared" si="14"/>
        <v>549.29999999999995</v>
      </c>
      <c r="BG37" s="868">
        <f>BJ37-BD37</f>
        <v>61</v>
      </c>
      <c r="BH37" s="868">
        <f>BK37-BE37</f>
        <v>50</v>
      </c>
      <c r="BI37" s="615">
        <f t="shared" si="15"/>
        <v>-18</v>
      </c>
      <c r="BJ37" s="868">
        <v>663</v>
      </c>
      <c r="BK37" s="868">
        <v>3959</v>
      </c>
      <c r="BL37" s="615">
        <f t="shared" si="16"/>
        <v>497.1</v>
      </c>
      <c r="BM37" s="868">
        <f>BP37-BJ37</f>
        <v>64</v>
      </c>
      <c r="BN37" s="868">
        <f>BQ37-BK37</f>
        <v>161</v>
      </c>
      <c r="BO37" s="615">
        <f t="shared" si="17"/>
        <v>151.6</v>
      </c>
      <c r="BP37" s="868">
        <v>727</v>
      </c>
      <c r="BQ37" s="868">
        <v>4120</v>
      </c>
      <c r="BR37" s="615">
        <f t="shared" si="18"/>
        <v>466.7</v>
      </c>
      <c r="BS37" s="868">
        <f>BV37-BP37</f>
        <v>153</v>
      </c>
      <c r="BT37" s="868">
        <f>BW37-BQ37</f>
        <v>276</v>
      </c>
      <c r="BU37" s="615">
        <f t="shared" si="19"/>
        <v>80.400000000000006</v>
      </c>
      <c r="BV37" s="868">
        <v>880</v>
      </c>
      <c r="BW37" s="868">
        <v>4396</v>
      </c>
      <c r="BX37" s="615">
        <f t="shared" si="20"/>
        <v>399.5</v>
      </c>
    </row>
    <row r="38" spans="1:76" ht="22.5" customHeight="1">
      <c r="A38" s="14"/>
      <c r="B38" s="1099"/>
      <c r="C38" s="1100"/>
      <c r="D38" s="370" t="s">
        <v>15</v>
      </c>
      <c r="E38" s="453">
        <f t="shared" ref="E38:L38" si="34">E37/E36*1000</f>
        <v>2493.4210526315787</v>
      </c>
      <c r="F38" s="453">
        <f t="shared" si="34"/>
        <v>2623.135135135135</v>
      </c>
      <c r="G38" s="453">
        <f t="shared" si="34"/>
        <v>2564.5352983123362</v>
      </c>
      <c r="H38" s="453">
        <f t="shared" si="34"/>
        <v>2776.3557830747077</v>
      </c>
      <c r="I38" s="453">
        <f t="shared" si="34"/>
        <v>2663.2820665969834</v>
      </c>
      <c r="J38" s="453">
        <f t="shared" si="34"/>
        <v>2871.7228464419477</v>
      </c>
      <c r="K38" s="208">
        <f t="shared" si="34"/>
        <v>1956.3152896486229</v>
      </c>
      <c r="L38" s="184">
        <f t="shared" si="34"/>
        <v>1894.1326530612246</v>
      </c>
      <c r="M38" s="439">
        <f>M37/M36*1000</f>
        <v>1946.1538461538462</v>
      </c>
      <c r="N38" s="310">
        <f>N37/N36*1000</f>
        <v>1692.3076923076924</v>
      </c>
      <c r="O38" s="310">
        <f>O37/O36*1000</f>
        <v>1681.818181818182</v>
      </c>
      <c r="P38" s="194">
        <f t="shared" si="0"/>
        <v>-0.6</v>
      </c>
      <c r="Q38" s="310">
        <f>Q37/Q36*1000</f>
        <v>2263.1578947368421</v>
      </c>
      <c r="R38" s="310">
        <f>R37/R36*1000</f>
        <v>3000</v>
      </c>
      <c r="S38" s="194">
        <f t="shared" si="1"/>
        <v>32.6</v>
      </c>
      <c r="T38" s="310">
        <f>T37/T36*1000</f>
        <v>1974.0259740259739</v>
      </c>
      <c r="U38" s="310">
        <f>U37/U36*1000</f>
        <v>2171.4285714285711</v>
      </c>
      <c r="V38" s="194">
        <f t="shared" si="2"/>
        <v>10</v>
      </c>
      <c r="W38" s="310">
        <f>W37/W36*1000</f>
        <v>1615.3846153846155</v>
      </c>
      <c r="X38" s="310">
        <f>X37/X36*1000</f>
        <v>1423.0769230769231</v>
      </c>
      <c r="Y38" s="194">
        <f t="shared" si="3"/>
        <v>-11.9</v>
      </c>
      <c r="Z38" s="310">
        <f>Z37/Z36*1000</f>
        <v>1853.4482758620688</v>
      </c>
      <c r="AA38" s="310">
        <f>AA37/AA36*1000</f>
        <v>1852.4590163934427</v>
      </c>
      <c r="AB38" s="194">
        <f t="shared" si="4"/>
        <v>-0.1</v>
      </c>
      <c r="AC38" s="310">
        <f>AC37/AC36*1000</f>
        <v>2095.2380952380954</v>
      </c>
      <c r="AD38" s="310">
        <f>AD37/AD36*1000</f>
        <v>1515.625</v>
      </c>
      <c r="AE38" s="194">
        <f t="shared" si="5"/>
        <v>-27.7</v>
      </c>
      <c r="AF38" s="310">
        <f>AF37/AF36*1000</f>
        <v>1917.7215189873418</v>
      </c>
      <c r="AG38" s="310">
        <f>AG37/AG36*1000</f>
        <v>1765.1821862348179</v>
      </c>
      <c r="AH38" s="194">
        <f t="shared" si="6"/>
        <v>-8</v>
      </c>
      <c r="AI38" s="310">
        <f>AI37/AI36*1000</f>
        <v>1682.9268292682925</v>
      </c>
      <c r="AJ38" s="310">
        <f>AJ37/AJ36*1000</f>
        <v>4445.652173913044</v>
      </c>
      <c r="AK38" s="194">
        <f t="shared" si="7"/>
        <v>164.2</v>
      </c>
      <c r="AL38" s="310">
        <f>AL37/AL36*1000</f>
        <v>1869.3467336683418</v>
      </c>
      <c r="AM38" s="310">
        <f>AM37/AM36*1000</f>
        <v>2492.6253687315634</v>
      </c>
      <c r="AN38" s="194">
        <f t="shared" si="8"/>
        <v>33.299999999999997</v>
      </c>
      <c r="AO38" s="598">
        <f>AO37/AO36*1000</f>
        <v>1769.2307692307691</v>
      </c>
      <c r="AP38" s="598">
        <f>AP37/AP36*1000</f>
        <v>6121.9512195121952</v>
      </c>
      <c r="AQ38" s="588">
        <f t="shared" si="9"/>
        <v>246</v>
      </c>
      <c r="AR38" s="626">
        <f>AR37/AR36*1000</f>
        <v>1844.6969696969697</v>
      </c>
      <c r="AS38" s="626">
        <f>AS37/AS36*1000</f>
        <v>2884.2105263157896</v>
      </c>
      <c r="AT38" s="588">
        <f t="shared" si="10"/>
        <v>56.4</v>
      </c>
      <c r="AU38" s="626">
        <f>AU37/AU36*1000</f>
        <v>1447.3684210526317</v>
      </c>
      <c r="AV38" s="626">
        <f>AV37/AV36*1000</f>
        <v>2135.1616062683643</v>
      </c>
      <c r="AW38" s="616">
        <f t="shared" si="11"/>
        <v>47.5</v>
      </c>
      <c r="AX38" s="930">
        <f>AX37/AX36*1000</f>
        <v>1794.701986754967</v>
      </c>
      <c r="AY38" s="930">
        <f>AY37/AY36*1000</f>
        <v>2338.3297644539612</v>
      </c>
      <c r="AZ38" s="616">
        <f t="shared" si="12"/>
        <v>30.3</v>
      </c>
      <c r="BA38" s="626">
        <f>BA37/BA36*1000</f>
        <v>1578.9473684210527</v>
      </c>
      <c r="BB38" s="626">
        <f>BB37/BB36*1000</f>
        <v>1753.4626038781162</v>
      </c>
      <c r="BC38" s="616">
        <f t="shared" si="13"/>
        <v>11.1</v>
      </c>
      <c r="BD38" s="626">
        <f>BD37/BD36*1000</f>
        <v>1770.5882352941176</v>
      </c>
      <c r="BE38" s="626">
        <f>BE37/BE36*1000</f>
        <v>2218.5017026106693</v>
      </c>
      <c r="BF38" s="616">
        <f t="shared" si="14"/>
        <v>25.3</v>
      </c>
      <c r="BG38" s="626">
        <f>BG37/BG36*1000</f>
        <v>1605.2631578947369</v>
      </c>
      <c r="BH38" s="626">
        <f>BH37/BH36*1000</f>
        <v>1282.0512820512822</v>
      </c>
      <c r="BI38" s="616">
        <f t="shared" si="15"/>
        <v>-20.100000000000001</v>
      </c>
      <c r="BJ38" s="626">
        <f>BJ37/BJ36*1000</f>
        <v>1753.968253968254</v>
      </c>
      <c r="BK38" s="626">
        <f>BK37/BK36*1000</f>
        <v>2198.2232093281509</v>
      </c>
      <c r="BL38" s="616">
        <f t="shared" si="16"/>
        <v>25.3</v>
      </c>
      <c r="BM38" s="626">
        <f>BM37/BM36*1000</f>
        <v>1560.9756097560976</v>
      </c>
      <c r="BN38" s="626">
        <f>BN37/BN36*1000</f>
        <v>2515.625</v>
      </c>
      <c r="BO38" s="616">
        <f t="shared" si="17"/>
        <v>61.2</v>
      </c>
      <c r="BP38" s="626">
        <f>BP37/BP36*1000</f>
        <v>1735.0835322195703</v>
      </c>
      <c r="BQ38" s="626">
        <f>BQ37/BQ36*1000</f>
        <v>2209.1152815013406</v>
      </c>
      <c r="BR38" s="616">
        <f t="shared" si="18"/>
        <v>27.3</v>
      </c>
      <c r="BS38" s="626">
        <f>BS37/BS36*1000</f>
        <v>2467.7419354838712</v>
      </c>
      <c r="BT38" s="626">
        <f>BT37/BT36*1000</f>
        <v>4246.1538461538457</v>
      </c>
      <c r="BU38" s="616">
        <f t="shared" si="19"/>
        <v>72.099999999999994</v>
      </c>
      <c r="BV38" s="626">
        <f>BV37/BV36*1000</f>
        <v>1829.5218295218297</v>
      </c>
      <c r="BW38" s="626">
        <f>BW37/BW36*1000</f>
        <v>2277.7202072538862</v>
      </c>
      <c r="BX38" s="616">
        <f t="shared" si="20"/>
        <v>24.5</v>
      </c>
    </row>
    <row r="39" spans="1:76" ht="22.5" customHeight="1">
      <c r="A39" s="14"/>
      <c r="B39" s="1099" t="s">
        <v>28</v>
      </c>
      <c r="C39" s="1103" t="s">
        <v>301</v>
      </c>
      <c r="D39" s="365" t="s">
        <v>13</v>
      </c>
      <c r="E39" s="452">
        <f>31616-E36</f>
        <v>25992</v>
      </c>
      <c r="F39" s="452">
        <f>56919-F36</f>
        <v>52294</v>
      </c>
      <c r="G39" s="452">
        <f>81370-G36</f>
        <v>72956</v>
      </c>
      <c r="H39" s="452">
        <f>90005-H36</f>
        <v>77503</v>
      </c>
      <c r="I39" s="452">
        <f>76548-I36</f>
        <v>69851</v>
      </c>
      <c r="J39" s="452">
        <f>93607-J36</f>
        <v>92539</v>
      </c>
      <c r="K39" s="207">
        <f>133260-K36</f>
        <v>132207</v>
      </c>
      <c r="L39" s="183">
        <f>216004-L36</f>
        <v>215220</v>
      </c>
      <c r="M39" s="312">
        <f>216968-M36</f>
        <v>216448</v>
      </c>
      <c r="N39" s="311">
        <f>18000-N36</f>
        <v>17961</v>
      </c>
      <c r="O39" s="311">
        <f>24433-O36</f>
        <v>24367</v>
      </c>
      <c r="P39" s="195">
        <f t="shared" si="0"/>
        <v>35.700000000000003</v>
      </c>
      <c r="Q39" s="311">
        <f>T39-N39</f>
        <v>15807</v>
      </c>
      <c r="R39" s="311">
        <f>U39-O39</f>
        <v>28592</v>
      </c>
      <c r="S39" s="195">
        <f t="shared" si="1"/>
        <v>80.900000000000006</v>
      </c>
      <c r="T39" s="311">
        <f>33845-T36</f>
        <v>33768</v>
      </c>
      <c r="U39" s="311">
        <f>53064-U36</f>
        <v>52959</v>
      </c>
      <c r="V39" s="195">
        <f t="shared" si="2"/>
        <v>56.8</v>
      </c>
      <c r="W39" s="311">
        <f>Z39-T39</f>
        <v>21833</v>
      </c>
      <c r="X39" s="311">
        <f>AA39-U39</f>
        <v>26950</v>
      </c>
      <c r="Y39" s="195">
        <f t="shared" si="3"/>
        <v>23.4</v>
      </c>
      <c r="Z39" s="311">
        <f>55717-Z36</f>
        <v>55601</v>
      </c>
      <c r="AA39" s="311">
        <f>80092-AA36</f>
        <v>79909</v>
      </c>
      <c r="AB39" s="195">
        <f t="shared" si="4"/>
        <v>43.7</v>
      </c>
      <c r="AC39" s="311">
        <f>AF39-Z39</f>
        <v>16996</v>
      </c>
      <c r="AD39" s="311">
        <f>AG39-AA39</f>
        <v>17229</v>
      </c>
      <c r="AE39" s="195">
        <f t="shared" si="5"/>
        <v>1.4</v>
      </c>
      <c r="AF39" s="311">
        <f>72755-AF36</f>
        <v>72597</v>
      </c>
      <c r="AG39" s="311">
        <f>97385-AG36</f>
        <v>97138</v>
      </c>
      <c r="AH39" s="195">
        <f t="shared" si="6"/>
        <v>33.799999999999997</v>
      </c>
      <c r="AI39" s="311">
        <f>AL39-AF39</f>
        <v>19272</v>
      </c>
      <c r="AJ39" s="311">
        <f>AM39-AG39</f>
        <v>29582</v>
      </c>
      <c r="AK39" s="195">
        <f t="shared" si="7"/>
        <v>53.5</v>
      </c>
      <c r="AL39" s="311">
        <f>92068-AL36</f>
        <v>91869</v>
      </c>
      <c r="AM39" s="311">
        <f>127059-AM36</f>
        <v>126720</v>
      </c>
      <c r="AN39" s="195">
        <f t="shared" si="8"/>
        <v>37.9</v>
      </c>
      <c r="AO39" s="599">
        <f>AR39-AL39</f>
        <v>18987</v>
      </c>
      <c r="AP39" s="599">
        <f>AS39-AM39</f>
        <v>37806</v>
      </c>
      <c r="AQ39" s="589">
        <f t="shared" si="9"/>
        <v>99.1</v>
      </c>
      <c r="AR39" s="869">
        <f>111120-AR36</f>
        <v>110856</v>
      </c>
      <c r="AS39" s="869">
        <f>164906-AS36</f>
        <v>164526</v>
      </c>
      <c r="AT39" s="589">
        <f t="shared" si="10"/>
        <v>48.4</v>
      </c>
      <c r="AU39" s="869">
        <f>AX39-AR39</f>
        <v>19173</v>
      </c>
      <c r="AV39" s="869">
        <f>AY39-AS39</f>
        <v>36046</v>
      </c>
      <c r="AW39" s="617">
        <f t="shared" si="11"/>
        <v>88</v>
      </c>
      <c r="AX39" s="929">
        <f>130331-AX36</f>
        <v>130029</v>
      </c>
      <c r="AY39" s="929">
        <f>201973-AY36</f>
        <v>200572</v>
      </c>
      <c r="AZ39" s="617">
        <f t="shared" si="12"/>
        <v>54.3</v>
      </c>
      <c r="BA39" s="869">
        <f>BD39-AX39</f>
        <v>15881</v>
      </c>
      <c r="BB39" s="869">
        <f>BE39-AY39</f>
        <v>33245</v>
      </c>
      <c r="BC39" s="617">
        <f t="shared" si="13"/>
        <v>109.3</v>
      </c>
      <c r="BD39" s="869">
        <f>146250-BD36</f>
        <v>145910</v>
      </c>
      <c r="BE39" s="869">
        <f>235579-BE36</f>
        <v>233817</v>
      </c>
      <c r="BF39" s="617">
        <f t="shared" si="14"/>
        <v>60.2</v>
      </c>
      <c r="BG39" s="869">
        <f>BJ39-BD39</f>
        <v>14938</v>
      </c>
      <c r="BH39" s="869">
        <f>BK39-BE39</f>
        <v>34642</v>
      </c>
      <c r="BI39" s="617">
        <f t="shared" si="15"/>
        <v>131.9</v>
      </c>
      <c r="BJ39" s="869">
        <f>161226-BJ36</f>
        <v>160848</v>
      </c>
      <c r="BK39" s="869">
        <f>270260-BK36</f>
        <v>268459</v>
      </c>
      <c r="BL39" s="617">
        <f t="shared" si="16"/>
        <v>66.900000000000006</v>
      </c>
      <c r="BM39" s="869">
        <f>BP39-BJ39</f>
        <v>17744</v>
      </c>
      <c r="BN39" s="869">
        <f>BQ39-BK39</f>
        <v>28813</v>
      </c>
      <c r="BO39" s="617">
        <f t="shared" si="17"/>
        <v>62.4</v>
      </c>
      <c r="BP39" s="869">
        <f>179011-BP36</f>
        <v>178592</v>
      </c>
      <c r="BQ39" s="869">
        <f>299137-BQ36</f>
        <v>297272</v>
      </c>
      <c r="BR39" s="617">
        <f t="shared" si="18"/>
        <v>66.5</v>
      </c>
      <c r="BS39" s="869">
        <f>BV39-BP39</f>
        <v>14401</v>
      </c>
      <c r="BT39" s="869">
        <f>BW39-BQ39</f>
        <v>27356</v>
      </c>
      <c r="BU39" s="617">
        <f t="shared" si="19"/>
        <v>90</v>
      </c>
      <c r="BV39" s="869">
        <f>193474-BV36</f>
        <v>192993</v>
      </c>
      <c r="BW39" s="869">
        <f>326558-BW36</f>
        <v>324628</v>
      </c>
      <c r="BX39" s="617">
        <f t="shared" si="20"/>
        <v>68.2</v>
      </c>
    </row>
    <row r="40" spans="1:76" ht="22.5" customHeight="1">
      <c r="A40" s="14"/>
      <c r="B40" s="1099"/>
      <c r="C40" s="1100"/>
      <c r="D40" s="366" t="s">
        <v>14</v>
      </c>
      <c r="E40" s="449">
        <f>85883-E37</f>
        <v>71860</v>
      </c>
      <c r="F40" s="449">
        <f>135155-F37</f>
        <v>123023</v>
      </c>
      <c r="G40" s="449">
        <f>183844-G37</f>
        <v>162266</v>
      </c>
      <c r="H40" s="449">
        <f>224053-H37</f>
        <v>189343</v>
      </c>
      <c r="I40" s="449">
        <f>172918-I37</f>
        <v>155082</v>
      </c>
      <c r="J40" s="449">
        <f>192156-J37</f>
        <v>189089</v>
      </c>
      <c r="K40" s="202">
        <f>298234-K37</f>
        <v>296174</v>
      </c>
      <c r="L40" s="180">
        <f>520780-L37</f>
        <v>519295</v>
      </c>
      <c r="M40" s="438">
        <f>445528-M37</f>
        <v>444516</v>
      </c>
      <c r="N40" s="309">
        <f>40195-N37</f>
        <v>40129</v>
      </c>
      <c r="O40" s="309">
        <f>44633-O37</f>
        <v>44522</v>
      </c>
      <c r="P40" s="193">
        <f t="shared" si="0"/>
        <v>10.9</v>
      </c>
      <c r="Q40" s="309">
        <f>T40-N40</f>
        <v>34095</v>
      </c>
      <c r="R40" s="309">
        <f>U40-O40</f>
        <v>52938</v>
      </c>
      <c r="S40" s="193">
        <f t="shared" si="1"/>
        <v>55.3</v>
      </c>
      <c r="T40" s="309">
        <f>74376-T37</f>
        <v>74224</v>
      </c>
      <c r="U40" s="309">
        <f>97688-U37</f>
        <v>97460</v>
      </c>
      <c r="V40" s="193">
        <f t="shared" si="2"/>
        <v>31.3</v>
      </c>
      <c r="W40" s="309">
        <f>Z40-T40</f>
        <v>46965</v>
      </c>
      <c r="X40" s="309">
        <f>AA40-U40</f>
        <v>48979</v>
      </c>
      <c r="Y40" s="193">
        <f t="shared" si="3"/>
        <v>4.3</v>
      </c>
      <c r="Z40" s="309">
        <f>121404-Z37</f>
        <v>121189</v>
      </c>
      <c r="AA40" s="309">
        <f>146778-AA37</f>
        <v>146439</v>
      </c>
      <c r="AB40" s="193">
        <f t="shared" si="4"/>
        <v>20.8</v>
      </c>
      <c r="AC40" s="309">
        <f>AF40-Z40</f>
        <v>36405</v>
      </c>
      <c r="AD40" s="309">
        <f>AG40-AA40</f>
        <v>29318</v>
      </c>
      <c r="AE40" s="193">
        <f t="shared" si="5"/>
        <v>-19.5</v>
      </c>
      <c r="AF40" s="309">
        <f>157897-AF37</f>
        <v>157594</v>
      </c>
      <c r="AG40" s="309">
        <f>176193-AG37</f>
        <v>175757</v>
      </c>
      <c r="AH40" s="193">
        <f t="shared" si="6"/>
        <v>11.5</v>
      </c>
      <c r="AI40" s="309">
        <f>AL40-AF40</f>
        <v>40770</v>
      </c>
      <c r="AJ40" s="309">
        <f>AM40-AG40</f>
        <v>46085</v>
      </c>
      <c r="AK40" s="193">
        <f t="shared" si="7"/>
        <v>13</v>
      </c>
      <c r="AL40" s="309">
        <f>198736-AL37</f>
        <v>198364</v>
      </c>
      <c r="AM40" s="309">
        <f>222687-AM37</f>
        <v>221842</v>
      </c>
      <c r="AN40" s="193">
        <f t="shared" si="8"/>
        <v>11.8</v>
      </c>
      <c r="AO40" s="597">
        <f>AR40-AL40</f>
        <v>37964</v>
      </c>
      <c r="AP40" s="597">
        <f>AS40-AM40</f>
        <v>59810</v>
      </c>
      <c r="AQ40" s="587">
        <f t="shared" si="9"/>
        <v>57.5</v>
      </c>
      <c r="AR40" s="868">
        <f>236815-AR37</f>
        <v>236328</v>
      </c>
      <c r="AS40" s="868">
        <f>282748-AS37</f>
        <v>281652</v>
      </c>
      <c r="AT40" s="587">
        <f t="shared" si="10"/>
        <v>19.2</v>
      </c>
      <c r="AU40" s="868">
        <f>AX40-AR40</f>
        <v>37887</v>
      </c>
      <c r="AV40" s="868">
        <f>AY40-AS40</f>
        <v>57050</v>
      </c>
      <c r="AW40" s="615">
        <f t="shared" si="11"/>
        <v>50.6</v>
      </c>
      <c r="AX40" s="925">
        <f>274757-AX37</f>
        <v>274215</v>
      </c>
      <c r="AY40" s="925">
        <f>341978-AY37</f>
        <v>338702</v>
      </c>
      <c r="AZ40" s="615">
        <f t="shared" si="12"/>
        <v>23.5</v>
      </c>
      <c r="BA40" s="868">
        <f>BD40-AX40</f>
        <v>31796</v>
      </c>
      <c r="BB40" s="868">
        <f>BE40-AY40</f>
        <v>56268</v>
      </c>
      <c r="BC40" s="615">
        <f t="shared" si="13"/>
        <v>77</v>
      </c>
      <c r="BD40" s="868">
        <f>306613-BD37</f>
        <v>306011</v>
      </c>
      <c r="BE40" s="868">
        <f>398879-BE37</f>
        <v>394970</v>
      </c>
      <c r="BF40" s="615">
        <f t="shared" si="14"/>
        <v>29.1</v>
      </c>
      <c r="BG40" s="868">
        <f>BJ40-BD40</f>
        <v>30343</v>
      </c>
      <c r="BH40" s="868">
        <f>BK40-BE40</f>
        <v>60585</v>
      </c>
      <c r="BI40" s="615">
        <f t="shared" si="15"/>
        <v>99.7</v>
      </c>
      <c r="BJ40" s="868">
        <f>337017-BJ37</f>
        <v>336354</v>
      </c>
      <c r="BK40" s="868">
        <f>459514-BK37</f>
        <v>455555</v>
      </c>
      <c r="BL40" s="615">
        <f t="shared" si="16"/>
        <v>35.4</v>
      </c>
      <c r="BM40" s="868">
        <f>BP40-BJ40</f>
        <v>35824</v>
      </c>
      <c r="BN40" s="868">
        <f>BQ40-BK40</f>
        <v>52867</v>
      </c>
      <c r="BO40" s="615">
        <f t="shared" si="17"/>
        <v>47.6</v>
      </c>
      <c r="BP40" s="868">
        <f>372905-BP37</f>
        <v>372178</v>
      </c>
      <c r="BQ40" s="868">
        <f>512542-BQ37</f>
        <v>508422</v>
      </c>
      <c r="BR40" s="615">
        <f t="shared" si="18"/>
        <v>36.6</v>
      </c>
      <c r="BS40" s="868">
        <f>BV40-BP40</f>
        <v>28780</v>
      </c>
      <c r="BT40" s="868">
        <f>BW40-BQ40</f>
        <v>52703</v>
      </c>
      <c r="BU40" s="615">
        <f t="shared" si="19"/>
        <v>83.1</v>
      </c>
      <c r="BV40" s="868">
        <f>401838-BV37</f>
        <v>400958</v>
      </c>
      <c r="BW40" s="868">
        <f>565521-BW37</f>
        <v>561125</v>
      </c>
      <c r="BX40" s="615">
        <f t="shared" si="20"/>
        <v>39.9</v>
      </c>
    </row>
    <row r="41" spans="1:76" ht="22.5" customHeight="1">
      <c r="A41" s="14"/>
      <c r="B41" s="1099"/>
      <c r="C41" s="1100"/>
      <c r="D41" s="370" t="s">
        <v>15</v>
      </c>
      <c r="E41" s="453">
        <f t="shared" ref="E41:L41" si="35">E40/E39*1000</f>
        <v>2764.6968297937829</v>
      </c>
      <c r="F41" s="453">
        <f t="shared" si="35"/>
        <v>2352.5261024209281</v>
      </c>
      <c r="G41" s="453">
        <f t="shared" si="35"/>
        <v>2224.1625089094796</v>
      </c>
      <c r="H41" s="453">
        <f t="shared" si="35"/>
        <v>2443.0409145452436</v>
      </c>
      <c r="I41" s="453">
        <f t="shared" si="35"/>
        <v>2220.1829608738599</v>
      </c>
      <c r="J41" s="453">
        <f t="shared" si="35"/>
        <v>2043.3438874420515</v>
      </c>
      <c r="K41" s="208">
        <f t="shared" si="35"/>
        <v>2240.2293373270704</v>
      </c>
      <c r="L41" s="184">
        <f t="shared" si="35"/>
        <v>2412.8566118390486</v>
      </c>
      <c r="M41" s="439">
        <f>M40/M39*1000</f>
        <v>2053.6849497338853</v>
      </c>
      <c r="N41" s="310">
        <f>N40/N39*1000</f>
        <v>2234.229719948778</v>
      </c>
      <c r="O41" s="310">
        <f>O40/O39*1000</f>
        <v>1827.1432675339599</v>
      </c>
      <c r="P41" s="194">
        <f t="shared" si="0"/>
        <v>-18.2</v>
      </c>
      <c r="Q41" s="310">
        <f>Q40/Q39*1000</f>
        <v>2156.9557790852155</v>
      </c>
      <c r="R41" s="310">
        <f>R40/R39*1000</f>
        <v>1851.4969222160046</v>
      </c>
      <c r="S41" s="194">
        <f t="shared" si="1"/>
        <v>-14.2</v>
      </c>
      <c r="T41" s="310">
        <f>T40/T39*1000</f>
        <v>2198.0573323856906</v>
      </c>
      <c r="U41" s="310">
        <f>U40/U39*1000</f>
        <v>1840.2915462905266</v>
      </c>
      <c r="V41" s="194">
        <f t="shared" si="2"/>
        <v>-16.3</v>
      </c>
      <c r="W41" s="310">
        <f>W40/W39*1000</f>
        <v>2151.1015435350159</v>
      </c>
      <c r="X41" s="310">
        <f>X40/X39*1000</f>
        <v>1817.4025974025974</v>
      </c>
      <c r="Y41" s="194">
        <f t="shared" si="3"/>
        <v>-15.5</v>
      </c>
      <c r="Z41" s="310">
        <f>Z40/Z39*1000</f>
        <v>2179.6190715994317</v>
      </c>
      <c r="AA41" s="310">
        <f>AA40/AA39*1000</f>
        <v>1832.5720507076799</v>
      </c>
      <c r="AB41" s="194">
        <f t="shared" si="4"/>
        <v>-15.9</v>
      </c>
      <c r="AC41" s="310">
        <f>AC40/AC39*1000</f>
        <v>2141.9745822546483</v>
      </c>
      <c r="AD41" s="310">
        <f>AD40/AD39*1000</f>
        <v>1701.6657960415578</v>
      </c>
      <c r="AE41" s="194">
        <f t="shared" si="5"/>
        <v>-20.6</v>
      </c>
      <c r="AF41" s="310">
        <f>AF40/AF39*1000</f>
        <v>2170.8059561689874</v>
      </c>
      <c r="AG41" s="310">
        <f>AG40/AG39*1000</f>
        <v>1809.3537029792665</v>
      </c>
      <c r="AH41" s="194">
        <f t="shared" si="6"/>
        <v>-16.7</v>
      </c>
      <c r="AI41" s="310">
        <f>AI40/AI39*1000</f>
        <v>2115.5043586550437</v>
      </c>
      <c r="AJ41" s="310">
        <f>AJ40/AJ39*1000</f>
        <v>1557.8730308971672</v>
      </c>
      <c r="AK41" s="194">
        <f t="shared" si="7"/>
        <v>-26.4</v>
      </c>
      <c r="AL41" s="310">
        <f>AL40/AL39*1000</f>
        <v>2159.204954881407</v>
      </c>
      <c r="AM41" s="310">
        <f>AM40/AM39*1000</f>
        <v>1750.6470959595958</v>
      </c>
      <c r="AN41" s="194">
        <f t="shared" si="8"/>
        <v>-18.899999999999999</v>
      </c>
      <c r="AO41" s="598">
        <f>AO40/AO39*1000</f>
        <v>1999.4733238531628</v>
      </c>
      <c r="AP41" s="598">
        <f>AP40/AP39*1000</f>
        <v>1582.0240173517429</v>
      </c>
      <c r="AQ41" s="588">
        <f t="shared" si="9"/>
        <v>-20.9</v>
      </c>
      <c r="AR41" s="626">
        <f>AR40/AR39*1000</f>
        <v>2131.8467200692794</v>
      </c>
      <c r="AS41" s="626">
        <f>AS40/AS39*1000</f>
        <v>1711.8996389628387</v>
      </c>
      <c r="AT41" s="588">
        <f t="shared" si="10"/>
        <v>-19.7</v>
      </c>
      <c r="AU41" s="626">
        <f>AU40/AU39*1000</f>
        <v>1976.0600844938194</v>
      </c>
      <c r="AV41" s="626">
        <f>AV40/AV39*1000</f>
        <v>1582.6998834822173</v>
      </c>
      <c r="AW41" s="616">
        <f t="shared" si="11"/>
        <v>-19.899999999999999</v>
      </c>
      <c r="AX41" s="930">
        <f>AX40/AX39*1000</f>
        <v>2108.8757123410933</v>
      </c>
      <c r="AY41" s="930">
        <f>AY40/AY39*1000</f>
        <v>1688.6803741299882</v>
      </c>
      <c r="AZ41" s="616">
        <f t="shared" si="12"/>
        <v>-19.899999999999999</v>
      </c>
      <c r="BA41" s="626">
        <f>BA40/BA39*1000</f>
        <v>2002.1409231156726</v>
      </c>
      <c r="BB41" s="626">
        <f>BB40/BB39*1000</f>
        <v>1692.5251917581593</v>
      </c>
      <c r="BC41" s="616">
        <f t="shared" si="13"/>
        <v>-15.5</v>
      </c>
      <c r="BD41" s="626">
        <f>BD40/BD39*1000</f>
        <v>2097.2585840586662</v>
      </c>
      <c r="BE41" s="626">
        <f>BE40/BE39*1000</f>
        <v>1689.2270450822652</v>
      </c>
      <c r="BF41" s="616">
        <f t="shared" si="14"/>
        <v>-19.5</v>
      </c>
      <c r="BG41" s="626">
        <f>BG40/BG39*1000</f>
        <v>2031.2625518811087</v>
      </c>
      <c r="BH41" s="626">
        <f>BH40/BH39*1000</f>
        <v>1748.8886322960568</v>
      </c>
      <c r="BI41" s="616">
        <f t="shared" si="15"/>
        <v>-13.9</v>
      </c>
      <c r="BJ41" s="626">
        <f>BJ40/BJ39*1000</f>
        <v>2091.1295135780365</v>
      </c>
      <c r="BK41" s="626">
        <f>BK40/BK39*1000</f>
        <v>1696.9257875504268</v>
      </c>
      <c r="BL41" s="616">
        <f t="shared" si="16"/>
        <v>-18.899999999999999</v>
      </c>
      <c r="BM41" s="626">
        <f>BM40/BM39*1000</f>
        <v>2018.9359783588818</v>
      </c>
      <c r="BN41" s="626">
        <f>BN40/BN39*1000</f>
        <v>1834.8314996702877</v>
      </c>
      <c r="BO41" s="616">
        <f t="shared" si="17"/>
        <v>-9.1</v>
      </c>
      <c r="BP41" s="626">
        <f>BP40/BP39*1000</f>
        <v>2083.9567281849131</v>
      </c>
      <c r="BQ41" s="626">
        <f>BQ40/BQ39*1000</f>
        <v>1710.2922575957373</v>
      </c>
      <c r="BR41" s="616">
        <f t="shared" si="18"/>
        <v>-17.899999999999999</v>
      </c>
      <c r="BS41" s="626">
        <f>BS40/BS39*1000</f>
        <v>1998.4723283105338</v>
      </c>
      <c r="BT41" s="626">
        <f>BT40/BT39*1000</f>
        <v>1926.560900716479</v>
      </c>
      <c r="BU41" s="616">
        <f t="shared" si="19"/>
        <v>-3.6</v>
      </c>
      <c r="BV41" s="626">
        <f>BV40/BV39*1000</f>
        <v>2077.5779432414647</v>
      </c>
      <c r="BW41" s="626">
        <f>BW40/BW39*1000</f>
        <v>1728.5169486304324</v>
      </c>
      <c r="BX41" s="616">
        <f t="shared" si="20"/>
        <v>-16.8</v>
      </c>
    </row>
    <row r="42" spans="1:76" ht="22.5" customHeight="1">
      <c r="A42" s="14"/>
      <c r="B42" s="1099" t="s">
        <v>19</v>
      </c>
      <c r="C42" s="1100">
        <v>7604</v>
      </c>
      <c r="D42" s="365" t="s">
        <v>13</v>
      </c>
      <c r="E42" s="452">
        <v>19077</v>
      </c>
      <c r="F42" s="452">
        <v>20699</v>
      </c>
      <c r="G42" s="452">
        <v>19885</v>
      </c>
      <c r="H42" s="452">
        <v>23736</v>
      </c>
      <c r="I42" s="452">
        <v>34831</v>
      </c>
      <c r="J42" s="452">
        <v>32358</v>
      </c>
      <c r="K42" s="207">
        <v>33210</v>
      </c>
      <c r="L42" s="183">
        <v>32085</v>
      </c>
      <c r="M42" s="312">
        <v>39272</v>
      </c>
      <c r="N42" s="311">
        <v>3382</v>
      </c>
      <c r="O42" s="311">
        <v>3091</v>
      </c>
      <c r="P42" s="195">
        <f t="shared" si="0"/>
        <v>-8.6</v>
      </c>
      <c r="Q42" s="311">
        <f>T42-N42</f>
        <v>3140</v>
      </c>
      <c r="R42" s="311">
        <f>U42-O42</f>
        <v>3960</v>
      </c>
      <c r="S42" s="195">
        <f t="shared" si="1"/>
        <v>26.1</v>
      </c>
      <c r="T42" s="311">
        <v>6522</v>
      </c>
      <c r="U42" s="311">
        <v>7051</v>
      </c>
      <c r="V42" s="195">
        <f t="shared" si="2"/>
        <v>8.1</v>
      </c>
      <c r="W42" s="311">
        <f>Z42-T42</f>
        <v>2995</v>
      </c>
      <c r="X42" s="311">
        <f>AA42-U42</f>
        <v>4778</v>
      </c>
      <c r="Y42" s="195">
        <f t="shared" si="3"/>
        <v>59.5</v>
      </c>
      <c r="Z42" s="311">
        <v>9517</v>
      </c>
      <c r="AA42" s="311">
        <v>11829</v>
      </c>
      <c r="AB42" s="195">
        <f t="shared" si="4"/>
        <v>24.3</v>
      </c>
      <c r="AC42" s="311">
        <f>AF42-Z42</f>
        <v>3064</v>
      </c>
      <c r="AD42" s="311">
        <f>AG42-AA42</f>
        <v>3134</v>
      </c>
      <c r="AE42" s="195">
        <f t="shared" si="5"/>
        <v>2.2999999999999998</v>
      </c>
      <c r="AF42" s="311">
        <v>12581</v>
      </c>
      <c r="AG42" s="311">
        <v>14963</v>
      </c>
      <c r="AH42" s="195">
        <f t="shared" si="6"/>
        <v>18.899999999999999</v>
      </c>
      <c r="AI42" s="311">
        <f>AL42-AF42</f>
        <v>3399</v>
      </c>
      <c r="AJ42" s="311">
        <f>AM42-AG42</f>
        <v>2147</v>
      </c>
      <c r="AK42" s="195">
        <f t="shared" si="7"/>
        <v>-36.799999999999997</v>
      </c>
      <c r="AL42" s="311">
        <v>15980</v>
      </c>
      <c r="AM42" s="311">
        <v>17110</v>
      </c>
      <c r="AN42" s="195">
        <f t="shared" si="8"/>
        <v>7.1</v>
      </c>
      <c r="AO42" s="599">
        <f>AR42-AL42</f>
        <v>2729</v>
      </c>
      <c r="AP42" s="599">
        <f>AS42-AM42</f>
        <v>2530</v>
      </c>
      <c r="AQ42" s="589">
        <f t="shared" si="9"/>
        <v>-7.3</v>
      </c>
      <c r="AR42" s="869">
        <v>18709</v>
      </c>
      <c r="AS42" s="869">
        <v>19640</v>
      </c>
      <c r="AT42" s="589">
        <f t="shared" si="10"/>
        <v>5</v>
      </c>
      <c r="AU42" s="869">
        <f>AX42-AR42</f>
        <v>3437</v>
      </c>
      <c r="AV42" s="869">
        <f>AY42-AS42</f>
        <v>3376</v>
      </c>
      <c r="AW42" s="617">
        <f t="shared" si="11"/>
        <v>-1.8</v>
      </c>
      <c r="AX42" s="929">
        <v>22146</v>
      </c>
      <c r="AY42" s="929">
        <v>23016</v>
      </c>
      <c r="AZ42" s="617">
        <f t="shared" si="12"/>
        <v>3.9</v>
      </c>
      <c r="BA42" s="869">
        <f>BD42-AX42</f>
        <v>2967</v>
      </c>
      <c r="BB42" s="869">
        <f>BE42-AY42</f>
        <v>2667</v>
      </c>
      <c r="BC42" s="617">
        <f t="shared" si="13"/>
        <v>-10.1</v>
      </c>
      <c r="BD42" s="869">
        <v>25113</v>
      </c>
      <c r="BE42" s="869">
        <v>25683</v>
      </c>
      <c r="BF42" s="617">
        <f t="shared" si="14"/>
        <v>2.2999999999999998</v>
      </c>
      <c r="BG42" s="869">
        <f>BJ42-BD42</f>
        <v>2985</v>
      </c>
      <c r="BH42" s="869">
        <f>BK42-BE42</f>
        <v>3660</v>
      </c>
      <c r="BI42" s="617">
        <f t="shared" si="15"/>
        <v>22.6</v>
      </c>
      <c r="BJ42" s="869">
        <v>28098</v>
      </c>
      <c r="BK42" s="869">
        <v>29343</v>
      </c>
      <c r="BL42" s="617">
        <f t="shared" si="16"/>
        <v>4.4000000000000004</v>
      </c>
      <c r="BM42" s="869">
        <f>BP42-BJ42</f>
        <v>3657</v>
      </c>
      <c r="BN42" s="869">
        <f>BQ42-BK42</f>
        <v>4072</v>
      </c>
      <c r="BO42" s="617">
        <f t="shared" si="17"/>
        <v>11.3</v>
      </c>
      <c r="BP42" s="869">
        <v>31755</v>
      </c>
      <c r="BQ42" s="869">
        <v>33415</v>
      </c>
      <c r="BR42" s="617">
        <f t="shared" si="18"/>
        <v>5.2</v>
      </c>
      <c r="BS42" s="869">
        <f>BV42-BP42</f>
        <v>3717</v>
      </c>
      <c r="BT42" s="869">
        <f>BW42-BQ42</f>
        <v>3943</v>
      </c>
      <c r="BU42" s="617">
        <f t="shared" si="19"/>
        <v>6.1</v>
      </c>
      <c r="BV42" s="869">
        <v>35472</v>
      </c>
      <c r="BW42" s="869">
        <v>37358</v>
      </c>
      <c r="BX42" s="617">
        <f t="shared" si="20"/>
        <v>5.3</v>
      </c>
    </row>
    <row r="43" spans="1:76" ht="22.5" customHeight="1">
      <c r="A43" s="14"/>
      <c r="B43" s="1099"/>
      <c r="C43" s="1100"/>
      <c r="D43" s="366" t="s">
        <v>14</v>
      </c>
      <c r="E43" s="449">
        <v>97715</v>
      </c>
      <c r="F43" s="449">
        <v>100988</v>
      </c>
      <c r="G43" s="449">
        <v>92142</v>
      </c>
      <c r="H43" s="449">
        <v>115044</v>
      </c>
      <c r="I43" s="449">
        <v>161309</v>
      </c>
      <c r="J43" s="449">
        <v>143091</v>
      </c>
      <c r="K43" s="202">
        <v>154491</v>
      </c>
      <c r="L43" s="180">
        <v>167848</v>
      </c>
      <c r="M43" s="438">
        <v>173808</v>
      </c>
      <c r="N43" s="309">
        <v>15808</v>
      </c>
      <c r="O43" s="309">
        <v>13455</v>
      </c>
      <c r="P43" s="193">
        <f t="shared" si="0"/>
        <v>-14.9</v>
      </c>
      <c r="Q43" s="309">
        <f>T43-N43</f>
        <v>13695</v>
      </c>
      <c r="R43" s="309">
        <f>U43-O43</f>
        <v>16045</v>
      </c>
      <c r="S43" s="193">
        <f t="shared" si="1"/>
        <v>17.2</v>
      </c>
      <c r="T43" s="309">
        <v>29503</v>
      </c>
      <c r="U43" s="309">
        <v>29500</v>
      </c>
      <c r="V43" s="193">
        <f t="shared" si="2"/>
        <v>0</v>
      </c>
      <c r="W43" s="309">
        <f>Z43-T43</f>
        <v>13176</v>
      </c>
      <c r="X43" s="309">
        <f>AA43-U43</f>
        <v>18019</v>
      </c>
      <c r="Y43" s="193">
        <f t="shared" si="3"/>
        <v>36.799999999999997</v>
      </c>
      <c r="Z43" s="309">
        <v>42679</v>
      </c>
      <c r="AA43" s="309">
        <v>47519</v>
      </c>
      <c r="AB43" s="193">
        <f t="shared" si="4"/>
        <v>11.3</v>
      </c>
      <c r="AC43" s="309">
        <f>AF43-Z43</f>
        <v>13834</v>
      </c>
      <c r="AD43" s="309">
        <f>AG43-AA43</f>
        <v>13342</v>
      </c>
      <c r="AE43" s="193">
        <f t="shared" si="5"/>
        <v>-3.6</v>
      </c>
      <c r="AF43" s="309">
        <v>56513</v>
      </c>
      <c r="AG43" s="309">
        <v>60861</v>
      </c>
      <c r="AH43" s="193">
        <f t="shared" si="6"/>
        <v>7.7</v>
      </c>
      <c r="AI43" s="309">
        <f>AL43-AF43</f>
        <v>14606</v>
      </c>
      <c r="AJ43" s="309">
        <f>AM43-AG43</f>
        <v>9995</v>
      </c>
      <c r="AK43" s="193">
        <f t="shared" si="7"/>
        <v>-31.6</v>
      </c>
      <c r="AL43" s="309">
        <v>71119</v>
      </c>
      <c r="AM43" s="309">
        <v>70856</v>
      </c>
      <c r="AN43" s="193">
        <f t="shared" si="8"/>
        <v>-0.4</v>
      </c>
      <c r="AO43" s="597">
        <f>AR43-AL43</f>
        <v>12064</v>
      </c>
      <c r="AP43" s="597">
        <f>AS43-AM43</f>
        <v>10122</v>
      </c>
      <c r="AQ43" s="587">
        <f t="shared" si="9"/>
        <v>-16.100000000000001</v>
      </c>
      <c r="AR43" s="868">
        <v>83183</v>
      </c>
      <c r="AS43" s="868">
        <v>80978</v>
      </c>
      <c r="AT43" s="587">
        <f t="shared" si="10"/>
        <v>-2.7</v>
      </c>
      <c r="AU43" s="868">
        <f>AX43-AR43</f>
        <v>14709</v>
      </c>
      <c r="AV43" s="868">
        <f>AY43-AS43</f>
        <v>13383</v>
      </c>
      <c r="AW43" s="615">
        <f t="shared" si="11"/>
        <v>-9</v>
      </c>
      <c r="AX43" s="925">
        <v>97892</v>
      </c>
      <c r="AY43" s="925">
        <v>94361</v>
      </c>
      <c r="AZ43" s="615">
        <f t="shared" si="12"/>
        <v>-3.6</v>
      </c>
      <c r="BA43" s="868">
        <f>BD43-AX43</f>
        <v>15357</v>
      </c>
      <c r="BB43" s="868">
        <f>BE43-AY43</f>
        <v>11176</v>
      </c>
      <c r="BC43" s="615">
        <f t="shared" si="13"/>
        <v>-27.2</v>
      </c>
      <c r="BD43" s="868">
        <v>113249</v>
      </c>
      <c r="BE43" s="868">
        <v>105537</v>
      </c>
      <c r="BF43" s="615">
        <f t="shared" si="14"/>
        <v>-6.8</v>
      </c>
      <c r="BG43" s="868">
        <f>BJ43-BD43</f>
        <v>13917</v>
      </c>
      <c r="BH43" s="868">
        <f>BK43-BE43</f>
        <v>14472</v>
      </c>
      <c r="BI43" s="615">
        <f t="shared" si="15"/>
        <v>4</v>
      </c>
      <c r="BJ43" s="868">
        <v>127166</v>
      </c>
      <c r="BK43" s="868">
        <v>120009</v>
      </c>
      <c r="BL43" s="615">
        <f t="shared" si="16"/>
        <v>-5.6</v>
      </c>
      <c r="BM43" s="868">
        <f>BP43-BJ43</f>
        <v>15699</v>
      </c>
      <c r="BN43" s="868">
        <f>BQ43-BK43</f>
        <v>15605</v>
      </c>
      <c r="BO43" s="615">
        <f t="shared" si="17"/>
        <v>-0.6</v>
      </c>
      <c r="BP43" s="868">
        <v>142865</v>
      </c>
      <c r="BQ43" s="868">
        <v>135614</v>
      </c>
      <c r="BR43" s="615">
        <f t="shared" si="18"/>
        <v>-5.0999999999999996</v>
      </c>
      <c r="BS43" s="868">
        <f>BV43-BP43</f>
        <v>15009</v>
      </c>
      <c r="BT43" s="868">
        <f>BW43-BQ43</f>
        <v>15359</v>
      </c>
      <c r="BU43" s="615">
        <f t="shared" si="19"/>
        <v>2.2999999999999998</v>
      </c>
      <c r="BV43" s="868">
        <v>157874</v>
      </c>
      <c r="BW43" s="868">
        <v>150973</v>
      </c>
      <c r="BX43" s="615">
        <f t="shared" si="20"/>
        <v>-4.4000000000000004</v>
      </c>
    </row>
    <row r="44" spans="1:76" ht="22.5" customHeight="1">
      <c r="A44" s="14"/>
      <c r="B44" s="1099"/>
      <c r="C44" s="1100"/>
      <c r="D44" s="370" t="s">
        <v>15</v>
      </c>
      <c r="E44" s="453">
        <f t="shared" ref="E44:L44" si="36">E43/E42*1000</f>
        <v>5122.1366042878853</v>
      </c>
      <c r="F44" s="453">
        <f t="shared" si="36"/>
        <v>4878.8830378279144</v>
      </c>
      <c r="G44" s="453">
        <f t="shared" si="36"/>
        <v>4633.744028161932</v>
      </c>
      <c r="H44" s="453">
        <f t="shared" si="36"/>
        <v>4846.8149646107177</v>
      </c>
      <c r="I44" s="453">
        <f t="shared" si="36"/>
        <v>4631.1906060693063</v>
      </c>
      <c r="J44" s="453">
        <f t="shared" si="36"/>
        <v>4422.1212683107733</v>
      </c>
      <c r="K44" s="208">
        <f t="shared" si="36"/>
        <v>4651.9421860885277</v>
      </c>
      <c r="L44" s="184">
        <f t="shared" si="36"/>
        <v>5231.3542153654353</v>
      </c>
      <c r="M44" s="439">
        <f>M43/M42*1000</f>
        <v>4425.7486249745361</v>
      </c>
      <c r="N44" s="310">
        <f>N43/N42*1000</f>
        <v>4674.1573033707864</v>
      </c>
      <c r="O44" s="310">
        <f>O43/O42*1000</f>
        <v>4352.9602070527335</v>
      </c>
      <c r="P44" s="194">
        <f t="shared" si="0"/>
        <v>-6.9</v>
      </c>
      <c r="Q44" s="310">
        <f>Q43/Q42*1000</f>
        <v>4361.4649681528663</v>
      </c>
      <c r="R44" s="310">
        <f>R43/R42*1000</f>
        <v>4051.7676767676767</v>
      </c>
      <c r="S44" s="194">
        <f t="shared" si="1"/>
        <v>-7.1</v>
      </c>
      <c r="T44" s="310">
        <f>T43/T42*1000</f>
        <v>4523.6123888377797</v>
      </c>
      <c r="U44" s="310">
        <f>U43/U42*1000</f>
        <v>4183.8037157849949</v>
      </c>
      <c r="V44" s="194">
        <f t="shared" si="2"/>
        <v>-7.5</v>
      </c>
      <c r="W44" s="310">
        <f>W43/W42*1000</f>
        <v>4399.3322203672788</v>
      </c>
      <c r="X44" s="310">
        <f>X43/X42*1000</f>
        <v>3771.243197990791</v>
      </c>
      <c r="Y44" s="194">
        <f t="shared" si="3"/>
        <v>-14.3</v>
      </c>
      <c r="Z44" s="310">
        <f>Z43/Z42*1000</f>
        <v>4484.5014185142372</v>
      </c>
      <c r="AA44" s="310">
        <f>AA43/AA42*1000</f>
        <v>4017.1612139656777</v>
      </c>
      <c r="AB44" s="194">
        <f t="shared" si="4"/>
        <v>-10.4</v>
      </c>
      <c r="AC44" s="310">
        <f>AC43/AC42*1000</f>
        <v>4515.0130548302877</v>
      </c>
      <c r="AD44" s="310">
        <f>AD43/AD42*1000</f>
        <v>4257.1793235481809</v>
      </c>
      <c r="AE44" s="194">
        <f t="shared" si="5"/>
        <v>-5.7</v>
      </c>
      <c r="AF44" s="310">
        <f>AF43/AF42*1000</f>
        <v>4491.932278833161</v>
      </c>
      <c r="AG44" s="310">
        <f>AG43/AG42*1000</f>
        <v>4067.4330014034617</v>
      </c>
      <c r="AH44" s="194">
        <f t="shared" si="6"/>
        <v>-9.5</v>
      </c>
      <c r="AI44" s="310">
        <f>AI43/AI42*1000</f>
        <v>4297.1462194763171</v>
      </c>
      <c r="AJ44" s="310">
        <f>AJ43/AJ42*1000</f>
        <v>4655.3330228225423</v>
      </c>
      <c r="AK44" s="194">
        <f t="shared" si="7"/>
        <v>8.3000000000000007</v>
      </c>
      <c r="AL44" s="310">
        <f>AL43/AL42*1000</f>
        <v>4450.5006257822279</v>
      </c>
      <c r="AM44" s="310">
        <f>AM43/AM42*1000</f>
        <v>4141.2039742840443</v>
      </c>
      <c r="AN44" s="194">
        <f t="shared" si="8"/>
        <v>-6.9</v>
      </c>
      <c r="AO44" s="598">
        <f>AO43/AO42*1000</f>
        <v>4420.6669109563945</v>
      </c>
      <c r="AP44" s="598">
        <f>AP43/AP42*1000</f>
        <v>4000.7905138339925</v>
      </c>
      <c r="AQ44" s="588">
        <f t="shared" si="9"/>
        <v>-9.5</v>
      </c>
      <c r="AR44" s="626">
        <f>AR43/AR42*1000</f>
        <v>4446.1489122882031</v>
      </c>
      <c r="AS44" s="626">
        <f>AS43/AS42*1000</f>
        <v>4123.116089613035</v>
      </c>
      <c r="AT44" s="588">
        <f t="shared" si="10"/>
        <v>-7.3</v>
      </c>
      <c r="AU44" s="626">
        <f>AU43/AU42*1000</f>
        <v>4279.6043060808843</v>
      </c>
      <c r="AV44" s="626">
        <f>AV43/AV42*1000</f>
        <v>3964.1587677725115</v>
      </c>
      <c r="AW44" s="616">
        <f t="shared" si="11"/>
        <v>-7.4</v>
      </c>
      <c r="AX44" s="930">
        <f>AX43/AX42*1000</f>
        <v>4420.3016346067006</v>
      </c>
      <c r="AY44" s="930">
        <f>AY43/AY42*1000</f>
        <v>4099.8001390337149</v>
      </c>
      <c r="AZ44" s="616">
        <f t="shared" si="12"/>
        <v>-7.3</v>
      </c>
      <c r="BA44" s="626">
        <f>BA43/BA42*1000</f>
        <v>5175.9352881698687</v>
      </c>
      <c r="BB44" s="626">
        <f>BB43/BB42*1000</f>
        <v>4190.4761904761908</v>
      </c>
      <c r="BC44" s="616">
        <f t="shared" si="13"/>
        <v>-19</v>
      </c>
      <c r="BD44" s="626">
        <f>BD43/BD42*1000</f>
        <v>4509.5767132560823</v>
      </c>
      <c r="BE44" s="626">
        <f>BE43/BE42*1000</f>
        <v>4109.2162130592214</v>
      </c>
      <c r="BF44" s="616">
        <f t="shared" si="14"/>
        <v>-8.9</v>
      </c>
      <c r="BG44" s="626">
        <f>BG43/BG42*1000</f>
        <v>4662.3115577889448</v>
      </c>
      <c r="BH44" s="626">
        <f>BH43/BH42*1000</f>
        <v>3954.0983606557379</v>
      </c>
      <c r="BI44" s="616">
        <f t="shared" si="15"/>
        <v>-15.2</v>
      </c>
      <c r="BJ44" s="626">
        <f>BJ43/BJ42*1000</f>
        <v>4525.8025482240728</v>
      </c>
      <c r="BK44" s="626">
        <f>BK43/BK42*1000</f>
        <v>4089.8681116450257</v>
      </c>
      <c r="BL44" s="616">
        <f t="shared" si="16"/>
        <v>-9.6</v>
      </c>
      <c r="BM44" s="626">
        <f>BM43/BM42*1000</f>
        <v>4292.8630024610338</v>
      </c>
      <c r="BN44" s="626">
        <f>BN43/BN42*1000</f>
        <v>3832.2691552062865</v>
      </c>
      <c r="BO44" s="616">
        <f t="shared" si="17"/>
        <v>-10.7</v>
      </c>
      <c r="BP44" s="626">
        <f>BP43/BP42*1000</f>
        <v>4498.976539127696</v>
      </c>
      <c r="BQ44" s="626">
        <f>BQ43/BQ42*1000</f>
        <v>4058.4767320065839</v>
      </c>
      <c r="BR44" s="616">
        <f t="shared" si="18"/>
        <v>-9.8000000000000007</v>
      </c>
      <c r="BS44" s="626">
        <f>BS43/BS42*1000</f>
        <v>4037.9338175948342</v>
      </c>
      <c r="BT44" s="626">
        <f>BT43/BT42*1000</f>
        <v>3895.2574182094854</v>
      </c>
      <c r="BU44" s="616">
        <f t="shared" si="19"/>
        <v>-3.5</v>
      </c>
      <c r="BV44" s="626">
        <f>BV43/BV42*1000</f>
        <v>4450.6653134866938</v>
      </c>
      <c r="BW44" s="626">
        <f>BW43/BW42*1000</f>
        <v>4041.2495315595056</v>
      </c>
      <c r="BX44" s="616">
        <f t="shared" si="20"/>
        <v>-9.1999999999999993</v>
      </c>
    </row>
    <row r="45" spans="1:76" ht="22.5" customHeight="1">
      <c r="A45" s="14"/>
      <c r="B45" s="1099" t="s">
        <v>20</v>
      </c>
      <c r="C45" s="1100">
        <v>7605</v>
      </c>
      <c r="D45" s="365" t="s">
        <v>13</v>
      </c>
      <c r="E45" s="452">
        <v>3203</v>
      </c>
      <c r="F45" s="452">
        <v>17388</v>
      </c>
      <c r="G45" s="452">
        <v>7606</v>
      </c>
      <c r="H45" s="452">
        <v>8082</v>
      </c>
      <c r="I45" s="452">
        <v>8572</v>
      </c>
      <c r="J45" s="452">
        <v>9130</v>
      </c>
      <c r="K45" s="207">
        <v>5946</v>
      </c>
      <c r="L45" s="183">
        <v>6433</v>
      </c>
      <c r="M45" s="312">
        <v>6397</v>
      </c>
      <c r="N45" s="311">
        <v>535</v>
      </c>
      <c r="O45" s="311">
        <v>773</v>
      </c>
      <c r="P45" s="195">
        <f t="shared" si="0"/>
        <v>44.5</v>
      </c>
      <c r="Q45" s="311">
        <f>T45-N45</f>
        <v>437</v>
      </c>
      <c r="R45" s="311">
        <f>U45-O45</f>
        <v>588</v>
      </c>
      <c r="S45" s="195">
        <f t="shared" si="1"/>
        <v>34.6</v>
      </c>
      <c r="T45" s="311">
        <v>972</v>
      </c>
      <c r="U45" s="311">
        <v>1361</v>
      </c>
      <c r="V45" s="195">
        <f t="shared" si="2"/>
        <v>40</v>
      </c>
      <c r="W45" s="311">
        <f>Z45-T45</f>
        <v>551</v>
      </c>
      <c r="X45" s="311">
        <f>AA45-U45</f>
        <v>410</v>
      </c>
      <c r="Y45" s="195">
        <f t="shared" si="3"/>
        <v>-25.6</v>
      </c>
      <c r="Z45" s="311">
        <v>1523</v>
      </c>
      <c r="AA45" s="311">
        <v>1771</v>
      </c>
      <c r="AB45" s="195">
        <f t="shared" si="4"/>
        <v>16.3</v>
      </c>
      <c r="AC45" s="311">
        <f>AF45-Z45</f>
        <v>595</v>
      </c>
      <c r="AD45" s="311">
        <f>AG45-AA45</f>
        <v>533</v>
      </c>
      <c r="AE45" s="195">
        <f t="shared" si="5"/>
        <v>-10.4</v>
      </c>
      <c r="AF45" s="311">
        <v>2118</v>
      </c>
      <c r="AG45" s="311">
        <v>2304</v>
      </c>
      <c r="AH45" s="195">
        <f t="shared" si="6"/>
        <v>8.8000000000000007</v>
      </c>
      <c r="AI45" s="311">
        <f>AL45-AF45</f>
        <v>731</v>
      </c>
      <c r="AJ45" s="311">
        <f>AM45-AG45</f>
        <v>345</v>
      </c>
      <c r="AK45" s="195">
        <f t="shared" si="7"/>
        <v>-52.8</v>
      </c>
      <c r="AL45" s="311">
        <v>2849</v>
      </c>
      <c r="AM45" s="311">
        <v>2649</v>
      </c>
      <c r="AN45" s="195">
        <f t="shared" si="8"/>
        <v>-7</v>
      </c>
      <c r="AO45" s="599">
        <f>AR45-AL45</f>
        <v>539</v>
      </c>
      <c r="AP45" s="599">
        <f>AS45-AM45</f>
        <v>214</v>
      </c>
      <c r="AQ45" s="589">
        <f t="shared" si="9"/>
        <v>-60.3</v>
      </c>
      <c r="AR45" s="869">
        <v>3388</v>
      </c>
      <c r="AS45" s="869">
        <v>2863</v>
      </c>
      <c r="AT45" s="589">
        <f t="shared" si="10"/>
        <v>-15.5</v>
      </c>
      <c r="AU45" s="869">
        <f>AX45-AR45</f>
        <v>559</v>
      </c>
      <c r="AV45" s="869">
        <f>AY45-AS45</f>
        <v>255</v>
      </c>
      <c r="AW45" s="617">
        <f t="shared" si="11"/>
        <v>-54.4</v>
      </c>
      <c r="AX45" s="929">
        <v>3947</v>
      </c>
      <c r="AY45" s="929">
        <v>3118</v>
      </c>
      <c r="AZ45" s="617">
        <f t="shared" si="12"/>
        <v>-21</v>
      </c>
      <c r="BA45" s="869">
        <f>BD45-AX45</f>
        <v>485</v>
      </c>
      <c r="BB45" s="869">
        <f>BE45-AY45</f>
        <v>291</v>
      </c>
      <c r="BC45" s="617">
        <f t="shared" si="13"/>
        <v>-40</v>
      </c>
      <c r="BD45" s="869">
        <v>4432</v>
      </c>
      <c r="BE45" s="869">
        <v>3409</v>
      </c>
      <c r="BF45" s="617">
        <f t="shared" si="14"/>
        <v>-23.1</v>
      </c>
      <c r="BG45" s="869">
        <f>BJ45-BD45</f>
        <v>583</v>
      </c>
      <c r="BH45" s="869">
        <f>BK45-BE45</f>
        <v>393</v>
      </c>
      <c r="BI45" s="617">
        <f t="shared" si="15"/>
        <v>-32.6</v>
      </c>
      <c r="BJ45" s="869">
        <v>5015</v>
      </c>
      <c r="BK45" s="869">
        <v>3802</v>
      </c>
      <c r="BL45" s="617">
        <f t="shared" si="16"/>
        <v>-24.2</v>
      </c>
      <c r="BM45" s="869">
        <f>BP45-BJ45</f>
        <v>467</v>
      </c>
      <c r="BN45" s="869">
        <f>BQ45-BK45</f>
        <v>523</v>
      </c>
      <c r="BO45" s="617">
        <f t="shared" si="17"/>
        <v>12</v>
      </c>
      <c r="BP45" s="869">
        <v>5482</v>
      </c>
      <c r="BQ45" s="869">
        <v>4325</v>
      </c>
      <c r="BR45" s="617">
        <f t="shared" si="18"/>
        <v>-21.1</v>
      </c>
      <c r="BS45" s="869">
        <f>BV45-BP45</f>
        <v>374</v>
      </c>
      <c r="BT45" s="869">
        <f>BW45-BQ45</f>
        <v>466</v>
      </c>
      <c r="BU45" s="617">
        <f t="shared" si="19"/>
        <v>24.6</v>
      </c>
      <c r="BV45" s="869">
        <v>5856</v>
      </c>
      <c r="BW45" s="869">
        <v>4791</v>
      </c>
      <c r="BX45" s="617">
        <f t="shared" si="20"/>
        <v>-18.2</v>
      </c>
    </row>
    <row r="46" spans="1:76" ht="22.5" customHeight="1">
      <c r="A46" s="14"/>
      <c r="B46" s="1099"/>
      <c r="C46" s="1100"/>
      <c r="D46" s="366" t="s">
        <v>14</v>
      </c>
      <c r="E46" s="449">
        <v>13749</v>
      </c>
      <c r="F46" s="449">
        <v>49151</v>
      </c>
      <c r="G46" s="449">
        <v>23804</v>
      </c>
      <c r="H46" s="449">
        <v>26088</v>
      </c>
      <c r="I46" s="449">
        <v>24238</v>
      </c>
      <c r="J46" s="449">
        <v>23122</v>
      </c>
      <c r="K46" s="202">
        <v>19869</v>
      </c>
      <c r="L46" s="180">
        <v>22619</v>
      </c>
      <c r="M46" s="438">
        <v>19742</v>
      </c>
      <c r="N46" s="309">
        <v>1860</v>
      </c>
      <c r="O46" s="309">
        <v>2193</v>
      </c>
      <c r="P46" s="193">
        <f t="shared" si="0"/>
        <v>17.899999999999999</v>
      </c>
      <c r="Q46" s="309">
        <f>T46-N46</f>
        <v>1344</v>
      </c>
      <c r="R46" s="309">
        <f>U46-O46</f>
        <v>1713</v>
      </c>
      <c r="S46" s="193">
        <f t="shared" si="1"/>
        <v>27.5</v>
      </c>
      <c r="T46" s="309">
        <v>3204</v>
      </c>
      <c r="U46" s="309">
        <v>3906</v>
      </c>
      <c r="V46" s="193">
        <f t="shared" si="2"/>
        <v>21.9</v>
      </c>
      <c r="W46" s="309">
        <f>Z46-T46</f>
        <v>1584</v>
      </c>
      <c r="X46" s="309">
        <f>AA46-U46</f>
        <v>1317</v>
      </c>
      <c r="Y46" s="193">
        <f t="shared" si="3"/>
        <v>-16.899999999999999</v>
      </c>
      <c r="Z46" s="309">
        <v>4788</v>
      </c>
      <c r="AA46" s="309">
        <v>5223</v>
      </c>
      <c r="AB46" s="193">
        <f t="shared" si="4"/>
        <v>9.1</v>
      </c>
      <c r="AC46" s="309">
        <f>AF46-Z46</f>
        <v>1710</v>
      </c>
      <c r="AD46" s="309">
        <f>AG46-AA46</f>
        <v>1612</v>
      </c>
      <c r="AE46" s="193">
        <f t="shared" si="5"/>
        <v>-5.7</v>
      </c>
      <c r="AF46" s="309">
        <v>6498</v>
      </c>
      <c r="AG46" s="309">
        <v>6835</v>
      </c>
      <c r="AH46" s="193">
        <f t="shared" si="6"/>
        <v>5.2</v>
      </c>
      <c r="AI46" s="309">
        <f>AL46-AF46</f>
        <v>2132</v>
      </c>
      <c r="AJ46" s="309">
        <f>AM46-AG46</f>
        <v>1249</v>
      </c>
      <c r="AK46" s="193">
        <f t="shared" si="7"/>
        <v>-41.4</v>
      </c>
      <c r="AL46" s="309">
        <v>8630</v>
      </c>
      <c r="AM46" s="309">
        <v>8084</v>
      </c>
      <c r="AN46" s="193">
        <f t="shared" si="8"/>
        <v>-6.3</v>
      </c>
      <c r="AO46" s="597">
        <f>AR46-AL46</f>
        <v>1683</v>
      </c>
      <c r="AP46" s="597">
        <f>AS46-AM46</f>
        <v>885</v>
      </c>
      <c r="AQ46" s="587">
        <f t="shared" si="9"/>
        <v>-47.4</v>
      </c>
      <c r="AR46" s="868">
        <v>10313</v>
      </c>
      <c r="AS46" s="868">
        <v>8969</v>
      </c>
      <c r="AT46" s="587">
        <f t="shared" si="10"/>
        <v>-13</v>
      </c>
      <c r="AU46" s="868">
        <f>AX46-AR46</f>
        <v>1811</v>
      </c>
      <c r="AV46" s="868">
        <f>AY46-AS46</f>
        <v>764</v>
      </c>
      <c r="AW46" s="615">
        <f t="shared" si="11"/>
        <v>-57.8</v>
      </c>
      <c r="AX46" s="925">
        <v>12124</v>
      </c>
      <c r="AY46" s="925">
        <v>9733</v>
      </c>
      <c r="AZ46" s="615">
        <f t="shared" si="12"/>
        <v>-19.7</v>
      </c>
      <c r="BA46" s="868">
        <f>BD46-AX46</f>
        <v>1613</v>
      </c>
      <c r="BB46" s="868">
        <f>BE46-AY46</f>
        <v>895</v>
      </c>
      <c r="BC46" s="615">
        <f t="shared" si="13"/>
        <v>-44.5</v>
      </c>
      <c r="BD46" s="868">
        <v>13737</v>
      </c>
      <c r="BE46" s="868">
        <v>10628</v>
      </c>
      <c r="BF46" s="615">
        <f t="shared" si="14"/>
        <v>-22.6</v>
      </c>
      <c r="BG46" s="868">
        <f>BJ46-BD46</f>
        <v>1803</v>
      </c>
      <c r="BH46" s="868">
        <f>BK46-BE46</f>
        <v>1175</v>
      </c>
      <c r="BI46" s="615">
        <f t="shared" si="15"/>
        <v>-34.799999999999997</v>
      </c>
      <c r="BJ46" s="868">
        <v>15540</v>
      </c>
      <c r="BK46" s="868">
        <v>11803</v>
      </c>
      <c r="BL46" s="615">
        <f t="shared" si="16"/>
        <v>-24</v>
      </c>
      <c r="BM46" s="868">
        <f>BP46-BJ46</f>
        <v>1456</v>
      </c>
      <c r="BN46" s="868">
        <f>BQ46-BK46</f>
        <v>1501</v>
      </c>
      <c r="BO46" s="615">
        <f t="shared" si="17"/>
        <v>3.1</v>
      </c>
      <c r="BP46" s="868">
        <v>16996</v>
      </c>
      <c r="BQ46" s="868">
        <v>13304</v>
      </c>
      <c r="BR46" s="615">
        <f t="shared" si="18"/>
        <v>-21.7</v>
      </c>
      <c r="BS46" s="868">
        <f>BV46-BP46</f>
        <v>1101</v>
      </c>
      <c r="BT46" s="868">
        <f>BW46-BQ46</f>
        <v>1581</v>
      </c>
      <c r="BU46" s="615">
        <f t="shared" si="19"/>
        <v>43.6</v>
      </c>
      <c r="BV46" s="868">
        <v>18097</v>
      </c>
      <c r="BW46" s="868">
        <v>14885</v>
      </c>
      <c r="BX46" s="615">
        <f t="shared" si="20"/>
        <v>-17.7</v>
      </c>
    </row>
    <row r="47" spans="1:76" ht="22.5" customHeight="1">
      <c r="A47" s="14"/>
      <c r="B47" s="1099"/>
      <c r="C47" s="1100"/>
      <c r="D47" s="370" t="s">
        <v>15</v>
      </c>
      <c r="E47" s="453">
        <f t="shared" ref="E47:L47" si="37">E46/E45*1000</f>
        <v>4292.5382453949424</v>
      </c>
      <c r="F47" s="453">
        <f t="shared" si="37"/>
        <v>2826.7195767195767</v>
      </c>
      <c r="G47" s="453">
        <f t="shared" si="37"/>
        <v>3129.6344990796738</v>
      </c>
      <c r="H47" s="453">
        <f t="shared" si="37"/>
        <v>3227.9138827023016</v>
      </c>
      <c r="I47" s="453">
        <f t="shared" si="37"/>
        <v>2827.5781614559028</v>
      </c>
      <c r="J47" s="453">
        <f t="shared" si="37"/>
        <v>2532.5301204819275</v>
      </c>
      <c r="K47" s="208">
        <f t="shared" si="37"/>
        <v>3341.5741675075683</v>
      </c>
      <c r="L47" s="184">
        <f t="shared" si="37"/>
        <v>3516.0889165241724</v>
      </c>
      <c r="M47" s="439">
        <f>M46/M45*1000</f>
        <v>3086.1341253712681</v>
      </c>
      <c r="N47" s="310">
        <f>N46/N45*1000</f>
        <v>3476.6355140186915</v>
      </c>
      <c r="O47" s="310">
        <f>O46/O45*1000</f>
        <v>2836.9987063389394</v>
      </c>
      <c r="P47" s="194">
        <f t="shared" si="0"/>
        <v>-18.399999999999999</v>
      </c>
      <c r="Q47" s="310">
        <f>Q46/Q45*1000</f>
        <v>3075.5148741418761</v>
      </c>
      <c r="R47" s="310">
        <f>R46/R45*1000</f>
        <v>2913.2653061224491</v>
      </c>
      <c r="S47" s="194">
        <f t="shared" si="1"/>
        <v>-5.3</v>
      </c>
      <c r="T47" s="310">
        <f>T46/T45*1000</f>
        <v>3296.2962962962961</v>
      </c>
      <c r="U47" s="310">
        <f>U46/U45*1000</f>
        <v>2869.9485672299779</v>
      </c>
      <c r="V47" s="194">
        <f t="shared" si="2"/>
        <v>-12.9</v>
      </c>
      <c r="W47" s="310">
        <f>W46/W45*1000</f>
        <v>2874.7731397459165</v>
      </c>
      <c r="X47" s="310">
        <f>X46/X45*1000</f>
        <v>3212.1951219512198</v>
      </c>
      <c r="Y47" s="194">
        <f t="shared" si="3"/>
        <v>11.7</v>
      </c>
      <c r="Z47" s="310">
        <f>Z46/Z45*1000</f>
        <v>3143.7951411687459</v>
      </c>
      <c r="AA47" s="310">
        <f>AA46/AA45*1000</f>
        <v>2949.1812535290796</v>
      </c>
      <c r="AB47" s="194">
        <f t="shared" si="4"/>
        <v>-6.2</v>
      </c>
      <c r="AC47" s="310">
        <f>AC46/AC45*1000</f>
        <v>2873.9495798319326</v>
      </c>
      <c r="AD47" s="310">
        <f>AD46/AD45*1000</f>
        <v>3024.3902439024391</v>
      </c>
      <c r="AE47" s="194">
        <f t="shared" si="5"/>
        <v>5.2</v>
      </c>
      <c r="AF47" s="310">
        <f>AF46/AF45*1000</f>
        <v>3067.9886685552406</v>
      </c>
      <c r="AG47" s="310">
        <f>AG46/AG45*1000</f>
        <v>2966.5798611111113</v>
      </c>
      <c r="AH47" s="194">
        <f t="shared" si="6"/>
        <v>-3.3</v>
      </c>
      <c r="AI47" s="310">
        <f>AI46/AI45*1000</f>
        <v>2916.5526675786591</v>
      </c>
      <c r="AJ47" s="310">
        <f>AJ46/AJ45*1000</f>
        <v>3620.2898550724635</v>
      </c>
      <c r="AK47" s="194">
        <f t="shared" si="7"/>
        <v>24.1</v>
      </c>
      <c r="AL47" s="310">
        <f>AL46/AL45*1000</f>
        <v>3029.1330291330291</v>
      </c>
      <c r="AM47" s="310">
        <f>AM46/AM45*1000</f>
        <v>3051.7176292940735</v>
      </c>
      <c r="AN47" s="194">
        <f t="shared" si="8"/>
        <v>0.7</v>
      </c>
      <c r="AO47" s="598">
        <f>AO46/AO45*1000</f>
        <v>3122.4489795918371</v>
      </c>
      <c r="AP47" s="598">
        <f>AP46/AP45*1000</f>
        <v>4135.5140186915887</v>
      </c>
      <c r="AQ47" s="588">
        <f t="shared" si="9"/>
        <v>32.4</v>
      </c>
      <c r="AR47" s="626">
        <f>AR46/AR45*1000</f>
        <v>3043.9787485242032</v>
      </c>
      <c r="AS47" s="626">
        <f>AS46/AS45*1000</f>
        <v>3132.7279077890325</v>
      </c>
      <c r="AT47" s="588">
        <f t="shared" si="10"/>
        <v>2.9</v>
      </c>
      <c r="AU47" s="626">
        <f>AU46/AU45*1000</f>
        <v>3239.7137745974956</v>
      </c>
      <c r="AV47" s="626">
        <f>AV46/AV45*1000</f>
        <v>2996.0784313725489</v>
      </c>
      <c r="AW47" s="616">
        <f t="shared" si="11"/>
        <v>-7.5</v>
      </c>
      <c r="AX47" s="930">
        <f>AX46/AX45*1000</f>
        <v>3071.7000253356978</v>
      </c>
      <c r="AY47" s="930">
        <f>AY46/AY45*1000</f>
        <v>3121.5522771007054</v>
      </c>
      <c r="AZ47" s="616">
        <f t="shared" si="12"/>
        <v>1.6</v>
      </c>
      <c r="BA47" s="626">
        <f>BA46/BA45*1000</f>
        <v>3325.7731958762888</v>
      </c>
      <c r="BB47" s="626">
        <f>BB46/BB45*1000</f>
        <v>3075.6013745704468</v>
      </c>
      <c r="BC47" s="616">
        <f t="shared" si="13"/>
        <v>-7.5</v>
      </c>
      <c r="BD47" s="626">
        <f>BD46/BD45*1000</f>
        <v>3099.5036101083033</v>
      </c>
      <c r="BE47" s="626">
        <f>BE46/BE45*1000</f>
        <v>3117.629803461426</v>
      </c>
      <c r="BF47" s="616">
        <f t="shared" si="14"/>
        <v>0.6</v>
      </c>
      <c r="BG47" s="626">
        <f>BG46/BG45*1000</f>
        <v>3092.6243567753004</v>
      </c>
      <c r="BH47" s="626">
        <f>BH46/BH45*1000</f>
        <v>2989.8218829516541</v>
      </c>
      <c r="BI47" s="616">
        <f t="shared" si="15"/>
        <v>-3.3</v>
      </c>
      <c r="BJ47" s="626">
        <f>BJ46/BJ45*1000</f>
        <v>3098.7038883349951</v>
      </c>
      <c r="BK47" s="626">
        <f>BK46/BK45*1000</f>
        <v>3104.4187269857966</v>
      </c>
      <c r="BL47" s="616">
        <f t="shared" si="16"/>
        <v>0.2</v>
      </c>
      <c r="BM47" s="626">
        <f>BM46/BM45*1000</f>
        <v>3117.7730192719487</v>
      </c>
      <c r="BN47" s="626">
        <f>BN46/BN45*1000</f>
        <v>2869.9808795411086</v>
      </c>
      <c r="BO47" s="616">
        <f t="shared" si="17"/>
        <v>-7.9</v>
      </c>
      <c r="BP47" s="626">
        <f>BP46/BP45*1000</f>
        <v>3100.328347318497</v>
      </c>
      <c r="BQ47" s="626">
        <f>BQ46/BQ45*1000</f>
        <v>3076.0693641618495</v>
      </c>
      <c r="BR47" s="616">
        <f t="shared" si="18"/>
        <v>-0.8</v>
      </c>
      <c r="BS47" s="626">
        <f>BS46/BS45*1000</f>
        <v>2943.8502673796793</v>
      </c>
      <c r="BT47" s="626">
        <f>BT46/BT45*1000</f>
        <v>3392.7038626609442</v>
      </c>
      <c r="BU47" s="616">
        <f t="shared" si="19"/>
        <v>15.2</v>
      </c>
      <c r="BV47" s="626">
        <f>BV46/BV45*1000</f>
        <v>3090.3346994535518</v>
      </c>
      <c r="BW47" s="626">
        <f>BW46/BW45*1000</f>
        <v>3106.8670423711128</v>
      </c>
      <c r="BX47" s="616">
        <f t="shared" si="20"/>
        <v>0.5</v>
      </c>
    </row>
    <row r="48" spans="1:76" ht="22.5" customHeight="1">
      <c r="A48" s="14"/>
      <c r="B48" s="1099" t="s">
        <v>21</v>
      </c>
      <c r="C48" s="1100">
        <v>7606</v>
      </c>
      <c r="D48" s="365" t="s">
        <v>13</v>
      </c>
      <c r="E48" s="452">
        <v>375134</v>
      </c>
      <c r="F48" s="452">
        <v>350881</v>
      </c>
      <c r="G48" s="452">
        <v>396725</v>
      </c>
      <c r="H48" s="452">
        <v>462691</v>
      </c>
      <c r="I48" s="452">
        <v>513164</v>
      </c>
      <c r="J48" s="452">
        <v>465056</v>
      </c>
      <c r="K48" s="207">
        <v>501824</v>
      </c>
      <c r="L48" s="183">
        <v>551915</v>
      </c>
      <c r="M48" s="312">
        <v>618065</v>
      </c>
      <c r="N48" s="311">
        <v>56325</v>
      </c>
      <c r="O48" s="311">
        <v>51181</v>
      </c>
      <c r="P48" s="195">
        <f t="shared" si="0"/>
        <v>-9.1</v>
      </c>
      <c r="Q48" s="311">
        <f>T48-N48</f>
        <v>45749</v>
      </c>
      <c r="R48" s="311">
        <f>U48-O48</f>
        <v>52143</v>
      </c>
      <c r="S48" s="195">
        <f t="shared" si="1"/>
        <v>14</v>
      </c>
      <c r="T48" s="311">
        <v>102074</v>
      </c>
      <c r="U48" s="311">
        <v>103324</v>
      </c>
      <c r="V48" s="195">
        <f t="shared" si="2"/>
        <v>1.2</v>
      </c>
      <c r="W48" s="311">
        <f>Z48-T48</f>
        <v>51474</v>
      </c>
      <c r="X48" s="311">
        <f>AA48-U48</f>
        <v>56288</v>
      </c>
      <c r="Y48" s="195">
        <f t="shared" si="3"/>
        <v>9.4</v>
      </c>
      <c r="Z48" s="311">
        <v>153548</v>
      </c>
      <c r="AA48" s="311">
        <v>159612</v>
      </c>
      <c r="AB48" s="195">
        <f t="shared" si="4"/>
        <v>3.9</v>
      </c>
      <c r="AC48" s="311">
        <f>AF48-Z48</f>
        <v>55755</v>
      </c>
      <c r="AD48" s="311">
        <f>AG48-AA48</f>
        <v>53110</v>
      </c>
      <c r="AE48" s="195">
        <f t="shared" si="5"/>
        <v>-4.7</v>
      </c>
      <c r="AF48" s="311">
        <v>209303</v>
      </c>
      <c r="AG48" s="311">
        <v>212722</v>
      </c>
      <c r="AH48" s="195">
        <f t="shared" si="6"/>
        <v>1.6</v>
      </c>
      <c r="AI48" s="311">
        <f>AL48-AF48</f>
        <v>53422</v>
      </c>
      <c r="AJ48" s="311">
        <f>AM48-AG48</f>
        <v>46587</v>
      </c>
      <c r="AK48" s="195">
        <f t="shared" si="7"/>
        <v>-12.8</v>
      </c>
      <c r="AL48" s="311">
        <v>262725</v>
      </c>
      <c r="AM48" s="311">
        <v>259309</v>
      </c>
      <c r="AN48" s="195">
        <f t="shared" si="8"/>
        <v>-1.3</v>
      </c>
      <c r="AO48" s="599">
        <f>AR48-AL48</f>
        <v>48194</v>
      </c>
      <c r="AP48" s="599">
        <f>AS48-AM48</f>
        <v>49175</v>
      </c>
      <c r="AQ48" s="589">
        <f t="shared" si="9"/>
        <v>2</v>
      </c>
      <c r="AR48" s="869">
        <v>310919</v>
      </c>
      <c r="AS48" s="869">
        <v>308484</v>
      </c>
      <c r="AT48" s="589">
        <f t="shared" si="10"/>
        <v>-0.8</v>
      </c>
      <c r="AU48" s="869">
        <f>AX48-AR48</f>
        <v>45968</v>
      </c>
      <c r="AV48" s="869">
        <f>AY48-AS48</f>
        <v>53573</v>
      </c>
      <c r="AW48" s="617">
        <f t="shared" si="11"/>
        <v>16.5</v>
      </c>
      <c r="AX48" s="929">
        <v>356887</v>
      </c>
      <c r="AY48" s="929">
        <v>362057</v>
      </c>
      <c r="AZ48" s="617">
        <f t="shared" si="12"/>
        <v>1.4</v>
      </c>
      <c r="BA48" s="869">
        <f>BD48-AX48</f>
        <v>50318</v>
      </c>
      <c r="BB48" s="869">
        <f>BE48-AY48</f>
        <v>50440</v>
      </c>
      <c r="BC48" s="617">
        <f t="shared" si="13"/>
        <v>0.2</v>
      </c>
      <c r="BD48" s="869">
        <v>407205</v>
      </c>
      <c r="BE48" s="869">
        <v>412497</v>
      </c>
      <c r="BF48" s="617">
        <f t="shared" si="14"/>
        <v>1.3</v>
      </c>
      <c r="BG48" s="869">
        <f>BJ48-BD48</f>
        <v>50804</v>
      </c>
      <c r="BH48" s="869">
        <f>BK48-BE48</f>
        <v>49956</v>
      </c>
      <c r="BI48" s="617">
        <f t="shared" si="15"/>
        <v>-1.7</v>
      </c>
      <c r="BJ48" s="869">
        <v>458009</v>
      </c>
      <c r="BK48" s="869">
        <v>462453</v>
      </c>
      <c r="BL48" s="617">
        <f t="shared" si="16"/>
        <v>1</v>
      </c>
      <c r="BM48" s="869">
        <f>BP48-BJ48</f>
        <v>55380</v>
      </c>
      <c r="BN48" s="869">
        <f>BQ48-BK48</f>
        <v>47357</v>
      </c>
      <c r="BO48" s="617">
        <f t="shared" si="17"/>
        <v>-14.5</v>
      </c>
      <c r="BP48" s="869">
        <v>513389</v>
      </c>
      <c r="BQ48" s="869">
        <v>509810</v>
      </c>
      <c r="BR48" s="617">
        <f t="shared" si="18"/>
        <v>-0.7</v>
      </c>
      <c r="BS48" s="869">
        <f>BV48-BP48</f>
        <v>47981</v>
      </c>
      <c r="BT48" s="869">
        <f>BW48-BQ48</f>
        <v>44367</v>
      </c>
      <c r="BU48" s="617">
        <f t="shared" si="19"/>
        <v>-7.5</v>
      </c>
      <c r="BV48" s="869">
        <v>561370</v>
      </c>
      <c r="BW48" s="869">
        <v>554177</v>
      </c>
      <c r="BX48" s="617">
        <f t="shared" si="20"/>
        <v>-1.3</v>
      </c>
    </row>
    <row r="49" spans="1:76" ht="22.5" customHeight="1">
      <c r="A49" s="14"/>
      <c r="B49" s="1099"/>
      <c r="C49" s="1100"/>
      <c r="D49" s="366" t="s">
        <v>14</v>
      </c>
      <c r="E49" s="449">
        <v>1318017</v>
      </c>
      <c r="F49" s="449">
        <v>1135476</v>
      </c>
      <c r="G49" s="449">
        <v>1222362</v>
      </c>
      <c r="H49" s="449">
        <v>1318022</v>
      </c>
      <c r="I49" s="449">
        <v>1376083</v>
      </c>
      <c r="J49" s="449">
        <v>1110878</v>
      </c>
      <c r="K49" s="202">
        <v>1363691</v>
      </c>
      <c r="L49" s="180">
        <v>1607454</v>
      </c>
      <c r="M49" s="438">
        <v>1631984</v>
      </c>
      <c r="N49" s="309">
        <v>151573</v>
      </c>
      <c r="O49" s="309">
        <v>136586</v>
      </c>
      <c r="P49" s="193">
        <f t="shared" si="0"/>
        <v>-9.9</v>
      </c>
      <c r="Q49" s="309">
        <f>T49-N49</f>
        <v>119459</v>
      </c>
      <c r="R49" s="309">
        <f>U49-O49</f>
        <v>133037</v>
      </c>
      <c r="S49" s="193">
        <f t="shared" si="1"/>
        <v>11.4</v>
      </c>
      <c r="T49" s="309">
        <v>271032</v>
      </c>
      <c r="U49" s="309">
        <v>269623</v>
      </c>
      <c r="V49" s="193">
        <f t="shared" si="2"/>
        <v>-0.5</v>
      </c>
      <c r="W49" s="309">
        <f>Z49-T49</f>
        <v>134610</v>
      </c>
      <c r="X49" s="309">
        <f>AA49-U49</f>
        <v>141768</v>
      </c>
      <c r="Y49" s="193">
        <f t="shared" si="3"/>
        <v>5.3</v>
      </c>
      <c r="Z49" s="309">
        <v>405642</v>
      </c>
      <c r="AA49" s="309">
        <v>411391</v>
      </c>
      <c r="AB49" s="193">
        <f t="shared" si="4"/>
        <v>1.4</v>
      </c>
      <c r="AC49" s="309">
        <f>AF49-Z49</f>
        <v>148988</v>
      </c>
      <c r="AD49" s="309">
        <f>AG49-AA49</f>
        <v>132014</v>
      </c>
      <c r="AE49" s="193">
        <f t="shared" si="5"/>
        <v>-11.4</v>
      </c>
      <c r="AF49" s="309">
        <v>554630</v>
      </c>
      <c r="AG49" s="309">
        <v>543405</v>
      </c>
      <c r="AH49" s="193">
        <f t="shared" si="6"/>
        <v>-2</v>
      </c>
      <c r="AI49" s="309">
        <f>AL49-AF49</f>
        <v>145098</v>
      </c>
      <c r="AJ49" s="309">
        <f>AM49-AG49</f>
        <v>111357</v>
      </c>
      <c r="AK49" s="193">
        <f t="shared" si="7"/>
        <v>-23.3</v>
      </c>
      <c r="AL49" s="309">
        <v>699728</v>
      </c>
      <c r="AM49" s="309">
        <v>654762</v>
      </c>
      <c r="AN49" s="193">
        <f t="shared" si="8"/>
        <v>-6.4</v>
      </c>
      <c r="AO49" s="597">
        <f>AR49-AL49</f>
        <v>127656</v>
      </c>
      <c r="AP49" s="597">
        <f>AS49-AM49</f>
        <v>115801</v>
      </c>
      <c r="AQ49" s="587">
        <f t="shared" si="9"/>
        <v>-9.3000000000000007</v>
      </c>
      <c r="AR49" s="868">
        <v>827384</v>
      </c>
      <c r="AS49" s="868">
        <v>770563</v>
      </c>
      <c r="AT49" s="587">
        <f t="shared" si="10"/>
        <v>-6.9</v>
      </c>
      <c r="AU49" s="868">
        <f>AX49-AR49</f>
        <v>120978</v>
      </c>
      <c r="AV49" s="868">
        <f>AY49-AS49</f>
        <v>129829</v>
      </c>
      <c r="AW49" s="615">
        <f t="shared" si="11"/>
        <v>7.3</v>
      </c>
      <c r="AX49" s="925">
        <v>948362</v>
      </c>
      <c r="AY49" s="925">
        <v>900392</v>
      </c>
      <c r="AZ49" s="615">
        <f t="shared" si="12"/>
        <v>-5.0999999999999996</v>
      </c>
      <c r="BA49" s="868">
        <f>BD49-AX49</f>
        <v>132659</v>
      </c>
      <c r="BB49" s="868">
        <f>BE49-AY49</f>
        <v>124430</v>
      </c>
      <c r="BC49" s="615">
        <f t="shared" si="13"/>
        <v>-6.2</v>
      </c>
      <c r="BD49" s="868">
        <v>1081021</v>
      </c>
      <c r="BE49" s="868">
        <v>1024822</v>
      </c>
      <c r="BF49" s="615">
        <f t="shared" si="14"/>
        <v>-5.2</v>
      </c>
      <c r="BG49" s="868">
        <f>BJ49-BD49</f>
        <v>132305</v>
      </c>
      <c r="BH49" s="868">
        <f>BK49-BE49</f>
        <v>131533</v>
      </c>
      <c r="BI49" s="615">
        <f t="shared" si="15"/>
        <v>-0.6</v>
      </c>
      <c r="BJ49" s="868">
        <v>1213326</v>
      </c>
      <c r="BK49" s="868">
        <v>1156355</v>
      </c>
      <c r="BL49" s="615">
        <f t="shared" si="16"/>
        <v>-4.7</v>
      </c>
      <c r="BM49" s="868">
        <f>BP49-BJ49</f>
        <v>146676</v>
      </c>
      <c r="BN49" s="868">
        <f>BQ49-BK49</f>
        <v>124279</v>
      </c>
      <c r="BO49" s="615">
        <f t="shared" si="17"/>
        <v>-15.3</v>
      </c>
      <c r="BP49" s="868">
        <v>1360002</v>
      </c>
      <c r="BQ49" s="868">
        <v>1280634</v>
      </c>
      <c r="BR49" s="615">
        <f t="shared" si="18"/>
        <v>-5.8</v>
      </c>
      <c r="BS49" s="868">
        <f>BV49-BP49</f>
        <v>125015</v>
      </c>
      <c r="BT49" s="868">
        <f>BW49-BQ49</f>
        <v>119207</v>
      </c>
      <c r="BU49" s="615">
        <f t="shared" si="19"/>
        <v>-4.5999999999999996</v>
      </c>
      <c r="BV49" s="868">
        <v>1485017</v>
      </c>
      <c r="BW49" s="868">
        <v>1399841</v>
      </c>
      <c r="BX49" s="615">
        <f t="shared" si="20"/>
        <v>-5.7</v>
      </c>
    </row>
    <row r="50" spans="1:76" ht="22.5" customHeight="1">
      <c r="A50" s="14"/>
      <c r="B50" s="1099"/>
      <c r="C50" s="1100"/>
      <c r="D50" s="370" t="s">
        <v>15</v>
      </c>
      <c r="E50" s="453">
        <f t="shared" ref="E50:L50" si="38">E49/E48*1000</f>
        <v>3513.4565248684471</v>
      </c>
      <c r="F50" s="453">
        <f t="shared" si="38"/>
        <v>3236.0714886243486</v>
      </c>
      <c r="G50" s="453">
        <f t="shared" si="38"/>
        <v>3081.1317663368832</v>
      </c>
      <c r="H50" s="453">
        <f t="shared" si="38"/>
        <v>2848.600902113938</v>
      </c>
      <c r="I50" s="453">
        <f t="shared" si="38"/>
        <v>2681.5657372691771</v>
      </c>
      <c r="J50" s="453">
        <f t="shared" si="38"/>
        <v>2388.6972751668618</v>
      </c>
      <c r="K50" s="208">
        <f t="shared" si="38"/>
        <v>2717.4686742762406</v>
      </c>
      <c r="L50" s="184">
        <f t="shared" si="38"/>
        <v>2912.5028310518828</v>
      </c>
      <c r="M50" s="439">
        <f>M49/M48*1000</f>
        <v>2640.4730893999822</v>
      </c>
      <c r="N50" s="310">
        <f>N49/N48*1000</f>
        <v>2691.0430537061693</v>
      </c>
      <c r="O50" s="310">
        <f>O49/O48*1000</f>
        <v>2668.6856450635978</v>
      </c>
      <c r="P50" s="194">
        <f t="shared" si="0"/>
        <v>-0.8</v>
      </c>
      <c r="Q50" s="310">
        <f>Q49/Q48*1000</f>
        <v>2611.1827580930731</v>
      </c>
      <c r="R50" s="310">
        <f>R49/R48*1000</f>
        <v>2551.3875304451221</v>
      </c>
      <c r="S50" s="194">
        <f t="shared" si="1"/>
        <v>-2.2999999999999998</v>
      </c>
      <c r="T50" s="310">
        <f>T49/T48*1000</f>
        <v>2655.250112663362</v>
      </c>
      <c r="U50" s="310">
        <f>U49/U48*1000</f>
        <v>2609.4905346289343</v>
      </c>
      <c r="V50" s="194">
        <f t="shared" si="2"/>
        <v>-1.7</v>
      </c>
      <c r="W50" s="310">
        <f>W49/W48*1000</f>
        <v>2615.1066557873878</v>
      </c>
      <c r="X50" s="310">
        <f>X49/X48*1000</f>
        <v>2518.6185332575328</v>
      </c>
      <c r="Y50" s="194">
        <f t="shared" si="3"/>
        <v>-3.7</v>
      </c>
      <c r="Z50" s="310">
        <f>Z49/Z48*1000</f>
        <v>2641.7927944356161</v>
      </c>
      <c r="AA50" s="310">
        <f>AA49/AA48*1000</f>
        <v>2577.4440518256774</v>
      </c>
      <c r="AB50" s="194">
        <f t="shared" si="4"/>
        <v>-2.4</v>
      </c>
      <c r="AC50" s="310">
        <f>AC49/AC48*1000</f>
        <v>2672.1908349026994</v>
      </c>
      <c r="AD50" s="310">
        <f>AD49/AD48*1000</f>
        <v>2485.6712483524757</v>
      </c>
      <c r="AE50" s="194">
        <f t="shared" si="5"/>
        <v>-7</v>
      </c>
      <c r="AF50" s="310">
        <f>AF49/AF48*1000</f>
        <v>2649.8903503533152</v>
      </c>
      <c r="AG50" s="310">
        <f>AG49/AG48*1000</f>
        <v>2554.5312661595885</v>
      </c>
      <c r="AH50" s="194">
        <f t="shared" si="6"/>
        <v>-3.6</v>
      </c>
      <c r="AI50" s="310">
        <f>AI49/AI48*1000</f>
        <v>2716.0720302497098</v>
      </c>
      <c r="AJ50" s="310">
        <f>AJ49/AJ48*1000</f>
        <v>2390.3020155837467</v>
      </c>
      <c r="AK50" s="194">
        <f t="shared" si="7"/>
        <v>-12</v>
      </c>
      <c r="AL50" s="310">
        <f>AL49/AL48*1000</f>
        <v>2663.3476068132077</v>
      </c>
      <c r="AM50" s="310">
        <f>AM49/AM48*1000</f>
        <v>2525.0261271301806</v>
      </c>
      <c r="AN50" s="194">
        <f t="shared" si="8"/>
        <v>-5.2</v>
      </c>
      <c r="AO50" s="598">
        <f>AO49/AO48*1000</f>
        <v>2648.7944557413784</v>
      </c>
      <c r="AP50" s="598">
        <f>AP49/AP48*1000</f>
        <v>2354.8754448398577</v>
      </c>
      <c r="AQ50" s="588">
        <f t="shared" si="9"/>
        <v>-11.1</v>
      </c>
      <c r="AR50" s="626">
        <f>AR49/AR48*1000</f>
        <v>2661.0917956123621</v>
      </c>
      <c r="AS50" s="626">
        <f>AS49/AS48*1000</f>
        <v>2497.9026464905796</v>
      </c>
      <c r="AT50" s="588">
        <f t="shared" si="10"/>
        <v>-6.1</v>
      </c>
      <c r="AU50" s="626">
        <f>AU49/AU48*1000</f>
        <v>2631.7873303167421</v>
      </c>
      <c r="AV50" s="626">
        <f>AV49/AV48*1000</f>
        <v>2423.4035801616483</v>
      </c>
      <c r="AW50" s="616">
        <f t="shared" si="11"/>
        <v>-7.9</v>
      </c>
      <c r="AX50" s="930">
        <f>AX49/AX48*1000</f>
        <v>2657.3173021152356</v>
      </c>
      <c r="AY50" s="930">
        <f>AY49/AY48*1000</f>
        <v>2486.8791378153164</v>
      </c>
      <c r="AZ50" s="616">
        <f t="shared" si="12"/>
        <v>-6.4</v>
      </c>
      <c r="BA50" s="626">
        <f>BA49/BA48*1000</f>
        <v>2636.4124170277041</v>
      </c>
      <c r="BB50" s="626">
        <f>BB49/BB48*1000</f>
        <v>2466.8913560666138</v>
      </c>
      <c r="BC50" s="616">
        <f t="shared" si="13"/>
        <v>-6.4</v>
      </c>
      <c r="BD50" s="626">
        <f>BD49/BD48*1000</f>
        <v>2654.7341019879418</v>
      </c>
      <c r="BE50" s="626">
        <f>BE49/BE48*1000</f>
        <v>2484.4350383154301</v>
      </c>
      <c r="BF50" s="616">
        <f t="shared" si="14"/>
        <v>-6.4</v>
      </c>
      <c r="BG50" s="626">
        <f>BG49/BG48*1000</f>
        <v>2604.2240768443426</v>
      </c>
      <c r="BH50" s="626">
        <f>BH49/BH48*1000</f>
        <v>2632.9770197774042</v>
      </c>
      <c r="BI50" s="616">
        <f t="shared" si="15"/>
        <v>1.1000000000000001</v>
      </c>
      <c r="BJ50" s="626">
        <f>BJ49/BJ48*1000</f>
        <v>2649.1313489472918</v>
      </c>
      <c r="BK50" s="626">
        <f>BK49/BK48*1000</f>
        <v>2500.4811299742892</v>
      </c>
      <c r="BL50" s="616">
        <f t="shared" si="16"/>
        <v>-5.6</v>
      </c>
      <c r="BM50" s="626">
        <f>BM49/BM48*1000</f>
        <v>2648.5373781148428</v>
      </c>
      <c r="BN50" s="626">
        <f>BN49/BN48*1000</f>
        <v>2624.300525793441</v>
      </c>
      <c r="BO50" s="616">
        <f t="shared" si="17"/>
        <v>-0.9</v>
      </c>
      <c r="BP50" s="626">
        <f>BP49/BP48*1000</f>
        <v>2649.0672764706687</v>
      </c>
      <c r="BQ50" s="626">
        <f>BQ49/BQ48*1000</f>
        <v>2511.9828955885528</v>
      </c>
      <c r="BR50" s="616">
        <f t="shared" si="18"/>
        <v>-5.2</v>
      </c>
      <c r="BS50" s="626">
        <f>BS49/BS48*1000</f>
        <v>2605.5105145786874</v>
      </c>
      <c r="BT50" s="626">
        <f>BT49/BT48*1000</f>
        <v>2686.8393175107626</v>
      </c>
      <c r="BU50" s="616">
        <f t="shared" si="19"/>
        <v>3.1</v>
      </c>
      <c r="BV50" s="626">
        <f>BV49/BV48*1000</f>
        <v>2645.3444252453819</v>
      </c>
      <c r="BW50" s="626">
        <f>BW49/BW48*1000</f>
        <v>2525.9817711669734</v>
      </c>
      <c r="BX50" s="616">
        <f t="shared" si="20"/>
        <v>-4.5</v>
      </c>
    </row>
    <row r="51" spans="1:76" ht="22.5" customHeight="1">
      <c r="A51" s="14" t="s">
        <v>18</v>
      </c>
      <c r="B51" s="1099" t="s">
        <v>22</v>
      </c>
      <c r="C51" s="1100">
        <v>7607</v>
      </c>
      <c r="D51" s="365" t="s">
        <v>13</v>
      </c>
      <c r="E51" s="452">
        <v>65957</v>
      </c>
      <c r="F51" s="452">
        <v>65826</v>
      </c>
      <c r="G51" s="452">
        <v>60825</v>
      </c>
      <c r="H51" s="452">
        <v>60198</v>
      </c>
      <c r="I51" s="452">
        <v>60937</v>
      </c>
      <c r="J51" s="452">
        <v>61488</v>
      </c>
      <c r="K51" s="207">
        <v>67631</v>
      </c>
      <c r="L51" s="183">
        <v>73563</v>
      </c>
      <c r="M51" s="312">
        <v>69943</v>
      </c>
      <c r="N51" s="311">
        <v>6624</v>
      </c>
      <c r="O51" s="311">
        <v>5608</v>
      </c>
      <c r="P51" s="195">
        <f t="shared" si="0"/>
        <v>-15.3</v>
      </c>
      <c r="Q51" s="311">
        <f>T51-N51</f>
        <v>5289</v>
      </c>
      <c r="R51" s="311">
        <f>U51-O51</f>
        <v>5654</v>
      </c>
      <c r="S51" s="195">
        <f t="shared" si="1"/>
        <v>6.9</v>
      </c>
      <c r="T51" s="311">
        <v>11913</v>
      </c>
      <c r="U51" s="311">
        <v>11262</v>
      </c>
      <c r="V51" s="195">
        <f t="shared" si="2"/>
        <v>-5.5</v>
      </c>
      <c r="W51" s="311">
        <f>Z51-T51</f>
        <v>6328</v>
      </c>
      <c r="X51" s="311">
        <f>AA51-U51</f>
        <v>6785</v>
      </c>
      <c r="Y51" s="195">
        <f t="shared" si="3"/>
        <v>7.2</v>
      </c>
      <c r="Z51" s="311">
        <v>18241</v>
      </c>
      <c r="AA51" s="311">
        <v>18047</v>
      </c>
      <c r="AB51" s="195">
        <f t="shared" si="4"/>
        <v>-1.1000000000000001</v>
      </c>
      <c r="AC51" s="311">
        <f>AF51-Z51</f>
        <v>6521</v>
      </c>
      <c r="AD51" s="311">
        <f>AG51-AA51</f>
        <v>6588</v>
      </c>
      <c r="AE51" s="195">
        <f t="shared" si="5"/>
        <v>1</v>
      </c>
      <c r="AF51" s="311">
        <v>24762</v>
      </c>
      <c r="AG51" s="311">
        <v>24635</v>
      </c>
      <c r="AH51" s="195">
        <f t="shared" si="6"/>
        <v>-0.5</v>
      </c>
      <c r="AI51" s="311">
        <f>AL51-AF51</f>
        <v>6178</v>
      </c>
      <c r="AJ51" s="311">
        <f>AM51-AG51</f>
        <v>6365</v>
      </c>
      <c r="AK51" s="195">
        <f t="shared" si="7"/>
        <v>3</v>
      </c>
      <c r="AL51" s="311">
        <v>30940</v>
      </c>
      <c r="AM51" s="311">
        <v>31000</v>
      </c>
      <c r="AN51" s="195">
        <f t="shared" si="8"/>
        <v>0.2</v>
      </c>
      <c r="AO51" s="599">
        <f>AR51-AL51</f>
        <v>5786</v>
      </c>
      <c r="AP51" s="599">
        <f>AS51-AM51</f>
        <v>6453</v>
      </c>
      <c r="AQ51" s="589">
        <f t="shared" si="9"/>
        <v>11.5</v>
      </c>
      <c r="AR51" s="869">
        <v>36726</v>
      </c>
      <c r="AS51" s="869">
        <v>37453</v>
      </c>
      <c r="AT51" s="589">
        <f t="shared" si="10"/>
        <v>2</v>
      </c>
      <c r="AU51" s="869">
        <f>AX51-AR51</f>
        <v>5660</v>
      </c>
      <c r="AV51" s="869">
        <f>AY51-AS51</f>
        <v>6727</v>
      </c>
      <c r="AW51" s="617">
        <f t="shared" si="11"/>
        <v>18.899999999999999</v>
      </c>
      <c r="AX51" s="929">
        <v>42386</v>
      </c>
      <c r="AY51" s="929">
        <v>44180</v>
      </c>
      <c r="AZ51" s="617">
        <f t="shared" si="12"/>
        <v>4.2</v>
      </c>
      <c r="BA51" s="869">
        <f>BD51-AX51</f>
        <v>5399</v>
      </c>
      <c r="BB51" s="869">
        <f>BE51-AY51</f>
        <v>6266</v>
      </c>
      <c r="BC51" s="617">
        <f t="shared" si="13"/>
        <v>16.100000000000001</v>
      </c>
      <c r="BD51" s="869">
        <v>47785</v>
      </c>
      <c r="BE51" s="869">
        <v>50446</v>
      </c>
      <c r="BF51" s="617">
        <f t="shared" si="14"/>
        <v>5.6</v>
      </c>
      <c r="BG51" s="869">
        <f>BJ51-BD51</f>
        <v>5464</v>
      </c>
      <c r="BH51" s="869">
        <f>BK51-BE51</f>
        <v>7181</v>
      </c>
      <c r="BI51" s="617">
        <f t="shared" si="15"/>
        <v>31.4</v>
      </c>
      <c r="BJ51" s="869">
        <v>53249</v>
      </c>
      <c r="BK51" s="869">
        <v>57627</v>
      </c>
      <c r="BL51" s="617">
        <f t="shared" si="16"/>
        <v>8.1999999999999993</v>
      </c>
      <c r="BM51" s="869">
        <f>BP51-BJ51</f>
        <v>5981</v>
      </c>
      <c r="BN51" s="869">
        <f>BQ51-BK51</f>
        <v>6851</v>
      </c>
      <c r="BO51" s="617">
        <f t="shared" si="17"/>
        <v>14.5</v>
      </c>
      <c r="BP51" s="869">
        <v>59230</v>
      </c>
      <c r="BQ51" s="869">
        <v>64478</v>
      </c>
      <c r="BR51" s="617">
        <f t="shared" si="18"/>
        <v>8.9</v>
      </c>
      <c r="BS51" s="869">
        <f>BV51-BP51</f>
        <v>5281</v>
      </c>
      <c r="BT51" s="869">
        <f>BW51-BQ51</f>
        <v>7310</v>
      </c>
      <c r="BU51" s="617">
        <f t="shared" si="19"/>
        <v>38.4</v>
      </c>
      <c r="BV51" s="869">
        <v>64511</v>
      </c>
      <c r="BW51" s="869">
        <v>71788</v>
      </c>
      <c r="BX51" s="617">
        <f t="shared" si="20"/>
        <v>11.3</v>
      </c>
    </row>
    <row r="52" spans="1:76" ht="22.5" customHeight="1">
      <c r="A52" s="14"/>
      <c r="B52" s="1099"/>
      <c r="C52" s="1100"/>
      <c r="D52" s="366" t="s">
        <v>14</v>
      </c>
      <c r="E52" s="449">
        <v>390047</v>
      </c>
      <c r="F52" s="449">
        <v>365506</v>
      </c>
      <c r="G52" s="449">
        <v>337755</v>
      </c>
      <c r="H52" s="449">
        <v>336740</v>
      </c>
      <c r="I52" s="449">
        <v>318409</v>
      </c>
      <c r="J52" s="449">
        <v>305896</v>
      </c>
      <c r="K52" s="202">
        <v>353107</v>
      </c>
      <c r="L52" s="180">
        <v>414850</v>
      </c>
      <c r="M52" s="438">
        <v>365062</v>
      </c>
      <c r="N52" s="309">
        <v>37296</v>
      </c>
      <c r="O52" s="309">
        <v>28070</v>
      </c>
      <c r="P52" s="193">
        <f t="shared" si="0"/>
        <v>-24.7</v>
      </c>
      <c r="Q52" s="309">
        <f>T52-N52</f>
        <v>28601</v>
      </c>
      <c r="R52" s="309">
        <f>U52-O52</f>
        <v>28000</v>
      </c>
      <c r="S52" s="193">
        <f t="shared" si="1"/>
        <v>-2.1</v>
      </c>
      <c r="T52" s="309">
        <v>65897</v>
      </c>
      <c r="U52" s="309">
        <v>56070</v>
      </c>
      <c r="V52" s="193">
        <f t="shared" si="2"/>
        <v>-14.9</v>
      </c>
      <c r="W52" s="309">
        <f>Z52-T52</f>
        <v>33167</v>
      </c>
      <c r="X52" s="309">
        <f>AA52-U52</f>
        <v>33284</v>
      </c>
      <c r="Y52" s="193">
        <f t="shared" si="3"/>
        <v>0.4</v>
      </c>
      <c r="Z52" s="309">
        <v>99064</v>
      </c>
      <c r="AA52" s="309">
        <v>89354</v>
      </c>
      <c r="AB52" s="193">
        <f t="shared" si="4"/>
        <v>-9.8000000000000007</v>
      </c>
      <c r="AC52" s="309">
        <f>AF52-Z52</f>
        <v>33788</v>
      </c>
      <c r="AD52" s="309">
        <f>AG52-AA52</f>
        <v>32469</v>
      </c>
      <c r="AE52" s="193">
        <f t="shared" si="5"/>
        <v>-3.9</v>
      </c>
      <c r="AF52" s="309">
        <v>132852</v>
      </c>
      <c r="AG52" s="309">
        <v>121823</v>
      </c>
      <c r="AH52" s="193">
        <f t="shared" si="6"/>
        <v>-8.3000000000000007</v>
      </c>
      <c r="AI52" s="309">
        <f>AL52-AF52</f>
        <v>32321</v>
      </c>
      <c r="AJ52" s="309">
        <f>AM52-AG52</f>
        <v>31003</v>
      </c>
      <c r="AK52" s="193">
        <f t="shared" si="7"/>
        <v>-4.0999999999999996</v>
      </c>
      <c r="AL52" s="309">
        <v>165173</v>
      </c>
      <c r="AM52" s="309">
        <v>152826</v>
      </c>
      <c r="AN52" s="193">
        <f t="shared" si="8"/>
        <v>-7.5</v>
      </c>
      <c r="AO52" s="597">
        <f>AR52-AL52</f>
        <v>29674</v>
      </c>
      <c r="AP52" s="597">
        <f>AS52-AM52</f>
        <v>29716</v>
      </c>
      <c r="AQ52" s="587">
        <f t="shared" si="9"/>
        <v>0.1</v>
      </c>
      <c r="AR52" s="868">
        <v>194847</v>
      </c>
      <c r="AS52" s="868">
        <v>182542</v>
      </c>
      <c r="AT52" s="587">
        <f t="shared" si="10"/>
        <v>-6.3</v>
      </c>
      <c r="AU52" s="868">
        <f>AX52-AR52</f>
        <v>29923</v>
      </c>
      <c r="AV52" s="868">
        <f>AY52-AS52</f>
        <v>31241</v>
      </c>
      <c r="AW52" s="615">
        <f t="shared" si="11"/>
        <v>4.4000000000000004</v>
      </c>
      <c r="AX52" s="925">
        <v>224770</v>
      </c>
      <c r="AY52" s="925">
        <v>213783</v>
      </c>
      <c r="AZ52" s="615">
        <f t="shared" si="12"/>
        <v>-4.9000000000000004</v>
      </c>
      <c r="BA52" s="868">
        <f>BD52-AX52</f>
        <v>28361</v>
      </c>
      <c r="BB52" s="868">
        <f>BE52-AY52</f>
        <v>29689</v>
      </c>
      <c r="BC52" s="615">
        <f t="shared" si="13"/>
        <v>4.7</v>
      </c>
      <c r="BD52" s="868">
        <v>253131</v>
      </c>
      <c r="BE52" s="868">
        <v>243472</v>
      </c>
      <c r="BF52" s="615">
        <f t="shared" si="14"/>
        <v>-3.8</v>
      </c>
      <c r="BG52" s="868">
        <f>BJ52-BD52</f>
        <v>27456</v>
      </c>
      <c r="BH52" s="868">
        <f>BK52-BE52</f>
        <v>34489</v>
      </c>
      <c r="BI52" s="615">
        <f t="shared" si="15"/>
        <v>25.6</v>
      </c>
      <c r="BJ52" s="868">
        <v>280587</v>
      </c>
      <c r="BK52" s="868">
        <v>277961</v>
      </c>
      <c r="BL52" s="615">
        <f t="shared" si="16"/>
        <v>-0.9</v>
      </c>
      <c r="BM52" s="868">
        <f>BP52-BJ52</f>
        <v>30029</v>
      </c>
      <c r="BN52" s="868">
        <f>BQ52-BK52</f>
        <v>34625</v>
      </c>
      <c r="BO52" s="615">
        <f t="shared" si="17"/>
        <v>15.3</v>
      </c>
      <c r="BP52" s="868">
        <v>310616</v>
      </c>
      <c r="BQ52" s="868">
        <v>312586</v>
      </c>
      <c r="BR52" s="615">
        <f t="shared" si="18"/>
        <v>0.6</v>
      </c>
      <c r="BS52" s="868">
        <f>BV52-BP52</f>
        <v>27851</v>
      </c>
      <c r="BT52" s="868">
        <f>BW52-BQ52</f>
        <v>36986</v>
      </c>
      <c r="BU52" s="615">
        <f t="shared" si="19"/>
        <v>32.799999999999997</v>
      </c>
      <c r="BV52" s="868">
        <v>338467</v>
      </c>
      <c r="BW52" s="868">
        <v>349572</v>
      </c>
      <c r="BX52" s="615">
        <f t="shared" si="20"/>
        <v>3.3</v>
      </c>
    </row>
    <row r="53" spans="1:76" ht="22.5" customHeight="1">
      <c r="A53" s="14"/>
      <c r="B53" s="1099"/>
      <c r="C53" s="1100"/>
      <c r="D53" s="370" t="s">
        <v>15</v>
      </c>
      <c r="E53" s="453">
        <f t="shared" ref="E53:L53" si="39">E52/E51*1000</f>
        <v>5913.6558667010322</v>
      </c>
      <c r="F53" s="453">
        <f t="shared" si="39"/>
        <v>5552.6083918208615</v>
      </c>
      <c r="G53" s="453">
        <f t="shared" si="39"/>
        <v>5552.897657213317</v>
      </c>
      <c r="H53" s="453">
        <f t="shared" si="39"/>
        <v>5593.8735506162993</v>
      </c>
      <c r="I53" s="453">
        <f t="shared" si="39"/>
        <v>5225.2162069022106</v>
      </c>
      <c r="J53" s="453">
        <f t="shared" si="39"/>
        <v>4974.8894093156387</v>
      </c>
      <c r="K53" s="208">
        <f t="shared" si="39"/>
        <v>5221.0820481731744</v>
      </c>
      <c r="L53" s="184">
        <f t="shared" si="39"/>
        <v>5639.3839294210402</v>
      </c>
      <c r="M53" s="439">
        <f>M52/M51*1000</f>
        <v>5219.4215289592958</v>
      </c>
      <c r="N53" s="310">
        <f>N52/N51*1000</f>
        <v>5630.4347826086951</v>
      </c>
      <c r="O53" s="310">
        <f>O52/O51*1000</f>
        <v>5005.3495007132669</v>
      </c>
      <c r="P53" s="194">
        <f t="shared" si="0"/>
        <v>-11.1</v>
      </c>
      <c r="Q53" s="310">
        <f>Q52/Q51*1000</f>
        <v>5407.638494989601</v>
      </c>
      <c r="R53" s="310">
        <f>R52/R51*1000</f>
        <v>4952.2461973823838</v>
      </c>
      <c r="S53" s="194">
        <f t="shared" si="1"/>
        <v>-8.4</v>
      </c>
      <c r="T53" s="310">
        <f>T52/T51*1000</f>
        <v>5531.5201880298837</v>
      </c>
      <c r="U53" s="310">
        <f>U52/U51*1000</f>
        <v>4978.6893979754923</v>
      </c>
      <c r="V53" s="194">
        <f t="shared" si="2"/>
        <v>-10</v>
      </c>
      <c r="W53" s="310">
        <f>W52/W51*1000</f>
        <v>5241.3084702907709</v>
      </c>
      <c r="X53" s="310">
        <f>X52/X51*1000</f>
        <v>4905.5268975681647</v>
      </c>
      <c r="Y53" s="194">
        <f t="shared" si="3"/>
        <v>-6.4</v>
      </c>
      <c r="Z53" s="310">
        <f>Z52/Z51*1000</f>
        <v>5430.8426073131959</v>
      </c>
      <c r="AA53" s="310">
        <f>AA52/AA51*1000</f>
        <v>4951.1830221089385</v>
      </c>
      <c r="AB53" s="194">
        <f t="shared" si="4"/>
        <v>-8.8000000000000007</v>
      </c>
      <c r="AC53" s="310">
        <f>AC52/AC51*1000</f>
        <v>5181.413893574605</v>
      </c>
      <c r="AD53" s="310">
        <f>AD52/AD51*1000</f>
        <v>4928.5063752276865</v>
      </c>
      <c r="AE53" s="194">
        <f t="shared" si="5"/>
        <v>-4.9000000000000004</v>
      </c>
      <c r="AF53" s="310">
        <f>AF52/AF51*1000</f>
        <v>5365.1562878604309</v>
      </c>
      <c r="AG53" s="310">
        <f>AG52/AG51*1000</f>
        <v>4945.1187335092345</v>
      </c>
      <c r="AH53" s="194">
        <f t="shared" si="6"/>
        <v>-7.8</v>
      </c>
      <c r="AI53" s="310">
        <f>AI52/AI51*1000</f>
        <v>5231.6283586921336</v>
      </c>
      <c r="AJ53" s="310">
        <f>AJ52/AJ51*1000</f>
        <v>4870.8562450903382</v>
      </c>
      <c r="AK53" s="194">
        <f t="shared" si="7"/>
        <v>-6.9</v>
      </c>
      <c r="AL53" s="310">
        <f>AL52/AL51*1000</f>
        <v>5338.4938590820939</v>
      </c>
      <c r="AM53" s="310">
        <f>AM52/AM51*1000</f>
        <v>4929.8709677419356</v>
      </c>
      <c r="AN53" s="194">
        <f t="shared" si="8"/>
        <v>-7.7</v>
      </c>
      <c r="AO53" s="598">
        <f>AO52/AO51*1000</f>
        <v>5128.5862426546837</v>
      </c>
      <c r="AP53" s="598">
        <f>AP52/AP51*1000</f>
        <v>4604.9899271656595</v>
      </c>
      <c r="AQ53" s="588">
        <f t="shared" si="9"/>
        <v>-10.199999999999999</v>
      </c>
      <c r="AR53" s="626">
        <f>AR52/AR51*1000</f>
        <v>5305.4239503349127</v>
      </c>
      <c r="AS53" s="626">
        <f>AS52/AS51*1000</f>
        <v>4873.8952820868817</v>
      </c>
      <c r="AT53" s="588">
        <f t="shared" si="10"/>
        <v>-8.1</v>
      </c>
      <c r="AU53" s="626">
        <f>AU52/AU51*1000</f>
        <v>5286.7491166077734</v>
      </c>
      <c r="AV53" s="626">
        <f>AV52/AV51*1000</f>
        <v>4644.1207075962539</v>
      </c>
      <c r="AW53" s="616">
        <f t="shared" si="11"/>
        <v>-12.2</v>
      </c>
      <c r="AX53" s="930">
        <f>AX52/AX51*1000</f>
        <v>5302.9302128061145</v>
      </c>
      <c r="AY53" s="930">
        <f>AY52/AY51*1000</f>
        <v>4838.9090086011765</v>
      </c>
      <c r="AZ53" s="616">
        <f t="shared" si="12"/>
        <v>-8.8000000000000007</v>
      </c>
      <c r="BA53" s="626">
        <f>BA52/BA51*1000</f>
        <v>5253.0098166327098</v>
      </c>
      <c r="BB53" s="626">
        <f>BB52/BB51*1000</f>
        <v>4738.1104372805621</v>
      </c>
      <c r="BC53" s="616">
        <f t="shared" si="13"/>
        <v>-9.8000000000000007</v>
      </c>
      <c r="BD53" s="626">
        <f>BD52/BD51*1000</f>
        <v>5297.2899445432668</v>
      </c>
      <c r="BE53" s="626">
        <f>BE52/BE51*1000</f>
        <v>4826.3886135669827</v>
      </c>
      <c r="BF53" s="616">
        <f t="shared" si="14"/>
        <v>-8.9</v>
      </c>
      <c r="BG53" s="626">
        <f>BG52/BG51*1000</f>
        <v>5024.8901903367496</v>
      </c>
      <c r="BH53" s="626">
        <f>BH52/BH51*1000</f>
        <v>4802.8129786937752</v>
      </c>
      <c r="BI53" s="616">
        <f t="shared" si="15"/>
        <v>-4.4000000000000004</v>
      </c>
      <c r="BJ53" s="626">
        <f>BJ52/BJ51*1000</f>
        <v>5269.3383913312928</v>
      </c>
      <c r="BK53" s="626">
        <f>BK52/BK51*1000</f>
        <v>4823.4508129869673</v>
      </c>
      <c r="BL53" s="616">
        <f t="shared" si="16"/>
        <v>-8.5</v>
      </c>
      <c r="BM53" s="626">
        <f>BM52/BM51*1000</f>
        <v>5020.7323190101997</v>
      </c>
      <c r="BN53" s="626">
        <f>BN52/BN51*1000</f>
        <v>5054.0067143482702</v>
      </c>
      <c r="BO53" s="616">
        <f t="shared" si="17"/>
        <v>0.7</v>
      </c>
      <c r="BP53" s="626">
        <f>BP52/BP51*1000</f>
        <v>5244.2343407057233</v>
      </c>
      <c r="BQ53" s="626">
        <f>BQ52/BQ51*1000</f>
        <v>4847.9481373491735</v>
      </c>
      <c r="BR53" s="616">
        <f t="shared" si="18"/>
        <v>-7.6</v>
      </c>
      <c r="BS53" s="626">
        <f>BS52/BS51*1000</f>
        <v>5273.8117780723351</v>
      </c>
      <c r="BT53" s="626">
        <f>BT52/BT51*1000</f>
        <v>5059.6443228454173</v>
      </c>
      <c r="BU53" s="616">
        <f t="shared" si="19"/>
        <v>-4.0999999999999996</v>
      </c>
      <c r="BV53" s="626">
        <f>BV52/BV51*1000</f>
        <v>5246.655609120925</v>
      </c>
      <c r="BW53" s="626">
        <f>BW52/BW51*1000</f>
        <v>4869.5046525881762</v>
      </c>
      <c r="BX53" s="616">
        <f t="shared" si="20"/>
        <v>-7.2</v>
      </c>
    </row>
    <row r="54" spans="1:76" ht="22.5" customHeight="1">
      <c r="A54" s="14"/>
      <c r="B54" s="1099" t="s">
        <v>29</v>
      </c>
      <c r="C54" s="1100">
        <v>7610</v>
      </c>
      <c r="D54" s="365" t="s">
        <v>13</v>
      </c>
      <c r="E54" s="452">
        <v>16161</v>
      </c>
      <c r="F54" s="452">
        <v>21407</v>
      </c>
      <c r="G54" s="452">
        <v>23019</v>
      </c>
      <c r="H54" s="452">
        <v>28537</v>
      </c>
      <c r="I54" s="452">
        <v>29068</v>
      </c>
      <c r="J54" s="452">
        <v>25668</v>
      </c>
      <c r="K54" s="207">
        <v>30038</v>
      </c>
      <c r="L54" s="183">
        <v>52161</v>
      </c>
      <c r="M54" s="312">
        <v>40147</v>
      </c>
      <c r="N54" s="311">
        <v>4482</v>
      </c>
      <c r="O54" s="483">
        <v>1925</v>
      </c>
      <c r="P54" s="195">
        <f t="shared" si="0"/>
        <v>-57.1</v>
      </c>
      <c r="Q54" s="311">
        <f>T54-N54</f>
        <v>3943</v>
      </c>
      <c r="R54" s="311">
        <f>U54-O54</f>
        <v>2270</v>
      </c>
      <c r="S54" s="195">
        <f t="shared" si="1"/>
        <v>-42.4</v>
      </c>
      <c r="T54" s="311">
        <v>8425</v>
      </c>
      <c r="U54" s="496">
        <v>4195</v>
      </c>
      <c r="V54" s="195">
        <f t="shared" si="2"/>
        <v>-50.2</v>
      </c>
      <c r="W54" s="311">
        <f>Z54-T54</f>
        <v>4171</v>
      </c>
      <c r="X54" s="311">
        <f>AA54-U54</f>
        <v>2366</v>
      </c>
      <c r="Y54" s="195">
        <f t="shared" si="3"/>
        <v>-43.3</v>
      </c>
      <c r="Z54" s="311">
        <v>12596</v>
      </c>
      <c r="AA54" s="496">
        <v>6561</v>
      </c>
      <c r="AB54" s="195">
        <f t="shared" si="4"/>
        <v>-47.9</v>
      </c>
      <c r="AC54" s="311">
        <f>AF54-Z54</f>
        <v>4163</v>
      </c>
      <c r="AD54" s="311">
        <f>AG54-AA54</f>
        <v>2326</v>
      </c>
      <c r="AE54" s="195">
        <f t="shared" si="5"/>
        <v>-44.1</v>
      </c>
      <c r="AF54" s="311">
        <v>16759</v>
      </c>
      <c r="AG54" s="496">
        <v>8887</v>
      </c>
      <c r="AH54" s="195">
        <f t="shared" si="6"/>
        <v>-47</v>
      </c>
      <c r="AI54" s="311">
        <f>AL54-AF54</f>
        <v>3908</v>
      </c>
      <c r="AJ54" s="311">
        <f>AM54-AG54</f>
        <v>1774</v>
      </c>
      <c r="AK54" s="195">
        <f t="shared" si="7"/>
        <v>-54.6</v>
      </c>
      <c r="AL54" s="311">
        <v>20667</v>
      </c>
      <c r="AM54" s="496">
        <v>10661</v>
      </c>
      <c r="AN54" s="195">
        <f t="shared" si="8"/>
        <v>-48.4</v>
      </c>
      <c r="AO54" s="599">
        <f>AR54-AL54</f>
        <v>3138</v>
      </c>
      <c r="AP54" s="599">
        <f>AS54-AM54</f>
        <v>2363</v>
      </c>
      <c r="AQ54" s="589">
        <f t="shared" si="9"/>
        <v>-24.7</v>
      </c>
      <c r="AR54" s="869">
        <v>23805</v>
      </c>
      <c r="AS54" s="496">
        <v>13024</v>
      </c>
      <c r="AT54" s="589">
        <f t="shared" si="10"/>
        <v>-45.3</v>
      </c>
      <c r="AU54" s="869">
        <f>AX54-AR54</f>
        <v>3653</v>
      </c>
      <c r="AV54" s="869">
        <f>AY54-AS54</f>
        <v>2576</v>
      </c>
      <c r="AW54" s="617">
        <f t="shared" si="11"/>
        <v>-29.5</v>
      </c>
      <c r="AX54" s="929">
        <v>27458</v>
      </c>
      <c r="AY54" s="934">
        <v>15600</v>
      </c>
      <c r="AZ54" s="617">
        <f t="shared" si="12"/>
        <v>-43.2</v>
      </c>
      <c r="BA54" s="869">
        <f>BD54-AX54</f>
        <v>2580</v>
      </c>
      <c r="BB54" s="869">
        <f>BE54-AY54</f>
        <v>1891</v>
      </c>
      <c r="BC54" s="617">
        <f t="shared" si="13"/>
        <v>-26.7</v>
      </c>
      <c r="BD54" s="869">
        <v>30038</v>
      </c>
      <c r="BE54" s="496">
        <v>17491</v>
      </c>
      <c r="BF54" s="617">
        <f t="shared" si="14"/>
        <v>-41.8</v>
      </c>
      <c r="BG54" s="869">
        <f>BJ54-BD54</f>
        <v>2581</v>
      </c>
      <c r="BH54" s="869">
        <f>BK54-BE54</f>
        <v>1875</v>
      </c>
      <c r="BI54" s="617">
        <f t="shared" si="15"/>
        <v>-27.4</v>
      </c>
      <c r="BJ54" s="869">
        <v>32619</v>
      </c>
      <c r="BK54" s="496">
        <v>19366</v>
      </c>
      <c r="BL54" s="617">
        <f t="shared" si="16"/>
        <v>-40.6</v>
      </c>
      <c r="BM54" s="869">
        <f>BP54-BJ54</f>
        <v>2815</v>
      </c>
      <c r="BN54" s="869">
        <f>BQ54-BK54</f>
        <v>2077</v>
      </c>
      <c r="BO54" s="617">
        <f t="shared" si="17"/>
        <v>-26.2</v>
      </c>
      <c r="BP54" s="869">
        <v>35434</v>
      </c>
      <c r="BQ54" s="496">
        <v>21443</v>
      </c>
      <c r="BR54" s="617">
        <f t="shared" si="18"/>
        <v>-39.5</v>
      </c>
      <c r="BS54" s="869">
        <f>BV54-BP54</f>
        <v>1998</v>
      </c>
      <c r="BT54" s="869">
        <f>BW54-BQ54</f>
        <v>2536</v>
      </c>
      <c r="BU54" s="617">
        <f t="shared" si="19"/>
        <v>26.9</v>
      </c>
      <c r="BV54" s="869">
        <v>37432</v>
      </c>
      <c r="BW54" s="496">
        <v>23979</v>
      </c>
      <c r="BX54" s="617">
        <f t="shared" si="20"/>
        <v>-35.9</v>
      </c>
    </row>
    <row r="55" spans="1:76" ht="22.5" customHeight="1">
      <c r="A55" s="14"/>
      <c r="B55" s="1099"/>
      <c r="C55" s="1100"/>
      <c r="D55" s="366" t="s">
        <v>14</v>
      </c>
      <c r="E55" s="449">
        <v>97086</v>
      </c>
      <c r="F55" s="449">
        <v>127541</v>
      </c>
      <c r="G55" s="449">
        <v>122921</v>
      </c>
      <c r="H55" s="449">
        <v>159570</v>
      </c>
      <c r="I55" s="449">
        <v>175515</v>
      </c>
      <c r="J55" s="449">
        <v>163569</v>
      </c>
      <c r="K55" s="202">
        <v>161157</v>
      </c>
      <c r="L55" s="180">
        <v>246940</v>
      </c>
      <c r="M55" s="438">
        <v>213677</v>
      </c>
      <c r="N55" s="309">
        <v>21935</v>
      </c>
      <c r="O55" s="308">
        <v>12130</v>
      </c>
      <c r="P55" s="192">
        <f t="shared" si="0"/>
        <v>-44.7</v>
      </c>
      <c r="Q55" s="308">
        <f>T55-N55</f>
        <v>18916</v>
      </c>
      <c r="R55" s="308">
        <f>U55-O55</f>
        <v>14448</v>
      </c>
      <c r="S55" s="192">
        <f t="shared" si="1"/>
        <v>-23.6</v>
      </c>
      <c r="T55" s="308">
        <v>40851</v>
      </c>
      <c r="U55" s="308">
        <v>26578</v>
      </c>
      <c r="V55" s="193">
        <f t="shared" si="2"/>
        <v>-34.9</v>
      </c>
      <c r="W55" s="308">
        <f>Z55-T55</f>
        <v>21742</v>
      </c>
      <c r="X55" s="308">
        <f>AA55-U55</f>
        <v>13107</v>
      </c>
      <c r="Y55" s="192">
        <f t="shared" si="3"/>
        <v>-39.700000000000003</v>
      </c>
      <c r="Z55" s="308">
        <v>62593</v>
      </c>
      <c r="AA55" s="308">
        <v>39685</v>
      </c>
      <c r="AB55" s="193">
        <f t="shared" si="4"/>
        <v>-36.6</v>
      </c>
      <c r="AC55" s="308">
        <f>AF55-Z55</f>
        <v>19359</v>
      </c>
      <c r="AD55" s="308">
        <f>AG55-AA55</f>
        <v>13656</v>
      </c>
      <c r="AE55" s="192">
        <f t="shared" si="5"/>
        <v>-29.5</v>
      </c>
      <c r="AF55" s="308">
        <v>81952</v>
      </c>
      <c r="AG55" s="308">
        <v>53341</v>
      </c>
      <c r="AH55" s="193">
        <f t="shared" si="6"/>
        <v>-34.9</v>
      </c>
      <c r="AI55" s="308">
        <f>AL55-AF55</f>
        <v>20675</v>
      </c>
      <c r="AJ55" s="308">
        <f>AM55-AG55</f>
        <v>9489</v>
      </c>
      <c r="AK55" s="192">
        <f t="shared" si="7"/>
        <v>-54.1</v>
      </c>
      <c r="AL55" s="308">
        <v>102627</v>
      </c>
      <c r="AM55" s="308">
        <v>62830</v>
      </c>
      <c r="AN55" s="193">
        <f t="shared" si="8"/>
        <v>-38.799999999999997</v>
      </c>
      <c r="AO55" s="596">
        <f>AR55-AL55</f>
        <v>16383</v>
      </c>
      <c r="AP55" s="596">
        <f>AS55-AM55</f>
        <v>14464</v>
      </c>
      <c r="AQ55" s="586">
        <f t="shared" si="9"/>
        <v>-11.7</v>
      </c>
      <c r="AR55" s="638">
        <v>119010</v>
      </c>
      <c r="AS55" s="638">
        <v>77294</v>
      </c>
      <c r="AT55" s="587">
        <f t="shared" si="10"/>
        <v>-35.1</v>
      </c>
      <c r="AU55" s="638">
        <f>AX55-AR55</f>
        <v>21508</v>
      </c>
      <c r="AV55" s="638">
        <f>AY55-AS55</f>
        <v>13423</v>
      </c>
      <c r="AW55" s="614">
        <f t="shared" si="11"/>
        <v>-37.6</v>
      </c>
      <c r="AX55" s="935">
        <v>140518</v>
      </c>
      <c r="AY55" s="935">
        <v>90717</v>
      </c>
      <c r="AZ55" s="615">
        <f t="shared" si="12"/>
        <v>-35.4</v>
      </c>
      <c r="BA55" s="638">
        <f>BD55-AX55</f>
        <v>13907</v>
      </c>
      <c r="BB55" s="638">
        <f>BE55-AY55</f>
        <v>9864</v>
      </c>
      <c r="BC55" s="614">
        <f t="shared" si="13"/>
        <v>-29.1</v>
      </c>
      <c r="BD55" s="638">
        <v>154425</v>
      </c>
      <c r="BE55" s="638">
        <v>100581</v>
      </c>
      <c r="BF55" s="615">
        <f t="shared" si="14"/>
        <v>-34.9</v>
      </c>
      <c r="BG55" s="638">
        <f>BJ55-BD55</f>
        <v>13905</v>
      </c>
      <c r="BH55" s="638">
        <f>BK55-BE55</f>
        <v>11527</v>
      </c>
      <c r="BI55" s="614">
        <f t="shared" si="15"/>
        <v>-17.100000000000001</v>
      </c>
      <c r="BJ55" s="638">
        <v>168330</v>
      </c>
      <c r="BK55" s="638">
        <v>112108</v>
      </c>
      <c r="BL55" s="615">
        <f t="shared" si="16"/>
        <v>-33.4</v>
      </c>
      <c r="BM55" s="638">
        <f>BP55-BJ55</f>
        <v>16933</v>
      </c>
      <c r="BN55" s="638">
        <f>BQ55-BK55</f>
        <v>11274</v>
      </c>
      <c r="BO55" s="614">
        <f t="shared" si="17"/>
        <v>-33.4</v>
      </c>
      <c r="BP55" s="638">
        <v>185263</v>
      </c>
      <c r="BQ55" s="638">
        <v>123382</v>
      </c>
      <c r="BR55" s="615">
        <f t="shared" si="18"/>
        <v>-33.4</v>
      </c>
      <c r="BS55" s="638">
        <f>BV55-BP55</f>
        <v>12405</v>
      </c>
      <c r="BT55" s="638">
        <f>BW55-BQ55</f>
        <v>14865</v>
      </c>
      <c r="BU55" s="614">
        <f t="shared" si="19"/>
        <v>19.8</v>
      </c>
      <c r="BV55" s="638">
        <v>197668</v>
      </c>
      <c r="BW55" s="638">
        <v>138247</v>
      </c>
      <c r="BX55" s="615">
        <f t="shared" si="20"/>
        <v>-30.1</v>
      </c>
    </row>
    <row r="56" spans="1:76" ht="22.5" customHeight="1">
      <c r="A56" s="14"/>
      <c r="B56" s="1099"/>
      <c r="C56" s="1100"/>
      <c r="D56" s="370" t="s">
        <v>15</v>
      </c>
      <c r="E56" s="453">
        <f t="shared" ref="E56:L56" si="40">E55/E54*1000</f>
        <v>6007.4252830889181</v>
      </c>
      <c r="F56" s="453">
        <f t="shared" si="40"/>
        <v>5957.9109637034608</v>
      </c>
      <c r="G56" s="453">
        <f t="shared" si="40"/>
        <v>5339.9800165081024</v>
      </c>
      <c r="H56" s="453">
        <f t="shared" si="40"/>
        <v>5591.6879840207448</v>
      </c>
      <c r="I56" s="453">
        <f t="shared" si="40"/>
        <v>6038.0831154534199</v>
      </c>
      <c r="J56" s="453">
        <f t="shared" si="40"/>
        <v>6372.4871435250116</v>
      </c>
      <c r="K56" s="208">
        <f t="shared" si="40"/>
        <v>5365.1042013449633</v>
      </c>
      <c r="L56" s="184">
        <f t="shared" si="40"/>
        <v>4734.1883782902942</v>
      </c>
      <c r="M56" s="439">
        <f>M55/M54*1000</f>
        <v>5322.3653074949561</v>
      </c>
      <c r="N56" s="310">
        <f>N55/N54*1000</f>
        <v>4894.0205265506465</v>
      </c>
      <c r="O56" s="310">
        <f>O55/O54*1000</f>
        <v>6301.2987012987005</v>
      </c>
      <c r="P56" s="194">
        <f t="shared" si="0"/>
        <v>28.8</v>
      </c>
      <c r="Q56" s="310">
        <f>Q55/Q54*1000</f>
        <v>4797.3624144052756</v>
      </c>
      <c r="R56" s="310">
        <f>R55/R54*1000</f>
        <v>6364.757709251101</v>
      </c>
      <c r="S56" s="194">
        <f t="shared" si="1"/>
        <v>32.700000000000003</v>
      </c>
      <c r="T56" s="310">
        <f>T55/T54*1000</f>
        <v>4848.7833827893173</v>
      </c>
      <c r="U56" s="310">
        <f>U55/U54*1000</f>
        <v>6335.6376638855781</v>
      </c>
      <c r="V56" s="194">
        <f t="shared" si="2"/>
        <v>30.7</v>
      </c>
      <c r="W56" s="310">
        <f>W55/W54*1000</f>
        <v>5212.6588348117957</v>
      </c>
      <c r="X56" s="310">
        <f>X55/X54*1000</f>
        <v>5539.7295012679624</v>
      </c>
      <c r="Y56" s="194">
        <f t="shared" si="3"/>
        <v>6.3</v>
      </c>
      <c r="Z56" s="310">
        <f>Z55/Z54*1000</f>
        <v>4969.2759606224199</v>
      </c>
      <c r="AA56" s="310">
        <f>AA55/AA54*1000</f>
        <v>6048.6206370980035</v>
      </c>
      <c r="AB56" s="194">
        <f t="shared" si="4"/>
        <v>21.7</v>
      </c>
      <c r="AC56" s="310">
        <f>AC55/AC54*1000</f>
        <v>4650.2522219553211</v>
      </c>
      <c r="AD56" s="310">
        <f>AD55/AD54*1000</f>
        <v>5871.023215821152</v>
      </c>
      <c r="AE56" s="194">
        <f t="shared" si="5"/>
        <v>26.3</v>
      </c>
      <c r="AF56" s="310">
        <f>AF55/AF54*1000</f>
        <v>4890.0292380213623</v>
      </c>
      <c r="AG56" s="310">
        <f>AG55/AG54*1000</f>
        <v>6002.1379543152916</v>
      </c>
      <c r="AH56" s="194">
        <f t="shared" si="6"/>
        <v>22.7</v>
      </c>
      <c r="AI56" s="310">
        <f>AI55/AI54*1000</f>
        <v>5290.4298874104397</v>
      </c>
      <c r="AJ56" s="310">
        <f>AJ55/AJ54*1000</f>
        <v>5348.9289740698987</v>
      </c>
      <c r="AK56" s="194">
        <f t="shared" si="7"/>
        <v>1.1000000000000001</v>
      </c>
      <c r="AL56" s="310">
        <f>AL55/AL54*1000</f>
        <v>4965.7424880243871</v>
      </c>
      <c r="AM56" s="310">
        <f>AM55/AM54*1000</f>
        <v>5893.4433918018949</v>
      </c>
      <c r="AN56" s="194">
        <f t="shared" si="8"/>
        <v>18.7</v>
      </c>
      <c r="AO56" s="598">
        <f>AO55/AO54*1000</f>
        <v>5220.841300191204</v>
      </c>
      <c r="AP56" s="598">
        <f>AP55/AP54*1000</f>
        <v>6121.032585696149</v>
      </c>
      <c r="AQ56" s="588">
        <f t="shared" si="9"/>
        <v>17.2</v>
      </c>
      <c r="AR56" s="626">
        <f>AR55/AR54*1000</f>
        <v>4999.3698802772524</v>
      </c>
      <c r="AS56" s="626">
        <f>AS55/AS54*1000</f>
        <v>5934.7358722358722</v>
      </c>
      <c r="AT56" s="588">
        <f t="shared" si="10"/>
        <v>18.7</v>
      </c>
      <c r="AU56" s="626">
        <f>AU55/AU54*1000</f>
        <v>5887.7634820695312</v>
      </c>
      <c r="AV56" s="626">
        <f>AV55/AV54*1000</f>
        <v>5210.7919254658382</v>
      </c>
      <c r="AW56" s="616">
        <f t="shared" si="11"/>
        <v>-11.5</v>
      </c>
      <c r="AX56" s="930">
        <f>AX55/AX54*1000</f>
        <v>5117.561366450579</v>
      </c>
      <c r="AY56" s="930">
        <f>AY55/AY54*1000</f>
        <v>5815.1923076923076</v>
      </c>
      <c r="AZ56" s="616">
        <f t="shared" si="12"/>
        <v>13.6</v>
      </c>
      <c r="BA56" s="626">
        <f>BA55/BA54*1000</f>
        <v>5390.3100775193798</v>
      </c>
      <c r="BB56" s="626">
        <f>BB55/BB54*1000</f>
        <v>5216.2876784769969</v>
      </c>
      <c r="BC56" s="616">
        <f t="shared" si="13"/>
        <v>-3.2</v>
      </c>
      <c r="BD56" s="626">
        <f>BD55/BD54*1000</f>
        <v>5140.9880817631001</v>
      </c>
      <c r="BE56" s="626">
        <f>BE55/BE54*1000</f>
        <v>5750.4430850151502</v>
      </c>
      <c r="BF56" s="616">
        <f t="shared" si="14"/>
        <v>11.9</v>
      </c>
      <c r="BG56" s="626">
        <f>BG55/BG54*1000</f>
        <v>5387.4467260751653</v>
      </c>
      <c r="BH56" s="626">
        <f>BH55/BH54*1000</f>
        <v>6147.7333333333327</v>
      </c>
      <c r="BI56" s="616">
        <f t="shared" si="15"/>
        <v>14.1</v>
      </c>
      <c r="BJ56" s="626">
        <f>BJ55/BJ54*1000</f>
        <v>5160.4892853858182</v>
      </c>
      <c r="BK56" s="626">
        <f>BK55/BK54*1000</f>
        <v>5788.9083961582155</v>
      </c>
      <c r="BL56" s="616">
        <f t="shared" si="16"/>
        <v>12.2</v>
      </c>
      <c r="BM56" s="626">
        <f>BM55/BM54*1000</f>
        <v>6015.2753108348143</v>
      </c>
      <c r="BN56" s="626">
        <f>BN55/BN54*1000</f>
        <v>5428.021184400578</v>
      </c>
      <c r="BO56" s="616">
        <f t="shared" si="17"/>
        <v>-9.8000000000000007</v>
      </c>
      <c r="BP56" s="626">
        <f>BP55/BP54*1000</f>
        <v>5228.3964553818359</v>
      </c>
      <c r="BQ56" s="626">
        <f>BQ55/BQ54*1000</f>
        <v>5753.9523387585696</v>
      </c>
      <c r="BR56" s="616">
        <f t="shared" si="18"/>
        <v>10.1</v>
      </c>
      <c r="BS56" s="626">
        <f>BS55/BS54*1000</f>
        <v>6208.7087087087084</v>
      </c>
      <c r="BT56" s="626">
        <f>BT55/BT54*1000</f>
        <v>5861.5930599369085</v>
      </c>
      <c r="BU56" s="616">
        <f t="shared" si="19"/>
        <v>-5.6</v>
      </c>
      <c r="BV56" s="626">
        <f>BV55/BV54*1000</f>
        <v>5280.7223765761919</v>
      </c>
      <c r="BW56" s="626">
        <f>BW55/BW54*1000</f>
        <v>5765.3363359606319</v>
      </c>
      <c r="BX56" s="616">
        <f t="shared" si="20"/>
        <v>9.1999999999999993</v>
      </c>
    </row>
    <row r="57" spans="1:76" ht="22.5" customHeight="1">
      <c r="A57" s="14"/>
      <c r="B57" s="1114" t="s">
        <v>30</v>
      </c>
      <c r="C57" s="1100">
        <v>7615</v>
      </c>
      <c r="D57" s="365" t="s">
        <v>13</v>
      </c>
      <c r="E57" s="452">
        <v>21732</v>
      </c>
      <c r="F57" s="452">
        <v>24884</v>
      </c>
      <c r="G57" s="452">
        <v>24300</v>
      </c>
      <c r="H57" s="452">
        <v>23755</v>
      </c>
      <c r="I57" s="452">
        <v>22495</v>
      </c>
      <c r="J57" s="452">
        <v>21694</v>
      </c>
      <c r="K57" s="207">
        <v>19610</v>
      </c>
      <c r="L57" s="183">
        <v>16919</v>
      </c>
      <c r="M57" s="312">
        <v>14937</v>
      </c>
      <c r="N57" s="311">
        <v>1280</v>
      </c>
      <c r="O57" s="311">
        <v>1097</v>
      </c>
      <c r="P57" s="195">
        <f t="shared" si="0"/>
        <v>-14.3</v>
      </c>
      <c r="Q57" s="311">
        <f>T57-N57</f>
        <v>1052</v>
      </c>
      <c r="R57" s="311">
        <f>U57-O57</f>
        <v>1096</v>
      </c>
      <c r="S57" s="195">
        <f t="shared" si="1"/>
        <v>4.2</v>
      </c>
      <c r="T57" s="311">
        <v>2332</v>
      </c>
      <c r="U57" s="311">
        <v>2193</v>
      </c>
      <c r="V57" s="195">
        <f t="shared" si="2"/>
        <v>-6</v>
      </c>
      <c r="W57" s="311">
        <f>Z57-T57</f>
        <v>1171</v>
      </c>
      <c r="X57" s="311">
        <f>AA57-U57</f>
        <v>1542</v>
      </c>
      <c r="Y57" s="195">
        <f t="shared" si="3"/>
        <v>31.7</v>
      </c>
      <c r="Z57" s="311">
        <v>3503</v>
      </c>
      <c r="AA57" s="311">
        <v>3735</v>
      </c>
      <c r="AB57" s="195">
        <f t="shared" si="4"/>
        <v>6.6</v>
      </c>
      <c r="AC57" s="311">
        <f>AF57-Z57</f>
        <v>1258</v>
      </c>
      <c r="AD57" s="311">
        <f>AG57-AA57</f>
        <v>1200</v>
      </c>
      <c r="AE57" s="195">
        <f t="shared" si="5"/>
        <v>-4.5999999999999996</v>
      </c>
      <c r="AF57" s="311">
        <v>4761</v>
      </c>
      <c r="AG57" s="311">
        <v>4935</v>
      </c>
      <c r="AH57" s="195">
        <f t="shared" si="6"/>
        <v>3.7</v>
      </c>
      <c r="AI57" s="311">
        <f>AL57-AF57</f>
        <v>1171</v>
      </c>
      <c r="AJ57" s="311">
        <f>AM57-AG57</f>
        <v>1209</v>
      </c>
      <c r="AK57" s="195">
        <f t="shared" si="7"/>
        <v>3.2</v>
      </c>
      <c r="AL57" s="311">
        <v>5932</v>
      </c>
      <c r="AM57" s="311">
        <v>6144</v>
      </c>
      <c r="AN57" s="195">
        <f t="shared" si="8"/>
        <v>3.6</v>
      </c>
      <c r="AO57" s="599">
        <f>AR57-AL57</f>
        <v>999</v>
      </c>
      <c r="AP57" s="599">
        <f>AS57-AM57</f>
        <v>1474</v>
      </c>
      <c r="AQ57" s="589">
        <f t="shared" si="9"/>
        <v>47.5</v>
      </c>
      <c r="AR57" s="869">
        <v>6931</v>
      </c>
      <c r="AS57" s="869">
        <v>7618</v>
      </c>
      <c r="AT57" s="589">
        <f t="shared" si="10"/>
        <v>9.9</v>
      </c>
      <c r="AU57" s="869">
        <f>AX57-AR57</f>
        <v>1332</v>
      </c>
      <c r="AV57" s="869">
        <f>AY57-AS57</f>
        <v>1574</v>
      </c>
      <c r="AW57" s="617">
        <f t="shared" si="11"/>
        <v>18.2</v>
      </c>
      <c r="AX57" s="929">
        <v>8263</v>
      </c>
      <c r="AY57" s="929">
        <v>9192</v>
      </c>
      <c r="AZ57" s="617">
        <f t="shared" si="12"/>
        <v>11.2</v>
      </c>
      <c r="BA57" s="869">
        <f>BD57-AX57</f>
        <v>1146</v>
      </c>
      <c r="BB57" s="869">
        <f>BE57-AY57</f>
        <v>1585</v>
      </c>
      <c r="BC57" s="617">
        <f t="shared" si="13"/>
        <v>38.299999999999997</v>
      </c>
      <c r="BD57" s="869">
        <v>9409</v>
      </c>
      <c r="BE57" s="869">
        <v>10777</v>
      </c>
      <c r="BF57" s="617">
        <f t="shared" si="14"/>
        <v>14.5</v>
      </c>
      <c r="BG57" s="869">
        <f>BJ57-BD57</f>
        <v>1102</v>
      </c>
      <c r="BH57" s="869">
        <f>BK57-BE57</f>
        <v>1655</v>
      </c>
      <c r="BI57" s="617">
        <f t="shared" si="15"/>
        <v>50.2</v>
      </c>
      <c r="BJ57" s="869">
        <v>10511</v>
      </c>
      <c r="BK57" s="869">
        <v>12432</v>
      </c>
      <c r="BL57" s="617">
        <f t="shared" si="16"/>
        <v>18.3</v>
      </c>
      <c r="BM57" s="869">
        <f>BP57-BJ57</f>
        <v>1372</v>
      </c>
      <c r="BN57" s="869">
        <f>BQ57-BK57</f>
        <v>1563</v>
      </c>
      <c r="BO57" s="617">
        <f t="shared" si="17"/>
        <v>13.9</v>
      </c>
      <c r="BP57" s="869">
        <v>11883</v>
      </c>
      <c r="BQ57" s="869">
        <v>13995</v>
      </c>
      <c r="BR57" s="617">
        <f t="shared" si="18"/>
        <v>17.8</v>
      </c>
      <c r="BS57" s="869">
        <f>BV57-BP57</f>
        <v>1470</v>
      </c>
      <c r="BT57" s="869">
        <f>BW57-BQ57</f>
        <v>1699</v>
      </c>
      <c r="BU57" s="617">
        <f t="shared" si="19"/>
        <v>15.6</v>
      </c>
      <c r="BV57" s="869">
        <v>13353</v>
      </c>
      <c r="BW57" s="869">
        <v>15694</v>
      </c>
      <c r="BX57" s="617">
        <f t="shared" si="20"/>
        <v>17.5</v>
      </c>
    </row>
    <row r="58" spans="1:76" ht="22.5" customHeight="1">
      <c r="A58" s="14"/>
      <c r="B58" s="1099"/>
      <c r="C58" s="1100"/>
      <c r="D58" s="366" t="s">
        <v>14</v>
      </c>
      <c r="E58" s="449">
        <v>188292</v>
      </c>
      <c r="F58" s="449">
        <v>217597</v>
      </c>
      <c r="G58" s="449">
        <v>211653</v>
      </c>
      <c r="H58" s="449">
        <v>211021</v>
      </c>
      <c r="I58" s="449">
        <v>198260</v>
      </c>
      <c r="J58" s="449">
        <v>189817</v>
      </c>
      <c r="K58" s="202">
        <v>166699</v>
      </c>
      <c r="L58" s="180">
        <v>146241</v>
      </c>
      <c r="M58" s="438">
        <v>135734</v>
      </c>
      <c r="N58" s="309">
        <v>11474</v>
      </c>
      <c r="O58" s="309">
        <v>9632</v>
      </c>
      <c r="P58" s="193">
        <f t="shared" si="0"/>
        <v>-16.100000000000001</v>
      </c>
      <c r="Q58" s="309">
        <f>T58-N58</f>
        <v>9597</v>
      </c>
      <c r="R58" s="309">
        <f>U58-O58</f>
        <v>9815</v>
      </c>
      <c r="S58" s="193">
        <f t="shared" si="1"/>
        <v>2.2999999999999998</v>
      </c>
      <c r="T58" s="309">
        <v>21071</v>
      </c>
      <c r="U58" s="309">
        <v>19447</v>
      </c>
      <c r="V58" s="193">
        <f t="shared" si="2"/>
        <v>-7.7</v>
      </c>
      <c r="W58" s="309">
        <f>Z58-T58</f>
        <v>10549</v>
      </c>
      <c r="X58" s="309">
        <f>AA58-U58</f>
        <v>13810</v>
      </c>
      <c r="Y58" s="193">
        <f t="shared" si="3"/>
        <v>30.9</v>
      </c>
      <c r="Z58" s="309">
        <v>31620</v>
      </c>
      <c r="AA58" s="309">
        <v>33257</v>
      </c>
      <c r="AB58" s="193">
        <f t="shared" si="4"/>
        <v>5.2</v>
      </c>
      <c r="AC58" s="309">
        <f>AF58-Z58</f>
        <v>11768</v>
      </c>
      <c r="AD58" s="309">
        <f>AG58-AA58</f>
        <v>10770</v>
      </c>
      <c r="AE58" s="193">
        <f t="shared" si="5"/>
        <v>-8.5</v>
      </c>
      <c r="AF58" s="309">
        <v>43388</v>
      </c>
      <c r="AG58" s="309">
        <v>44027</v>
      </c>
      <c r="AH58" s="193">
        <f t="shared" si="6"/>
        <v>1.5</v>
      </c>
      <c r="AI58" s="309">
        <f>AL58-AF58</f>
        <v>10730</v>
      </c>
      <c r="AJ58" s="309">
        <f>AM58-AG58</f>
        <v>10550</v>
      </c>
      <c r="AK58" s="193">
        <f t="shared" si="7"/>
        <v>-1.7</v>
      </c>
      <c r="AL58" s="309">
        <v>54118</v>
      </c>
      <c r="AM58" s="309">
        <v>54577</v>
      </c>
      <c r="AN58" s="193">
        <f t="shared" si="8"/>
        <v>0.8</v>
      </c>
      <c r="AO58" s="597">
        <f>AR58-AL58</f>
        <v>9267</v>
      </c>
      <c r="AP58" s="597">
        <f>AS58-AM58</f>
        <v>13278</v>
      </c>
      <c r="AQ58" s="587">
        <f t="shared" si="9"/>
        <v>43.3</v>
      </c>
      <c r="AR58" s="868">
        <v>63385</v>
      </c>
      <c r="AS58" s="868">
        <v>67855</v>
      </c>
      <c r="AT58" s="587">
        <f t="shared" si="10"/>
        <v>7.1</v>
      </c>
      <c r="AU58" s="868">
        <f>AX58-AR58</f>
        <v>12000</v>
      </c>
      <c r="AV58" s="868">
        <f>AY58-AS58</f>
        <v>13989</v>
      </c>
      <c r="AW58" s="615">
        <f t="shared" si="11"/>
        <v>16.600000000000001</v>
      </c>
      <c r="AX58" s="925">
        <v>75385</v>
      </c>
      <c r="AY58" s="925">
        <v>81844</v>
      </c>
      <c r="AZ58" s="615">
        <f t="shared" si="12"/>
        <v>8.6</v>
      </c>
      <c r="BA58" s="868">
        <f>BD58-AX58</f>
        <v>10535</v>
      </c>
      <c r="BB58" s="868">
        <f>BE58-AY58</f>
        <v>14514</v>
      </c>
      <c r="BC58" s="615">
        <f t="shared" si="13"/>
        <v>37.799999999999997</v>
      </c>
      <c r="BD58" s="868">
        <v>85920</v>
      </c>
      <c r="BE58" s="868">
        <v>96358</v>
      </c>
      <c r="BF58" s="615">
        <f t="shared" si="14"/>
        <v>12.1</v>
      </c>
      <c r="BG58" s="868">
        <f>BJ58-BD58</f>
        <v>10174</v>
      </c>
      <c r="BH58" s="868">
        <f>BK58-BE58</f>
        <v>15170</v>
      </c>
      <c r="BI58" s="615">
        <f t="shared" si="15"/>
        <v>49.1</v>
      </c>
      <c r="BJ58" s="868">
        <v>96094</v>
      </c>
      <c r="BK58" s="868">
        <v>111528</v>
      </c>
      <c r="BL58" s="615">
        <f t="shared" si="16"/>
        <v>16.100000000000001</v>
      </c>
      <c r="BM58" s="868">
        <f>BP58-BJ58</f>
        <v>12046</v>
      </c>
      <c r="BN58" s="868">
        <f>BQ58-BK58</f>
        <v>13766</v>
      </c>
      <c r="BO58" s="615">
        <f t="shared" si="17"/>
        <v>14.3</v>
      </c>
      <c r="BP58" s="868">
        <v>108140</v>
      </c>
      <c r="BQ58" s="868">
        <v>125294</v>
      </c>
      <c r="BR58" s="615">
        <f t="shared" si="18"/>
        <v>15.9</v>
      </c>
      <c r="BS58" s="868">
        <f>BV58-BP58</f>
        <v>13601</v>
      </c>
      <c r="BT58" s="868">
        <f>BW58-BQ58</f>
        <v>15606</v>
      </c>
      <c r="BU58" s="615">
        <f t="shared" si="19"/>
        <v>14.7</v>
      </c>
      <c r="BV58" s="868">
        <v>121741</v>
      </c>
      <c r="BW58" s="868">
        <v>140900</v>
      </c>
      <c r="BX58" s="615">
        <f t="shared" si="20"/>
        <v>15.7</v>
      </c>
    </row>
    <row r="59" spans="1:76" ht="22.5" customHeight="1">
      <c r="A59" s="14"/>
      <c r="B59" s="1099"/>
      <c r="C59" s="1100"/>
      <c r="D59" s="370" t="s">
        <v>15</v>
      </c>
      <c r="E59" s="453">
        <f t="shared" ref="E59:L59" si="41">E58/E57*1000</f>
        <v>8664.27388183324</v>
      </c>
      <c r="F59" s="453">
        <f t="shared" si="41"/>
        <v>8744.4542678026046</v>
      </c>
      <c r="G59" s="453">
        <f t="shared" si="41"/>
        <v>8710</v>
      </c>
      <c r="H59" s="453">
        <f t="shared" si="41"/>
        <v>8883.2245842980428</v>
      </c>
      <c r="I59" s="453">
        <f t="shared" si="41"/>
        <v>8813.5141142476095</v>
      </c>
      <c r="J59" s="453">
        <f t="shared" si="41"/>
        <v>8749.746473679359</v>
      </c>
      <c r="K59" s="208">
        <f t="shared" si="41"/>
        <v>8500.7139214686376</v>
      </c>
      <c r="L59" s="184">
        <f t="shared" si="41"/>
        <v>8643.5959572078737</v>
      </c>
      <c r="M59" s="439">
        <f>M58/M57*1000</f>
        <v>9087.0991497623345</v>
      </c>
      <c r="N59" s="310">
        <f>N58/N57*1000</f>
        <v>8964.0625</v>
      </c>
      <c r="O59" s="310">
        <f>O58/O57*1000</f>
        <v>8780.3099361896093</v>
      </c>
      <c r="P59" s="194">
        <f t="shared" si="0"/>
        <v>-2</v>
      </c>
      <c r="Q59" s="310">
        <f>Q58/Q57*1000</f>
        <v>9122.6235741444871</v>
      </c>
      <c r="R59" s="310">
        <f>R58/R57*1000</f>
        <v>8955.2919708029203</v>
      </c>
      <c r="S59" s="194">
        <f t="shared" si="1"/>
        <v>-1.8</v>
      </c>
      <c r="T59" s="310">
        <f>T58/T57*1000</f>
        <v>9035.5917667238427</v>
      </c>
      <c r="U59" s="310">
        <f>U58/U57*1000</f>
        <v>8867.7610579115371</v>
      </c>
      <c r="V59" s="194">
        <f t="shared" si="2"/>
        <v>-1.9</v>
      </c>
      <c r="W59" s="310">
        <f>W58/W57*1000</f>
        <v>9008.5397096498727</v>
      </c>
      <c r="X59" s="310">
        <f>X58/X57*1000</f>
        <v>8955.9014267185466</v>
      </c>
      <c r="Y59" s="194">
        <f t="shared" si="3"/>
        <v>-0.6</v>
      </c>
      <c r="Z59" s="310">
        <f>Z58/Z57*1000</f>
        <v>9026.5486725663723</v>
      </c>
      <c r="AA59" s="310">
        <f>AA58/AA57*1000</f>
        <v>8904.1499330655952</v>
      </c>
      <c r="AB59" s="194">
        <f t="shared" si="4"/>
        <v>-1.4</v>
      </c>
      <c r="AC59" s="310">
        <f>AC58/AC57*1000</f>
        <v>9354.5310015898249</v>
      </c>
      <c r="AD59" s="310">
        <f>AD58/AD57*1000</f>
        <v>8975</v>
      </c>
      <c r="AE59" s="194">
        <f t="shared" si="5"/>
        <v>-4.0999999999999996</v>
      </c>
      <c r="AF59" s="310">
        <f>AF58/AF57*1000</f>
        <v>9113.2115101869367</v>
      </c>
      <c r="AG59" s="310">
        <f>AG58/AG57*1000</f>
        <v>8921.3779128672741</v>
      </c>
      <c r="AH59" s="194">
        <f t="shared" si="6"/>
        <v>-2.1</v>
      </c>
      <c r="AI59" s="310">
        <f>AI58/AI57*1000</f>
        <v>9163.1084543125526</v>
      </c>
      <c r="AJ59" s="310">
        <f>AJ58/AJ57*1000</f>
        <v>8726.2200165425984</v>
      </c>
      <c r="AK59" s="194">
        <f t="shared" si="7"/>
        <v>-4.8</v>
      </c>
      <c r="AL59" s="310">
        <f>AL58/AL57*1000</f>
        <v>9123.0613621038428</v>
      </c>
      <c r="AM59" s="310">
        <f>AM58/AM57*1000</f>
        <v>8882.9752604166661</v>
      </c>
      <c r="AN59" s="194">
        <f t="shared" si="8"/>
        <v>-2.6</v>
      </c>
      <c r="AO59" s="598">
        <f>AO58/AO57*1000</f>
        <v>9276.2762762762759</v>
      </c>
      <c r="AP59" s="598">
        <f>AP58/AP57*1000</f>
        <v>9008.1411126187249</v>
      </c>
      <c r="AQ59" s="588">
        <f t="shared" si="9"/>
        <v>-2.9</v>
      </c>
      <c r="AR59" s="626">
        <f>AR58/AR57*1000</f>
        <v>9145.1450007213971</v>
      </c>
      <c r="AS59" s="626">
        <f>AS58/AS57*1000</f>
        <v>8907.1934891047531</v>
      </c>
      <c r="AT59" s="588">
        <f t="shared" si="10"/>
        <v>-2.6</v>
      </c>
      <c r="AU59" s="626">
        <f>AU58/AU57*1000</f>
        <v>9009.0090090090089</v>
      </c>
      <c r="AV59" s="626">
        <f>AV58/AV57*1000</f>
        <v>8887.5476493011447</v>
      </c>
      <c r="AW59" s="616">
        <f t="shared" si="11"/>
        <v>-1.3</v>
      </c>
      <c r="AX59" s="930">
        <f>AX58/AX57*1000</f>
        <v>9123.1998063657284</v>
      </c>
      <c r="AY59" s="930">
        <f>AY58/AY57*1000</f>
        <v>8903.8294168842476</v>
      </c>
      <c r="AZ59" s="616">
        <f t="shared" si="12"/>
        <v>-2.4</v>
      </c>
      <c r="BA59" s="626">
        <f>BA58/BA57*1000</f>
        <v>9192.8446771378694</v>
      </c>
      <c r="BB59" s="626">
        <f>BB58/BB57*1000</f>
        <v>9157.0977917981072</v>
      </c>
      <c r="BC59" s="616">
        <f t="shared" si="13"/>
        <v>-0.4</v>
      </c>
      <c r="BD59" s="626">
        <f>BD58/BD57*1000</f>
        <v>9131.6824317143146</v>
      </c>
      <c r="BE59" s="626">
        <f>BE58/BE57*1000</f>
        <v>8941.0782221397421</v>
      </c>
      <c r="BF59" s="616">
        <f t="shared" si="14"/>
        <v>-2.1</v>
      </c>
      <c r="BG59" s="626">
        <f>BG58/BG57*1000</f>
        <v>9232.304900181487</v>
      </c>
      <c r="BH59" s="626">
        <f>BH58/BH57*1000</f>
        <v>9166.1631419939567</v>
      </c>
      <c r="BI59" s="616">
        <f t="shared" si="15"/>
        <v>-0.7</v>
      </c>
      <c r="BJ59" s="626">
        <f>BJ58/BJ57*1000</f>
        <v>9142.2319474835895</v>
      </c>
      <c r="BK59" s="626">
        <f>BK58/BK57*1000</f>
        <v>8971.0424710424722</v>
      </c>
      <c r="BL59" s="616">
        <f t="shared" si="16"/>
        <v>-1.9</v>
      </c>
      <c r="BM59" s="626">
        <f>BM58/BM57*1000</f>
        <v>8779.8833819241991</v>
      </c>
      <c r="BN59" s="626">
        <f>BN58/BN57*1000</f>
        <v>8807.4216250799745</v>
      </c>
      <c r="BO59" s="616">
        <f t="shared" si="17"/>
        <v>0.3</v>
      </c>
      <c r="BP59" s="626">
        <f>BP58/BP57*1000</f>
        <v>9100.3955230160736</v>
      </c>
      <c r="BQ59" s="626">
        <f>BQ58/BQ57*1000</f>
        <v>8952.7688460164354</v>
      </c>
      <c r="BR59" s="616">
        <f t="shared" si="18"/>
        <v>-1.6</v>
      </c>
      <c r="BS59" s="626">
        <f>BS58/BS57*1000</f>
        <v>9252.3809523809541</v>
      </c>
      <c r="BT59" s="626">
        <f>BT58/BT57*1000</f>
        <v>9185.4031783402006</v>
      </c>
      <c r="BU59" s="616">
        <f t="shared" si="19"/>
        <v>-0.7</v>
      </c>
      <c r="BV59" s="626">
        <f>BV58/BV57*1000</f>
        <v>9117.1272373249449</v>
      </c>
      <c r="BW59" s="626">
        <f>BW58/BW57*1000</f>
        <v>8977.9533579711988</v>
      </c>
      <c r="BX59" s="616">
        <f t="shared" si="20"/>
        <v>-1.5</v>
      </c>
    </row>
    <row r="60" spans="1:76" ht="22.5" customHeight="1">
      <c r="A60" s="14"/>
      <c r="B60" s="1099" t="s">
        <v>24</v>
      </c>
      <c r="C60" s="1100"/>
      <c r="D60" s="365" t="s">
        <v>13</v>
      </c>
      <c r="E60" s="452">
        <f t="shared" ref="E60:G61" si="42">E63-SUM(E36+E39+E42+E45+E48+E51+E54+E57)</f>
        <v>89275</v>
      </c>
      <c r="F60" s="452">
        <f t="shared" si="42"/>
        <v>69582</v>
      </c>
      <c r="G60" s="452">
        <f t="shared" si="42"/>
        <v>78052</v>
      </c>
      <c r="H60" s="452">
        <f>H63-SUM(H36+H39+H42+H45+H48+H51+H54+H57)</f>
        <v>79321</v>
      </c>
      <c r="I60" s="452">
        <f>I63-SUM(I36+I39+I42+I45+I48+I51+I54+I57)</f>
        <v>71347</v>
      </c>
      <c r="J60" s="452">
        <f t="shared" ref="J60:L61" si="43">J63-SUM(J36+J39+J42+J45+J48+J51+J54+J57)</f>
        <v>89524</v>
      </c>
      <c r="K60" s="207">
        <f t="shared" si="43"/>
        <v>91886</v>
      </c>
      <c r="L60" s="183">
        <f>L63-SUM(L36+L39+L42+L45+L48+L51+L54+L57)</f>
        <v>73476</v>
      </c>
      <c r="M60" s="312">
        <f>M63-SUM(M36+M39+M42+M45+M48+M51+M54+M57)</f>
        <v>78503</v>
      </c>
      <c r="N60" s="311">
        <f>N63-SUM(N36+N39+N42+N45+N48+N51+N54+N57)</f>
        <v>5966</v>
      </c>
      <c r="O60" s="311">
        <f>O63-SUM(O36+O39+O42+O45+O48+O51+O54+O57)</f>
        <v>6411</v>
      </c>
      <c r="P60" s="195">
        <f t="shared" si="0"/>
        <v>7.5</v>
      </c>
      <c r="Q60" s="311">
        <f>Q63-SUM(Q36+Q39+Q42+Q45+Q48+Q51+Q54+Q57)</f>
        <v>5725</v>
      </c>
      <c r="R60" s="311">
        <f>R63-SUM(R36+R39+R42+R45+R48+R51+R54+R57)</f>
        <v>4708</v>
      </c>
      <c r="S60" s="195">
        <f t="shared" si="1"/>
        <v>-17.8</v>
      </c>
      <c r="T60" s="311">
        <f>T63-SUM(T36+T39+T42+T45+T48+T51+T54+T57)</f>
        <v>11691</v>
      </c>
      <c r="U60" s="311">
        <f>U63-SUM(U36+U39+U42+U45+U48+U51+U54+U57)</f>
        <v>11119</v>
      </c>
      <c r="V60" s="195">
        <f t="shared" si="2"/>
        <v>-4.9000000000000004</v>
      </c>
      <c r="W60" s="311">
        <f>W63-SUM(W36+W39+W42+W45+W48+W51+W54+W57)</f>
        <v>7137</v>
      </c>
      <c r="X60" s="311">
        <f>X63-SUM(X36+X39+X42+X45+X48+X51+X54+X57)</f>
        <v>6196</v>
      </c>
      <c r="Y60" s="195">
        <f t="shared" si="3"/>
        <v>-13.2</v>
      </c>
      <c r="Z60" s="311">
        <f>Z63-SUM(Z36+Z39+Z42+Z45+Z48+Z51+Z54+Z57)</f>
        <v>18828</v>
      </c>
      <c r="AA60" s="311">
        <f>AA63-SUM(AA36+AA39+AA42+AA45+AA48+AA51+AA54+AA57)</f>
        <v>17315</v>
      </c>
      <c r="AB60" s="195">
        <f t="shared" si="4"/>
        <v>-8</v>
      </c>
      <c r="AC60" s="311">
        <f>AC63-SUM(AC36+AC39+AC42+AC45+AC48+AC51+AC54+AC57)</f>
        <v>7723</v>
      </c>
      <c r="AD60" s="311">
        <f>AD63-SUM(AD36+AD39+AD42+AD45+AD48+AD51+AD54+AD57)</f>
        <v>5743</v>
      </c>
      <c r="AE60" s="195">
        <f t="shared" si="5"/>
        <v>-25.6</v>
      </c>
      <c r="AF60" s="311">
        <f>AF63-SUM(AF36+AF39+AF42+AF45+AF48+AF51+AF54+AF57)</f>
        <v>26551</v>
      </c>
      <c r="AG60" s="311">
        <f>AG63-SUM(AG36+AG39+AG42+AG45+AG48+AG51+AG54+AG57)</f>
        <v>23058</v>
      </c>
      <c r="AH60" s="195">
        <f t="shared" si="6"/>
        <v>-13.2</v>
      </c>
      <c r="AI60" s="311">
        <f>AI63-SUM(AI36+AI39+AI42+AI45+AI48+AI51+AI54+AI57)</f>
        <v>7872</v>
      </c>
      <c r="AJ60" s="311">
        <f>AJ63-SUM(AJ36+AJ39+AJ42+AJ45+AJ48+AJ51+AJ54+AJ57)</f>
        <v>5406</v>
      </c>
      <c r="AK60" s="195">
        <f t="shared" si="7"/>
        <v>-31.3</v>
      </c>
      <c r="AL60" s="311">
        <f>AL63-SUM(AL36+AL39+AL42+AL45+AL48+AL51+AL54+AL57)</f>
        <v>34423</v>
      </c>
      <c r="AM60" s="311">
        <f>AM63-SUM(AM36+AM39+AM42+AM45+AM48+AM51+AM54+AM57)</f>
        <v>28464</v>
      </c>
      <c r="AN60" s="195">
        <f t="shared" si="8"/>
        <v>-17.3</v>
      </c>
      <c r="AO60" s="599">
        <f>AO63-SUM(AO36+AO39+AO42+AO45+AO48+AO51+AO54+AO57)</f>
        <v>5796</v>
      </c>
      <c r="AP60" s="599">
        <f>AP63-SUM(AP36+AP39+AP42+AP45+AP48+AP51+AP54+AP57)</f>
        <v>5535</v>
      </c>
      <c r="AQ60" s="589">
        <f t="shared" si="9"/>
        <v>-4.5</v>
      </c>
      <c r="AR60" s="869">
        <f>AR63-SUM(AR36+AR39+AR42+AR45+AR48+AR51+AR54+AR57)</f>
        <v>40219</v>
      </c>
      <c r="AS60" s="869">
        <f>AS63-SUM(AS36+AS39+AS42+AS45+AS48+AS51+AS54+AS57)</f>
        <v>33999</v>
      </c>
      <c r="AT60" s="589">
        <f t="shared" si="10"/>
        <v>-15.5</v>
      </c>
      <c r="AU60" s="869">
        <f>AU63-SUM(AU36+AU39+AU42+AU45+AU48+AU51+AU54+AU57)</f>
        <v>7155</v>
      </c>
      <c r="AV60" s="869">
        <f>AV63-SUM(AV36+AV39+AV42+AV45+AV48+AV51+AV54+AV57)</f>
        <v>6509</v>
      </c>
      <c r="AW60" s="617">
        <f t="shared" si="11"/>
        <v>-9</v>
      </c>
      <c r="AX60" s="929">
        <f>AX63-SUM(AX36+AX39+AX42+AX45+AX48+AX51+AX54+AX57)</f>
        <v>47374</v>
      </c>
      <c r="AY60" s="929">
        <f>AY63-SUM(AY36+AY39+AY42+AY45+AY48+AY51+AY54+AY57)</f>
        <v>40508</v>
      </c>
      <c r="AZ60" s="617">
        <f t="shared" si="12"/>
        <v>-14.5</v>
      </c>
      <c r="BA60" s="869">
        <f>BA63-SUM(BA36+BA39+BA42+BA45+BA48+BA51+BA54+BA57)</f>
        <v>6532</v>
      </c>
      <c r="BB60" s="869">
        <f>BB63-SUM(BB36+BB39+BB42+BB45+BB48+BB51+BB54+BB57)</f>
        <v>6410</v>
      </c>
      <c r="BC60" s="617">
        <f t="shared" si="13"/>
        <v>-1.9</v>
      </c>
      <c r="BD60" s="869">
        <f>BD63-SUM(BD36+BD39+BD42+BD45+BD48+BD51+BD54+BD57)</f>
        <v>53906</v>
      </c>
      <c r="BE60" s="869">
        <f>BE63-SUM(BE36+BE39+BE42+BE45+BE48+BE51+BE54+BE57)</f>
        <v>46918</v>
      </c>
      <c r="BF60" s="617">
        <f t="shared" si="14"/>
        <v>-13</v>
      </c>
      <c r="BG60" s="869">
        <f>BG63-SUM(BG36+BG39+BG42+BG45+BG48+BG51+BG54+BG57)</f>
        <v>6124</v>
      </c>
      <c r="BH60" s="869">
        <f>BH63-SUM(BH36+BH39+BH42+BH45+BH48+BH51+BH54+BH57)</f>
        <v>7953</v>
      </c>
      <c r="BI60" s="617">
        <f t="shared" si="15"/>
        <v>29.9</v>
      </c>
      <c r="BJ60" s="869">
        <f>BJ63-SUM(BJ36+BJ39+BJ42+BJ45+BJ48+BJ51+BJ54+BJ57)</f>
        <v>60030</v>
      </c>
      <c r="BK60" s="869">
        <f>BK63-SUM(BK36+BK39+BK42+BK45+BK48+BK51+BK54+BK57)</f>
        <v>54871</v>
      </c>
      <c r="BL60" s="617">
        <f t="shared" si="16"/>
        <v>-8.6</v>
      </c>
      <c r="BM60" s="869">
        <f>BM63-SUM(BM36+BM39+BM42+BM45+BM48+BM51+BM54+BM57)</f>
        <v>7277</v>
      </c>
      <c r="BN60" s="869">
        <f>BN63-SUM(BN36+BN39+BN42+BN45+BN48+BN51+BN54+BN57)</f>
        <v>7225</v>
      </c>
      <c r="BO60" s="617">
        <f t="shared" si="17"/>
        <v>-0.7</v>
      </c>
      <c r="BP60" s="869">
        <f>BP63-SUM(BP36+BP39+BP42+BP45+BP48+BP51+BP54+BP57)</f>
        <v>67307</v>
      </c>
      <c r="BQ60" s="869">
        <f>BQ63-SUM(BQ36+BQ39+BQ42+BQ45+BQ48+BQ51+BQ54+BQ57)</f>
        <v>62096</v>
      </c>
      <c r="BR60" s="617">
        <f t="shared" si="18"/>
        <v>-7.7</v>
      </c>
      <c r="BS60" s="869">
        <f>BS63-SUM(BS36+BS39+BS42+BS45+BS48+BS51+BS54+BS57)</f>
        <v>5834</v>
      </c>
      <c r="BT60" s="869">
        <f>BT63-SUM(BT36+BT39+BT42+BT45+BT48+BT51+BT54+BT57)</f>
        <v>7172</v>
      </c>
      <c r="BU60" s="617">
        <f t="shared" si="19"/>
        <v>22.9</v>
      </c>
      <c r="BV60" s="869">
        <f>BV63-SUM(BV36+BV39+BV42+BV45+BV48+BV51+BV54+BV57)</f>
        <v>73141</v>
      </c>
      <c r="BW60" s="869">
        <f>BW63-SUM(BW36+BW39+BW42+BW45+BW48+BW51+BW54+BW57)</f>
        <v>69268</v>
      </c>
      <c r="BX60" s="617">
        <f t="shared" si="20"/>
        <v>-5.3</v>
      </c>
    </row>
    <row r="61" spans="1:76" ht="22.5" customHeight="1">
      <c r="A61" s="14"/>
      <c r="B61" s="1099"/>
      <c r="C61" s="1100"/>
      <c r="D61" s="366" t="s">
        <v>14</v>
      </c>
      <c r="E61" s="449">
        <f t="shared" si="42"/>
        <v>507447</v>
      </c>
      <c r="F61" s="449">
        <f t="shared" si="42"/>
        <v>430410</v>
      </c>
      <c r="G61" s="449">
        <f t="shared" si="42"/>
        <v>450091</v>
      </c>
      <c r="H61" s="449">
        <f>H64-SUM(H37+H40+H43+H46+H49+H52+H55+H58)</f>
        <v>489734</v>
      </c>
      <c r="I61" s="449">
        <f>I64-SUM(I37+I40+I43+I46+I49+I52+I55+I58)</f>
        <v>434849</v>
      </c>
      <c r="J61" s="449">
        <f t="shared" si="43"/>
        <v>449155</v>
      </c>
      <c r="K61" s="202">
        <f t="shared" si="43"/>
        <v>506409</v>
      </c>
      <c r="L61" s="180">
        <f t="shared" si="43"/>
        <v>527294</v>
      </c>
      <c r="M61" s="438">
        <f>M64-SUM(M37+M40+M43+M46+M49+M52+M55+M58)</f>
        <v>536875</v>
      </c>
      <c r="N61" s="309">
        <f>N64-SUM(N37+N40+N43+N46+N49+N52+N55+N58)</f>
        <v>42936</v>
      </c>
      <c r="O61" s="309">
        <f>O64-SUM(O37+O40+O43+O46+O49+O52+O55+O58)</f>
        <v>45218</v>
      </c>
      <c r="P61" s="193">
        <f t="shared" si="0"/>
        <v>5.3</v>
      </c>
      <c r="Q61" s="309">
        <f>Q64-SUM(Q37+Q40+Q43+Q46+Q49+Q52+Q55+Q58)</f>
        <v>38514</v>
      </c>
      <c r="R61" s="309">
        <f>R64-SUM(R37+R40+R43+R46+R49+R52+R55+R58)</f>
        <v>39750</v>
      </c>
      <c r="S61" s="193">
        <f t="shared" si="1"/>
        <v>3.2</v>
      </c>
      <c r="T61" s="309">
        <f>T64-SUM(T37+T40+T43+T46+T49+T52+T55+T58)</f>
        <v>81450</v>
      </c>
      <c r="U61" s="309">
        <f>U64-SUM(U37+U40+U43+U46+U49+U52+U55+U58)</f>
        <v>84968</v>
      </c>
      <c r="V61" s="193">
        <f t="shared" si="2"/>
        <v>4.3</v>
      </c>
      <c r="W61" s="309">
        <f>W64-SUM(W37+W40+W43+W46+W49+W52+W55+W58)</f>
        <v>51331</v>
      </c>
      <c r="X61" s="309">
        <f>X64-SUM(X37+X40+X43+X46+X49+X52+X55+X58)</f>
        <v>52588</v>
      </c>
      <c r="Y61" s="193">
        <f t="shared" si="3"/>
        <v>2.4</v>
      </c>
      <c r="Z61" s="309">
        <f>Z64-SUM(Z37+Z40+Z43+Z46+Z49+Z52+Z55+Z58)</f>
        <v>132781</v>
      </c>
      <c r="AA61" s="309">
        <f>AA64-SUM(AA37+AA40+AA43+AA46+AA49+AA52+AA55+AA58)</f>
        <v>137556</v>
      </c>
      <c r="AB61" s="193">
        <f t="shared" si="4"/>
        <v>3.6</v>
      </c>
      <c r="AC61" s="309">
        <f>AC64-SUM(AC37+AC40+AC43+AC46+AC49+AC52+AC55+AC58)</f>
        <v>47629</v>
      </c>
      <c r="AD61" s="309">
        <f>AD64-SUM(AD37+AD40+AD43+AD46+AD49+AD52+AD55+AD58)</f>
        <v>36822</v>
      </c>
      <c r="AE61" s="193">
        <f t="shared" si="5"/>
        <v>-22.7</v>
      </c>
      <c r="AF61" s="309">
        <f>AF64-SUM(AF37+AF40+AF43+AF46+AF49+AF52+AF55+AF58)</f>
        <v>180410</v>
      </c>
      <c r="AG61" s="309">
        <f>AG64-SUM(AG37+AG40+AG43+AG46+AG49+AG52+AG55+AG58)</f>
        <v>174378</v>
      </c>
      <c r="AH61" s="193">
        <f t="shared" si="6"/>
        <v>-3.3</v>
      </c>
      <c r="AI61" s="309">
        <f>AI64-SUM(AI37+AI40+AI43+AI46+AI49+AI52+AI55+AI58)</f>
        <v>51516</v>
      </c>
      <c r="AJ61" s="309">
        <f>AJ64-SUM(AJ37+AJ40+AJ43+AJ46+AJ49+AJ52+AJ55+AJ58)</f>
        <v>31762</v>
      </c>
      <c r="AK61" s="193">
        <f t="shared" si="7"/>
        <v>-38.299999999999997</v>
      </c>
      <c r="AL61" s="309">
        <f>AL64-SUM(AL37+AL40+AL43+AL46+AL49+AL52+AL55+AL58)</f>
        <v>231926</v>
      </c>
      <c r="AM61" s="309">
        <f>AM64-SUM(AM37+AM40+AM43+AM46+AM49+AM52+AM55+AM58)</f>
        <v>206140</v>
      </c>
      <c r="AN61" s="193">
        <f t="shared" si="8"/>
        <v>-11.1</v>
      </c>
      <c r="AO61" s="597">
        <f>AO64-SUM(AO37+AO40+AO43+AO46+AO49+AO52+AO55+AO58)</f>
        <v>41393</v>
      </c>
      <c r="AP61" s="597">
        <f>AP64-SUM(AP37+AP40+AP43+AP46+AP49+AP52+AP55+AP58)</f>
        <v>34008</v>
      </c>
      <c r="AQ61" s="587">
        <f t="shared" si="9"/>
        <v>-17.8</v>
      </c>
      <c r="AR61" s="868">
        <f>AR64-SUM(AR37+AR40+AR43+AR46+AR49+AR52+AR55+AR58)</f>
        <v>273319</v>
      </c>
      <c r="AS61" s="868">
        <f>AS64-SUM(AS37+AS40+AS43+AS46+AS49+AS52+AS55+AS58)</f>
        <v>240148</v>
      </c>
      <c r="AT61" s="587">
        <f t="shared" si="10"/>
        <v>-12.1</v>
      </c>
      <c r="AU61" s="868">
        <f>AU64-SUM(AU37+AU40+AU43+AU46+AU49+AU52+AU55+AU58)</f>
        <v>47120</v>
      </c>
      <c r="AV61" s="868">
        <f>AV64-SUM(AV37+AV40+AV43+AV46+AV49+AV52+AV55+AV58)</f>
        <v>43546</v>
      </c>
      <c r="AW61" s="615">
        <f t="shared" si="11"/>
        <v>-7.6</v>
      </c>
      <c r="AX61" s="925">
        <f>AX64-SUM(AX37+AX40+AX43+AX46+AX49+AX52+AX55+AX58)</f>
        <v>320439</v>
      </c>
      <c r="AY61" s="925">
        <f>AY64-SUM(AY37+AY40+AY43+AY46+AY49+AY52+AY55+AY58)</f>
        <v>283694</v>
      </c>
      <c r="AZ61" s="615">
        <f t="shared" si="12"/>
        <v>-11.5</v>
      </c>
      <c r="BA61" s="868">
        <f>BA64-SUM(BA37+BA40+BA43+BA46+BA49+BA52+BA55+BA58)</f>
        <v>44563</v>
      </c>
      <c r="BB61" s="868">
        <f>BB64-SUM(BB37+BB40+BB43+BB46+BB49+BB52+BB55+BB58)</f>
        <v>40613</v>
      </c>
      <c r="BC61" s="615">
        <f t="shared" si="13"/>
        <v>-8.9</v>
      </c>
      <c r="BD61" s="868">
        <f>BD64-SUM(BD37+BD40+BD43+BD46+BD49+BD52+BD55+BD58)</f>
        <v>365002</v>
      </c>
      <c r="BE61" s="868">
        <f>BE64-SUM(BE37+BE40+BE43+BE46+BE49+BE52+BE55+BE58)</f>
        <v>324307</v>
      </c>
      <c r="BF61" s="615">
        <f t="shared" si="14"/>
        <v>-11.1</v>
      </c>
      <c r="BG61" s="868">
        <f>BG64-SUM(BG37+BG40+BG43+BG46+BG49+BG52+BG55+BG58)</f>
        <v>41213</v>
      </c>
      <c r="BH61" s="868">
        <f>BH64-SUM(BH37+BH40+BH43+BH46+BH49+BH52+BH55+BH58)</f>
        <v>48288</v>
      </c>
      <c r="BI61" s="615">
        <f t="shared" si="15"/>
        <v>17.2</v>
      </c>
      <c r="BJ61" s="868">
        <f>BJ64-SUM(BJ37+BJ40+BJ43+BJ46+BJ49+BJ52+BJ55+BJ58)</f>
        <v>406215</v>
      </c>
      <c r="BK61" s="868">
        <f>BK64-SUM(BK37+BK40+BK43+BK46+BK49+BK52+BK55+BK58)</f>
        <v>372595</v>
      </c>
      <c r="BL61" s="615">
        <f t="shared" si="16"/>
        <v>-8.3000000000000007</v>
      </c>
      <c r="BM61" s="868">
        <f>BM64-SUM(BM37+BM40+BM43+BM46+BM49+BM52+BM55+BM58)</f>
        <v>46340</v>
      </c>
      <c r="BN61" s="868">
        <f>BN64-SUM(BN37+BN40+BN43+BN46+BN49+BN52+BN55+BN58)</f>
        <v>46498</v>
      </c>
      <c r="BO61" s="615">
        <f t="shared" si="17"/>
        <v>0.3</v>
      </c>
      <c r="BP61" s="868">
        <f>BP64-SUM(BP37+BP40+BP43+BP46+BP49+BP52+BP55+BP58)</f>
        <v>452555</v>
      </c>
      <c r="BQ61" s="868">
        <f>BQ64-SUM(BQ37+BQ40+BQ43+BQ46+BQ49+BQ52+BQ55+BQ58)</f>
        <v>419093</v>
      </c>
      <c r="BR61" s="615">
        <f t="shared" si="18"/>
        <v>-7.4</v>
      </c>
      <c r="BS61" s="868">
        <f>BS64-SUM(BS37+BS40+BS43+BS46+BS49+BS52+BS55+BS58)</f>
        <v>40137</v>
      </c>
      <c r="BT61" s="868">
        <f>BT64-SUM(BT37+BT40+BT43+BT46+BT49+BT52+BT55+BT58)</f>
        <v>51531</v>
      </c>
      <c r="BU61" s="615">
        <f t="shared" si="19"/>
        <v>28.4</v>
      </c>
      <c r="BV61" s="868">
        <f>BV64-SUM(BV37+BV40+BV43+BV46+BV49+BV52+BV55+BV58)</f>
        <v>492692</v>
      </c>
      <c r="BW61" s="868">
        <f>BW64-SUM(BW37+BW40+BW43+BW46+BW49+BW52+BW55+BW58)</f>
        <v>470624</v>
      </c>
      <c r="BX61" s="615">
        <f t="shared" si="20"/>
        <v>-4.5</v>
      </c>
    </row>
    <row r="62" spans="1:76" ht="22.5" customHeight="1">
      <c r="A62" s="14"/>
      <c r="B62" s="1099"/>
      <c r="C62" s="1100"/>
      <c r="D62" s="370" t="s">
        <v>15</v>
      </c>
      <c r="E62" s="453">
        <f t="shared" ref="E62:L62" si="44">E61/E60*1000</f>
        <v>5684.0884906188749</v>
      </c>
      <c r="F62" s="453">
        <f t="shared" si="44"/>
        <v>6185.6514615848928</v>
      </c>
      <c r="G62" s="453">
        <f t="shared" si="44"/>
        <v>5766.5530671859788</v>
      </c>
      <c r="H62" s="453">
        <f t="shared" si="44"/>
        <v>6174.0774826338547</v>
      </c>
      <c r="I62" s="453">
        <f t="shared" si="44"/>
        <v>6094.8463144911493</v>
      </c>
      <c r="J62" s="453">
        <f t="shared" si="44"/>
        <v>5017.1462401143826</v>
      </c>
      <c r="K62" s="208">
        <f t="shared" si="44"/>
        <v>5511.2748405633065</v>
      </c>
      <c r="L62" s="184">
        <f t="shared" si="44"/>
        <v>7176.4113452011534</v>
      </c>
      <c r="M62" s="442">
        <f>M61/M60*1000</f>
        <v>6838.9106148809597</v>
      </c>
      <c r="N62" s="310">
        <f>N61/N60*1000</f>
        <v>7196.7817633255108</v>
      </c>
      <c r="O62" s="310">
        <f>O61/O60*1000</f>
        <v>7053.1898299797222</v>
      </c>
      <c r="P62" s="194">
        <f t="shared" si="0"/>
        <v>-2</v>
      </c>
      <c r="Q62" s="310">
        <f>Q61/Q60*1000</f>
        <v>6727.336244541485</v>
      </c>
      <c r="R62" s="310">
        <f>R61/R60*1000</f>
        <v>8443.0756159728135</v>
      </c>
      <c r="S62" s="194">
        <f t="shared" si="1"/>
        <v>25.5</v>
      </c>
      <c r="T62" s="310">
        <f>T61/T60*1000</f>
        <v>6966.8976135488838</v>
      </c>
      <c r="U62" s="310">
        <f>U61/U60*1000</f>
        <v>7641.694396978146</v>
      </c>
      <c r="V62" s="194">
        <f t="shared" si="2"/>
        <v>9.6999999999999993</v>
      </c>
      <c r="W62" s="310">
        <f>W61/W60*1000</f>
        <v>7192.2376348605858</v>
      </c>
      <c r="X62" s="310">
        <f>X61/X60*1000</f>
        <v>8487.4112330535827</v>
      </c>
      <c r="Y62" s="194">
        <f t="shared" si="3"/>
        <v>18</v>
      </c>
      <c r="Z62" s="310">
        <f>Z61/Z60*1000</f>
        <v>7052.315700021245</v>
      </c>
      <c r="AA62" s="310">
        <f>AA61/AA60*1000</f>
        <v>7944.3257291365871</v>
      </c>
      <c r="AB62" s="194">
        <f t="shared" si="4"/>
        <v>12.6</v>
      </c>
      <c r="AC62" s="310">
        <f>AC61/AC60*1000</f>
        <v>6167.1630195519883</v>
      </c>
      <c r="AD62" s="310">
        <f>AD61/AD60*1000</f>
        <v>6411.6315514539438</v>
      </c>
      <c r="AE62" s="194">
        <f t="shared" si="5"/>
        <v>4</v>
      </c>
      <c r="AF62" s="310">
        <f>AF61/AF60*1000</f>
        <v>6794.8476516892024</v>
      </c>
      <c r="AG62" s="310">
        <f>AG61/AG60*1000</f>
        <v>7562.581316679677</v>
      </c>
      <c r="AH62" s="194">
        <f t="shared" si="6"/>
        <v>11.3</v>
      </c>
      <c r="AI62" s="310">
        <f>AI61/AI60*1000</f>
        <v>6544.2073170731701</v>
      </c>
      <c r="AJ62" s="310">
        <f>AJ61/AJ60*1000</f>
        <v>5875.3237143914166</v>
      </c>
      <c r="AK62" s="194">
        <f t="shared" si="7"/>
        <v>-10.199999999999999</v>
      </c>
      <c r="AL62" s="310">
        <f>AL61/AL60*1000</f>
        <v>6737.5301397321564</v>
      </c>
      <c r="AM62" s="310">
        <f>AM61/AM60*1000</f>
        <v>7242.1304103428893</v>
      </c>
      <c r="AN62" s="194">
        <f t="shared" si="8"/>
        <v>7.5</v>
      </c>
      <c r="AO62" s="598">
        <f>AO61/AO60*1000</f>
        <v>7141.6494133885444</v>
      </c>
      <c r="AP62" s="598">
        <f>AP61/AP60*1000</f>
        <v>6144.1734417344178</v>
      </c>
      <c r="AQ62" s="588">
        <f t="shared" si="9"/>
        <v>-14</v>
      </c>
      <c r="AR62" s="626">
        <f>AR61/AR60*1000</f>
        <v>6795.7681692732294</v>
      </c>
      <c r="AS62" s="626">
        <f>AS61/AS60*1000</f>
        <v>7063.3842171828583</v>
      </c>
      <c r="AT62" s="588">
        <f t="shared" si="10"/>
        <v>3.9</v>
      </c>
      <c r="AU62" s="626">
        <f>AU61/AU60*1000</f>
        <v>6585.6044723969253</v>
      </c>
      <c r="AV62" s="626">
        <f>AV61/AV60*1000</f>
        <v>6690.121370410202</v>
      </c>
      <c r="AW62" s="616">
        <f t="shared" si="11"/>
        <v>1.6</v>
      </c>
      <c r="AX62" s="930">
        <f>AX61/AX60*1000</f>
        <v>6764.0266813019798</v>
      </c>
      <c r="AY62" s="930">
        <f>AY61/AY60*1000</f>
        <v>7003.4067344722034</v>
      </c>
      <c r="AZ62" s="616">
        <f t="shared" si="12"/>
        <v>3.5</v>
      </c>
      <c r="BA62" s="626">
        <f>BA61/BA60*1000</f>
        <v>6822.2596448254744</v>
      </c>
      <c r="BB62" s="626">
        <f>BB61/BB60*1000</f>
        <v>6335.88143525741</v>
      </c>
      <c r="BC62" s="616">
        <f t="shared" si="13"/>
        <v>-7.1</v>
      </c>
      <c r="BD62" s="626">
        <f>BD61/BD60*1000</f>
        <v>6771.0829963269398</v>
      </c>
      <c r="BE62" s="626">
        <f>BE61/BE60*1000</f>
        <v>6912.2085340381091</v>
      </c>
      <c r="BF62" s="616">
        <f t="shared" si="14"/>
        <v>2.1</v>
      </c>
      <c r="BG62" s="626">
        <f>BG61/BG60*1000</f>
        <v>6729.7517962116262</v>
      </c>
      <c r="BH62" s="626">
        <f>BH61/BH60*1000</f>
        <v>6071.67106752169</v>
      </c>
      <c r="BI62" s="616">
        <f t="shared" si="15"/>
        <v>-9.8000000000000007</v>
      </c>
      <c r="BJ62" s="626">
        <f>BJ61/BJ60*1000</f>
        <v>6766.8665667166415</v>
      </c>
      <c r="BK62" s="626">
        <f>BK61/BK60*1000</f>
        <v>6790.3810756137118</v>
      </c>
      <c r="BL62" s="616">
        <f t="shared" si="16"/>
        <v>0.3</v>
      </c>
      <c r="BM62" s="626">
        <f>BM61/BM60*1000</f>
        <v>6368.0087948330356</v>
      </c>
      <c r="BN62" s="626">
        <f>BN61/BN60*1000</f>
        <v>6435.7093425605535</v>
      </c>
      <c r="BO62" s="616">
        <f t="shared" si="17"/>
        <v>1.1000000000000001</v>
      </c>
      <c r="BP62" s="626">
        <f>BP61/BP60*1000</f>
        <v>6723.743444218283</v>
      </c>
      <c r="BQ62" s="626">
        <f>BQ61/BQ60*1000</f>
        <v>6749.1142746714759</v>
      </c>
      <c r="BR62" s="616">
        <f t="shared" si="18"/>
        <v>0.4</v>
      </c>
      <c r="BS62" s="626">
        <f>BS61/BS60*1000</f>
        <v>6879.8423037367156</v>
      </c>
      <c r="BT62" s="626">
        <f>BT61/BT60*1000</f>
        <v>7185.0250976017851</v>
      </c>
      <c r="BU62" s="616">
        <f t="shared" si="19"/>
        <v>4.4000000000000004</v>
      </c>
      <c r="BV62" s="626">
        <f>BV61/BV60*1000</f>
        <v>6736.1944736878086</v>
      </c>
      <c r="BW62" s="626">
        <f>BW61/BW60*1000</f>
        <v>6794.2484264018012</v>
      </c>
      <c r="BX62" s="616">
        <f t="shared" si="20"/>
        <v>0.9</v>
      </c>
    </row>
    <row r="63" spans="1:76" ht="22.5" customHeight="1">
      <c r="A63" s="14"/>
      <c r="B63" s="1104" t="s">
        <v>25</v>
      </c>
      <c r="C63" s="1105"/>
      <c r="D63" s="15" t="s">
        <v>271</v>
      </c>
      <c r="E63" s="454">
        <v>622155</v>
      </c>
      <c r="F63" s="454">
        <v>627586</v>
      </c>
      <c r="G63" s="454">
        <v>691782</v>
      </c>
      <c r="H63" s="454">
        <v>776325</v>
      </c>
      <c r="I63" s="454">
        <v>816962</v>
      </c>
      <c r="J63" s="454">
        <v>798525</v>
      </c>
      <c r="K63" s="209">
        <v>883405</v>
      </c>
      <c r="L63" s="185">
        <v>1022556</v>
      </c>
      <c r="M63" s="443">
        <v>1084232</v>
      </c>
      <c r="N63" s="313">
        <v>96594</v>
      </c>
      <c r="O63" s="313">
        <v>94519</v>
      </c>
      <c r="P63" s="197">
        <f t="shared" si="0"/>
        <v>-2.1</v>
      </c>
      <c r="Q63" s="313">
        <f>T63-N63</f>
        <v>81180</v>
      </c>
      <c r="R63" s="313">
        <f>U63-O63</f>
        <v>99050</v>
      </c>
      <c r="S63" s="197">
        <f t="shared" si="1"/>
        <v>22</v>
      </c>
      <c r="T63" s="313">
        <v>177774</v>
      </c>
      <c r="U63" s="313">
        <v>193569</v>
      </c>
      <c r="V63" s="197">
        <f t="shared" si="2"/>
        <v>8.9</v>
      </c>
      <c r="W63" s="313">
        <f>Z63-T63</f>
        <v>95699</v>
      </c>
      <c r="X63" s="313">
        <f>AA63-U63</f>
        <v>105393</v>
      </c>
      <c r="Y63" s="197">
        <f t="shared" si="3"/>
        <v>10.1</v>
      </c>
      <c r="Z63" s="313">
        <v>273473</v>
      </c>
      <c r="AA63" s="313">
        <v>298962</v>
      </c>
      <c r="AB63" s="197">
        <f t="shared" si="4"/>
        <v>9.3000000000000007</v>
      </c>
      <c r="AC63" s="313">
        <f>AF63-Z63</f>
        <v>96117</v>
      </c>
      <c r="AD63" s="313">
        <f>AG63-AA63</f>
        <v>89927</v>
      </c>
      <c r="AE63" s="197">
        <f t="shared" si="5"/>
        <v>-6.4</v>
      </c>
      <c r="AF63" s="313">
        <v>369590</v>
      </c>
      <c r="AG63" s="313">
        <v>388889</v>
      </c>
      <c r="AH63" s="197">
        <f t="shared" si="6"/>
        <v>5.2</v>
      </c>
      <c r="AI63" s="313">
        <f>AL63-AF63</f>
        <v>95994</v>
      </c>
      <c r="AJ63" s="313">
        <f>AM63-AG63</f>
        <v>93507</v>
      </c>
      <c r="AK63" s="197">
        <f t="shared" si="7"/>
        <v>-2.6</v>
      </c>
      <c r="AL63" s="313">
        <v>465584</v>
      </c>
      <c r="AM63" s="313">
        <v>482396</v>
      </c>
      <c r="AN63" s="197">
        <f t="shared" si="8"/>
        <v>3.6</v>
      </c>
      <c r="AO63" s="600">
        <f>AR63-AL63</f>
        <v>86233</v>
      </c>
      <c r="AP63" s="600">
        <f>AS63-AM63</f>
        <v>105591</v>
      </c>
      <c r="AQ63" s="590">
        <f t="shared" si="9"/>
        <v>22.4</v>
      </c>
      <c r="AR63" s="640">
        <v>551817</v>
      </c>
      <c r="AS63" s="640">
        <v>587987</v>
      </c>
      <c r="AT63" s="590">
        <f t="shared" si="10"/>
        <v>6.6</v>
      </c>
      <c r="AU63" s="640">
        <f>AX63-AR63</f>
        <v>86975</v>
      </c>
      <c r="AV63" s="640">
        <f>AY63-AS63</f>
        <v>111657</v>
      </c>
      <c r="AW63" s="618">
        <f t="shared" si="11"/>
        <v>28.4</v>
      </c>
      <c r="AX63" s="931">
        <v>638792</v>
      </c>
      <c r="AY63" s="931">
        <v>699644</v>
      </c>
      <c r="AZ63" s="618">
        <f t="shared" si="12"/>
        <v>9.5</v>
      </c>
      <c r="BA63" s="640">
        <f>BD63-AX63</f>
        <v>85346</v>
      </c>
      <c r="BB63" s="640">
        <f>BE63-AY63</f>
        <v>103156</v>
      </c>
      <c r="BC63" s="618">
        <f t="shared" si="13"/>
        <v>20.9</v>
      </c>
      <c r="BD63" s="640">
        <v>724138</v>
      </c>
      <c r="BE63" s="640">
        <v>802800</v>
      </c>
      <c r="BF63" s="618">
        <f t="shared" si="14"/>
        <v>10.9</v>
      </c>
      <c r="BG63" s="640">
        <f>BJ63-BD63</f>
        <v>84619</v>
      </c>
      <c r="BH63" s="640">
        <f>BK63-BE63</f>
        <v>107354</v>
      </c>
      <c r="BI63" s="618">
        <f t="shared" si="15"/>
        <v>26.9</v>
      </c>
      <c r="BJ63" s="640">
        <v>808757</v>
      </c>
      <c r="BK63" s="640">
        <v>910154</v>
      </c>
      <c r="BL63" s="618">
        <f t="shared" si="16"/>
        <v>12.5</v>
      </c>
      <c r="BM63" s="640">
        <f>BP63-BJ63</f>
        <v>94734</v>
      </c>
      <c r="BN63" s="640">
        <f>BQ63-BK63</f>
        <v>98545</v>
      </c>
      <c r="BO63" s="618">
        <f t="shared" si="17"/>
        <v>4</v>
      </c>
      <c r="BP63" s="640">
        <v>903491</v>
      </c>
      <c r="BQ63" s="640">
        <v>1008699</v>
      </c>
      <c r="BR63" s="618">
        <f t="shared" si="18"/>
        <v>11.6</v>
      </c>
      <c r="BS63" s="640">
        <f>BV63-BP63</f>
        <v>81118</v>
      </c>
      <c r="BT63" s="640">
        <f>BW63-BQ63</f>
        <v>94914</v>
      </c>
      <c r="BU63" s="618">
        <f t="shared" si="19"/>
        <v>17</v>
      </c>
      <c r="BV63" s="640">
        <v>984609</v>
      </c>
      <c r="BW63" s="640">
        <v>1103613</v>
      </c>
      <c r="BX63" s="618">
        <f t="shared" si="20"/>
        <v>12.1</v>
      </c>
    </row>
    <row r="64" spans="1:76" ht="22.5" customHeight="1">
      <c r="A64" s="14"/>
      <c r="B64" s="1104"/>
      <c r="C64" s="1105"/>
      <c r="D64" s="367" t="s">
        <v>272</v>
      </c>
      <c r="E64" s="455">
        <v>2698236</v>
      </c>
      <c r="F64" s="455">
        <v>2561824</v>
      </c>
      <c r="G64" s="455">
        <v>2644572</v>
      </c>
      <c r="H64" s="455">
        <v>2880272</v>
      </c>
      <c r="I64" s="455">
        <v>2861581</v>
      </c>
      <c r="J64" s="455">
        <v>2577684</v>
      </c>
      <c r="K64" s="210">
        <v>3023657</v>
      </c>
      <c r="L64" s="186">
        <v>3654026</v>
      </c>
      <c r="M64" s="444">
        <v>3522410</v>
      </c>
      <c r="N64" s="314">
        <v>323077</v>
      </c>
      <c r="O64" s="314">
        <v>291917</v>
      </c>
      <c r="P64" s="198">
        <f t="shared" si="0"/>
        <v>-9.6</v>
      </c>
      <c r="Q64" s="314">
        <f>T64-N64</f>
        <v>264307</v>
      </c>
      <c r="R64" s="314">
        <f>U64-O64</f>
        <v>295863</v>
      </c>
      <c r="S64" s="198">
        <f t="shared" si="1"/>
        <v>11.9</v>
      </c>
      <c r="T64" s="314">
        <v>587384</v>
      </c>
      <c r="U64" s="314">
        <v>587780</v>
      </c>
      <c r="V64" s="198">
        <f t="shared" si="2"/>
        <v>0.1</v>
      </c>
      <c r="W64" s="314">
        <f>Z64-T64</f>
        <v>313187</v>
      </c>
      <c r="X64" s="314">
        <f>AA64-U64</f>
        <v>322983</v>
      </c>
      <c r="Y64" s="198">
        <f t="shared" si="3"/>
        <v>3.1</v>
      </c>
      <c r="Z64" s="314">
        <v>900571</v>
      </c>
      <c r="AA64" s="314">
        <v>910763</v>
      </c>
      <c r="AB64" s="198">
        <f t="shared" si="4"/>
        <v>1.1000000000000001</v>
      </c>
      <c r="AC64" s="314">
        <f>AF64-Z64</f>
        <v>313569</v>
      </c>
      <c r="AD64" s="314">
        <f>AG64-AA64</f>
        <v>270100</v>
      </c>
      <c r="AE64" s="198">
        <f t="shared" si="5"/>
        <v>-13.9</v>
      </c>
      <c r="AF64" s="314">
        <v>1214140</v>
      </c>
      <c r="AG64" s="314">
        <v>1180863</v>
      </c>
      <c r="AH64" s="198">
        <f t="shared" si="6"/>
        <v>-2.7</v>
      </c>
      <c r="AI64" s="314">
        <f>AL64-AF64</f>
        <v>317917</v>
      </c>
      <c r="AJ64" s="314">
        <f>AM64-AG64</f>
        <v>251899</v>
      </c>
      <c r="AK64" s="198">
        <f t="shared" si="7"/>
        <v>-20.8</v>
      </c>
      <c r="AL64" s="314">
        <v>1532057</v>
      </c>
      <c r="AM64" s="314">
        <v>1432762</v>
      </c>
      <c r="AN64" s="198">
        <f t="shared" si="8"/>
        <v>-6.5</v>
      </c>
      <c r="AO64" s="601">
        <f>AR64-AL64</f>
        <v>276199</v>
      </c>
      <c r="AP64" s="601">
        <f>AS64-AM64</f>
        <v>278335</v>
      </c>
      <c r="AQ64" s="591">
        <f t="shared" si="9"/>
        <v>0.8</v>
      </c>
      <c r="AR64" s="641">
        <v>1808256</v>
      </c>
      <c r="AS64" s="641">
        <v>1711097</v>
      </c>
      <c r="AT64" s="591">
        <f t="shared" si="10"/>
        <v>-5.4</v>
      </c>
      <c r="AU64" s="641">
        <f>AX64-AR64</f>
        <v>285991</v>
      </c>
      <c r="AV64" s="641">
        <f>AY64-AS64</f>
        <v>305405</v>
      </c>
      <c r="AW64" s="619">
        <f t="shared" si="11"/>
        <v>6.8</v>
      </c>
      <c r="AX64" s="932">
        <v>2094247</v>
      </c>
      <c r="AY64" s="932">
        <v>2016502</v>
      </c>
      <c r="AZ64" s="619">
        <f t="shared" si="12"/>
        <v>-3.7</v>
      </c>
      <c r="BA64" s="641">
        <f>BD64-AX64</f>
        <v>278851</v>
      </c>
      <c r="BB64" s="641">
        <f>BE64-AY64</f>
        <v>288082</v>
      </c>
      <c r="BC64" s="619">
        <f t="shared" si="13"/>
        <v>3.3</v>
      </c>
      <c r="BD64" s="641">
        <v>2373098</v>
      </c>
      <c r="BE64" s="641">
        <v>2304584</v>
      </c>
      <c r="BF64" s="619">
        <f t="shared" si="14"/>
        <v>-2.9</v>
      </c>
      <c r="BG64" s="641">
        <f>BJ64-BD64</f>
        <v>271177</v>
      </c>
      <c r="BH64" s="641">
        <f>BK64-BE64</f>
        <v>317289</v>
      </c>
      <c r="BI64" s="619">
        <f t="shared" si="15"/>
        <v>17</v>
      </c>
      <c r="BJ64" s="641">
        <v>2644275</v>
      </c>
      <c r="BK64" s="641">
        <v>2621873</v>
      </c>
      <c r="BL64" s="619">
        <f t="shared" si="16"/>
        <v>-0.8</v>
      </c>
      <c r="BM64" s="641">
        <f>BP64-BJ64</f>
        <v>305067</v>
      </c>
      <c r="BN64" s="641">
        <f>BQ64-BK64</f>
        <v>300576</v>
      </c>
      <c r="BO64" s="619">
        <f t="shared" si="17"/>
        <v>-1.5</v>
      </c>
      <c r="BP64" s="641">
        <v>2949342</v>
      </c>
      <c r="BQ64" s="641">
        <v>2922449</v>
      </c>
      <c r="BR64" s="619">
        <f t="shared" si="18"/>
        <v>-0.9</v>
      </c>
      <c r="BS64" s="641">
        <f>BV64-BP64</f>
        <v>264052</v>
      </c>
      <c r="BT64" s="641">
        <f>BW64-BQ64</f>
        <v>308114</v>
      </c>
      <c r="BU64" s="619">
        <f t="shared" si="19"/>
        <v>16.7</v>
      </c>
      <c r="BV64" s="641">
        <v>3213394</v>
      </c>
      <c r="BW64" s="641">
        <v>3230563</v>
      </c>
      <c r="BX64" s="619">
        <f t="shared" si="20"/>
        <v>0.5</v>
      </c>
    </row>
    <row r="65" spans="1:76" ht="22.5" customHeight="1">
      <c r="A65" s="13"/>
      <c r="B65" s="1104"/>
      <c r="C65" s="1105"/>
      <c r="D65" s="371" t="s">
        <v>317</v>
      </c>
      <c r="E65" s="456">
        <f t="shared" ref="E65:L65" si="45">E64/E63*1000</f>
        <v>4336.919256455385</v>
      </c>
      <c r="F65" s="456">
        <f t="shared" si="45"/>
        <v>4082.0285984709662</v>
      </c>
      <c r="G65" s="456">
        <f t="shared" si="45"/>
        <v>3822.840143282132</v>
      </c>
      <c r="H65" s="456">
        <f t="shared" si="45"/>
        <v>3710.1368627829838</v>
      </c>
      <c r="I65" s="456">
        <f t="shared" si="45"/>
        <v>3502.7100403690747</v>
      </c>
      <c r="J65" s="456">
        <f t="shared" si="45"/>
        <v>3228.056729595191</v>
      </c>
      <c r="K65" s="211">
        <f t="shared" si="45"/>
        <v>3422.7302313208552</v>
      </c>
      <c r="L65" s="187">
        <f t="shared" si="45"/>
        <v>3573.4238516032374</v>
      </c>
      <c r="M65" s="445">
        <f>M64/M63*1000</f>
        <v>3248.7604129005599</v>
      </c>
      <c r="N65" s="315">
        <f>N64/N63*1000</f>
        <v>3344.690146385904</v>
      </c>
      <c r="O65" s="315">
        <f>O64/O63*1000</f>
        <v>3088.4478253049651</v>
      </c>
      <c r="P65" s="199">
        <f t="shared" si="0"/>
        <v>-7.7</v>
      </c>
      <c r="Q65" s="315">
        <f>Q64/Q63*1000</f>
        <v>3255.8142399605817</v>
      </c>
      <c r="R65" s="315">
        <f>R64/R63*1000</f>
        <v>2987.0065623422515</v>
      </c>
      <c r="S65" s="199">
        <f t="shared" si="1"/>
        <v>-8.3000000000000007</v>
      </c>
      <c r="T65" s="315">
        <f>T64/T63*1000</f>
        <v>3304.1052122357601</v>
      </c>
      <c r="U65" s="315">
        <f>U64/U63*1000</f>
        <v>3036.5399418295283</v>
      </c>
      <c r="V65" s="199">
        <f t="shared" si="2"/>
        <v>-8.1</v>
      </c>
      <c r="W65" s="315">
        <f>W64/W63*1000</f>
        <v>3272.6256282719778</v>
      </c>
      <c r="X65" s="315">
        <f>X64/X63*1000</f>
        <v>3064.5583672539919</v>
      </c>
      <c r="Y65" s="199">
        <f t="shared" si="3"/>
        <v>-6.4</v>
      </c>
      <c r="Z65" s="315">
        <f>Z64/Z63*1000</f>
        <v>3293.0892629254076</v>
      </c>
      <c r="AA65" s="315">
        <f>AA64/AA63*1000</f>
        <v>3046.4172704223279</v>
      </c>
      <c r="AB65" s="199">
        <f t="shared" si="4"/>
        <v>-7.5</v>
      </c>
      <c r="AC65" s="315">
        <f>AC64/AC63*1000</f>
        <v>3262.3677393177063</v>
      </c>
      <c r="AD65" s="315">
        <f>AD64/AD63*1000</f>
        <v>3003.5473217165036</v>
      </c>
      <c r="AE65" s="199">
        <f t="shared" si="5"/>
        <v>-7.9</v>
      </c>
      <c r="AF65" s="315">
        <f>AF64/AF63*1000</f>
        <v>3285.0997050786004</v>
      </c>
      <c r="AG65" s="315">
        <f>AG64/AG63*1000</f>
        <v>3036.5039895702885</v>
      </c>
      <c r="AH65" s="199">
        <f t="shared" si="6"/>
        <v>-7.6</v>
      </c>
      <c r="AI65" s="315">
        <f>AI64/AI63*1000</f>
        <v>3311.842406817093</v>
      </c>
      <c r="AJ65" s="315">
        <f>AJ64/AJ63*1000</f>
        <v>2693.9052691242368</v>
      </c>
      <c r="AK65" s="199">
        <f t="shared" si="7"/>
        <v>-18.7</v>
      </c>
      <c r="AL65" s="315">
        <f>AL64/AL63*1000</f>
        <v>3290.6135090552939</v>
      </c>
      <c r="AM65" s="315">
        <f>AM64/AM63*1000</f>
        <v>2970.0951085829897</v>
      </c>
      <c r="AN65" s="199">
        <f t="shared" si="8"/>
        <v>-9.6999999999999993</v>
      </c>
      <c r="AO65" s="602">
        <f>AO64/AO63*1000</f>
        <v>3202.9385502069972</v>
      </c>
      <c r="AP65" s="602">
        <f>AP64/AP63*1000</f>
        <v>2635.9727628301653</v>
      </c>
      <c r="AQ65" s="592">
        <f t="shared" si="9"/>
        <v>-17.7</v>
      </c>
      <c r="AR65" s="630">
        <f>AR64/AR63*1000</f>
        <v>3276.9124546724729</v>
      </c>
      <c r="AS65" s="630">
        <f>AS64/AS63*1000</f>
        <v>2910.0932503609774</v>
      </c>
      <c r="AT65" s="592">
        <f t="shared" si="10"/>
        <v>-11.2</v>
      </c>
      <c r="AU65" s="630">
        <f>AU64/AU63*1000</f>
        <v>3288.1977579764298</v>
      </c>
      <c r="AV65" s="630">
        <f>AV64/AV63*1000</f>
        <v>2735.2069283609626</v>
      </c>
      <c r="AW65" s="620">
        <f t="shared" si="11"/>
        <v>-16.8</v>
      </c>
      <c r="AX65" s="933">
        <f>AX64/AX63*1000</f>
        <v>3278.4490100063872</v>
      </c>
      <c r="AY65" s="933">
        <f>AY64/AY63*1000</f>
        <v>2882.1829387517082</v>
      </c>
      <c r="AZ65" s="620">
        <f t="shared" si="12"/>
        <v>-12.1</v>
      </c>
      <c r="BA65" s="630">
        <f>BA64/BA63*1000</f>
        <v>3267.3001663815526</v>
      </c>
      <c r="BB65" s="630">
        <f>BB64/BB63*1000</f>
        <v>2792.6829268292681</v>
      </c>
      <c r="BC65" s="620">
        <f t="shared" si="13"/>
        <v>-14.5</v>
      </c>
      <c r="BD65" s="630">
        <f>BD64/BD63*1000</f>
        <v>3277.135021225236</v>
      </c>
      <c r="BE65" s="630">
        <f>BE64/BE63*1000</f>
        <v>2870.682610861983</v>
      </c>
      <c r="BF65" s="620">
        <f t="shared" si="14"/>
        <v>-12.4</v>
      </c>
      <c r="BG65" s="630">
        <f>BG64/BG63*1000</f>
        <v>3204.6821635802835</v>
      </c>
      <c r="BH65" s="630">
        <f>BH64/BH63*1000</f>
        <v>2955.5396165955626</v>
      </c>
      <c r="BI65" s="620">
        <f t="shared" si="15"/>
        <v>-7.8</v>
      </c>
      <c r="BJ65" s="630">
        <f>BJ64/BJ63*1000</f>
        <v>3269.5543902556642</v>
      </c>
      <c r="BK65" s="630">
        <f>BK64/BK63*1000</f>
        <v>2880.6916192204835</v>
      </c>
      <c r="BL65" s="620">
        <f t="shared" si="16"/>
        <v>-11.9</v>
      </c>
      <c r="BM65" s="630">
        <f>BM64/BM63*1000</f>
        <v>3220.2482741148901</v>
      </c>
      <c r="BN65" s="630">
        <f>BN64/BN63*1000</f>
        <v>3050.1395301638845</v>
      </c>
      <c r="BO65" s="620">
        <f t="shared" si="17"/>
        <v>-5.3</v>
      </c>
      <c r="BP65" s="630">
        <f>BP64/BP63*1000</f>
        <v>3264.38448197049</v>
      </c>
      <c r="BQ65" s="630">
        <f>BQ64/BQ63*1000</f>
        <v>2897.2458582788322</v>
      </c>
      <c r="BR65" s="620">
        <f t="shared" si="18"/>
        <v>-11.2</v>
      </c>
      <c r="BS65" s="630">
        <f>BS64/BS63*1000</f>
        <v>3255.1591508666388</v>
      </c>
      <c r="BT65" s="630">
        <f>BT64/BT63*1000</f>
        <v>3246.2439682238655</v>
      </c>
      <c r="BU65" s="620">
        <f t="shared" si="19"/>
        <v>-0.3</v>
      </c>
      <c r="BV65" s="630">
        <f>BV64/BV63*1000</f>
        <v>3263.6244438147532</v>
      </c>
      <c r="BW65" s="630">
        <f>BW64/BW63*1000</f>
        <v>2927.2607336086112</v>
      </c>
      <c r="BX65" s="620">
        <f t="shared" si="20"/>
        <v>-10.3</v>
      </c>
    </row>
    <row r="66" spans="1:76" ht="22.5" customHeight="1">
      <c r="A66" s="1101" t="s">
        <v>31</v>
      </c>
      <c r="B66" s="1099" t="s">
        <v>32</v>
      </c>
      <c r="C66" s="1103" t="s">
        <v>305</v>
      </c>
      <c r="D66" s="365" t="s">
        <v>13</v>
      </c>
      <c r="E66" s="452">
        <v>457666</v>
      </c>
      <c r="F66" s="452">
        <v>488840</v>
      </c>
      <c r="G66" s="452">
        <v>481034</v>
      </c>
      <c r="H66" s="452">
        <v>424106</v>
      </c>
      <c r="I66" s="452">
        <v>528366</v>
      </c>
      <c r="J66" s="452">
        <v>572828</v>
      </c>
      <c r="K66" s="207">
        <v>534026</v>
      </c>
      <c r="L66" s="183">
        <v>589791</v>
      </c>
      <c r="M66" s="312">
        <v>550848</v>
      </c>
      <c r="N66" s="311">
        <v>38243</v>
      </c>
      <c r="O66" s="311">
        <v>46224</v>
      </c>
      <c r="P66" s="195">
        <f t="shared" si="0"/>
        <v>20.9</v>
      </c>
      <c r="Q66" s="311">
        <f>T66-N66</f>
        <v>35800</v>
      </c>
      <c r="R66" s="311">
        <f>U66-O66</f>
        <v>43875</v>
      </c>
      <c r="S66" s="195">
        <f t="shared" si="1"/>
        <v>22.6</v>
      </c>
      <c r="T66" s="311">
        <v>74043</v>
      </c>
      <c r="U66" s="311">
        <v>90099</v>
      </c>
      <c r="V66" s="195">
        <f t="shared" si="2"/>
        <v>21.7</v>
      </c>
      <c r="W66" s="311">
        <f>Z66-T66</f>
        <v>35751</v>
      </c>
      <c r="X66" s="311">
        <f>AA66-U66</f>
        <v>61714</v>
      </c>
      <c r="Y66" s="195">
        <f t="shared" si="3"/>
        <v>72.599999999999994</v>
      </c>
      <c r="Z66" s="311">
        <v>109794</v>
      </c>
      <c r="AA66" s="311">
        <v>151813</v>
      </c>
      <c r="AB66" s="195">
        <f t="shared" si="4"/>
        <v>38.299999999999997</v>
      </c>
      <c r="AC66" s="311">
        <f>AF66-Z66</f>
        <v>47312</v>
      </c>
      <c r="AD66" s="311">
        <f>AG66-AA66</f>
        <v>52497</v>
      </c>
      <c r="AE66" s="195">
        <f t="shared" si="5"/>
        <v>11</v>
      </c>
      <c r="AF66" s="311">
        <v>157106</v>
      </c>
      <c r="AG66" s="311">
        <v>204310</v>
      </c>
      <c r="AH66" s="195">
        <f t="shared" si="6"/>
        <v>30</v>
      </c>
      <c r="AI66" s="311">
        <f>AL66-AF66</f>
        <v>52056</v>
      </c>
      <c r="AJ66" s="311">
        <f>AM66-AG66</f>
        <v>45011</v>
      </c>
      <c r="AK66" s="195">
        <f t="shared" si="7"/>
        <v>-13.5</v>
      </c>
      <c r="AL66" s="311">
        <v>209162</v>
      </c>
      <c r="AM66" s="311">
        <v>249321</v>
      </c>
      <c r="AN66" s="195">
        <f t="shared" si="8"/>
        <v>19.2</v>
      </c>
      <c r="AO66" s="599">
        <f>AR66-AL66</f>
        <v>49217</v>
      </c>
      <c r="AP66" s="599">
        <f>AS66-AM66</f>
        <v>43709</v>
      </c>
      <c r="AQ66" s="589">
        <f t="shared" si="9"/>
        <v>-11.2</v>
      </c>
      <c r="AR66" s="869">
        <v>258379</v>
      </c>
      <c r="AS66" s="869">
        <v>293030</v>
      </c>
      <c r="AT66" s="589">
        <f t="shared" si="10"/>
        <v>13.4</v>
      </c>
      <c r="AU66" s="869">
        <f>AX66-AR66</f>
        <v>49055</v>
      </c>
      <c r="AV66" s="869">
        <f>AY66-AS66</f>
        <v>47646</v>
      </c>
      <c r="AW66" s="617">
        <f t="shared" si="11"/>
        <v>-2.9</v>
      </c>
      <c r="AX66" s="929">
        <v>307434</v>
      </c>
      <c r="AY66" s="929">
        <v>340676</v>
      </c>
      <c r="AZ66" s="617">
        <f t="shared" si="12"/>
        <v>10.8</v>
      </c>
      <c r="BA66" s="869">
        <f>BD66-AX66</f>
        <v>43715</v>
      </c>
      <c r="BB66" s="869">
        <f>BE66-AY66</f>
        <v>40401</v>
      </c>
      <c r="BC66" s="617">
        <f t="shared" si="13"/>
        <v>-7.6</v>
      </c>
      <c r="BD66" s="869">
        <v>351149</v>
      </c>
      <c r="BE66" s="869">
        <v>381077</v>
      </c>
      <c r="BF66" s="617">
        <f t="shared" si="14"/>
        <v>8.5</v>
      </c>
      <c r="BG66" s="869">
        <f>BJ66-BD66</f>
        <v>44117</v>
      </c>
      <c r="BH66" s="869">
        <f>BK66-BE66</f>
        <v>56081</v>
      </c>
      <c r="BI66" s="617">
        <f t="shared" si="15"/>
        <v>27.1</v>
      </c>
      <c r="BJ66" s="869">
        <v>395266</v>
      </c>
      <c r="BK66" s="869">
        <v>437158</v>
      </c>
      <c r="BL66" s="617">
        <f t="shared" si="16"/>
        <v>10.6</v>
      </c>
      <c r="BM66" s="869">
        <f>BP66-BJ66</f>
        <v>51173</v>
      </c>
      <c r="BN66" s="869">
        <f>BQ66-BK66</f>
        <v>56895</v>
      </c>
      <c r="BO66" s="617">
        <f t="shared" si="17"/>
        <v>11.2</v>
      </c>
      <c r="BP66" s="869">
        <v>446439</v>
      </c>
      <c r="BQ66" s="869">
        <v>494053</v>
      </c>
      <c r="BR66" s="617">
        <f t="shared" si="18"/>
        <v>10.7</v>
      </c>
      <c r="BS66" s="869">
        <f>BV66-BP66</f>
        <v>47792</v>
      </c>
      <c r="BT66" s="869">
        <f>BW66-BQ66</f>
        <v>54508</v>
      </c>
      <c r="BU66" s="617">
        <f t="shared" si="19"/>
        <v>14.1</v>
      </c>
      <c r="BV66" s="869">
        <v>494231</v>
      </c>
      <c r="BW66" s="869">
        <v>548561</v>
      </c>
      <c r="BX66" s="617">
        <f t="shared" si="20"/>
        <v>11</v>
      </c>
    </row>
    <row r="67" spans="1:76" ht="22.5" customHeight="1">
      <c r="A67" s="1102"/>
      <c r="B67" s="1099"/>
      <c r="C67" s="1100"/>
      <c r="D67" s="366" t="s">
        <v>14</v>
      </c>
      <c r="E67" s="449">
        <v>1052242</v>
      </c>
      <c r="F67" s="449">
        <v>995888</v>
      </c>
      <c r="G67" s="449">
        <v>984752</v>
      </c>
      <c r="H67" s="449">
        <v>998130</v>
      </c>
      <c r="I67" s="449">
        <v>1127795</v>
      </c>
      <c r="J67" s="449">
        <v>1267896</v>
      </c>
      <c r="K67" s="202">
        <v>1609066</v>
      </c>
      <c r="L67" s="180">
        <v>1825760</v>
      </c>
      <c r="M67" s="438">
        <v>1492173</v>
      </c>
      <c r="N67" s="309">
        <v>107108</v>
      </c>
      <c r="O67" s="309">
        <v>114631</v>
      </c>
      <c r="P67" s="193">
        <f t="shared" si="0"/>
        <v>7</v>
      </c>
      <c r="Q67" s="309">
        <f>T67-N67</f>
        <v>102306</v>
      </c>
      <c r="R67" s="309">
        <f>U67-O67</f>
        <v>106961</v>
      </c>
      <c r="S67" s="193">
        <f t="shared" si="1"/>
        <v>4.5999999999999996</v>
      </c>
      <c r="T67" s="309">
        <v>209414</v>
      </c>
      <c r="U67" s="309">
        <v>221592</v>
      </c>
      <c r="V67" s="193">
        <f t="shared" si="2"/>
        <v>5.8</v>
      </c>
      <c r="W67" s="309">
        <f>Z67-T67</f>
        <v>106292</v>
      </c>
      <c r="X67" s="309">
        <f>AA67-U67</f>
        <v>130273</v>
      </c>
      <c r="Y67" s="193">
        <f t="shared" si="3"/>
        <v>22.6</v>
      </c>
      <c r="Z67" s="309">
        <v>315706</v>
      </c>
      <c r="AA67" s="309">
        <v>351865</v>
      </c>
      <c r="AB67" s="193">
        <f t="shared" si="4"/>
        <v>11.5</v>
      </c>
      <c r="AC67" s="309">
        <f>AF67-Z67</f>
        <v>145267</v>
      </c>
      <c r="AD67" s="309">
        <f>AG67-AA67</f>
        <v>107318</v>
      </c>
      <c r="AE67" s="193">
        <f t="shared" si="5"/>
        <v>-26.1</v>
      </c>
      <c r="AF67" s="309">
        <v>460973</v>
      </c>
      <c r="AG67" s="309">
        <v>459183</v>
      </c>
      <c r="AH67" s="193">
        <f t="shared" si="6"/>
        <v>-0.4</v>
      </c>
      <c r="AI67" s="309">
        <f>AL67-AF67</f>
        <v>153958</v>
      </c>
      <c r="AJ67" s="309">
        <f>AM67-AG67</f>
        <v>86962</v>
      </c>
      <c r="AK67" s="193">
        <f t="shared" si="7"/>
        <v>-43.5</v>
      </c>
      <c r="AL67" s="309">
        <v>614931</v>
      </c>
      <c r="AM67" s="309">
        <v>546145</v>
      </c>
      <c r="AN67" s="193">
        <f t="shared" si="8"/>
        <v>-11.2</v>
      </c>
      <c r="AO67" s="597">
        <f>AR67-AL67</f>
        <v>138450</v>
      </c>
      <c r="AP67" s="597">
        <f>AS67-AM67</f>
        <v>92163</v>
      </c>
      <c r="AQ67" s="587">
        <f t="shared" si="9"/>
        <v>-33.4</v>
      </c>
      <c r="AR67" s="868">
        <v>753381</v>
      </c>
      <c r="AS67" s="868">
        <v>638308</v>
      </c>
      <c r="AT67" s="587">
        <f t="shared" si="10"/>
        <v>-15.3</v>
      </c>
      <c r="AU67" s="868">
        <f>AX67-AR67</f>
        <v>132108</v>
      </c>
      <c r="AV67" s="868">
        <f>AY67-AS67</f>
        <v>105343</v>
      </c>
      <c r="AW67" s="615">
        <f t="shared" si="11"/>
        <v>-20.3</v>
      </c>
      <c r="AX67" s="925">
        <v>885489</v>
      </c>
      <c r="AY67" s="925">
        <v>743651</v>
      </c>
      <c r="AZ67" s="615">
        <f t="shared" si="12"/>
        <v>-16</v>
      </c>
      <c r="BA67" s="868">
        <f>BD67-AX67</f>
        <v>111142</v>
      </c>
      <c r="BB67" s="868">
        <f>BE67-AY67</f>
        <v>95932</v>
      </c>
      <c r="BC67" s="615">
        <f t="shared" si="13"/>
        <v>-13.7</v>
      </c>
      <c r="BD67" s="868">
        <v>996631</v>
      </c>
      <c r="BE67" s="868">
        <v>839583</v>
      </c>
      <c r="BF67" s="615">
        <f t="shared" si="14"/>
        <v>-15.8</v>
      </c>
      <c r="BG67" s="868">
        <f>BJ67-BD67</f>
        <v>109552</v>
      </c>
      <c r="BH67" s="868">
        <f>BK67-BE67</f>
        <v>142782</v>
      </c>
      <c r="BI67" s="615">
        <f t="shared" si="15"/>
        <v>30.3</v>
      </c>
      <c r="BJ67" s="868">
        <v>1106183</v>
      </c>
      <c r="BK67" s="868">
        <v>982365</v>
      </c>
      <c r="BL67" s="615">
        <f t="shared" si="16"/>
        <v>-11.2</v>
      </c>
      <c r="BM67" s="868">
        <f>BP67-BJ67</f>
        <v>126174</v>
      </c>
      <c r="BN67" s="868">
        <f>BQ67-BK67</f>
        <v>145509</v>
      </c>
      <c r="BO67" s="615">
        <f t="shared" si="17"/>
        <v>15.3</v>
      </c>
      <c r="BP67" s="868">
        <v>1232357</v>
      </c>
      <c r="BQ67" s="868">
        <v>1127874</v>
      </c>
      <c r="BR67" s="615">
        <f t="shared" si="18"/>
        <v>-8.5</v>
      </c>
      <c r="BS67" s="868">
        <f>BV67-BP67</f>
        <v>119479</v>
      </c>
      <c r="BT67" s="868">
        <f>BW67-BQ67</f>
        <v>142325</v>
      </c>
      <c r="BU67" s="615">
        <f t="shared" si="19"/>
        <v>19.100000000000001</v>
      </c>
      <c r="BV67" s="868">
        <v>1351836</v>
      </c>
      <c r="BW67" s="868">
        <v>1270199</v>
      </c>
      <c r="BX67" s="615">
        <f t="shared" si="20"/>
        <v>-6</v>
      </c>
    </row>
    <row r="68" spans="1:76" ht="22.5" customHeight="1">
      <c r="A68" s="14"/>
      <c r="B68" s="1099"/>
      <c r="C68" s="1100"/>
      <c r="D68" s="370" t="s">
        <v>15</v>
      </c>
      <c r="E68" s="453">
        <f t="shared" ref="E68:L68" si="46">E67/E66*1000</f>
        <v>2299.1482871788594</v>
      </c>
      <c r="F68" s="453">
        <f t="shared" si="46"/>
        <v>2037.2473610997463</v>
      </c>
      <c r="G68" s="453">
        <f t="shared" si="46"/>
        <v>2047.156749834731</v>
      </c>
      <c r="H68" s="453">
        <f t="shared" si="46"/>
        <v>2353.4918157253142</v>
      </c>
      <c r="I68" s="453">
        <f t="shared" si="46"/>
        <v>2134.4957851186491</v>
      </c>
      <c r="J68" s="453">
        <f t="shared" si="46"/>
        <v>2213.3973897923984</v>
      </c>
      <c r="K68" s="208">
        <f t="shared" si="46"/>
        <v>3013.0855052001216</v>
      </c>
      <c r="L68" s="184">
        <f t="shared" si="46"/>
        <v>3095.6050533154962</v>
      </c>
      <c r="M68" s="439">
        <f>M67/M66*1000</f>
        <v>2708.865240501917</v>
      </c>
      <c r="N68" s="310">
        <f>N67/N66*1000</f>
        <v>2800.7217007033969</v>
      </c>
      <c r="O68" s="310">
        <f>O67/O66*1000</f>
        <v>2479.9022152994116</v>
      </c>
      <c r="P68" s="194">
        <f t="shared" si="0"/>
        <v>-11.5</v>
      </c>
      <c r="Q68" s="310">
        <f>Q67/Q66*1000</f>
        <v>2857.7094972067039</v>
      </c>
      <c r="R68" s="310">
        <f>R67/R66*1000</f>
        <v>2437.8575498575497</v>
      </c>
      <c r="S68" s="194">
        <f t="shared" si="1"/>
        <v>-14.7</v>
      </c>
      <c r="T68" s="310">
        <f>T67/T66*1000</f>
        <v>2828.2754615561225</v>
      </c>
      <c r="U68" s="310">
        <f>U67/U66*1000</f>
        <v>2459.4279625745012</v>
      </c>
      <c r="V68" s="194">
        <f t="shared" si="2"/>
        <v>-13</v>
      </c>
      <c r="W68" s="310">
        <f>W67/W66*1000</f>
        <v>2973.1196330172584</v>
      </c>
      <c r="X68" s="310">
        <f>X67/X66*1000</f>
        <v>2110.9148653465991</v>
      </c>
      <c r="Y68" s="194">
        <f t="shared" si="3"/>
        <v>-29</v>
      </c>
      <c r="Z68" s="310">
        <f>Z67/Z66*1000</f>
        <v>2875.4394593511483</v>
      </c>
      <c r="AA68" s="310">
        <f>AA67/AA66*1000</f>
        <v>2317.7527616212051</v>
      </c>
      <c r="AB68" s="194">
        <f t="shared" si="4"/>
        <v>-19.399999999999999</v>
      </c>
      <c r="AC68" s="310">
        <f>AC67/AC66*1000</f>
        <v>3070.4049712546498</v>
      </c>
      <c r="AD68" s="310">
        <f>AD67/AD66*1000</f>
        <v>2044.2691963350285</v>
      </c>
      <c r="AE68" s="194">
        <f t="shared" si="5"/>
        <v>-33.4</v>
      </c>
      <c r="AF68" s="310">
        <f>AF67/AF66*1000</f>
        <v>2934.1527376421018</v>
      </c>
      <c r="AG68" s="310">
        <f>AG67/AG66*1000</f>
        <v>2247.4817679017178</v>
      </c>
      <c r="AH68" s="194">
        <f t="shared" si="6"/>
        <v>-23.4</v>
      </c>
      <c r="AI68" s="310">
        <f>AI67/AI66*1000</f>
        <v>2957.5457199938528</v>
      </c>
      <c r="AJ68" s="310">
        <f>AJ67/AJ66*1000</f>
        <v>1932.0166181600055</v>
      </c>
      <c r="AK68" s="194">
        <f t="shared" si="7"/>
        <v>-34.700000000000003</v>
      </c>
      <c r="AL68" s="310">
        <f>AL67/AL66*1000</f>
        <v>2939.974756408908</v>
      </c>
      <c r="AM68" s="310">
        <f>AM67/AM66*1000</f>
        <v>2190.5294780624172</v>
      </c>
      <c r="AN68" s="194">
        <f t="shared" si="8"/>
        <v>-25.5</v>
      </c>
      <c r="AO68" s="598">
        <f>AO67/AO66*1000</f>
        <v>2813.0524005932907</v>
      </c>
      <c r="AP68" s="598">
        <f>AP67/AP66*1000</f>
        <v>2108.5588780342723</v>
      </c>
      <c r="AQ68" s="588">
        <f t="shared" si="9"/>
        <v>-25</v>
      </c>
      <c r="AR68" s="626">
        <f>AR67/AR66*1000</f>
        <v>2915.7981105275585</v>
      </c>
      <c r="AS68" s="626">
        <f>AS67/AS66*1000</f>
        <v>2178.3025628775208</v>
      </c>
      <c r="AT68" s="588">
        <f t="shared" si="10"/>
        <v>-25.3</v>
      </c>
      <c r="AU68" s="626">
        <f>AU67/AU66*1000</f>
        <v>2693.0588115380692</v>
      </c>
      <c r="AV68" s="626">
        <f>AV67/AV66*1000</f>
        <v>2210.9516013936109</v>
      </c>
      <c r="AW68" s="616">
        <f t="shared" si="11"/>
        <v>-17.899999999999999</v>
      </c>
      <c r="AX68" s="930">
        <f>AX67/AX66*1000</f>
        <v>2880.2572259411777</v>
      </c>
      <c r="AY68" s="930">
        <f>AY67/AY66*1000</f>
        <v>2182.8687668048233</v>
      </c>
      <c r="AZ68" s="616">
        <f t="shared" si="12"/>
        <v>-24.2</v>
      </c>
      <c r="BA68" s="626">
        <f>BA67/BA66*1000</f>
        <v>2542.42250943612</v>
      </c>
      <c r="BB68" s="626">
        <f>BB67/BB66*1000</f>
        <v>2374.4956807999806</v>
      </c>
      <c r="BC68" s="616">
        <f t="shared" si="13"/>
        <v>-6.6</v>
      </c>
      <c r="BD68" s="626">
        <f>BD67/BD66*1000</f>
        <v>2838.1997385725144</v>
      </c>
      <c r="BE68" s="626">
        <f>BE67/BE66*1000</f>
        <v>2203.1846582186804</v>
      </c>
      <c r="BF68" s="616">
        <f t="shared" si="14"/>
        <v>-22.4</v>
      </c>
      <c r="BG68" s="626">
        <f>BG67/BG66*1000</f>
        <v>2483.2150871546114</v>
      </c>
      <c r="BH68" s="626">
        <f>BH67/BH66*1000</f>
        <v>2545.9959701146558</v>
      </c>
      <c r="BI68" s="616">
        <f t="shared" si="15"/>
        <v>2.5</v>
      </c>
      <c r="BJ68" s="626">
        <f>BJ67/BJ66*1000</f>
        <v>2798.5786786619642</v>
      </c>
      <c r="BK68" s="626">
        <f>BK67/BK66*1000</f>
        <v>2247.1623531995297</v>
      </c>
      <c r="BL68" s="616">
        <f t="shared" si="16"/>
        <v>-19.7</v>
      </c>
      <c r="BM68" s="626">
        <f>BM67/BM66*1000</f>
        <v>2465.6361753268325</v>
      </c>
      <c r="BN68" s="626">
        <f>BN67/BN66*1000</f>
        <v>2557.500659108885</v>
      </c>
      <c r="BO68" s="616">
        <f t="shared" si="17"/>
        <v>3.7</v>
      </c>
      <c r="BP68" s="626">
        <f>BP67/BP66*1000</f>
        <v>2760.4151967010048</v>
      </c>
      <c r="BQ68" s="626">
        <f>BQ67/BQ66*1000</f>
        <v>2282.9008223814044</v>
      </c>
      <c r="BR68" s="616">
        <f t="shared" si="18"/>
        <v>-17.3</v>
      </c>
      <c r="BS68" s="626">
        <f>BS67/BS66*1000</f>
        <v>2499.9790759959824</v>
      </c>
      <c r="BT68" s="626">
        <f>BT67/BT66*1000</f>
        <v>2611.0846114331839</v>
      </c>
      <c r="BU68" s="616">
        <f t="shared" si="19"/>
        <v>4.4000000000000004</v>
      </c>
      <c r="BV68" s="626">
        <f>BV67/BV66*1000</f>
        <v>2735.2310963901496</v>
      </c>
      <c r="BW68" s="626">
        <f>BW67/BW66*1000</f>
        <v>2315.5109459112114</v>
      </c>
      <c r="BX68" s="616">
        <f t="shared" si="20"/>
        <v>-15.3</v>
      </c>
    </row>
    <row r="69" spans="1:76" ht="22.5" customHeight="1">
      <c r="A69" s="14"/>
      <c r="B69" s="1099" t="s">
        <v>24</v>
      </c>
      <c r="C69" s="1100"/>
      <c r="D69" s="365" t="s">
        <v>13</v>
      </c>
      <c r="E69" s="452">
        <f t="shared" ref="E69:G70" si="47">E72-E66</f>
        <v>32796</v>
      </c>
      <c r="F69" s="452">
        <f t="shared" si="47"/>
        <v>46433</v>
      </c>
      <c r="G69" s="452">
        <f t="shared" si="47"/>
        <v>31420</v>
      </c>
      <c r="H69" s="452">
        <f>H72-H66</f>
        <v>26176</v>
      </c>
      <c r="I69" s="452">
        <f>I72-I66</f>
        <v>22059</v>
      </c>
      <c r="J69" s="452">
        <f t="shared" ref="J69:L70" si="48">J72-J66</f>
        <v>17117</v>
      </c>
      <c r="K69" s="207">
        <f t="shared" si="48"/>
        <v>17851</v>
      </c>
      <c r="L69" s="183">
        <f t="shared" si="48"/>
        <v>21028</v>
      </c>
      <c r="M69" s="312">
        <f t="shared" ref="M69:O70" si="49">M72-M66</f>
        <v>19275</v>
      </c>
      <c r="N69" s="311">
        <f t="shared" si="49"/>
        <v>1851</v>
      </c>
      <c r="O69" s="311">
        <f t="shared" si="49"/>
        <v>1142</v>
      </c>
      <c r="P69" s="195">
        <f t="shared" si="0"/>
        <v>-38.299999999999997</v>
      </c>
      <c r="Q69" s="311">
        <f>Q72-Q66</f>
        <v>1494</v>
      </c>
      <c r="R69" s="311">
        <f>R72-R66</f>
        <v>1315</v>
      </c>
      <c r="S69" s="195">
        <f t="shared" si="1"/>
        <v>-12</v>
      </c>
      <c r="T69" s="311">
        <f>T72-T66</f>
        <v>3345</v>
      </c>
      <c r="U69" s="311">
        <f>U72-U66</f>
        <v>2457</v>
      </c>
      <c r="V69" s="195">
        <f t="shared" si="2"/>
        <v>-26.5</v>
      </c>
      <c r="W69" s="311">
        <f>W72-W66</f>
        <v>1352</v>
      </c>
      <c r="X69" s="311">
        <f>X72-X66</f>
        <v>1493</v>
      </c>
      <c r="Y69" s="195">
        <f t="shared" si="3"/>
        <v>10.4</v>
      </c>
      <c r="Z69" s="311">
        <f>Z72-Z66</f>
        <v>4697</v>
      </c>
      <c r="AA69" s="311">
        <f>AA72-AA66</f>
        <v>3950</v>
      </c>
      <c r="AB69" s="195">
        <f t="shared" si="4"/>
        <v>-15.9</v>
      </c>
      <c r="AC69" s="311">
        <f>AC72-AC66</f>
        <v>1914</v>
      </c>
      <c r="AD69" s="311">
        <f>AD72-AD66</f>
        <v>1462</v>
      </c>
      <c r="AE69" s="195">
        <f t="shared" si="5"/>
        <v>-23.6</v>
      </c>
      <c r="AF69" s="311">
        <f>AF72-AF66</f>
        <v>6611</v>
      </c>
      <c r="AG69" s="311">
        <f>AG72-AG66</f>
        <v>5412</v>
      </c>
      <c r="AH69" s="195">
        <f t="shared" si="6"/>
        <v>-18.100000000000001</v>
      </c>
      <c r="AI69" s="311">
        <f>AI72-AI66</f>
        <v>1830</v>
      </c>
      <c r="AJ69" s="311">
        <f>AJ72-AJ66</f>
        <v>1027</v>
      </c>
      <c r="AK69" s="195">
        <f t="shared" si="7"/>
        <v>-43.9</v>
      </c>
      <c r="AL69" s="311">
        <f>AL72-AL66</f>
        <v>8441</v>
      </c>
      <c r="AM69" s="311">
        <f>AM72-AM66</f>
        <v>6439</v>
      </c>
      <c r="AN69" s="195">
        <f t="shared" si="8"/>
        <v>-23.7</v>
      </c>
      <c r="AO69" s="599">
        <f>AO72-AO66</f>
        <v>1298</v>
      </c>
      <c r="AP69" s="599">
        <f>AP72-AP66</f>
        <v>1235</v>
      </c>
      <c r="AQ69" s="589">
        <f t="shared" si="9"/>
        <v>-4.9000000000000004</v>
      </c>
      <c r="AR69" s="869">
        <f>AR72-AR66</f>
        <v>9739</v>
      </c>
      <c r="AS69" s="869">
        <f>AS72-AS66</f>
        <v>7674</v>
      </c>
      <c r="AT69" s="589">
        <f t="shared" si="10"/>
        <v>-21.2</v>
      </c>
      <c r="AU69" s="869">
        <f>AU72-AU66</f>
        <v>1594</v>
      </c>
      <c r="AV69" s="869">
        <f>AV72-AV66</f>
        <v>1365</v>
      </c>
      <c r="AW69" s="617">
        <f t="shared" si="11"/>
        <v>-14.4</v>
      </c>
      <c r="AX69" s="929">
        <f>AX72-AX66</f>
        <v>11333</v>
      </c>
      <c r="AY69" s="929">
        <f>AY72-AY66</f>
        <v>9039</v>
      </c>
      <c r="AZ69" s="617">
        <f t="shared" si="12"/>
        <v>-20.2</v>
      </c>
      <c r="BA69" s="869">
        <f>BA72-BA66</f>
        <v>1523</v>
      </c>
      <c r="BB69" s="869">
        <f>BB72-BB66</f>
        <v>1260</v>
      </c>
      <c r="BC69" s="617">
        <f t="shared" si="13"/>
        <v>-17.3</v>
      </c>
      <c r="BD69" s="869">
        <f>BD72-BD66</f>
        <v>12856</v>
      </c>
      <c r="BE69" s="869">
        <f>BE72-BE66</f>
        <v>10299</v>
      </c>
      <c r="BF69" s="617">
        <f t="shared" si="14"/>
        <v>-19.899999999999999</v>
      </c>
      <c r="BG69" s="869">
        <f>BG72-BG66</f>
        <v>1487</v>
      </c>
      <c r="BH69" s="869">
        <f>BH72-BH66</f>
        <v>1334</v>
      </c>
      <c r="BI69" s="617">
        <f t="shared" si="15"/>
        <v>-10.3</v>
      </c>
      <c r="BJ69" s="869">
        <f>BJ72-BJ66</f>
        <v>14343</v>
      </c>
      <c r="BK69" s="869">
        <f>BK72-BK66</f>
        <v>11633</v>
      </c>
      <c r="BL69" s="617">
        <f t="shared" si="16"/>
        <v>-18.899999999999999</v>
      </c>
      <c r="BM69" s="869">
        <f>BM72-BM66</f>
        <v>1871</v>
      </c>
      <c r="BN69" s="869">
        <f>BN72-BN66</f>
        <v>1757</v>
      </c>
      <c r="BO69" s="617">
        <f t="shared" si="17"/>
        <v>-6.1</v>
      </c>
      <c r="BP69" s="869">
        <f>BP72-BP66</f>
        <v>16214</v>
      </c>
      <c r="BQ69" s="869">
        <f>BQ72-BQ66</f>
        <v>13390</v>
      </c>
      <c r="BR69" s="617">
        <f t="shared" si="18"/>
        <v>-17.399999999999999</v>
      </c>
      <c r="BS69" s="869">
        <f>BS72-BS66</f>
        <v>1311</v>
      </c>
      <c r="BT69" s="869">
        <f>BT72-BT66</f>
        <v>1354</v>
      </c>
      <c r="BU69" s="617">
        <f t="shared" si="19"/>
        <v>3.3</v>
      </c>
      <c r="BV69" s="869">
        <f>BV72-BV66</f>
        <v>17525</v>
      </c>
      <c r="BW69" s="869">
        <f>BW72-BW66</f>
        <v>14744</v>
      </c>
      <c r="BX69" s="617">
        <f t="shared" si="20"/>
        <v>-15.9</v>
      </c>
    </row>
    <row r="70" spans="1:76" ht="22.5" customHeight="1">
      <c r="A70" s="14"/>
      <c r="B70" s="1099"/>
      <c r="C70" s="1100"/>
      <c r="D70" s="366" t="s">
        <v>14</v>
      </c>
      <c r="E70" s="449">
        <f t="shared" si="47"/>
        <v>48254</v>
      </c>
      <c r="F70" s="449">
        <f t="shared" si="47"/>
        <v>42800</v>
      </c>
      <c r="G70" s="449">
        <f t="shared" si="47"/>
        <v>44373</v>
      </c>
      <c r="H70" s="449">
        <f>H73-H67</f>
        <v>54469</v>
      </c>
      <c r="I70" s="449">
        <f>I73-I67</f>
        <v>41056</v>
      </c>
      <c r="J70" s="449">
        <f t="shared" si="48"/>
        <v>32943</v>
      </c>
      <c r="K70" s="202">
        <f t="shared" si="48"/>
        <v>44790</v>
      </c>
      <c r="L70" s="180">
        <f t="shared" si="48"/>
        <v>53432</v>
      </c>
      <c r="M70" s="438">
        <f t="shared" si="49"/>
        <v>41732</v>
      </c>
      <c r="N70" s="309">
        <f t="shared" si="49"/>
        <v>4031</v>
      </c>
      <c r="O70" s="309">
        <f t="shared" si="49"/>
        <v>2714</v>
      </c>
      <c r="P70" s="193">
        <f t="shared" si="0"/>
        <v>-32.700000000000003</v>
      </c>
      <c r="Q70" s="309">
        <f>Q73-Q67</f>
        <v>2915</v>
      </c>
      <c r="R70" s="309">
        <f>R73-R67</f>
        <v>2933</v>
      </c>
      <c r="S70" s="193">
        <f t="shared" si="1"/>
        <v>0.6</v>
      </c>
      <c r="T70" s="309">
        <f>T73-T67</f>
        <v>6946</v>
      </c>
      <c r="U70" s="309">
        <f>U73-U67</f>
        <v>5647</v>
      </c>
      <c r="V70" s="193">
        <f t="shared" si="2"/>
        <v>-18.7</v>
      </c>
      <c r="W70" s="309">
        <f>W73-W67</f>
        <v>3237</v>
      </c>
      <c r="X70" s="309">
        <f>X73-X67</f>
        <v>3384</v>
      </c>
      <c r="Y70" s="193">
        <f t="shared" si="3"/>
        <v>4.5</v>
      </c>
      <c r="Z70" s="309">
        <f>Z73-Z67</f>
        <v>10183</v>
      </c>
      <c r="AA70" s="309">
        <f>AA73-AA67</f>
        <v>9031</v>
      </c>
      <c r="AB70" s="193">
        <f t="shared" si="4"/>
        <v>-11.3</v>
      </c>
      <c r="AC70" s="309">
        <f>AC73-AC67</f>
        <v>4856</v>
      </c>
      <c r="AD70" s="309">
        <f>AD73-AD67</f>
        <v>3357</v>
      </c>
      <c r="AE70" s="193">
        <f t="shared" si="5"/>
        <v>-30.9</v>
      </c>
      <c r="AF70" s="309">
        <f>AF73-AF67</f>
        <v>15039</v>
      </c>
      <c r="AG70" s="309">
        <f>AG73-AG67</f>
        <v>12388</v>
      </c>
      <c r="AH70" s="193">
        <f t="shared" si="6"/>
        <v>-17.600000000000001</v>
      </c>
      <c r="AI70" s="309">
        <f>AI73-AI67</f>
        <v>3878</v>
      </c>
      <c r="AJ70" s="309">
        <f>AJ73-AJ67</f>
        <v>2709</v>
      </c>
      <c r="AK70" s="193">
        <f t="shared" si="7"/>
        <v>-30.1</v>
      </c>
      <c r="AL70" s="309">
        <f>AL73-AL67</f>
        <v>18917</v>
      </c>
      <c r="AM70" s="309">
        <f>AM73-AM67</f>
        <v>15097</v>
      </c>
      <c r="AN70" s="193">
        <f t="shared" si="8"/>
        <v>-20.2</v>
      </c>
      <c r="AO70" s="597">
        <f>AO73-AO67</f>
        <v>3388</v>
      </c>
      <c r="AP70" s="597">
        <f>AP73-AP67</f>
        <v>2895</v>
      </c>
      <c r="AQ70" s="587">
        <f t="shared" si="9"/>
        <v>-14.6</v>
      </c>
      <c r="AR70" s="868">
        <f>AR73-AR67</f>
        <v>22305</v>
      </c>
      <c r="AS70" s="868">
        <f>AS73-AS67</f>
        <v>17992</v>
      </c>
      <c r="AT70" s="587">
        <f t="shared" si="10"/>
        <v>-19.3</v>
      </c>
      <c r="AU70" s="868">
        <f>AU73-AU67</f>
        <v>3751</v>
      </c>
      <c r="AV70" s="868">
        <f>AV73-AV67</f>
        <v>2816</v>
      </c>
      <c r="AW70" s="615">
        <f t="shared" si="11"/>
        <v>-24.9</v>
      </c>
      <c r="AX70" s="925">
        <f>AX73-AX67</f>
        <v>26056</v>
      </c>
      <c r="AY70" s="925">
        <f>AY73-AY67</f>
        <v>20808</v>
      </c>
      <c r="AZ70" s="615">
        <f t="shared" si="12"/>
        <v>-20.100000000000001</v>
      </c>
      <c r="BA70" s="868">
        <f>BA73-BA67</f>
        <v>3258</v>
      </c>
      <c r="BB70" s="868">
        <f>BB73-BB67</f>
        <v>2295</v>
      </c>
      <c r="BC70" s="615">
        <f t="shared" si="13"/>
        <v>-29.6</v>
      </c>
      <c r="BD70" s="868">
        <f>BD73-BD67</f>
        <v>29314</v>
      </c>
      <c r="BE70" s="868">
        <f>BE73-BE67</f>
        <v>23103</v>
      </c>
      <c r="BF70" s="615">
        <f t="shared" si="14"/>
        <v>-21.2</v>
      </c>
      <c r="BG70" s="868">
        <f>BG73-BG67</f>
        <v>2839</v>
      </c>
      <c r="BH70" s="868">
        <f>BH73-BH67</f>
        <v>3384</v>
      </c>
      <c r="BI70" s="615">
        <f t="shared" si="15"/>
        <v>19.2</v>
      </c>
      <c r="BJ70" s="868">
        <f>BJ73-BJ67</f>
        <v>32153</v>
      </c>
      <c r="BK70" s="868">
        <f>BK73-BK67</f>
        <v>26487</v>
      </c>
      <c r="BL70" s="615">
        <f t="shared" si="16"/>
        <v>-17.600000000000001</v>
      </c>
      <c r="BM70" s="868">
        <f>BM73-BM67</f>
        <v>3873</v>
      </c>
      <c r="BN70" s="868">
        <f>BN73-BN67</f>
        <v>4138</v>
      </c>
      <c r="BO70" s="615">
        <f t="shared" si="17"/>
        <v>6.8</v>
      </c>
      <c r="BP70" s="868">
        <f>BP73-BP67</f>
        <v>36026</v>
      </c>
      <c r="BQ70" s="868">
        <f>BQ73-BQ67</f>
        <v>30625</v>
      </c>
      <c r="BR70" s="615">
        <f t="shared" si="18"/>
        <v>-15</v>
      </c>
      <c r="BS70" s="868">
        <f>BS73-BS67</f>
        <v>2885</v>
      </c>
      <c r="BT70" s="868">
        <f>BT73-BT67</f>
        <v>2782</v>
      </c>
      <c r="BU70" s="615">
        <f t="shared" si="19"/>
        <v>-3.6</v>
      </c>
      <c r="BV70" s="868">
        <f>BV73-BV67</f>
        <v>38911</v>
      </c>
      <c r="BW70" s="868">
        <f>BW73-BW67</f>
        <v>33407</v>
      </c>
      <c r="BX70" s="615">
        <f t="shared" si="20"/>
        <v>-14.1</v>
      </c>
    </row>
    <row r="71" spans="1:76" ht="22.5" customHeight="1">
      <c r="A71" s="14"/>
      <c r="B71" s="1099"/>
      <c r="C71" s="1100"/>
      <c r="D71" s="370" t="s">
        <v>15</v>
      </c>
      <c r="E71" s="453">
        <f t="shared" ref="E71:L71" si="50">E70/E69*1000</f>
        <v>1471.3379680448834</v>
      </c>
      <c r="F71" s="453">
        <f t="shared" si="50"/>
        <v>921.75823229168907</v>
      </c>
      <c r="G71" s="453">
        <f t="shared" si="50"/>
        <v>1412.2533418204966</v>
      </c>
      <c r="H71" s="453">
        <f t="shared" si="50"/>
        <v>2080.8756112469441</v>
      </c>
      <c r="I71" s="453">
        <f t="shared" si="50"/>
        <v>1861.1904438097829</v>
      </c>
      <c r="J71" s="453">
        <f t="shared" si="50"/>
        <v>1924.5779050067185</v>
      </c>
      <c r="K71" s="208">
        <f t="shared" si="50"/>
        <v>2509.1031314772281</v>
      </c>
      <c r="L71" s="184">
        <f t="shared" si="50"/>
        <v>2540.9929617652651</v>
      </c>
      <c r="M71" s="442">
        <f>M70/M69*1000</f>
        <v>2165.0843060959796</v>
      </c>
      <c r="N71" s="310">
        <f>N70/N69*1000</f>
        <v>2177.7417612101567</v>
      </c>
      <c r="O71" s="310">
        <f>O70/O69*1000</f>
        <v>2376.5323992994745</v>
      </c>
      <c r="P71" s="194">
        <f t="shared" ref="P71:P107" si="51">ROUND(((O71/N71-1)*100),1)</f>
        <v>9.1</v>
      </c>
      <c r="Q71" s="310">
        <f>Q70/Q69*1000</f>
        <v>1951.1378848728248</v>
      </c>
      <c r="R71" s="310">
        <f>R70/R69*1000</f>
        <v>2230.4182509505704</v>
      </c>
      <c r="S71" s="194">
        <f t="shared" ref="S71:S107" si="52">ROUND(((R71/Q71-1)*100),1)</f>
        <v>14.3</v>
      </c>
      <c r="T71" s="310">
        <f>T70/T69*1000</f>
        <v>2076.5321375186845</v>
      </c>
      <c r="U71" s="310">
        <f>U70/U69*1000</f>
        <v>2298.3312983312985</v>
      </c>
      <c r="V71" s="194">
        <f t="shared" ref="V71:V107" si="53">ROUND(((U71/T71-1)*100),1)</f>
        <v>10.7</v>
      </c>
      <c r="W71" s="310">
        <f>W70/W69*1000</f>
        <v>2394.2307692307691</v>
      </c>
      <c r="X71" s="310">
        <f>X70/X69*1000</f>
        <v>2266.5773610180845</v>
      </c>
      <c r="Y71" s="194">
        <f t="shared" ref="Y71:Y107" si="54">ROUND(((X71/W71-1)*100),1)</f>
        <v>-5.3</v>
      </c>
      <c r="Z71" s="310">
        <f>Z70/Z69*1000</f>
        <v>2167.9795614221844</v>
      </c>
      <c r="AA71" s="310">
        <f>AA70/AA69*1000</f>
        <v>2286.3291139240505</v>
      </c>
      <c r="AB71" s="194">
        <f t="shared" ref="AB71:AB107" si="55">ROUND(((AA71/Z71-1)*100),1)</f>
        <v>5.5</v>
      </c>
      <c r="AC71" s="310">
        <f>AC70/AC69*1000</f>
        <v>2537.0950888192269</v>
      </c>
      <c r="AD71" s="310">
        <f>AD70/AD69*1000</f>
        <v>2296.1696306429549</v>
      </c>
      <c r="AE71" s="194">
        <f t="shared" ref="AE71:AE107" si="56">ROUND(((AD71/AC71-1)*100),1)</f>
        <v>-9.5</v>
      </c>
      <c r="AF71" s="310">
        <f>AF70/AF69*1000</f>
        <v>2274.8449553774017</v>
      </c>
      <c r="AG71" s="310">
        <f>AG70/AG69*1000</f>
        <v>2288.9874353288988</v>
      </c>
      <c r="AH71" s="194">
        <f t="shared" ref="AH71:AH107" si="57">ROUND(((AG71/AF71-1)*100),1)</f>
        <v>0.6</v>
      </c>
      <c r="AI71" s="310">
        <f>AI70/AI69*1000</f>
        <v>2119.1256830601092</v>
      </c>
      <c r="AJ71" s="310">
        <f>AJ70/AJ69*1000</f>
        <v>2637.7799415774098</v>
      </c>
      <c r="AK71" s="194">
        <f t="shared" ref="AK71:AK107" si="58">ROUND(((AJ71/AI71-1)*100),1)</f>
        <v>24.5</v>
      </c>
      <c r="AL71" s="310">
        <f>AL70/AL69*1000</f>
        <v>2241.0851794811042</v>
      </c>
      <c r="AM71" s="310">
        <f>AM70/AM69*1000</f>
        <v>2344.6187296164003</v>
      </c>
      <c r="AN71" s="194">
        <f t="shared" ref="AN71:AN107" si="59">ROUND(((AM71/AL71-1)*100),1)</f>
        <v>4.5999999999999996</v>
      </c>
      <c r="AO71" s="598">
        <f>AO70/AO69*1000</f>
        <v>2610.1694915254238</v>
      </c>
      <c r="AP71" s="598">
        <f>AP70/AP69*1000</f>
        <v>2344.1295546558704</v>
      </c>
      <c r="AQ71" s="588">
        <f t="shared" ref="AQ71:AQ107" si="60">ROUND(((AP71/AO71-1)*100),1)</f>
        <v>-10.199999999999999</v>
      </c>
      <c r="AR71" s="626">
        <f>AR70/AR69*1000</f>
        <v>2290.2762090563715</v>
      </c>
      <c r="AS71" s="626">
        <f>AS70/AS69*1000</f>
        <v>2344.5400052124055</v>
      </c>
      <c r="AT71" s="588">
        <f t="shared" ref="AT71:AT107" si="61">ROUND(((AS71/AR71-1)*100),1)</f>
        <v>2.4</v>
      </c>
      <c r="AU71" s="626">
        <f>AU70/AU69*1000</f>
        <v>2353.1994981179423</v>
      </c>
      <c r="AV71" s="626">
        <f>AV70/AV69*1000</f>
        <v>2063.0036630036634</v>
      </c>
      <c r="AW71" s="616">
        <f t="shared" ref="AW71:AW107" si="62">ROUND(((AV71/AU71-1)*100),1)</f>
        <v>-12.3</v>
      </c>
      <c r="AX71" s="930">
        <f>AX70/AX69*1000</f>
        <v>2299.126444895438</v>
      </c>
      <c r="AY71" s="930">
        <f>AY70/AY69*1000</f>
        <v>2302.0245602389646</v>
      </c>
      <c r="AZ71" s="616">
        <f t="shared" ref="AZ71:AZ107" si="63">ROUND(((AY71/AX71-1)*100),1)</f>
        <v>0.1</v>
      </c>
      <c r="BA71" s="626">
        <f>BA70/BA69*1000</f>
        <v>2139.1989494418908</v>
      </c>
      <c r="BB71" s="626">
        <f>BB70/BB69*1000</f>
        <v>1821.4285714285713</v>
      </c>
      <c r="BC71" s="616">
        <f t="shared" ref="BC71:BC107" si="64">ROUND(((BB71/BA71-1)*100),1)</f>
        <v>-14.9</v>
      </c>
      <c r="BD71" s="626">
        <f>BD70/BD69*1000</f>
        <v>2280.1804604853764</v>
      </c>
      <c r="BE71" s="626">
        <f>BE70/BE69*1000</f>
        <v>2243.2274978153218</v>
      </c>
      <c r="BF71" s="616">
        <f t="shared" ref="BF71:BF107" si="65">ROUND(((BE71/BD71-1)*100),1)</f>
        <v>-1.6</v>
      </c>
      <c r="BG71" s="626">
        <f>BG70/BG69*1000</f>
        <v>1909.2131809011432</v>
      </c>
      <c r="BH71" s="626">
        <f>BH70/BH69*1000</f>
        <v>2536.7316341829087</v>
      </c>
      <c r="BI71" s="616">
        <f t="shared" ref="BI71:BI107" si="66">ROUND(((BH71/BG71-1)*100),1)</f>
        <v>32.9</v>
      </c>
      <c r="BJ71" s="626">
        <f>BJ70/BJ69*1000</f>
        <v>2241.7206999930281</v>
      </c>
      <c r="BK71" s="626">
        <f>BK70/BK69*1000</f>
        <v>2276.8847244906733</v>
      </c>
      <c r="BL71" s="616">
        <f t="shared" ref="BL71:BL107" si="67">ROUND(((BK71/BJ71-1)*100),1)</f>
        <v>1.6</v>
      </c>
      <c r="BM71" s="626">
        <f>BM70/BM69*1000</f>
        <v>2070.0160342063068</v>
      </c>
      <c r="BN71" s="626">
        <f>BN70/BN69*1000</f>
        <v>2355.1508252703475</v>
      </c>
      <c r="BO71" s="616">
        <f t="shared" ref="BO71:BO107" si="68">ROUND(((BN71/BM71-1)*100),1)</f>
        <v>13.8</v>
      </c>
      <c r="BP71" s="626">
        <f>BP70/BP69*1000</f>
        <v>2221.9069939558403</v>
      </c>
      <c r="BQ71" s="626">
        <f>BQ70/BQ69*1000</f>
        <v>2287.1545929798358</v>
      </c>
      <c r="BR71" s="616">
        <f t="shared" ref="BR71:BR107" si="69">ROUND(((BQ71/BP71-1)*100),1)</f>
        <v>2.9</v>
      </c>
      <c r="BS71" s="626">
        <f>BS70/BS69*1000</f>
        <v>2200.6102212051869</v>
      </c>
      <c r="BT71" s="626">
        <f>BT70/BT69*1000</f>
        <v>2054.6528803545052</v>
      </c>
      <c r="BU71" s="616">
        <f t="shared" ref="BU71:BU107" si="70">ROUND(((BT71/BS71-1)*100),1)</f>
        <v>-6.6</v>
      </c>
      <c r="BV71" s="626">
        <f>BV70/BV69*1000</f>
        <v>2220.3138373751785</v>
      </c>
      <c r="BW71" s="626">
        <f>BW70/BW69*1000</f>
        <v>2265.803038524145</v>
      </c>
      <c r="BX71" s="616">
        <f t="shared" ref="BX71:BX107" si="71">ROUND(((BW71/BV71-1)*100),1)</f>
        <v>2</v>
      </c>
    </row>
    <row r="72" spans="1:76" ht="22.5" customHeight="1">
      <c r="A72" s="14"/>
      <c r="B72" s="1104" t="s">
        <v>25</v>
      </c>
      <c r="C72" s="1105"/>
      <c r="D72" s="15" t="s">
        <v>271</v>
      </c>
      <c r="E72" s="454">
        <v>490462</v>
      </c>
      <c r="F72" s="454">
        <v>535273</v>
      </c>
      <c r="G72" s="454">
        <v>512454</v>
      </c>
      <c r="H72" s="454">
        <v>450282</v>
      </c>
      <c r="I72" s="454">
        <v>550425</v>
      </c>
      <c r="J72" s="454">
        <v>589945</v>
      </c>
      <c r="K72" s="209">
        <v>551877</v>
      </c>
      <c r="L72" s="185">
        <v>610819</v>
      </c>
      <c r="M72" s="443">
        <v>570123</v>
      </c>
      <c r="N72" s="313">
        <v>40094</v>
      </c>
      <c r="O72" s="313">
        <v>47366</v>
      </c>
      <c r="P72" s="197">
        <f t="shared" si="51"/>
        <v>18.100000000000001</v>
      </c>
      <c r="Q72" s="313">
        <f>T72-N72</f>
        <v>37294</v>
      </c>
      <c r="R72" s="313">
        <f>U72-O72</f>
        <v>45190</v>
      </c>
      <c r="S72" s="197">
        <f t="shared" si="52"/>
        <v>21.2</v>
      </c>
      <c r="T72" s="313">
        <v>77388</v>
      </c>
      <c r="U72" s="313">
        <v>92556</v>
      </c>
      <c r="V72" s="197">
        <f t="shared" si="53"/>
        <v>19.600000000000001</v>
      </c>
      <c r="W72" s="313">
        <f>Z72-T72</f>
        <v>37103</v>
      </c>
      <c r="X72" s="313">
        <f>AA72-U72</f>
        <v>63207</v>
      </c>
      <c r="Y72" s="197">
        <f t="shared" si="54"/>
        <v>70.400000000000006</v>
      </c>
      <c r="Z72" s="313">
        <v>114491</v>
      </c>
      <c r="AA72" s="313">
        <v>155763</v>
      </c>
      <c r="AB72" s="197">
        <f t="shared" si="55"/>
        <v>36</v>
      </c>
      <c r="AC72" s="313">
        <f>AF72-Z72</f>
        <v>49226</v>
      </c>
      <c r="AD72" s="313">
        <f>AG72-AA72</f>
        <v>53959</v>
      </c>
      <c r="AE72" s="197">
        <f t="shared" si="56"/>
        <v>9.6</v>
      </c>
      <c r="AF72" s="313">
        <v>163717</v>
      </c>
      <c r="AG72" s="313">
        <v>209722</v>
      </c>
      <c r="AH72" s="197">
        <f t="shared" si="57"/>
        <v>28.1</v>
      </c>
      <c r="AI72" s="313">
        <f>AL72-AF72</f>
        <v>53886</v>
      </c>
      <c r="AJ72" s="313">
        <f>AM72-AG72</f>
        <v>46038</v>
      </c>
      <c r="AK72" s="197">
        <f t="shared" si="58"/>
        <v>-14.6</v>
      </c>
      <c r="AL72" s="313">
        <v>217603</v>
      </c>
      <c r="AM72" s="313">
        <v>255760</v>
      </c>
      <c r="AN72" s="197">
        <f t="shared" si="59"/>
        <v>17.5</v>
      </c>
      <c r="AO72" s="600">
        <f>AR72-AL72</f>
        <v>50515</v>
      </c>
      <c r="AP72" s="600">
        <f>AS72-AM72</f>
        <v>44944</v>
      </c>
      <c r="AQ72" s="590">
        <f t="shared" si="60"/>
        <v>-11</v>
      </c>
      <c r="AR72" s="640">
        <v>268118</v>
      </c>
      <c r="AS72" s="640">
        <v>300704</v>
      </c>
      <c r="AT72" s="590">
        <f t="shared" si="61"/>
        <v>12.2</v>
      </c>
      <c r="AU72" s="640">
        <f>AX72-AR72</f>
        <v>50649</v>
      </c>
      <c r="AV72" s="640">
        <f>AY72-AS72</f>
        <v>49011</v>
      </c>
      <c r="AW72" s="618">
        <f t="shared" si="62"/>
        <v>-3.2</v>
      </c>
      <c r="AX72" s="931">
        <v>318767</v>
      </c>
      <c r="AY72" s="931">
        <v>349715</v>
      </c>
      <c r="AZ72" s="618">
        <f t="shared" si="63"/>
        <v>9.6999999999999993</v>
      </c>
      <c r="BA72" s="640">
        <f>BD72-AX72</f>
        <v>45238</v>
      </c>
      <c r="BB72" s="640">
        <f>BE72-AY72</f>
        <v>41661</v>
      </c>
      <c r="BC72" s="618">
        <f t="shared" si="64"/>
        <v>-7.9</v>
      </c>
      <c r="BD72" s="640">
        <v>364005</v>
      </c>
      <c r="BE72" s="640">
        <v>391376</v>
      </c>
      <c r="BF72" s="618">
        <f t="shared" si="65"/>
        <v>7.5</v>
      </c>
      <c r="BG72" s="640">
        <f>BJ72-BD72</f>
        <v>45604</v>
      </c>
      <c r="BH72" s="640">
        <f>BK72-BE72</f>
        <v>57415</v>
      </c>
      <c r="BI72" s="618">
        <f t="shared" si="66"/>
        <v>25.9</v>
      </c>
      <c r="BJ72" s="640">
        <v>409609</v>
      </c>
      <c r="BK72" s="640">
        <v>448791</v>
      </c>
      <c r="BL72" s="618">
        <f t="shared" si="67"/>
        <v>9.6</v>
      </c>
      <c r="BM72" s="640">
        <f>BP72-BJ72</f>
        <v>53044</v>
      </c>
      <c r="BN72" s="640">
        <f>BQ72-BK72</f>
        <v>58652</v>
      </c>
      <c r="BO72" s="618">
        <f t="shared" si="68"/>
        <v>10.6</v>
      </c>
      <c r="BP72" s="640">
        <v>462653</v>
      </c>
      <c r="BQ72" s="640">
        <v>507443</v>
      </c>
      <c r="BR72" s="618">
        <f t="shared" si="69"/>
        <v>9.6999999999999993</v>
      </c>
      <c r="BS72" s="640">
        <f>BV72-BP72</f>
        <v>49103</v>
      </c>
      <c r="BT72" s="640">
        <f>BW72-BQ72</f>
        <v>55862</v>
      </c>
      <c r="BU72" s="618">
        <f t="shared" si="70"/>
        <v>13.8</v>
      </c>
      <c r="BV72" s="640">
        <v>511756</v>
      </c>
      <c r="BW72" s="640">
        <v>563305</v>
      </c>
      <c r="BX72" s="618">
        <f t="shared" si="71"/>
        <v>10.1</v>
      </c>
    </row>
    <row r="73" spans="1:76" ht="22.5" customHeight="1">
      <c r="A73" s="14"/>
      <c r="B73" s="1104"/>
      <c r="C73" s="1105"/>
      <c r="D73" s="367" t="s">
        <v>272</v>
      </c>
      <c r="E73" s="455">
        <v>1100496</v>
      </c>
      <c r="F73" s="455">
        <v>1038688</v>
      </c>
      <c r="G73" s="455">
        <v>1029125</v>
      </c>
      <c r="H73" s="455">
        <v>1052599</v>
      </c>
      <c r="I73" s="455">
        <v>1168851</v>
      </c>
      <c r="J73" s="455">
        <v>1300839</v>
      </c>
      <c r="K73" s="210">
        <v>1653856</v>
      </c>
      <c r="L73" s="186">
        <v>1879192</v>
      </c>
      <c r="M73" s="444">
        <v>1533905</v>
      </c>
      <c r="N73" s="314">
        <v>111139</v>
      </c>
      <c r="O73" s="314">
        <v>117345</v>
      </c>
      <c r="P73" s="198">
        <f t="shared" si="51"/>
        <v>5.6</v>
      </c>
      <c r="Q73" s="314">
        <f>T73-N73</f>
        <v>105221</v>
      </c>
      <c r="R73" s="314">
        <f>U73-O73</f>
        <v>109894</v>
      </c>
      <c r="S73" s="198">
        <f t="shared" si="52"/>
        <v>4.4000000000000004</v>
      </c>
      <c r="T73" s="314">
        <v>216360</v>
      </c>
      <c r="U73" s="314">
        <v>227239</v>
      </c>
      <c r="V73" s="198">
        <f t="shared" si="53"/>
        <v>5</v>
      </c>
      <c r="W73" s="314">
        <f>Z73-T73</f>
        <v>109529</v>
      </c>
      <c r="X73" s="314">
        <f>AA73-U73</f>
        <v>133657</v>
      </c>
      <c r="Y73" s="198">
        <f t="shared" si="54"/>
        <v>22</v>
      </c>
      <c r="Z73" s="314">
        <v>325889</v>
      </c>
      <c r="AA73" s="314">
        <v>360896</v>
      </c>
      <c r="AB73" s="198">
        <f t="shared" si="55"/>
        <v>10.7</v>
      </c>
      <c r="AC73" s="314">
        <f>AF73-Z73</f>
        <v>150123</v>
      </c>
      <c r="AD73" s="314">
        <f>AG73-AA73</f>
        <v>110675</v>
      </c>
      <c r="AE73" s="198">
        <f t="shared" si="56"/>
        <v>-26.3</v>
      </c>
      <c r="AF73" s="314">
        <v>476012</v>
      </c>
      <c r="AG73" s="314">
        <v>471571</v>
      </c>
      <c r="AH73" s="198">
        <f t="shared" si="57"/>
        <v>-0.9</v>
      </c>
      <c r="AI73" s="314">
        <f>AL73-AF73</f>
        <v>157836</v>
      </c>
      <c r="AJ73" s="314">
        <f>AM73-AG73</f>
        <v>89671</v>
      </c>
      <c r="AK73" s="198">
        <f t="shared" si="58"/>
        <v>-43.2</v>
      </c>
      <c r="AL73" s="314">
        <v>633848</v>
      </c>
      <c r="AM73" s="314">
        <v>561242</v>
      </c>
      <c r="AN73" s="198">
        <f t="shared" si="59"/>
        <v>-11.5</v>
      </c>
      <c r="AO73" s="601">
        <f>AR73-AL73</f>
        <v>141838</v>
      </c>
      <c r="AP73" s="601">
        <f>AS73-AM73</f>
        <v>95058</v>
      </c>
      <c r="AQ73" s="591">
        <f t="shared" si="60"/>
        <v>-33</v>
      </c>
      <c r="AR73" s="641">
        <v>775686</v>
      </c>
      <c r="AS73" s="641">
        <v>656300</v>
      </c>
      <c r="AT73" s="591">
        <f t="shared" si="61"/>
        <v>-15.4</v>
      </c>
      <c r="AU73" s="641">
        <f>AX73-AR73</f>
        <v>135859</v>
      </c>
      <c r="AV73" s="641">
        <f>AY73-AS73</f>
        <v>108159</v>
      </c>
      <c r="AW73" s="619">
        <f t="shared" si="62"/>
        <v>-20.399999999999999</v>
      </c>
      <c r="AX73" s="932">
        <v>911545</v>
      </c>
      <c r="AY73" s="932">
        <v>764459</v>
      </c>
      <c r="AZ73" s="619">
        <f t="shared" si="63"/>
        <v>-16.100000000000001</v>
      </c>
      <c r="BA73" s="641">
        <f>BD73-AX73</f>
        <v>114400</v>
      </c>
      <c r="BB73" s="641">
        <f>BE73-AY73</f>
        <v>98227</v>
      </c>
      <c r="BC73" s="619">
        <f t="shared" si="64"/>
        <v>-14.1</v>
      </c>
      <c r="BD73" s="641">
        <v>1025945</v>
      </c>
      <c r="BE73" s="641">
        <v>862686</v>
      </c>
      <c r="BF73" s="619">
        <f t="shared" si="65"/>
        <v>-15.9</v>
      </c>
      <c r="BG73" s="641">
        <f>BJ73-BD73</f>
        <v>112391</v>
      </c>
      <c r="BH73" s="641">
        <f>BK73-BE73</f>
        <v>146166</v>
      </c>
      <c r="BI73" s="619">
        <f t="shared" si="66"/>
        <v>30.1</v>
      </c>
      <c r="BJ73" s="641">
        <v>1138336</v>
      </c>
      <c r="BK73" s="641">
        <v>1008852</v>
      </c>
      <c r="BL73" s="619">
        <f t="shared" si="67"/>
        <v>-11.4</v>
      </c>
      <c r="BM73" s="641">
        <f>BP73-BJ73</f>
        <v>130047</v>
      </c>
      <c r="BN73" s="641">
        <f>BQ73-BK73</f>
        <v>149647</v>
      </c>
      <c r="BO73" s="619">
        <f t="shared" si="68"/>
        <v>15.1</v>
      </c>
      <c r="BP73" s="641">
        <v>1268383</v>
      </c>
      <c r="BQ73" s="641">
        <v>1158499</v>
      </c>
      <c r="BR73" s="619">
        <f t="shared" si="69"/>
        <v>-8.6999999999999993</v>
      </c>
      <c r="BS73" s="641">
        <f>BV73-BP73</f>
        <v>122364</v>
      </c>
      <c r="BT73" s="641">
        <f>BW73-BQ73</f>
        <v>145107</v>
      </c>
      <c r="BU73" s="619">
        <f t="shared" si="70"/>
        <v>18.600000000000001</v>
      </c>
      <c r="BV73" s="641">
        <v>1390747</v>
      </c>
      <c r="BW73" s="641">
        <v>1303606</v>
      </c>
      <c r="BX73" s="619">
        <f t="shared" si="71"/>
        <v>-6.3</v>
      </c>
    </row>
    <row r="74" spans="1:76" ht="22.5" customHeight="1">
      <c r="A74" s="13"/>
      <c r="B74" s="1104"/>
      <c r="C74" s="1105"/>
      <c r="D74" s="371" t="s">
        <v>317</v>
      </c>
      <c r="E74" s="456">
        <f t="shared" ref="E74:L74" si="72">E73/E72*1000</f>
        <v>2243.7946262911296</v>
      </c>
      <c r="F74" s="456">
        <f t="shared" si="72"/>
        <v>1940.4827069551425</v>
      </c>
      <c r="G74" s="456">
        <f t="shared" si="72"/>
        <v>2008.2290312886619</v>
      </c>
      <c r="H74" s="456">
        <f t="shared" si="72"/>
        <v>2337.6439653372777</v>
      </c>
      <c r="I74" s="456">
        <f t="shared" si="72"/>
        <v>2123.5427169914155</v>
      </c>
      <c r="J74" s="456">
        <f t="shared" si="72"/>
        <v>2205.0174168778444</v>
      </c>
      <c r="K74" s="211">
        <f t="shared" si="72"/>
        <v>2996.7837036151172</v>
      </c>
      <c r="L74" s="187">
        <f t="shared" si="72"/>
        <v>3076.5120272945014</v>
      </c>
      <c r="M74" s="445">
        <f>M73/M72*1000</f>
        <v>2690.4808260673576</v>
      </c>
      <c r="N74" s="315">
        <f>N73/N72*1000</f>
        <v>2771.9608919040256</v>
      </c>
      <c r="O74" s="315">
        <f>O73/O72*1000</f>
        <v>2477.4099565088882</v>
      </c>
      <c r="P74" s="199">
        <f t="shared" si="51"/>
        <v>-10.6</v>
      </c>
      <c r="Q74" s="315">
        <f>Q73/Q72*1000</f>
        <v>2821.3921810478901</v>
      </c>
      <c r="R74" s="315">
        <f>R73/R72*1000</f>
        <v>2431.8211993803939</v>
      </c>
      <c r="S74" s="199">
        <f t="shared" si="52"/>
        <v>-13.8</v>
      </c>
      <c r="T74" s="315">
        <f>T73/T72*1000</f>
        <v>2795.7822918281904</v>
      </c>
      <c r="U74" s="315">
        <f>U73/U72*1000</f>
        <v>2455.1514758632611</v>
      </c>
      <c r="V74" s="199">
        <f t="shared" si="53"/>
        <v>-12.2</v>
      </c>
      <c r="W74" s="315">
        <f>W73/W72*1000</f>
        <v>2952.0254426865754</v>
      </c>
      <c r="X74" s="315">
        <f>X73/X72*1000</f>
        <v>2114.5917382568387</v>
      </c>
      <c r="Y74" s="199">
        <f t="shared" si="54"/>
        <v>-28.4</v>
      </c>
      <c r="Z74" s="315">
        <f>Z73/Z72*1000</f>
        <v>2846.4158754836621</v>
      </c>
      <c r="AA74" s="315">
        <f>AA73/AA72*1000</f>
        <v>2316.9558881120674</v>
      </c>
      <c r="AB74" s="199">
        <f t="shared" si="55"/>
        <v>-18.600000000000001</v>
      </c>
      <c r="AC74" s="315">
        <f>AC73/AC72*1000</f>
        <v>3049.6688741721855</v>
      </c>
      <c r="AD74" s="315">
        <f>AD73/AD72*1000</f>
        <v>2051.0943494134435</v>
      </c>
      <c r="AE74" s="199">
        <f t="shared" si="56"/>
        <v>-32.700000000000003</v>
      </c>
      <c r="AF74" s="315">
        <f>AF73/AF72*1000</f>
        <v>2907.5294563179145</v>
      </c>
      <c r="AG74" s="315">
        <f>AG73/AG72*1000</f>
        <v>2248.5528461487111</v>
      </c>
      <c r="AH74" s="199">
        <f t="shared" si="57"/>
        <v>-22.7</v>
      </c>
      <c r="AI74" s="315">
        <f>AI73/AI72*1000</f>
        <v>2929.0724863600935</v>
      </c>
      <c r="AJ74" s="315">
        <f>AJ73/AJ72*1000</f>
        <v>1947.7605456362135</v>
      </c>
      <c r="AK74" s="199">
        <f t="shared" si="58"/>
        <v>-33.5</v>
      </c>
      <c r="AL74" s="315">
        <f>AL73/AL72*1000</f>
        <v>2912.8642527906322</v>
      </c>
      <c r="AM74" s="315">
        <f>AM73/AM72*1000</f>
        <v>2194.4088207694713</v>
      </c>
      <c r="AN74" s="199">
        <f t="shared" si="59"/>
        <v>-24.7</v>
      </c>
      <c r="AO74" s="602">
        <f>AO73/AO72*1000</f>
        <v>2807.8392556666336</v>
      </c>
      <c r="AP74" s="602">
        <f>AP73/AP72*1000</f>
        <v>2115.0320398718404</v>
      </c>
      <c r="AQ74" s="592">
        <f t="shared" si="60"/>
        <v>-24.7</v>
      </c>
      <c r="AR74" s="630">
        <f>AR73/AR72*1000</f>
        <v>2893.0769288149249</v>
      </c>
      <c r="AS74" s="630">
        <f>AS73/AS72*1000</f>
        <v>2182.5449611578165</v>
      </c>
      <c r="AT74" s="592">
        <f t="shared" si="61"/>
        <v>-24.6</v>
      </c>
      <c r="AU74" s="630">
        <f>AU73/AU72*1000</f>
        <v>2682.3629291792536</v>
      </c>
      <c r="AV74" s="630">
        <f>AV73/AV72*1000</f>
        <v>2206.8311195445922</v>
      </c>
      <c r="AW74" s="620">
        <f t="shared" si="62"/>
        <v>-17.7</v>
      </c>
      <c r="AX74" s="933">
        <f>AX73/AX72*1000</f>
        <v>2859.5965077940941</v>
      </c>
      <c r="AY74" s="933">
        <f>AY73/AY72*1000</f>
        <v>2185.9485581116051</v>
      </c>
      <c r="AZ74" s="620">
        <f t="shared" si="63"/>
        <v>-23.6</v>
      </c>
      <c r="BA74" s="630">
        <f>BA73/BA72*1000</f>
        <v>2528.8474291524822</v>
      </c>
      <c r="BB74" s="630">
        <f>BB73/BB72*1000</f>
        <v>2357.7686565372892</v>
      </c>
      <c r="BC74" s="620">
        <f t="shared" si="64"/>
        <v>-6.8</v>
      </c>
      <c r="BD74" s="630">
        <f>BD73/BD72*1000</f>
        <v>2818.4915042375792</v>
      </c>
      <c r="BE74" s="630">
        <f>BE73/BE72*1000</f>
        <v>2204.2383794611833</v>
      </c>
      <c r="BF74" s="620">
        <f t="shared" si="65"/>
        <v>-21.8</v>
      </c>
      <c r="BG74" s="630">
        <f>BG73/BG72*1000</f>
        <v>2464.4987281817384</v>
      </c>
      <c r="BH74" s="630">
        <f>BH73/BH72*1000</f>
        <v>2545.7807193242184</v>
      </c>
      <c r="BI74" s="620">
        <f t="shared" si="66"/>
        <v>3.3</v>
      </c>
      <c r="BJ74" s="630">
        <f>BJ73/BJ72*1000</f>
        <v>2779.0795612401093</v>
      </c>
      <c r="BK74" s="630">
        <f>BK73/BK72*1000</f>
        <v>2247.9327794006567</v>
      </c>
      <c r="BL74" s="620">
        <f t="shared" si="67"/>
        <v>-19.100000000000001</v>
      </c>
      <c r="BM74" s="630">
        <f>BM73/BM72*1000</f>
        <v>2451.6816228037101</v>
      </c>
      <c r="BN74" s="630">
        <f>BN73/BN72*1000</f>
        <v>2551.4389961126644</v>
      </c>
      <c r="BO74" s="620">
        <f t="shared" si="68"/>
        <v>4.0999999999999996</v>
      </c>
      <c r="BP74" s="630">
        <f>BP73/BP72*1000</f>
        <v>2741.5427977339386</v>
      </c>
      <c r="BQ74" s="630">
        <f>BQ73/BQ72*1000</f>
        <v>2283.0130674775291</v>
      </c>
      <c r="BR74" s="620">
        <f t="shared" si="69"/>
        <v>-16.7</v>
      </c>
      <c r="BS74" s="630">
        <f>BS73/BS72*1000</f>
        <v>2491.986233020386</v>
      </c>
      <c r="BT74" s="630">
        <f>BT73/BT72*1000</f>
        <v>2597.5976513551254</v>
      </c>
      <c r="BU74" s="620">
        <f t="shared" si="70"/>
        <v>4.2</v>
      </c>
      <c r="BV74" s="630">
        <f>BV73/BV72*1000</f>
        <v>2717.5978395954321</v>
      </c>
      <c r="BW74" s="630">
        <f>BW73/BW72*1000</f>
        <v>2314.2098862960565</v>
      </c>
      <c r="BX74" s="620">
        <f t="shared" si="71"/>
        <v>-14.8</v>
      </c>
    </row>
    <row r="75" spans="1:76" ht="22.5" customHeight="1">
      <c r="A75" s="1101" t="s">
        <v>33</v>
      </c>
      <c r="B75" s="1099" t="s">
        <v>32</v>
      </c>
      <c r="C75" s="1103" t="s">
        <v>302</v>
      </c>
      <c r="D75" s="365" t="s">
        <v>13</v>
      </c>
      <c r="E75" s="452">
        <v>160690</v>
      </c>
      <c r="F75" s="452">
        <v>183566</v>
      </c>
      <c r="G75" s="452">
        <v>195046</v>
      </c>
      <c r="H75" s="452">
        <v>264749</v>
      </c>
      <c r="I75" s="452">
        <v>256633</v>
      </c>
      <c r="J75" s="452">
        <v>380255</v>
      </c>
      <c r="K75" s="207">
        <v>338933</v>
      </c>
      <c r="L75" s="183">
        <v>353256</v>
      </c>
      <c r="M75" s="446">
        <v>350431</v>
      </c>
      <c r="N75" s="311">
        <v>24992</v>
      </c>
      <c r="O75" s="311">
        <v>35142</v>
      </c>
      <c r="P75" s="195">
        <f t="shared" si="51"/>
        <v>40.6</v>
      </c>
      <c r="Q75" s="311">
        <f>T75-N75</f>
        <v>35016</v>
      </c>
      <c r="R75" s="311">
        <f>U75-O75</f>
        <v>24520</v>
      </c>
      <c r="S75" s="195">
        <f t="shared" si="52"/>
        <v>-30</v>
      </c>
      <c r="T75" s="311">
        <v>60008</v>
      </c>
      <c r="U75" s="48">
        <v>59662</v>
      </c>
      <c r="V75" s="195">
        <f t="shared" si="53"/>
        <v>-0.6</v>
      </c>
      <c r="W75" s="311">
        <f>Z75-T75</f>
        <v>29290</v>
      </c>
      <c r="X75" s="311">
        <f>AA75-U75</f>
        <v>29877</v>
      </c>
      <c r="Y75" s="195">
        <f t="shared" si="54"/>
        <v>2</v>
      </c>
      <c r="Z75" s="311">
        <v>89298</v>
      </c>
      <c r="AA75" s="48">
        <v>89539</v>
      </c>
      <c r="AB75" s="195">
        <f t="shared" si="55"/>
        <v>0.3</v>
      </c>
      <c r="AC75" s="311">
        <f>AF75-Z75</f>
        <v>27462</v>
      </c>
      <c r="AD75" s="311">
        <f>AG75-AA75</f>
        <v>29145</v>
      </c>
      <c r="AE75" s="195">
        <f t="shared" si="56"/>
        <v>6.1</v>
      </c>
      <c r="AF75" s="311">
        <v>116760</v>
      </c>
      <c r="AG75" s="48">
        <v>118684</v>
      </c>
      <c r="AH75" s="195">
        <f t="shared" si="57"/>
        <v>1.6</v>
      </c>
      <c r="AI75" s="311">
        <f>AL75-AF75</f>
        <v>37352</v>
      </c>
      <c r="AJ75" s="311">
        <f>AM75-AG75</f>
        <v>19351</v>
      </c>
      <c r="AK75" s="195">
        <f t="shared" si="58"/>
        <v>-48.2</v>
      </c>
      <c r="AL75" s="311">
        <v>154112</v>
      </c>
      <c r="AM75" s="48">
        <v>138035</v>
      </c>
      <c r="AN75" s="195">
        <f t="shared" si="59"/>
        <v>-10.4</v>
      </c>
      <c r="AO75" s="599">
        <f>AR75-AL75</f>
        <v>32706</v>
      </c>
      <c r="AP75" s="599">
        <f>AS75-AM75</f>
        <v>23609</v>
      </c>
      <c r="AQ75" s="589">
        <f t="shared" si="60"/>
        <v>-27.8</v>
      </c>
      <c r="AR75" s="869">
        <v>186818</v>
      </c>
      <c r="AS75" s="899">
        <v>161644</v>
      </c>
      <c r="AT75" s="589">
        <f t="shared" si="61"/>
        <v>-13.5</v>
      </c>
      <c r="AU75" s="869">
        <f>AX75-AR75</f>
        <v>26511</v>
      </c>
      <c r="AV75" s="869">
        <f>AY75-AS75</f>
        <v>37378</v>
      </c>
      <c r="AW75" s="617">
        <f t="shared" si="62"/>
        <v>41</v>
      </c>
      <c r="AX75" s="929">
        <v>213329</v>
      </c>
      <c r="AY75" s="936">
        <v>199022</v>
      </c>
      <c r="AZ75" s="617">
        <f t="shared" si="63"/>
        <v>-6.7</v>
      </c>
      <c r="BA75" s="869">
        <f>BD75-AX75</f>
        <v>36168</v>
      </c>
      <c r="BB75" s="869">
        <f>BE75-AY75</f>
        <v>21668</v>
      </c>
      <c r="BC75" s="617">
        <f t="shared" si="64"/>
        <v>-40.1</v>
      </c>
      <c r="BD75" s="869">
        <v>249497</v>
      </c>
      <c r="BE75" s="899">
        <v>220690</v>
      </c>
      <c r="BF75" s="617">
        <f t="shared" si="65"/>
        <v>-11.5</v>
      </c>
      <c r="BG75" s="869">
        <f>BJ75-BD75</f>
        <v>19211</v>
      </c>
      <c r="BH75" s="869">
        <f>BK75-BE75</f>
        <v>24573</v>
      </c>
      <c r="BI75" s="617">
        <f t="shared" si="66"/>
        <v>27.9</v>
      </c>
      <c r="BJ75" s="869">
        <v>268708</v>
      </c>
      <c r="BK75" s="899">
        <v>245263</v>
      </c>
      <c r="BL75" s="617">
        <f t="shared" si="67"/>
        <v>-8.6999999999999993</v>
      </c>
      <c r="BM75" s="869">
        <f>BP75-BJ75</f>
        <v>27448</v>
      </c>
      <c r="BN75" s="869">
        <f>BQ75-BK75</f>
        <v>19517</v>
      </c>
      <c r="BO75" s="617">
        <f t="shared" si="68"/>
        <v>-28.9</v>
      </c>
      <c r="BP75" s="869">
        <v>296156</v>
      </c>
      <c r="BQ75" s="899">
        <v>264780</v>
      </c>
      <c r="BR75" s="617">
        <f t="shared" si="69"/>
        <v>-10.6</v>
      </c>
      <c r="BS75" s="869">
        <f>BV75-BP75</f>
        <v>27697</v>
      </c>
      <c r="BT75" s="869">
        <f>BW75-BQ75</f>
        <v>39238</v>
      </c>
      <c r="BU75" s="617">
        <f t="shared" si="70"/>
        <v>41.7</v>
      </c>
      <c r="BV75" s="869">
        <v>323853</v>
      </c>
      <c r="BW75" s="899">
        <v>304018</v>
      </c>
      <c r="BX75" s="617">
        <f t="shared" si="71"/>
        <v>-6.1</v>
      </c>
    </row>
    <row r="76" spans="1:76" ht="22.5" customHeight="1">
      <c r="A76" s="1102"/>
      <c r="B76" s="1099"/>
      <c r="C76" s="1100"/>
      <c r="D76" s="366" t="s">
        <v>14</v>
      </c>
      <c r="E76" s="449">
        <v>403721</v>
      </c>
      <c r="F76" s="449">
        <v>404076</v>
      </c>
      <c r="G76" s="449">
        <v>469033</v>
      </c>
      <c r="H76" s="449">
        <v>615568</v>
      </c>
      <c r="I76" s="449">
        <v>508373</v>
      </c>
      <c r="J76" s="449">
        <v>760565</v>
      </c>
      <c r="K76" s="202">
        <v>830697</v>
      </c>
      <c r="L76" s="180">
        <v>858395</v>
      </c>
      <c r="M76" s="438">
        <v>755861</v>
      </c>
      <c r="N76" s="309">
        <v>53138</v>
      </c>
      <c r="O76" s="309">
        <v>73818</v>
      </c>
      <c r="P76" s="193">
        <f t="shared" si="51"/>
        <v>38.9</v>
      </c>
      <c r="Q76" s="309">
        <f>T76-N76</f>
        <v>76114</v>
      </c>
      <c r="R76" s="309">
        <f>U76-O76</f>
        <v>50788</v>
      </c>
      <c r="S76" s="193">
        <f t="shared" si="52"/>
        <v>-33.299999999999997</v>
      </c>
      <c r="T76" s="309">
        <v>129252</v>
      </c>
      <c r="U76" s="309">
        <v>124606</v>
      </c>
      <c r="V76" s="193">
        <f t="shared" si="53"/>
        <v>-3.6</v>
      </c>
      <c r="W76" s="309">
        <f>Z76-T76</f>
        <v>64965</v>
      </c>
      <c r="X76" s="309">
        <f>AA76-U76</f>
        <v>58682</v>
      </c>
      <c r="Y76" s="193">
        <f t="shared" si="54"/>
        <v>-9.6999999999999993</v>
      </c>
      <c r="Z76" s="309">
        <v>194217</v>
      </c>
      <c r="AA76" s="309">
        <v>183288</v>
      </c>
      <c r="AB76" s="193">
        <f t="shared" si="55"/>
        <v>-5.6</v>
      </c>
      <c r="AC76" s="309">
        <f>AF76-Z76</f>
        <v>60233</v>
      </c>
      <c r="AD76" s="309">
        <f>AG76-AA76</f>
        <v>53813</v>
      </c>
      <c r="AE76" s="193">
        <f t="shared" si="56"/>
        <v>-10.7</v>
      </c>
      <c r="AF76" s="309">
        <v>254450</v>
      </c>
      <c r="AG76" s="309">
        <v>237101</v>
      </c>
      <c r="AH76" s="193">
        <f t="shared" si="57"/>
        <v>-6.8</v>
      </c>
      <c r="AI76" s="309">
        <f>AL76-AF76</f>
        <v>77475</v>
      </c>
      <c r="AJ76" s="309">
        <f>AM76-AG76</f>
        <v>34543</v>
      </c>
      <c r="AK76" s="193">
        <f t="shared" si="58"/>
        <v>-55.4</v>
      </c>
      <c r="AL76" s="309">
        <v>331925</v>
      </c>
      <c r="AM76" s="309">
        <v>271644</v>
      </c>
      <c r="AN76" s="193">
        <f t="shared" si="59"/>
        <v>-18.2</v>
      </c>
      <c r="AO76" s="597">
        <f>AR76-AL76</f>
        <v>66035</v>
      </c>
      <c r="AP76" s="597">
        <f>AS76-AM76</f>
        <v>43410</v>
      </c>
      <c r="AQ76" s="587">
        <f t="shared" si="60"/>
        <v>-34.299999999999997</v>
      </c>
      <c r="AR76" s="868">
        <v>397960</v>
      </c>
      <c r="AS76" s="868">
        <v>315054</v>
      </c>
      <c r="AT76" s="587">
        <f t="shared" si="61"/>
        <v>-20.8</v>
      </c>
      <c r="AU76" s="868">
        <f>AX76-AR76</f>
        <v>55380</v>
      </c>
      <c r="AV76" s="868">
        <f>AY76-AS76</f>
        <v>72657</v>
      </c>
      <c r="AW76" s="615">
        <f t="shared" si="62"/>
        <v>31.2</v>
      </c>
      <c r="AX76" s="925">
        <v>453340</v>
      </c>
      <c r="AY76" s="925">
        <v>387711</v>
      </c>
      <c r="AZ76" s="615">
        <f t="shared" si="63"/>
        <v>-14.5</v>
      </c>
      <c r="BA76" s="868">
        <f>BD76-AX76</f>
        <v>77538</v>
      </c>
      <c r="BB76" s="868">
        <f>BE76-AY76</f>
        <v>44709</v>
      </c>
      <c r="BC76" s="615">
        <f t="shared" si="64"/>
        <v>-42.3</v>
      </c>
      <c r="BD76" s="868">
        <v>530878</v>
      </c>
      <c r="BE76" s="868">
        <v>432420</v>
      </c>
      <c r="BF76" s="615">
        <f t="shared" si="65"/>
        <v>-18.5</v>
      </c>
      <c r="BG76" s="868">
        <f>BJ76-BD76</f>
        <v>42284</v>
      </c>
      <c r="BH76" s="868">
        <f>BK76-BE76</f>
        <v>51290</v>
      </c>
      <c r="BI76" s="615">
        <f t="shared" si="66"/>
        <v>21.3</v>
      </c>
      <c r="BJ76" s="868">
        <v>573162</v>
      </c>
      <c r="BK76" s="868">
        <v>483710</v>
      </c>
      <c r="BL76" s="615">
        <f t="shared" si="67"/>
        <v>-15.6</v>
      </c>
      <c r="BM76" s="868">
        <f>BP76-BJ76</f>
        <v>61484</v>
      </c>
      <c r="BN76" s="868">
        <f>BQ76-BK76</f>
        <v>39996</v>
      </c>
      <c r="BO76" s="615">
        <f t="shared" si="68"/>
        <v>-34.9</v>
      </c>
      <c r="BP76" s="868">
        <v>634646</v>
      </c>
      <c r="BQ76" s="868">
        <v>523706</v>
      </c>
      <c r="BR76" s="615">
        <f t="shared" si="69"/>
        <v>-17.5</v>
      </c>
      <c r="BS76" s="868">
        <f>BV76-BP76</f>
        <v>63109</v>
      </c>
      <c r="BT76" s="868">
        <f>BW76-BQ76</f>
        <v>77651</v>
      </c>
      <c r="BU76" s="615">
        <f t="shared" si="70"/>
        <v>23</v>
      </c>
      <c r="BV76" s="868">
        <v>697755</v>
      </c>
      <c r="BW76" s="868">
        <v>601357</v>
      </c>
      <c r="BX76" s="615">
        <f t="shared" si="71"/>
        <v>-13.8</v>
      </c>
    </row>
    <row r="77" spans="1:76" ht="22.5" customHeight="1">
      <c r="A77" s="14"/>
      <c r="B77" s="1099"/>
      <c r="C77" s="1100"/>
      <c r="D77" s="370" t="s">
        <v>15</v>
      </c>
      <c r="E77" s="453">
        <f t="shared" ref="E77:L77" si="73">E76/E75*1000</f>
        <v>2512.4214325720332</v>
      </c>
      <c r="F77" s="453">
        <f t="shared" si="73"/>
        <v>2201.2573134458453</v>
      </c>
      <c r="G77" s="453">
        <f t="shared" si="73"/>
        <v>2404.7301662172003</v>
      </c>
      <c r="H77" s="453">
        <f t="shared" si="73"/>
        <v>2325.1003780939682</v>
      </c>
      <c r="I77" s="453">
        <f t="shared" si="73"/>
        <v>1980.9338627534262</v>
      </c>
      <c r="J77" s="453">
        <f t="shared" si="73"/>
        <v>2000.1446397811992</v>
      </c>
      <c r="K77" s="208">
        <f t="shared" si="73"/>
        <v>2450.9180280468408</v>
      </c>
      <c r="L77" s="184">
        <f t="shared" si="73"/>
        <v>2429.9516497950494</v>
      </c>
      <c r="M77" s="439">
        <f>M76/M75*1000</f>
        <v>2156.9467313108717</v>
      </c>
      <c r="N77" s="310">
        <f>N76/N75*1000</f>
        <v>2126.2003841229193</v>
      </c>
      <c r="O77" s="310">
        <f>O76/O75*1000</f>
        <v>2100.5634283763015</v>
      </c>
      <c r="P77" s="194">
        <f t="shared" si="51"/>
        <v>-1.2</v>
      </c>
      <c r="Q77" s="310">
        <f>Q76/Q75*1000</f>
        <v>2173.6920265021708</v>
      </c>
      <c r="R77" s="310">
        <f>R76/R75*1000</f>
        <v>2071.2887438825451</v>
      </c>
      <c r="S77" s="194">
        <f t="shared" si="52"/>
        <v>-4.7</v>
      </c>
      <c r="T77" s="310">
        <f>T76/T75*1000</f>
        <v>2153.9128116251163</v>
      </c>
      <c r="U77" s="310">
        <f>U76/U75*1000</f>
        <v>2088.5320639603096</v>
      </c>
      <c r="V77" s="194">
        <f t="shared" si="53"/>
        <v>-3</v>
      </c>
      <c r="W77" s="310">
        <f>W76/W75*1000</f>
        <v>2217.9924889040626</v>
      </c>
      <c r="X77" s="310">
        <f>X76/X75*1000</f>
        <v>1964.1195568497508</v>
      </c>
      <c r="Y77" s="194">
        <f t="shared" si="54"/>
        <v>-11.4</v>
      </c>
      <c r="Z77" s="310">
        <f>Z76/Z75*1000</f>
        <v>2174.9311294765839</v>
      </c>
      <c r="AA77" s="310">
        <f>AA76/AA75*1000</f>
        <v>2047.0186175856329</v>
      </c>
      <c r="AB77" s="194">
        <f t="shared" si="55"/>
        <v>-5.9</v>
      </c>
      <c r="AC77" s="310">
        <f>AC76/AC75*1000</f>
        <v>2193.3216808681086</v>
      </c>
      <c r="AD77" s="310">
        <f>AD76/AD75*1000</f>
        <v>1846.3887459255445</v>
      </c>
      <c r="AE77" s="194">
        <f t="shared" si="56"/>
        <v>-15.8</v>
      </c>
      <c r="AF77" s="310">
        <f>AF76/AF75*1000</f>
        <v>2179.2565947242206</v>
      </c>
      <c r="AG77" s="310">
        <f>AG76/AG75*1000</f>
        <v>1997.750328603687</v>
      </c>
      <c r="AH77" s="194">
        <f t="shared" si="57"/>
        <v>-8.3000000000000007</v>
      </c>
      <c r="AI77" s="310">
        <f>AI76/AI75*1000</f>
        <v>2074.1861212251015</v>
      </c>
      <c r="AJ77" s="310">
        <f>AJ76/AJ75*1000</f>
        <v>1785.0757066818253</v>
      </c>
      <c r="AK77" s="194">
        <f t="shared" si="58"/>
        <v>-13.9</v>
      </c>
      <c r="AL77" s="310">
        <f>AL76/AL75*1000</f>
        <v>2153.7907495847176</v>
      </c>
      <c r="AM77" s="310">
        <f>AM76/AM75*1000</f>
        <v>1967.9356684898758</v>
      </c>
      <c r="AN77" s="194">
        <f t="shared" si="59"/>
        <v>-8.6</v>
      </c>
      <c r="AO77" s="598">
        <f>AO76/AO75*1000</f>
        <v>2019.0484926313218</v>
      </c>
      <c r="AP77" s="598">
        <f>AP76/AP75*1000</f>
        <v>1838.7055783811259</v>
      </c>
      <c r="AQ77" s="588">
        <f t="shared" si="60"/>
        <v>-8.9</v>
      </c>
      <c r="AR77" s="626">
        <f>AR76/AR75*1000</f>
        <v>2130.2015865708868</v>
      </c>
      <c r="AS77" s="626">
        <f>AS76/AS75*1000</f>
        <v>1949.0608992601024</v>
      </c>
      <c r="AT77" s="588">
        <f t="shared" si="61"/>
        <v>-8.5</v>
      </c>
      <c r="AU77" s="626">
        <f>AU76/AU75*1000</f>
        <v>2088.944211836596</v>
      </c>
      <c r="AV77" s="626">
        <f>AV76/AV75*1000</f>
        <v>1943.8439723901761</v>
      </c>
      <c r="AW77" s="616">
        <f t="shared" si="62"/>
        <v>-6.9</v>
      </c>
      <c r="AX77" s="930">
        <f>AX76/AX75*1000</f>
        <v>2125.0744155740663</v>
      </c>
      <c r="AY77" s="930">
        <f>AY76/AY75*1000</f>
        <v>1948.0811166604697</v>
      </c>
      <c r="AZ77" s="616">
        <f t="shared" si="63"/>
        <v>-8.3000000000000007</v>
      </c>
      <c r="BA77" s="626">
        <f>BA76/BA75*1000</f>
        <v>2143.8287989382879</v>
      </c>
      <c r="BB77" s="626">
        <f>BB76/BB75*1000</f>
        <v>2063.3653313642239</v>
      </c>
      <c r="BC77" s="616">
        <f t="shared" si="64"/>
        <v>-3.8</v>
      </c>
      <c r="BD77" s="626">
        <f>BD76/BD75*1000</f>
        <v>2127.793119756951</v>
      </c>
      <c r="BE77" s="626">
        <f>BE76/BE75*1000</f>
        <v>1959.4000634374008</v>
      </c>
      <c r="BF77" s="616">
        <f t="shared" si="65"/>
        <v>-7.9</v>
      </c>
      <c r="BG77" s="626">
        <f>BG76/BG75*1000</f>
        <v>2201.0306595179845</v>
      </c>
      <c r="BH77" s="626">
        <f>BH76/BH75*1000</f>
        <v>2087.2502339966632</v>
      </c>
      <c r="BI77" s="616">
        <f t="shared" si="66"/>
        <v>-5.2</v>
      </c>
      <c r="BJ77" s="626">
        <f>BJ76/BJ75*1000</f>
        <v>2133.0291617666762</v>
      </c>
      <c r="BK77" s="626">
        <f>BK76/BK75*1000</f>
        <v>1972.2094241691573</v>
      </c>
      <c r="BL77" s="616">
        <f t="shared" si="67"/>
        <v>-7.5</v>
      </c>
      <c r="BM77" s="626">
        <f>BM76/BM75*1000</f>
        <v>2240.0174876129408</v>
      </c>
      <c r="BN77" s="626">
        <f>BN76/BN75*1000</f>
        <v>2049.2903622482963</v>
      </c>
      <c r="BO77" s="616">
        <f t="shared" si="68"/>
        <v>-8.5</v>
      </c>
      <c r="BP77" s="626">
        <f>BP76/BP75*1000</f>
        <v>2142.9449344264508</v>
      </c>
      <c r="BQ77" s="626">
        <f>BQ76/BQ75*1000</f>
        <v>1977.8910793866607</v>
      </c>
      <c r="BR77" s="616">
        <f t="shared" si="69"/>
        <v>-7.7</v>
      </c>
      <c r="BS77" s="626">
        <f>BS76/BS75*1000</f>
        <v>2278.5500234682459</v>
      </c>
      <c r="BT77" s="626">
        <f>BT76/BT75*1000</f>
        <v>1978.9744635302513</v>
      </c>
      <c r="BU77" s="616">
        <f t="shared" si="70"/>
        <v>-13.1</v>
      </c>
      <c r="BV77" s="626">
        <f>BV76/BV75*1000</f>
        <v>2154.5423386536486</v>
      </c>
      <c r="BW77" s="626">
        <f>BW76/BW75*1000</f>
        <v>1978.0309060647726</v>
      </c>
      <c r="BX77" s="616">
        <f t="shared" si="71"/>
        <v>-8.1999999999999993</v>
      </c>
    </row>
    <row r="78" spans="1:76" ht="22.5" customHeight="1">
      <c r="A78" s="14"/>
      <c r="B78" s="1099" t="s">
        <v>24</v>
      </c>
      <c r="C78" s="1100"/>
      <c r="D78" s="365" t="s">
        <v>13</v>
      </c>
      <c r="E78" s="452">
        <f t="shared" ref="E78:G79" si="74">E81-E75</f>
        <v>7275</v>
      </c>
      <c r="F78" s="452">
        <f t="shared" si="74"/>
        <v>4067</v>
      </c>
      <c r="G78" s="452">
        <f t="shared" si="74"/>
        <v>4087</v>
      </c>
      <c r="H78" s="452">
        <f>H81-H75</f>
        <v>2581</v>
      </c>
      <c r="I78" s="452">
        <f>I81-I75</f>
        <v>3914</v>
      </c>
      <c r="J78" s="452">
        <f t="shared" ref="J78:L79" si="75">J81-J75</f>
        <v>4925</v>
      </c>
      <c r="K78" s="207">
        <f t="shared" si="75"/>
        <v>5005</v>
      </c>
      <c r="L78" s="183">
        <f t="shared" si="75"/>
        <v>4414</v>
      </c>
      <c r="M78" s="312">
        <f t="shared" ref="M78:O79" si="76">M81-M75</f>
        <v>4223</v>
      </c>
      <c r="N78" s="311">
        <f t="shared" si="76"/>
        <v>81</v>
      </c>
      <c r="O78" s="311">
        <f t="shared" si="76"/>
        <v>346</v>
      </c>
      <c r="P78" s="195">
        <f t="shared" si="51"/>
        <v>327.2</v>
      </c>
      <c r="Q78" s="311">
        <f>Q81-Q75</f>
        <v>288</v>
      </c>
      <c r="R78" s="311">
        <f>R81-R75</f>
        <v>143</v>
      </c>
      <c r="S78" s="195">
        <f t="shared" si="52"/>
        <v>-50.3</v>
      </c>
      <c r="T78" s="311">
        <f>T81-T75</f>
        <v>369</v>
      </c>
      <c r="U78" s="311">
        <f>U81-U75</f>
        <v>489</v>
      </c>
      <c r="V78" s="195">
        <f t="shared" si="53"/>
        <v>32.5</v>
      </c>
      <c r="W78" s="311">
        <f>W81-W75</f>
        <v>341</v>
      </c>
      <c r="X78" s="311">
        <f>X81-X75</f>
        <v>432</v>
      </c>
      <c r="Y78" s="195">
        <f t="shared" si="54"/>
        <v>26.7</v>
      </c>
      <c r="Z78" s="311">
        <f>Z81-Z75</f>
        <v>710</v>
      </c>
      <c r="AA78" s="311">
        <f>AA81-AA75</f>
        <v>921</v>
      </c>
      <c r="AB78" s="195">
        <f t="shared" si="55"/>
        <v>29.7</v>
      </c>
      <c r="AC78" s="311">
        <f>AC81-AC75</f>
        <v>276</v>
      </c>
      <c r="AD78" s="311">
        <f>AD81-AD75</f>
        <v>427</v>
      </c>
      <c r="AE78" s="195">
        <f t="shared" si="56"/>
        <v>54.7</v>
      </c>
      <c r="AF78" s="311">
        <f>AF81-AF75</f>
        <v>986</v>
      </c>
      <c r="AG78" s="311">
        <f>AG81-AG75</f>
        <v>1348</v>
      </c>
      <c r="AH78" s="195">
        <f t="shared" si="57"/>
        <v>36.700000000000003</v>
      </c>
      <c r="AI78" s="311">
        <f>AI81-AI75</f>
        <v>340</v>
      </c>
      <c r="AJ78" s="311">
        <f>AJ81-AJ75</f>
        <v>275</v>
      </c>
      <c r="AK78" s="195">
        <f t="shared" si="58"/>
        <v>-19.100000000000001</v>
      </c>
      <c r="AL78" s="311">
        <f>AL81-AL75</f>
        <v>1326</v>
      </c>
      <c r="AM78" s="311">
        <f>AM81-AM75</f>
        <v>1623</v>
      </c>
      <c r="AN78" s="195">
        <f t="shared" si="59"/>
        <v>22.4</v>
      </c>
      <c r="AO78" s="599">
        <f>AO81-AO75</f>
        <v>478</v>
      </c>
      <c r="AP78" s="599">
        <f>AP81-AP75</f>
        <v>273</v>
      </c>
      <c r="AQ78" s="589">
        <f t="shared" si="60"/>
        <v>-42.9</v>
      </c>
      <c r="AR78" s="869">
        <f>AR81-AR75</f>
        <v>1804</v>
      </c>
      <c r="AS78" s="869">
        <f>AS81-AS75</f>
        <v>1896</v>
      </c>
      <c r="AT78" s="589">
        <f t="shared" si="61"/>
        <v>5.0999999999999996</v>
      </c>
      <c r="AU78" s="869">
        <f>AU81-AU75</f>
        <v>687</v>
      </c>
      <c r="AV78" s="869">
        <f>AV81-AV75</f>
        <v>245</v>
      </c>
      <c r="AW78" s="617">
        <f t="shared" si="62"/>
        <v>-64.3</v>
      </c>
      <c r="AX78" s="929">
        <f>AX81-AX75</f>
        <v>2491</v>
      </c>
      <c r="AY78" s="929">
        <f>AY81-AY75</f>
        <v>2141</v>
      </c>
      <c r="AZ78" s="617">
        <f t="shared" si="63"/>
        <v>-14.1</v>
      </c>
      <c r="BA78" s="869">
        <f>BA81-BA75</f>
        <v>684</v>
      </c>
      <c r="BB78" s="869">
        <f>BB81-BB75</f>
        <v>320</v>
      </c>
      <c r="BC78" s="617">
        <f t="shared" si="64"/>
        <v>-53.2</v>
      </c>
      <c r="BD78" s="869">
        <f>BD81-BD75</f>
        <v>3175</v>
      </c>
      <c r="BE78" s="869">
        <f>BE81-BE75</f>
        <v>2461</v>
      </c>
      <c r="BF78" s="617">
        <f t="shared" si="65"/>
        <v>-22.5</v>
      </c>
      <c r="BG78" s="869">
        <f>BG81-BG75</f>
        <v>90</v>
      </c>
      <c r="BH78" s="869">
        <f>BH81-BH75</f>
        <v>351</v>
      </c>
      <c r="BI78" s="617">
        <f t="shared" si="66"/>
        <v>290</v>
      </c>
      <c r="BJ78" s="869">
        <f>BJ81-BJ75</f>
        <v>3265</v>
      </c>
      <c r="BK78" s="869">
        <f>BK81-BK75</f>
        <v>2812</v>
      </c>
      <c r="BL78" s="617">
        <f t="shared" si="67"/>
        <v>-13.9</v>
      </c>
      <c r="BM78" s="869">
        <f>BM81-BM75</f>
        <v>485</v>
      </c>
      <c r="BN78" s="869">
        <f>BN81-BN75</f>
        <v>270</v>
      </c>
      <c r="BO78" s="617">
        <f t="shared" si="68"/>
        <v>-44.3</v>
      </c>
      <c r="BP78" s="869">
        <f>BP81-BP75</f>
        <v>3750</v>
      </c>
      <c r="BQ78" s="869">
        <f>BQ81-BQ75</f>
        <v>3082</v>
      </c>
      <c r="BR78" s="617">
        <f t="shared" si="69"/>
        <v>-17.8</v>
      </c>
      <c r="BS78" s="869">
        <f>BS81-BS75</f>
        <v>362</v>
      </c>
      <c r="BT78" s="869">
        <f>BT81-BT75</f>
        <v>340</v>
      </c>
      <c r="BU78" s="617">
        <f t="shared" si="70"/>
        <v>-6.1</v>
      </c>
      <c r="BV78" s="869">
        <f>BV81-BV75</f>
        <v>4112</v>
      </c>
      <c r="BW78" s="869">
        <f>BW81-BW75</f>
        <v>3422</v>
      </c>
      <c r="BX78" s="617">
        <f t="shared" si="71"/>
        <v>-16.8</v>
      </c>
    </row>
    <row r="79" spans="1:76" ht="22.5" customHeight="1">
      <c r="A79" s="14"/>
      <c r="B79" s="1099"/>
      <c r="C79" s="1100"/>
      <c r="D79" s="366" t="s">
        <v>14</v>
      </c>
      <c r="E79" s="449">
        <f t="shared" si="74"/>
        <v>30849</v>
      </c>
      <c r="F79" s="449">
        <f t="shared" si="74"/>
        <v>14982</v>
      </c>
      <c r="G79" s="449">
        <f t="shared" si="74"/>
        <v>15842</v>
      </c>
      <c r="H79" s="449">
        <f>H82-H76</f>
        <v>12436</v>
      </c>
      <c r="I79" s="449">
        <f>I82-I76</f>
        <v>13223</v>
      </c>
      <c r="J79" s="449">
        <f t="shared" si="75"/>
        <v>16946</v>
      </c>
      <c r="K79" s="202">
        <f t="shared" si="75"/>
        <v>17666</v>
      </c>
      <c r="L79" s="180">
        <f t="shared" si="75"/>
        <v>19384</v>
      </c>
      <c r="M79" s="438">
        <f t="shared" si="76"/>
        <v>19278</v>
      </c>
      <c r="N79" s="309">
        <f t="shared" si="76"/>
        <v>469</v>
      </c>
      <c r="O79" s="309">
        <f t="shared" si="76"/>
        <v>1716</v>
      </c>
      <c r="P79" s="193">
        <f t="shared" si="51"/>
        <v>265.89999999999998</v>
      </c>
      <c r="Q79" s="309">
        <f>Q82-Q76</f>
        <v>1287</v>
      </c>
      <c r="R79" s="309">
        <f>R82-R76</f>
        <v>649</v>
      </c>
      <c r="S79" s="193">
        <f t="shared" si="52"/>
        <v>-49.6</v>
      </c>
      <c r="T79" s="309">
        <f>T82-T76</f>
        <v>1756</v>
      </c>
      <c r="U79" s="309">
        <f>U82-U76</f>
        <v>2365</v>
      </c>
      <c r="V79" s="193">
        <f t="shared" si="53"/>
        <v>34.700000000000003</v>
      </c>
      <c r="W79" s="309">
        <f>W82-W76</f>
        <v>1208</v>
      </c>
      <c r="X79" s="309">
        <f>X82-X76</f>
        <v>2211</v>
      </c>
      <c r="Y79" s="193">
        <f t="shared" si="54"/>
        <v>83</v>
      </c>
      <c r="Z79" s="309">
        <f>Z82-Z76</f>
        <v>2964</v>
      </c>
      <c r="AA79" s="309">
        <f>AA82-AA76</f>
        <v>4576</v>
      </c>
      <c r="AB79" s="193">
        <f t="shared" si="55"/>
        <v>54.4</v>
      </c>
      <c r="AC79" s="309">
        <f>AC82-AC76</f>
        <v>1149</v>
      </c>
      <c r="AD79" s="309">
        <f>AD82-AD76</f>
        <v>1947</v>
      </c>
      <c r="AE79" s="193">
        <f t="shared" si="56"/>
        <v>69.5</v>
      </c>
      <c r="AF79" s="309">
        <f>AF82-AF76</f>
        <v>4113</v>
      </c>
      <c r="AG79" s="309">
        <f>AG82-AG76</f>
        <v>6523</v>
      </c>
      <c r="AH79" s="193">
        <f t="shared" si="57"/>
        <v>58.6</v>
      </c>
      <c r="AI79" s="309">
        <f>AI82-AI76</f>
        <v>1167</v>
      </c>
      <c r="AJ79" s="309">
        <f>AJ82-AJ76</f>
        <v>1222</v>
      </c>
      <c r="AK79" s="193">
        <f t="shared" si="58"/>
        <v>4.7</v>
      </c>
      <c r="AL79" s="309">
        <f>AL82-AL76</f>
        <v>5280</v>
      </c>
      <c r="AM79" s="309">
        <f>AM82-AM76</f>
        <v>7745</v>
      </c>
      <c r="AN79" s="193">
        <f t="shared" si="59"/>
        <v>46.7</v>
      </c>
      <c r="AO79" s="597">
        <f>AO82-AO76</f>
        <v>2165</v>
      </c>
      <c r="AP79" s="597">
        <f>AP82-AP76</f>
        <v>1228</v>
      </c>
      <c r="AQ79" s="587">
        <f t="shared" si="60"/>
        <v>-43.3</v>
      </c>
      <c r="AR79" s="868">
        <f>AR82-AR76</f>
        <v>7445</v>
      </c>
      <c r="AS79" s="868">
        <f>AS82-AS76</f>
        <v>8973</v>
      </c>
      <c r="AT79" s="587">
        <f t="shared" si="61"/>
        <v>20.5</v>
      </c>
      <c r="AU79" s="868">
        <f>AU82-AU76</f>
        <v>2997</v>
      </c>
      <c r="AV79" s="868">
        <f>AV82-AV76</f>
        <v>1116</v>
      </c>
      <c r="AW79" s="615">
        <f t="shared" si="62"/>
        <v>-62.8</v>
      </c>
      <c r="AX79" s="925">
        <f>AX82-AX76</f>
        <v>10442</v>
      </c>
      <c r="AY79" s="925">
        <f>AY82-AY76</f>
        <v>10089</v>
      </c>
      <c r="AZ79" s="615">
        <f t="shared" si="63"/>
        <v>-3.4</v>
      </c>
      <c r="BA79" s="868">
        <f>BA82-BA76</f>
        <v>3218</v>
      </c>
      <c r="BB79" s="868">
        <f>BB82-BB76</f>
        <v>1905</v>
      </c>
      <c r="BC79" s="615">
        <f t="shared" si="64"/>
        <v>-40.799999999999997</v>
      </c>
      <c r="BD79" s="868">
        <f>BD82-BD76</f>
        <v>13660</v>
      </c>
      <c r="BE79" s="868">
        <f>BE82-BE76</f>
        <v>11994</v>
      </c>
      <c r="BF79" s="615">
        <f t="shared" si="65"/>
        <v>-12.2</v>
      </c>
      <c r="BG79" s="868">
        <f>BG82-BG76</f>
        <v>373</v>
      </c>
      <c r="BH79" s="868">
        <f>BH82-BH76</f>
        <v>2016</v>
      </c>
      <c r="BI79" s="615">
        <f t="shared" si="66"/>
        <v>440.5</v>
      </c>
      <c r="BJ79" s="868">
        <f>BJ82-BJ76</f>
        <v>14033</v>
      </c>
      <c r="BK79" s="868">
        <f>BK82-BK76</f>
        <v>14010</v>
      </c>
      <c r="BL79" s="615">
        <f t="shared" si="67"/>
        <v>-0.2</v>
      </c>
      <c r="BM79" s="868">
        <f>BM82-BM76</f>
        <v>2615</v>
      </c>
      <c r="BN79" s="868">
        <f>BN82-BN76</f>
        <v>1550</v>
      </c>
      <c r="BO79" s="615">
        <f t="shared" si="68"/>
        <v>-40.700000000000003</v>
      </c>
      <c r="BP79" s="868">
        <f>BP82-BP76</f>
        <v>16648</v>
      </c>
      <c r="BQ79" s="868">
        <f>BQ82-BQ76</f>
        <v>15560</v>
      </c>
      <c r="BR79" s="615">
        <f t="shared" si="69"/>
        <v>-6.5</v>
      </c>
      <c r="BS79" s="868">
        <f>BS82-BS76</f>
        <v>1997</v>
      </c>
      <c r="BT79" s="868">
        <f>BT82-BT76</f>
        <v>1909</v>
      </c>
      <c r="BU79" s="615">
        <f t="shared" si="70"/>
        <v>-4.4000000000000004</v>
      </c>
      <c r="BV79" s="868">
        <f>BV82-BV76</f>
        <v>18645</v>
      </c>
      <c r="BW79" s="868">
        <f>BW82-BW76</f>
        <v>17469</v>
      </c>
      <c r="BX79" s="615">
        <f t="shared" si="71"/>
        <v>-6.3</v>
      </c>
    </row>
    <row r="80" spans="1:76" ht="22.5" customHeight="1">
      <c r="A80" s="14"/>
      <c r="B80" s="1099"/>
      <c r="C80" s="1100"/>
      <c r="D80" s="370" t="s">
        <v>15</v>
      </c>
      <c r="E80" s="453">
        <f t="shared" ref="E80:L80" si="77">E79/E78*1000</f>
        <v>4240.4123711340208</v>
      </c>
      <c r="F80" s="453">
        <f t="shared" si="77"/>
        <v>3683.7964101303173</v>
      </c>
      <c r="G80" s="453">
        <f t="shared" si="77"/>
        <v>3876.1928064595058</v>
      </c>
      <c r="H80" s="453">
        <f t="shared" si="77"/>
        <v>4818.2874854707479</v>
      </c>
      <c r="I80" s="453">
        <f t="shared" si="77"/>
        <v>3378.3852835973425</v>
      </c>
      <c r="J80" s="453">
        <f t="shared" si="77"/>
        <v>3440.8121827411169</v>
      </c>
      <c r="K80" s="208">
        <f t="shared" si="77"/>
        <v>3529.6703296703295</v>
      </c>
      <c r="L80" s="184">
        <f t="shared" si="77"/>
        <v>4391.4816492976888</v>
      </c>
      <c r="M80" s="442">
        <f>M79/M78*1000</f>
        <v>4565.0011839924227</v>
      </c>
      <c r="N80" s="310">
        <f>N79/N78*1000</f>
        <v>5790.1234567901238</v>
      </c>
      <c r="O80" s="310">
        <f>O79/O78*1000</f>
        <v>4959.5375722543358</v>
      </c>
      <c r="P80" s="194">
        <f t="shared" si="51"/>
        <v>-14.3</v>
      </c>
      <c r="Q80" s="310">
        <f>Q79/Q78*1000</f>
        <v>4468.75</v>
      </c>
      <c r="R80" s="310">
        <f>R79/R78*1000</f>
        <v>4538.4615384615381</v>
      </c>
      <c r="S80" s="194">
        <f t="shared" si="52"/>
        <v>1.6</v>
      </c>
      <c r="T80" s="310">
        <f>T79/T78*1000</f>
        <v>4758.8075880758806</v>
      </c>
      <c r="U80" s="310">
        <f>U79/U78*1000</f>
        <v>4836.4008179959101</v>
      </c>
      <c r="V80" s="194">
        <f t="shared" si="53"/>
        <v>1.6</v>
      </c>
      <c r="W80" s="310">
        <f>W79/W78*1000</f>
        <v>3542.5219941348973</v>
      </c>
      <c r="X80" s="310">
        <f>X79/X78*1000</f>
        <v>5118.0555555555557</v>
      </c>
      <c r="Y80" s="194">
        <f t="shared" si="54"/>
        <v>44.5</v>
      </c>
      <c r="Z80" s="310">
        <f>Z79/Z78*1000</f>
        <v>4174.647887323943</v>
      </c>
      <c r="AA80" s="310">
        <f>AA79/AA78*1000</f>
        <v>4968.5124864277959</v>
      </c>
      <c r="AB80" s="194">
        <f t="shared" si="55"/>
        <v>19</v>
      </c>
      <c r="AC80" s="310">
        <f>AC79/AC78*1000</f>
        <v>4163.0434782608691</v>
      </c>
      <c r="AD80" s="310">
        <f>AD79/AD78*1000</f>
        <v>4559.7189695550351</v>
      </c>
      <c r="AE80" s="194">
        <f t="shared" si="56"/>
        <v>9.5</v>
      </c>
      <c r="AF80" s="310">
        <f>AF79/AF78*1000</f>
        <v>4171.3995943204873</v>
      </c>
      <c r="AG80" s="310">
        <f>AG79/AG78*1000</f>
        <v>4839.0207715133529</v>
      </c>
      <c r="AH80" s="194">
        <f t="shared" si="57"/>
        <v>16</v>
      </c>
      <c r="AI80" s="310">
        <f>AI79/AI78*1000</f>
        <v>3432.3529411764703</v>
      </c>
      <c r="AJ80" s="310">
        <f>AJ79/AJ78*1000</f>
        <v>4443.6363636363631</v>
      </c>
      <c r="AK80" s="194">
        <f t="shared" si="58"/>
        <v>29.5</v>
      </c>
      <c r="AL80" s="310">
        <f>AL79/AL78*1000</f>
        <v>3981.9004524886877</v>
      </c>
      <c r="AM80" s="310">
        <f>AM79/AM78*1000</f>
        <v>4772.0271102895867</v>
      </c>
      <c r="AN80" s="194">
        <f t="shared" si="59"/>
        <v>19.8</v>
      </c>
      <c r="AO80" s="598">
        <f>AO79/AO78*1000</f>
        <v>4529.2887029288704</v>
      </c>
      <c r="AP80" s="598">
        <f>AP79/AP78*1000</f>
        <v>4498.1684981684984</v>
      </c>
      <c r="AQ80" s="588">
        <f t="shared" si="60"/>
        <v>-0.7</v>
      </c>
      <c r="AR80" s="626">
        <f>AR79/AR78*1000</f>
        <v>4126.9401330376941</v>
      </c>
      <c r="AS80" s="626">
        <f>AS79/AS78*1000</f>
        <v>4732.5949367088606</v>
      </c>
      <c r="AT80" s="588">
        <f t="shared" si="61"/>
        <v>14.7</v>
      </c>
      <c r="AU80" s="626">
        <f>AU79/AU78*1000</f>
        <v>4362.4454148471614</v>
      </c>
      <c r="AV80" s="626">
        <f>AV79/AV78*1000</f>
        <v>4555.1020408163267</v>
      </c>
      <c r="AW80" s="616">
        <f t="shared" si="62"/>
        <v>4.4000000000000004</v>
      </c>
      <c r="AX80" s="930">
        <f>AX79/AX78*1000</f>
        <v>4191.8908069048575</v>
      </c>
      <c r="AY80" s="930">
        <f>AY79/AY78*1000</f>
        <v>4712.2839794488555</v>
      </c>
      <c r="AZ80" s="616">
        <f t="shared" si="63"/>
        <v>12.4</v>
      </c>
      <c r="BA80" s="626">
        <f>BA79/BA78*1000</f>
        <v>4704.6783625730986</v>
      </c>
      <c r="BB80" s="626">
        <f>BB79/BB78*1000</f>
        <v>5953.125</v>
      </c>
      <c r="BC80" s="616">
        <f t="shared" si="64"/>
        <v>26.5</v>
      </c>
      <c r="BD80" s="626">
        <f>BD79/BD78*1000</f>
        <v>4302.3622047244098</v>
      </c>
      <c r="BE80" s="626">
        <f>BE79/BE78*1000</f>
        <v>4873.6286062576191</v>
      </c>
      <c r="BF80" s="616">
        <f t="shared" si="65"/>
        <v>13.3</v>
      </c>
      <c r="BG80" s="626">
        <f>BG79/BG78*1000</f>
        <v>4144.4444444444453</v>
      </c>
      <c r="BH80" s="626">
        <f>BH79/BH78*1000</f>
        <v>5743.5897435897432</v>
      </c>
      <c r="BI80" s="616">
        <f t="shared" si="66"/>
        <v>38.6</v>
      </c>
      <c r="BJ80" s="626">
        <f>BJ79/BJ78*1000</f>
        <v>4298.0091883614086</v>
      </c>
      <c r="BK80" s="626">
        <f>BK79/BK78*1000</f>
        <v>4982.21906116643</v>
      </c>
      <c r="BL80" s="616">
        <f t="shared" si="67"/>
        <v>15.9</v>
      </c>
      <c r="BM80" s="626">
        <f>BM79/BM78*1000</f>
        <v>5391.7525773195885</v>
      </c>
      <c r="BN80" s="626">
        <f>BN79/BN78*1000</f>
        <v>5740.7407407407409</v>
      </c>
      <c r="BO80" s="616">
        <f t="shared" si="68"/>
        <v>6.5</v>
      </c>
      <c r="BP80" s="626">
        <f>BP79/BP78*1000</f>
        <v>4439.4666666666662</v>
      </c>
      <c r="BQ80" s="626">
        <f>BQ79/BQ78*1000</f>
        <v>5048.6696950032447</v>
      </c>
      <c r="BR80" s="616">
        <f t="shared" si="69"/>
        <v>13.7</v>
      </c>
      <c r="BS80" s="626">
        <f>BS79/BS78*1000</f>
        <v>5516.5745856353587</v>
      </c>
      <c r="BT80" s="626">
        <f>BT79/BT78*1000</f>
        <v>5614.7058823529405</v>
      </c>
      <c r="BU80" s="616">
        <f t="shared" si="70"/>
        <v>1.8</v>
      </c>
      <c r="BV80" s="626">
        <f>BV79/BV78*1000</f>
        <v>4534.2898832684823</v>
      </c>
      <c r="BW80" s="626">
        <f>BW79/BW78*1000</f>
        <v>5104.9094097019288</v>
      </c>
      <c r="BX80" s="616">
        <f t="shared" si="71"/>
        <v>12.6</v>
      </c>
    </row>
    <row r="81" spans="1:76" ht="22.5" customHeight="1">
      <c r="A81" s="14"/>
      <c r="B81" s="1104" t="s">
        <v>25</v>
      </c>
      <c r="C81" s="1105"/>
      <c r="D81" s="15" t="s">
        <v>271</v>
      </c>
      <c r="E81" s="454">
        <v>167965</v>
      </c>
      <c r="F81" s="454">
        <v>187633</v>
      </c>
      <c r="G81" s="454">
        <v>199133</v>
      </c>
      <c r="H81" s="454">
        <v>267330</v>
      </c>
      <c r="I81" s="454">
        <v>260547</v>
      </c>
      <c r="J81" s="454">
        <v>385180</v>
      </c>
      <c r="K81" s="209">
        <v>343938</v>
      </c>
      <c r="L81" s="185">
        <v>357670</v>
      </c>
      <c r="M81" s="443">
        <v>354654</v>
      </c>
      <c r="N81" s="313">
        <v>25073</v>
      </c>
      <c r="O81" s="313">
        <v>35488</v>
      </c>
      <c r="P81" s="197">
        <f t="shared" si="51"/>
        <v>41.5</v>
      </c>
      <c r="Q81" s="313">
        <f>T81-N81</f>
        <v>35304</v>
      </c>
      <c r="R81" s="313">
        <f>U81-O81</f>
        <v>24663</v>
      </c>
      <c r="S81" s="197">
        <f t="shared" si="52"/>
        <v>-30.1</v>
      </c>
      <c r="T81" s="313">
        <v>60377</v>
      </c>
      <c r="U81" s="313">
        <v>60151</v>
      </c>
      <c r="V81" s="197">
        <f t="shared" si="53"/>
        <v>-0.4</v>
      </c>
      <c r="W81" s="313">
        <f>Z81-T81</f>
        <v>29631</v>
      </c>
      <c r="X81" s="313">
        <f>AA81-U81</f>
        <v>30309</v>
      </c>
      <c r="Y81" s="197">
        <f t="shared" si="54"/>
        <v>2.2999999999999998</v>
      </c>
      <c r="Z81" s="313">
        <v>90008</v>
      </c>
      <c r="AA81" s="313">
        <v>90460</v>
      </c>
      <c r="AB81" s="197">
        <f t="shared" si="55"/>
        <v>0.5</v>
      </c>
      <c r="AC81" s="313">
        <f>AF81-Z81</f>
        <v>27738</v>
      </c>
      <c r="AD81" s="313">
        <f>AG81-AA81</f>
        <v>29572</v>
      </c>
      <c r="AE81" s="197">
        <f t="shared" si="56"/>
        <v>6.6</v>
      </c>
      <c r="AF81" s="313">
        <v>117746</v>
      </c>
      <c r="AG81" s="313">
        <v>120032</v>
      </c>
      <c r="AH81" s="197">
        <f t="shared" si="57"/>
        <v>1.9</v>
      </c>
      <c r="AI81" s="313">
        <f>AL81-AF81</f>
        <v>37692</v>
      </c>
      <c r="AJ81" s="313">
        <f>AM81-AG81</f>
        <v>19626</v>
      </c>
      <c r="AK81" s="197">
        <f t="shared" si="58"/>
        <v>-47.9</v>
      </c>
      <c r="AL81" s="313">
        <v>155438</v>
      </c>
      <c r="AM81" s="313">
        <v>139658</v>
      </c>
      <c r="AN81" s="197">
        <f t="shared" si="59"/>
        <v>-10.199999999999999</v>
      </c>
      <c r="AO81" s="600">
        <f>AR81-AL81</f>
        <v>33184</v>
      </c>
      <c r="AP81" s="600">
        <f>AS81-AM81</f>
        <v>23882</v>
      </c>
      <c r="AQ81" s="590">
        <f t="shared" si="60"/>
        <v>-28</v>
      </c>
      <c r="AR81" s="640">
        <v>188622</v>
      </c>
      <c r="AS81" s="640">
        <v>163540</v>
      </c>
      <c r="AT81" s="590">
        <f t="shared" si="61"/>
        <v>-13.3</v>
      </c>
      <c r="AU81" s="640">
        <f>AX81-AR81</f>
        <v>27198</v>
      </c>
      <c r="AV81" s="640">
        <f>AY81-AS81</f>
        <v>37623</v>
      </c>
      <c r="AW81" s="618">
        <f t="shared" si="62"/>
        <v>38.299999999999997</v>
      </c>
      <c r="AX81" s="931">
        <v>215820</v>
      </c>
      <c r="AY81" s="931">
        <v>201163</v>
      </c>
      <c r="AZ81" s="618">
        <f t="shared" si="63"/>
        <v>-6.8</v>
      </c>
      <c r="BA81" s="640">
        <f>BD81-AX81</f>
        <v>36852</v>
      </c>
      <c r="BB81" s="640">
        <f>BE81-AY81</f>
        <v>21988</v>
      </c>
      <c r="BC81" s="618">
        <f t="shared" si="64"/>
        <v>-40.299999999999997</v>
      </c>
      <c r="BD81" s="640">
        <v>252672</v>
      </c>
      <c r="BE81" s="640">
        <v>223151</v>
      </c>
      <c r="BF81" s="618">
        <f t="shared" si="65"/>
        <v>-11.7</v>
      </c>
      <c r="BG81" s="640">
        <f>BJ81-BD81</f>
        <v>19301</v>
      </c>
      <c r="BH81" s="640">
        <f>BK81-BE81</f>
        <v>24924</v>
      </c>
      <c r="BI81" s="618">
        <f t="shared" si="66"/>
        <v>29.1</v>
      </c>
      <c r="BJ81" s="640">
        <v>271973</v>
      </c>
      <c r="BK81" s="640">
        <v>248075</v>
      </c>
      <c r="BL81" s="618">
        <f t="shared" si="67"/>
        <v>-8.8000000000000007</v>
      </c>
      <c r="BM81" s="640">
        <f>BP81-BJ81</f>
        <v>27933</v>
      </c>
      <c r="BN81" s="640">
        <f>BQ81-BK81</f>
        <v>19787</v>
      </c>
      <c r="BO81" s="618">
        <f t="shared" si="68"/>
        <v>-29.2</v>
      </c>
      <c r="BP81" s="640">
        <v>299906</v>
      </c>
      <c r="BQ81" s="640">
        <v>267862</v>
      </c>
      <c r="BR81" s="618">
        <f t="shared" si="69"/>
        <v>-10.7</v>
      </c>
      <c r="BS81" s="640">
        <f>BV81-BP81</f>
        <v>28059</v>
      </c>
      <c r="BT81" s="640">
        <f>BW81-BQ81</f>
        <v>39578</v>
      </c>
      <c r="BU81" s="618">
        <f t="shared" si="70"/>
        <v>41.1</v>
      </c>
      <c r="BV81" s="640">
        <v>327965</v>
      </c>
      <c r="BW81" s="640">
        <v>307440</v>
      </c>
      <c r="BX81" s="618">
        <f t="shared" si="71"/>
        <v>-6.3</v>
      </c>
    </row>
    <row r="82" spans="1:76" ht="22.5" customHeight="1">
      <c r="A82" s="14"/>
      <c r="B82" s="1104"/>
      <c r="C82" s="1105"/>
      <c r="D82" s="367" t="s">
        <v>272</v>
      </c>
      <c r="E82" s="455">
        <v>434570</v>
      </c>
      <c r="F82" s="455">
        <v>419058</v>
      </c>
      <c r="G82" s="455">
        <v>484875</v>
      </c>
      <c r="H82" s="455">
        <v>628004</v>
      </c>
      <c r="I82" s="455">
        <v>521596</v>
      </c>
      <c r="J82" s="455">
        <v>777511</v>
      </c>
      <c r="K82" s="210">
        <v>848363</v>
      </c>
      <c r="L82" s="186">
        <v>877779</v>
      </c>
      <c r="M82" s="444">
        <v>775139</v>
      </c>
      <c r="N82" s="314">
        <v>53607</v>
      </c>
      <c r="O82" s="314">
        <v>75534</v>
      </c>
      <c r="P82" s="198">
        <f t="shared" si="51"/>
        <v>40.9</v>
      </c>
      <c r="Q82" s="314">
        <f>T82-N82</f>
        <v>77401</v>
      </c>
      <c r="R82" s="314">
        <f>U82-O82</f>
        <v>51437</v>
      </c>
      <c r="S82" s="198">
        <f t="shared" si="52"/>
        <v>-33.5</v>
      </c>
      <c r="T82" s="314">
        <v>131008</v>
      </c>
      <c r="U82" s="314">
        <v>126971</v>
      </c>
      <c r="V82" s="198">
        <f t="shared" si="53"/>
        <v>-3.1</v>
      </c>
      <c r="W82" s="314">
        <f>Z82-T82</f>
        <v>66173</v>
      </c>
      <c r="X82" s="314">
        <f>AA82-U82</f>
        <v>60893</v>
      </c>
      <c r="Y82" s="198">
        <f t="shared" si="54"/>
        <v>-8</v>
      </c>
      <c r="Z82" s="314">
        <v>197181</v>
      </c>
      <c r="AA82" s="314">
        <v>187864</v>
      </c>
      <c r="AB82" s="198">
        <f t="shared" si="55"/>
        <v>-4.7</v>
      </c>
      <c r="AC82" s="314">
        <f>AF82-Z82</f>
        <v>61382</v>
      </c>
      <c r="AD82" s="314">
        <f>AG82-AA82</f>
        <v>55760</v>
      </c>
      <c r="AE82" s="198">
        <f t="shared" si="56"/>
        <v>-9.1999999999999993</v>
      </c>
      <c r="AF82" s="314">
        <v>258563</v>
      </c>
      <c r="AG82" s="314">
        <v>243624</v>
      </c>
      <c r="AH82" s="198">
        <f t="shared" si="57"/>
        <v>-5.8</v>
      </c>
      <c r="AI82" s="314">
        <f>AL82-AF82</f>
        <v>78642</v>
      </c>
      <c r="AJ82" s="314">
        <f>AM82-AG82</f>
        <v>35765</v>
      </c>
      <c r="AK82" s="198">
        <f t="shared" si="58"/>
        <v>-54.5</v>
      </c>
      <c r="AL82" s="314">
        <v>337205</v>
      </c>
      <c r="AM82" s="314">
        <v>279389</v>
      </c>
      <c r="AN82" s="198">
        <f t="shared" si="59"/>
        <v>-17.100000000000001</v>
      </c>
      <c r="AO82" s="601">
        <f>AR82-AL82</f>
        <v>68200</v>
      </c>
      <c r="AP82" s="601">
        <f>AS82-AM82</f>
        <v>44638</v>
      </c>
      <c r="AQ82" s="591">
        <f t="shared" si="60"/>
        <v>-34.5</v>
      </c>
      <c r="AR82" s="641">
        <v>405405</v>
      </c>
      <c r="AS82" s="641">
        <v>324027</v>
      </c>
      <c r="AT82" s="591">
        <f t="shared" si="61"/>
        <v>-20.100000000000001</v>
      </c>
      <c r="AU82" s="641">
        <f>AX82-AR82</f>
        <v>58377</v>
      </c>
      <c r="AV82" s="641">
        <f>AY82-AS82</f>
        <v>73773</v>
      </c>
      <c r="AW82" s="619">
        <f t="shared" si="62"/>
        <v>26.4</v>
      </c>
      <c r="AX82" s="932">
        <v>463782</v>
      </c>
      <c r="AY82" s="932">
        <v>397800</v>
      </c>
      <c r="AZ82" s="619">
        <f t="shared" si="63"/>
        <v>-14.2</v>
      </c>
      <c r="BA82" s="641">
        <f>BD82-AX82</f>
        <v>80756</v>
      </c>
      <c r="BB82" s="641">
        <f>BE82-AY82</f>
        <v>46614</v>
      </c>
      <c r="BC82" s="619">
        <f t="shared" si="64"/>
        <v>-42.3</v>
      </c>
      <c r="BD82" s="641">
        <v>544538</v>
      </c>
      <c r="BE82" s="641">
        <v>444414</v>
      </c>
      <c r="BF82" s="619">
        <f t="shared" si="65"/>
        <v>-18.399999999999999</v>
      </c>
      <c r="BG82" s="641">
        <f>BJ82-BD82</f>
        <v>42657</v>
      </c>
      <c r="BH82" s="641">
        <f>BK82-BE82</f>
        <v>53306</v>
      </c>
      <c r="BI82" s="619">
        <f t="shared" si="66"/>
        <v>25</v>
      </c>
      <c r="BJ82" s="641">
        <v>587195</v>
      </c>
      <c r="BK82" s="641">
        <v>497720</v>
      </c>
      <c r="BL82" s="619">
        <f t="shared" si="67"/>
        <v>-15.2</v>
      </c>
      <c r="BM82" s="641">
        <f>BP82-BJ82</f>
        <v>64099</v>
      </c>
      <c r="BN82" s="641">
        <f>BQ82-BK82</f>
        <v>41546</v>
      </c>
      <c r="BO82" s="619">
        <f t="shared" si="68"/>
        <v>-35.200000000000003</v>
      </c>
      <c r="BP82" s="641">
        <v>651294</v>
      </c>
      <c r="BQ82" s="641">
        <v>539266</v>
      </c>
      <c r="BR82" s="619">
        <f t="shared" si="69"/>
        <v>-17.2</v>
      </c>
      <c r="BS82" s="641">
        <f>BV82-BP82</f>
        <v>65106</v>
      </c>
      <c r="BT82" s="641">
        <f>BW82-BQ82</f>
        <v>79560</v>
      </c>
      <c r="BU82" s="619">
        <f t="shared" si="70"/>
        <v>22.2</v>
      </c>
      <c r="BV82" s="641">
        <v>716400</v>
      </c>
      <c r="BW82" s="641">
        <v>618826</v>
      </c>
      <c r="BX82" s="619">
        <f t="shared" si="71"/>
        <v>-13.6</v>
      </c>
    </row>
    <row r="83" spans="1:76" ht="22.5" customHeight="1">
      <c r="A83" s="13"/>
      <c r="B83" s="1104"/>
      <c r="C83" s="1105"/>
      <c r="D83" s="371" t="s">
        <v>317</v>
      </c>
      <c r="E83" s="456">
        <f t="shared" ref="E83:L83" si="78">E82/E81*1000</f>
        <v>2587.2652040603698</v>
      </c>
      <c r="F83" s="456">
        <f t="shared" si="78"/>
        <v>2233.3917807635116</v>
      </c>
      <c r="G83" s="456">
        <f t="shared" si="78"/>
        <v>2434.9304233853759</v>
      </c>
      <c r="H83" s="456">
        <f t="shared" si="78"/>
        <v>2349.1714360528185</v>
      </c>
      <c r="I83" s="456">
        <f t="shared" si="78"/>
        <v>2001.9267157173178</v>
      </c>
      <c r="J83" s="456">
        <f t="shared" si="78"/>
        <v>2018.5653460719664</v>
      </c>
      <c r="K83" s="211">
        <f t="shared" si="78"/>
        <v>2466.6160761532601</v>
      </c>
      <c r="L83" s="187">
        <f t="shared" si="78"/>
        <v>2454.1588615203959</v>
      </c>
      <c r="M83" s="445">
        <f>M82/M81*1000</f>
        <v>2185.6203511027647</v>
      </c>
      <c r="N83" s="315">
        <f>N82/N81*1000</f>
        <v>2138.0369321580984</v>
      </c>
      <c r="O83" s="315">
        <f>O82/O81*1000</f>
        <v>2128.4377817853924</v>
      </c>
      <c r="P83" s="199">
        <f t="shared" si="51"/>
        <v>-0.4</v>
      </c>
      <c r="Q83" s="315">
        <f>Q82/Q81*1000</f>
        <v>2192.4144572852933</v>
      </c>
      <c r="R83" s="315">
        <f>R82/R81*1000</f>
        <v>2085.5938044844506</v>
      </c>
      <c r="S83" s="199">
        <f t="shared" si="52"/>
        <v>-4.9000000000000004</v>
      </c>
      <c r="T83" s="315">
        <f>T82/T81*1000</f>
        <v>2169.832883382745</v>
      </c>
      <c r="U83" s="315">
        <f>U82/U81*1000</f>
        <v>2110.8709747136372</v>
      </c>
      <c r="V83" s="199">
        <f t="shared" si="53"/>
        <v>-2.7</v>
      </c>
      <c r="W83" s="315">
        <f>W82/W81*1000</f>
        <v>2233.2354628598428</v>
      </c>
      <c r="X83" s="315">
        <f>X82/X81*1000</f>
        <v>2009.0732125771224</v>
      </c>
      <c r="Y83" s="199">
        <f t="shared" si="54"/>
        <v>-10</v>
      </c>
      <c r="Z83" s="315">
        <f>Z82/Z81*1000</f>
        <v>2190.7052706426098</v>
      </c>
      <c r="AA83" s="315">
        <f>AA82/AA81*1000</f>
        <v>2076.7632102586776</v>
      </c>
      <c r="AB83" s="199">
        <f t="shared" si="55"/>
        <v>-5.2</v>
      </c>
      <c r="AC83" s="315">
        <f>AC82/AC81*1000</f>
        <v>2212.9209027327129</v>
      </c>
      <c r="AD83" s="315">
        <f>AD82/AD81*1000</f>
        <v>1885.5674286487219</v>
      </c>
      <c r="AE83" s="199">
        <f t="shared" si="56"/>
        <v>-14.8</v>
      </c>
      <c r="AF83" s="315">
        <f>AF82/AF81*1000</f>
        <v>2195.9387155402305</v>
      </c>
      <c r="AG83" s="315">
        <f>AG82/AG81*1000</f>
        <v>2029.6587576646225</v>
      </c>
      <c r="AH83" s="199">
        <f t="shared" si="57"/>
        <v>-7.6</v>
      </c>
      <c r="AI83" s="315">
        <f>AI82/AI81*1000</f>
        <v>2086.4374403056349</v>
      </c>
      <c r="AJ83" s="315">
        <f>AJ82/AJ81*1000</f>
        <v>1822.3275247121167</v>
      </c>
      <c r="AK83" s="199">
        <f t="shared" si="58"/>
        <v>-12.7</v>
      </c>
      <c r="AL83" s="315">
        <f>AL82/AL81*1000</f>
        <v>2169.3858644604279</v>
      </c>
      <c r="AM83" s="315">
        <f>AM82/AM81*1000</f>
        <v>2000.5227054662105</v>
      </c>
      <c r="AN83" s="199">
        <f t="shared" si="59"/>
        <v>-7.8</v>
      </c>
      <c r="AO83" s="602">
        <f>AO82/AO81*1000</f>
        <v>2055.2073288331726</v>
      </c>
      <c r="AP83" s="602">
        <f>AP82/AP81*1000</f>
        <v>1869.1064399966501</v>
      </c>
      <c r="AQ83" s="592">
        <f t="shared" si="60"/>
        <v>-9.1</v>
      </c>
      <c r="AR83" s="630">
        <f>AR82/AR81*1000</f>
        <v>2149.298597194389</v>
      </c>
      <c r="AS83" s="630">
        <f>AS82/AS81*1000</f>
        <v>1981.3317842729607</v>
      </c>
      <c r="AT83" s="592">
        <f t="shared" si="61"/>
        <v>-7.8</v>
      </c>
      <c r="AU83" s="630">
        <f>AU82/AU81*1000</f>
        <v>2146.371056695345</v>
      </c>
      <c r="AV83" s="630">
        <f>AV82/AV81*1000</f>
        <v>1960.8484171916114</v>
      </c>
      <c r="AW83" s="620">
        <f t="shared" si="62"/>
        <v>-8.6</v>
      </c>
      <c r="AX83" s="933">
        <f>AX82/AX81*1000</f>
        <v>2148.9296636085628</v>
      </c>
      <c r="AY83" s="933">
        <f>AY82/AY81*1000</f>
        <v>1977.5008326580933</v>
      </c>
      <c r="AZ83" s="620">
        <f t="shared" si="63"/>
        <v>-8</v>
      </c>
      <c r="BA83" s="630">
        <f>BA82/BA81*1000</f>
        <v>2191.3600347335291</v>
      </c>
      <c r="BB83" s="630">
        <f>BB82/BB81*1000</f>
        <v>2119.9745315626706</v>
      </c>
      <c r="BC83" s="620">
        <f t="shared" si="64"/>
        <v>-3.3</v>
      </c>
      <c r="BD83" s="630">
        <f>BD82/BD81*1000</f>
        <v>2155.1180977710233</v>
      </c>
      <c r="BE83" s="630">
        <f>BE82/BE81*1000</f>
        <v>1991.5393612396988</v>
      </c>
      <c r="BF83" s="620">
        <f t="shared" si="65"/>
        <v>-7.6</v>
      </c>
      <c r="BG83" s="630">
        <f>BG82/BG81*1000</f>
        <v>2210.0927413087406</v>
      </c>
      <c r="BH83" s="630">
        <f>BH82/BH81*1000</f>
        <v>2138.7417749959877</v>
      </c>
      <c r="BI83" s="620">
        <f t="shared" si="66"/>
        <v>-3.2</v>
      </c>
      <c r="BJ83" s="630">
        <f>BJ82/BJ81*1000</f>
        <v>2159.0194614906627</v>
      </c>
      <c r="BK83" s="630">
        <f>BK82/BK81*1000</f>
        <v>2006.3287312304747</v>
      </c>
      <c r="BL83" s="620">
        <f t="shared" si="67"/>
        <v>-7.1</v>
      </c>
      <c r="BM83" s="630">
        <f>BM82/BM81*1000</f>
        <v>2294.7409873626179</v>
      </c>
      <c r="BN83" s="630">
        <f>BN82/BN81*1000</f>
        <v>2099.6613938444434</v>
      </c>
      <c r="BO83" s="620">
        <f t="shared" si="68"/>
        <v>-8.5</v>
      </c>
      <c r="BP83" s="630">
        <f>BP82/BP81*1000</f>
        <v>2171.6604536087975</v>
      </c>
      <c r="BQ83" s="630">
        <f>BQ82/BQ81*1000</f>
        <v>2013.2232268854859</v>
      </c>
      <c r="BR83" s="620">
        <f t="shared" si="69"/>
        <v>-7.3</v>
      </c>
      <c r="BS83" s="630">
        <f>BS82/BS81*1000</f>
        <v>2320.325029402331</v>
      </c>
      <c r="BT83" s="630">
        <f>BT82/BT81*1000</f>
        <v>2010.2076911415434</v>
      </c>
      <c r="BU83" s="620">
        <f t="shared" si="70"/>
        <v>-13.4</v>
      </c>
      <c r="BV83" s="630">
        <f>BV82/BV81*1000</f>
        <v>2184.3794307319381</v>
      </c>
      <c r="BW83" s="630">
        <f>BW82/BW81*1000</f>
        <v>2012.8350247202707</v>
      </c>
      <c r="BX83" s="620">
        <f t="shared" si="71"/>
        <v>-7.9</v>
      </c>
    </row>
    <row r="84" spans="1:76" ht="22.5" customHeight="1">
      <c r="A84" s="1107" t="s">
        <v>34</v>
      </c>
      <c r="B84" s="1109" t="s">
        <v>32</v>
      </c>
      <c r="C84" s="1100">
        <v>7502</v>
      </c>
      <c r="D84" s="365" t="s">
        <v>13</v>
      </c>
      <c r="E84" s="452">
        <v>4944</v>
      </c>
      <c r="F84" s="452">
        <v>4964</v>
      </c>
      <c r="G84" s="452">
        <v>14475</v>
      </c>
      <c r="H84" s="452">
        <v>4114</v>
      </c>
      <c r="I84" s="452">
        <v>5333</v>
      </c>
      <c r="J84" s="452">
        <v>13284</v>
      </c>
      <c r="K84" s="207">
        <v>6328</v>
      </c>
      <c r="L84" s="183">
        <v>1902</v>
      </c>
      <c r="M84" s="312">
        <v>1945</v>
      </c>
      <c r="N84" s="311">
        <v>209</v>
      </c>
      <c r="O84" s="311">
        <v>80</v>
      </c>
      <c r="P84" s="195">
        <f t="shared" si="51"/>
        <v>-61.7</v>
      </c>
      <c r="Q84" s="311">
        <f>T84-N84</f>
        <v>142</v>
      </c>
      <c r="R84" s="311">
        <f>U84-O84</f>
        <v>222</v>
      </c>
      <c r="S84" s="195">
        <f t="shared" si="52"/>
        <v>56.3</v>
      </c>
      <c r="T84" s="311">
        <v>351</v>
      </c>
      <c r="U84" s="311">
        <v>302</v>
      </c>
      <c r="V84" s="195">
        <f t="shared" si="53"/>
        <v>-14</v>
      </c>
      <c r="W84" s="311">
        <f>Z84-T84</f>
        <v>207</v>
      </c>
      <c r="X84" s="311">
        <f>AA84-U84</f>
        <v>24</v>
      </c>
      <c r="Y84" s="195">
        <f t="shared" si="54"/>
        <v>-88.4</v>
      </c>
      <c r="Z84" s="311">
        <v>558</v>
      </c>
      <c r="AA84" s="311">
        <v>326</v>
      </c>
      <c r="AB84" s="195">
        <f t="shared" si="55"/>
        <v>-41.6</v>
      </c>
      <c r="AC84" s="311">
        <f>AF84-Z84</f>
        <v>103</v>
      </c>
      <c r="AD84" s="311">
        <f>AG84-AA84</f>
        <v>14</v>
      </c>
      <c r="AE84" s="195">
        <f t="shared" si="56"/>
        <v>-86.4</v>
      </c>
      <c r="AF84" s="311">
        <v>661</v>
      </c>
      <c r="AG84" s="311">
        <v>340</v>
      </c>
      <c r="AH84" s="195">
        <f t="shared" si="57"/>
        <v>-48.6</v>
      </c>
      <c r="AI84" s="311">
        <f>AL84-AF84</f>
        <v>225</v>
      </c>
      <c r="AJ84" s="311">
        <f>AM84-AG84</f>
        <v>29</v>
      </c>
      <c r="AK84" s="195">
        <f t="shared" si="58"/>
        <v>-87.1</v>
      </c>
      <c r="AL84" s="311">
        <v>886</v>
      </c>
      <c r="AM84" s="311">
        <v>369</v>
      </c>
      <c r="AN84" s="195">
        <f t="shared" si="59"/>
        <v>-58.4</v>
      </c>
      <c r="AO84" s="599">
        <f>AR84-AL84</f>
        <v>177</v>
      </c>
      <c r="AP84" s="599">
        <f>AS84-AM84</f>
        <v>208</v>
      </c>
      <c r="AQ84" s="589">
        <f t="shared" si="60"/>
        <v>17.5</v>
      </c>
      <c r="AR84" s="869">
        <v>1063</v>
      </c>
      <c r="AS84" s="869">
        <v>577</v>
      </c>
      <c r="AT84" s="589">
        <f t="shared" si="61"/>
        <v>-45.7</v>
      </c>
      <c r="AU84" s="869">
        <f>AX84-AR84</f>
        <v>35</v>
      </c>
      <c r="AV84" s="869">
        <f>AY84-AS84</f>
        <v>337</v>
      </c>
      <c r="AW84" s="617">
        <f t="shared" si="62"/>
        <v>862.9</v>
      </c>
      <c r="AX84" s="929">
        <v>1098</v>
      </c>
      <c r="AY84" s="929">
        <v>914</v>
      </c>
      <c r="AZ84" s="617">
        <f t="shared" si="63"/>
        <v>-16.8</v>
      </c>
      <c r="BA84" s="869">
        <f>BD84-AX84</f>
        <v>221</v>
      </c>
      <c r="BB84" s="869">
        <f>BE84-AY84</f>
        <v>132</v>
      </c>
      <c r="BC84" s="617">
        <f t="shared" si="64"/>
        <v>-40.299999999999997</v>
      </c>
      <c r="BD84" s="869">
        <v>1319</v>
      </c>
      <c r="BE84" s="869">
        <v>1046</v>
      </c>
      <c r="BF84" s="617">
        <f t="shared" si="65"/>
        <v>-20.7</v>
      </c>
      <c r="BG84" s="869">
        <f>BJ84-BD84</f>
        <v>211</v>
      </c>
      <c r="BH84" s="869">
        <f>BK84-BE84</f>
        <v>165</v>
      </c>
      <c r="BI84" s="617">
        <f t="shared" si="66"/>
        <v>-21.8</v>
      </c>
      <c r="BJ84" s="869">
        <v>1530</v>
      </c>
      <c r="BK84" s="869">
        <v>1211</v>
      </c>
      <c r="BL84" s="617">
        <f t="shared" si="67"/>
        <v>-20.8</v>
      </c>
      <c r="BM84" s="869">
        <f>BP84-BJ84</f>
        <v>142</v>
      </c>
      <c r="BN84" s="869">
        <f>BQ84-BK84</f>
        <v>186</v>
      </c>
      <c r="BO84" s="617">
        <f t="shared" si="68"/>
        <v>31</v>
      </c>
      <c r="BP84" s="869">
        <v>1672</v>
      </c>
      <c r="BQ84" s="869">
        <v>1397</v>
      </c>
      <c r="BR84" s="617">
        <f t="shared" si="69"/>
        <v>-16.399999999999999</v>
      </c>
      <c r="BS84" s="869">
        <f>BV84-BP84</f>
        <v>116</v>
      </c>
      <c r="BT84" s="869">
        <f>BW84-BQ84</f>
        <v>178</v>
      </c>
      <c r="BU84" s="617">
        <f t="shared" si="70"/>
        <v>53.4</v>
      </c>
      <c r="BV84" s="869">
        <v>1788</v>
      </c>
      <c r="BW84" s="869">
        <v>1575</v>
      </c>
      <c r="BX84" s="617">
        <f t="shared" si="71"/>
        <v>-11.9</v>
      </c>
    </row>
    <row r="85" spans="1:76" ht="22.5" customHeight="1">
      <c r="A85" s="1108"/>
      <c r="B85" s="1109"/>
      <c r="C85" s="1100"/>
      <c r="D85" s="366" t="s">
        <v>14</v>
      </c>
      <c r="E85" s="449">
        <v>97136</v>
      </c>
      <c r="F85" s="449">
        <v>79509</v>
      </c>
      <c r="G85" s="449">
        <v>209121</v>
      </c>
      <c r="H85" s="449">
        <v>70644</v>
      </c>
      <c r="I85" s="449">
        <v>54346</v>
      </c>
      <c r="J85" s="449">
        <v>117392</v>
      </c>
      <c r="K85" s="202">
        <v>65853</v>
      </c>
      <c r="L85" s="180">
        <v>28052</v>
      </c>
      <c r="M85" s="438">
        <v>28403</v>
      </c>
      <c r="N85" s="309">
        <v>2485</v>
      </c>
      <c r="O85" s="309">
        <v>1204</v>
      </c>
      <c r="P85" s="193">
        <f t="shared" si="51"/>
        <v>-51.5</v>
      </c>
      <c r="Q85" s="309">
        <f>T85-N85</f>
        <v>1815</v>
      </c>
      <c r="R85" s="309">
        <f>U85-O85</f>
        <v>2939</v>
      </c>
      <c r="S85" s="193">
        <f t="shared" si="52"/>
        <v>61.9</v>
      </c>
      <c r="T85" s="309">
        <v>4300</v>
      </c>
      <c r="U85" s="309">
        <v>4143</v>
      </c>
      <c r="V85" s="193">
        <f t="shared" si="53"/>
        <v>-3.7</v>
      </c>
      <c r="W85" s="309">
        <f>Z85-T85</f>
        <v>2918</v>
      </c>
      <c r="X85" s="309">
        <f>AA85-U85</f>
        <v>420</v>
      </c>
      <c r="Y85" s="193">
        <f t="shared" si="54"/>
        <v>-85.6</v>
      </c>
      <c r="Z85" s="309">
        <v>7218</v>
      </c>
      <c r="AA85" s="309">
        <v>4563</v>
      </c>
      <c r="AB85" s="193">
        <f t="shared" si="55"/>
        <v>-36.799999999999997</v>
      </c>
      <c r="AC85" s="309">
        <f>AF85-Z85</f>
        <v>1407</v>
      </c>
      <c r="AD85" s="309">
        <f>AG85-AA85</f>
        <v>206</v>
      </c>
      <c r="AE85" s="193">
        <f t="shared" si="56"/>
        <v>-85.4</v>
      </c>
      <c r="AF85" s="309">
        <v>8625</v>
      </c>
      <c r="AG85" s="309">
        <v>4769</v>
      </c>
      <c r="AH85" s="193">
        <f t="shared" si="57"/>
        <v>-44.7</v>
      </c>
      <c r="AI85" s="309">
        <f>AL85-AF85</f>
        <v>2857</v>
      </c>
      <c r="AJ85" s="309">
        <f>AM85-AG85</f>
        <v>358</v>
      </c>
      <c r="AK85" s="193">
        <f t="shared" si="58"/>
        <v>-87.5</v>
      </c>
      <c r="AL85" s="309">
        <v>11482</v>
      </c>
      <c r="AM85" s="309">
        <v>5127</v>
      </c>
      <c r="AN85" s="193">
        <f t="shared" si="59"/>
        <v>-55.3</v>
      </c>
      <c r="AO85" s="597">
        <f>AR85-AL85</f>
        <v>2239</v>
      </c>
      <c r="AP85" s="597">
        <f>AS85-AM85</f>
        <v>2683</v>
      </c>
      <c r="AQ85" s="587">
        <f t="shared" si="60"/>
        <v>19.8</v>
      </c>
      <c r="AR85" s="868">
        <v>13721</v>
      </c>
      <c r="AS85" s="868">
        <v>7810</v>
      </c>
      <c r="AT85" s="587">
        <f t="shared" si="61"/>
        <v>-43.1</v>
      </c>
      <c r="AU85" s="868">
        <f>AX85-AR85</f>
        <v>591</v>
      </c>
      <c r="AV85" s="868">
        <f>AY85-AS85</f>
        <v>4401</v>
      </c>
      <c r="AW85" s="615">
        <f t="shared" si="62"/>
        <v>644.70000000000005</v>
      </c>
      <c r="AX85" s="925">
        <v>14312</v>
      </c>
      <c r="AY85" s="925">
        <v>12211</v>
      </c>
      <c r="AZ85" s="615">
        <f t="shared" si="63"/>
        <v>-14.7</v>
      </c>
      <c r="BA85" s="868">
        <f>BD85-AX85</f>
        <v>3734</v>
      </c>
      <c r="BB85" s="868">
        <f>BE85-AY85</f>
        <v>1958</v>
      </c>
      <c r="BC85" s="615">
        <f t="shared" si="64"/>
        <v>-47.6</v>
      </c>
      <c r="BD85" s="868">
        <v>18046</v>
      </c>
      <c r="BE85" s="868">
        <v>14169</v>
      </c>
      <c r="BF85" s="615">
        <f t="shared" si="65"/>
        <v>-21.5</v>
      </c>
      <c r="BG85" s="868">
        <f>BJ85-BD85</f>
        <v>3636</v>
      </c>
      <c r="BH85" s="868">
        <f>BK85-BE85</f>
        <v>2533</v>
      </c>
      <c r="BI85" s="615">
        <f t="shared" si="66"/>
        <v>-30.3</v>
      </c>
      <c r="BJ85" s="868">
        <v>21682</v>
      </c>
      <c r="BK85" s="868">
        <v>16702</v>
      </c>
      <c r="BL85" s="615">
        <f t="shared" si="67"/>
        <v>-23</v>
      </c>
      <c r="BM85" s="868">
        <f>BP85-BJ85</f>
        <v>2549</v>
      </c>
      <c r="BN85" s="868">
        <f>BQ85-BK85</f>
        <v>2963</v>
      </c>
      <c r="BO85" s="615">
        <f t="shared" si="68"/>
        <v>16.2</v>
      </c>
      <c r="BP85" s="868">
        <v>24231</v>
      </c>
      <c r="BQ85" s="868">
        <v>19665</v>
      </c>
      <c r="BR85" s="615">
        <f t="shared" si="69"/>
        <v>-18.8</v>
      </c>
      <c r="BS85" s="868">
        <f>BV85-BP85</f>
        <v>1888</v>
      </c>
      <c r="BT85" s="868">
        <f>BW85-BQ85</f>
        <v>2788</v>
      </c>
      <c r="BU85" s="615">
        <f t="shared" si="70"/>
        <v>47.7</v>
      </c>
      <c r="BV85" s="868">
        <v>26119</v>
      </c>
      <c r="BW85" s="868">
        <v>22453</v>
      </c>
      <c r="BX85" s="615">
        <f t="shared" si="71"/>
        <v>-14</v>
      </c>
    </row>
    <row r="86" spans="1:76" ht="22.5" customHeight="1">
      <c r="A86" s="14"/>
      <c r="B86" s="1099"/>
      <c r="C86" s="1100"/>
      <c r="D86" s="370" t="s">
        <v>15</v>
      </c>
      <c r="E86" s="453">
        <f t="shared" ref="E86:L86" si="79">E85/E84*1000</f>
        <v>19647.24919093851</v>
      </c>
      <c r="F86" s="453">
        <f t="shared" si="79"/>
        <v>16017.123287671233</v>
      </c>
      <c r="G86" s="453">
        <f t="shared" si="79"/>
        <v>14447.046632124353</v>
      </c>
      <c r="H86" s="453">
        <f t="shared" si="79"/>
        <v>17171.609139523578</v>
      </c>
      <c r="I86" s="453">
        <f t="shared" si="79"/>
        <v>10190.511906994187</v>
      </c>
      <c r="J86" s="453">
        <f t="shared" si="79"/>
        <v>8837.0972598614862</v>
      </c>
      <c r="K86" s="208">
        <f t="shared" si="79"/>
        <v>10406.605562579014</v>
      </c>
      <c r="L86" s="184">
        <f t="shared" si="79"/>
        <v>14748.685594111463</v>
      </c>
      <c r="M86" s="439">
        <f>M85/M84*1000</f>
        <v>14603.084832904884</v>
      </c>
      <c r="N86" s="310">
        <f>N85/N84*1000</f>
        <v>11889.952153110049</v>
      </c>
      <c r="O86" s="310">
        <f>O85/O84*1000</f>
        <v>15050</v>
      </c>
      <c r="P86" s="194">
        <f t="shared" si="51"/>
        <v>26.6</v>
      </c>
      <c r="Q86" s="310">
        <f>Q85/Q84*1000</f>
        <v>12781.69014084507</v>
      </c>
      <c r="R86" s="310">
        <f>R85/R84*1000</f>
        <v>13238.738738738739</v>
      </c>
      <c r="S86" s="194">
        <f t="shared" si="52"/>
        <v>3.6</v>
      </c>
      <c r="T86" s="310">
        <f>T85/T84*1000</f>
        <v>12250.712250712251</v>
      </c>
      <c r="U86" s="310">
        <f>U85/U84*1000</f>
        <v>13718.543046357616</v>
      </c>
      <c r="V86" s="194">
        <f t="shared" si="53"/>
        <v>12</v>
      </c>
      <c r="W86" s="310">
        <f>W85/W84*1000</f>
        <v>14096.618357487923</v>
      </c>
      <c r="X86" s="310">
        <f>X85/X84*1000</f>
        <v>17500</v>
      </c>
      <c r="Y86" s="194">
        <f t="shared" si="54"/>
        <v>24.1</v>
      </c>
      <c r="Z86" s="310">
        <f>Z85/Z84*1000</f>
        <v>12935.483870967742</v>
      </c>
      <c r="AA86" s="310">
        <f>AA85/AA84*1000</f>
        <v>13996.932515337423</v>
      </c>
      <c r="AB86" s="194">
        <f t="shared" si="55"/>
        <v>8.1999999999999993</v>
      </c>
      <c r="AC86" s="310">
        <f>AC85/AC84*1000</f>
        <v>13660.194174757282</v>
      </c>
      <c r="AD86" s="310">
        <f>AD85/AD84*1000</f>
        <v>14714.285714285714</v>
      </c>
      <c r="AE86" s="194">
        <f t="shared" si="56"/>
        <v>7.7</v>
      </c>
      <c r="AF86" s="310">
        <f>AF85/AF84*1000</f>
        <v>13048.411497730711</v>
      </c>
      <c r="AG86" s="310">
        <f>AG85/AG84*1000</f>
        <v>14026.470588235296</v>
      </c>
      <c r="AH86" s="194">
        <f t="shared" si="57"/>
        <v>7.5</v>
      </c>
      <c r="AI86" s="310">
        <f>AI85/AI84*1000</f>
        <v>12697.777777777779</v>
      </c>
      <c r="AJ86" s="310">
        <f>AJ85/AJ84*1000</f>
        <v>12344.827586206897</v>
      </c>
      <c r="AK86" s="194">
        <f t="shared" si="58"/>
        <v>-2.8</v>
      </c>
      <c r="AL86" s="310">
        <f>AL85/AL84*1000</f>
        <v>12959.367945823928</v>
      </c>
      <c r="AM86" s="310">
        <f>AM85/AM84*1000</f>
        <v>13894.308943089431</v>
      </c>
      <c r="AN86" s="194">
        <f t="shared" si="59"/>
        <v>7.2</v>
      </c>
      <c r="AO86" s="598">
        <f>AO85/AO84*1000</f>
        <v>12649.717514124293</v>
      </c>
      <c r="AP86" s="598">
        <f>AP85/AP84*1000</f>
        <v>12899.038461538461</v>
      </c>
      <c r="AQ86" s="588">
        <f t="shared" si="60"/>
        <v>2</v>
      </c>
      <c r="AR86" s="626">
        <f>AR85/AR84*1000</f>
        <v>12907.808090310444</v>
      </c>
      <c r="AS86" s="626">
        <f>AS85/AS84*1000</f>
        <v>13535.528596187176</v>
      </c>
      <c r="AT86" s="588">
        <f t="shared" si="61"/>
        <v>4.9000000000000004</v>
      </c>
      <c r="AU86" s="626">
        <f>AU85/AU84*1000</f>
        <v>16885.714285714286</v>
      </c>
      <c r="AV86" s="626">
        <f>AV85/AV84*1000</f>
        <v>13059.347181008903</v>
      </c>
      <c r="AW86" s="616">
        <f t="shared" si="62"/>
        <v>-22.7</v>
      </c>
      <c r="AX86" s="930">
        <f>AX85/AX84*1000</f>
        <v>13034.608378870675</v>
      </c>
      <c r="AY86" s="930">
        <f>AY85/AY84*1000</f>
        <v>13359.956236323851</v>
      </c>
      <c r="AZ86" s="616">
        <f t="shared" si="63"/>
        <v>2.5</v>
      </c>
      <c r="BA86" s="626">
        <f>BA85/BA84*1000</f>
        <v>16895.927601809955</v>
      </c>
      <c r="BB86" s="626">
        <f>BB85/BB84*1000</f>
        <v>14833.333333333334</v>
      </c>
      <c r="BC86" s="616">
        <f t="shared" si="64"/>
        <v>-12.2</v>
      </c>
      <c r="BD86" s="626">
        <f>BD85/BD84*1000</f>
        <v>13681.576952236544</v>
      </c>
      <c r="BE86" s="626">
        <f>BE85/BE84*1000</f>
        <v>13545.889101338431</v>
      </c>
      <c r="BF86" s="616">
        <f t="shared" si="65"/>
        <v>-1</v>
      </c>
      <c r="BG86" s="626">
        <f>BG85/BG84*1000</f>
        <v>17232.227488151657</v>
      </c>
      <c r="BH86" s="626">
        <f>BH85/BH84*1000</f>
        <v>15351.515151515152</v>
      </c>
      <c r="BI86" s="616">
        <f t="shared" si="66"/>
        <v>-10.9</v>
      </c>
      <c r="BJ86" s="626">
        <f>BJ85/BJ84*1000</f>
        <v>14171.241830065359</v>
      </c>
      <c r="BK86" s="626">
        <f>BK85/BK84*1000</f>
        <v>13791.907514450868</v>
      </c>
      <c r="BL86" s="616">
        <f t="shared" si="67"/>
        <v>-2.7</v>
      </c>
      <c r="BM86" s="626">
        <f>BM85/BM84*1000</f>
        <v>17950.70422535211</v>
      </c>
      <c r="BN86" s="626">
        <f>BN85/BN84*1000</f>
        <v>15930.10752688172</v>
      </c>
      <c r="BO86" s="616">
        <f t="shared" si="68"/>
        <v>-11.3</v>
      </c>
      <c r="BP86" s="626">
        <f>BP85/BP84*1000</f>
        <v>14492.224880382775</v>
      </c>
      <c r="BQ86" s="626">
        <f>BQ85/BQ84*1000</f>
        <v>14076.592698639943</v>
      </c>
      <c r="BR86" s="616">
        <f t="shared" si="69"/>
        <v>-2.9</v>
      </c>
      <c r="BS86" s="626">
        <f>BS85/BS84*1000</f>
        <v>16275.862068965516</v>
      </c>
      <c r="BT86" s="626">
        <f>BT85/BT84*1000</f>
        <v>15662.921348314607</v>
      </c>
      <c r="BU86" s="616">
        <f t="shared" si="70"/>
        <v>-3.8</v>
      </c>
      <c r="BV86" s="626">
        <f>BV85/BV84*1000</f>
        <v>14607.941834451902</v>
      </c>
      <c r="BW86" s="626">
        <f>BW85/BW84*1000</f>
        <v>14255.873015873016</v>
      </c>
      <c r="BX86" s="616">
        <f t="shared" si="71"/>
        <v>-2.4</v>
      </c>
    </row>
    <row r="87" spans="1:76" ht="22.5" customHeight="1">
      <c r="A87" s="14"/>
      <c r="B87" s="1099" t="s">
        <v>24</v>
      </c>
      <c r="C87" s="1100"/>
      <c r="D87" s="365" t="s">
        <v>13</v>
      </c>
      <c r="E87" s="452">
        <f t="shared" ref="E87:G88" si="80">E90-E84</f>
        <v>12693</v>
      </c>
      <c r="F87" s="452">
        <f t="shared" si="80"/>
        <v>7514</v>
      </c>
      <c r="G87" s="452">
        <f t="shared" si="80"/>
        <v>6535</v>
      </c>
      <c r="H87" s="452">
        <f>H90-H84</f>
        <v>9750</v>
      </c>
      <c r="I87" s="452">
        <f>I90-I84</f>
        <v>10840</v>
      </c>
      <c r="J87" s="452">
        <f t="shared" ref="J87:L88" si="81">J90-J84</f>
        <v>9790</v>
      </c>
      <c r="K87" s="207">
        <f t="shared" si="81"/>
        <v>10241</v>
      </c>
      <c r="L87" s="183">
        <f t="shared" si="81"/>
        <v>10543</v>
      </c>
      <c r="M87" s="312">
        <f t="shared" ref="M87:O88" si="82">M90-M84</f>
        <v>19847</v>
      </c>
      <c r="N87" s="311">
        <f t="shared" si="82"/>
        <v>1084</v>
      </c>
      <c r="O87" s="311">
        <f t="shared" si="82"/>
        <v>995</v>
      </c>
      <c r="P87" s="195">
        <f t="shared" si="51"/>
        <v>-8.1999999999999993</v>
      </c>
      <c r="Q87" s="311">
        <f>Q90-Q84</f>
        <v>1270</v>
      </c>
      <c r="R87" s="311">
        <f>R90-R84</f>
        <v>751</v>
      </c>
      <c r="S87" s="195">
        <f t="shared" si="52"/>
        <v>-40.9</v>
      </c>
      <c r="T87" s="311">
        <f>T90-T84</f>
        <v>2354</v>
      </c>
      <c r="U87" s="311">
        <f>U90-U84</f>
        <v>1746</v>
      </c>
      <c r="V87" s="195">
        <f t="shared" si="53"/>
        <v>-25.8</v>
      </c>
      <c r="W87" s="311">
        <f>W90-W84</f>
        <v>1930</v>
      </c>
      <c r="X87" s="311">
        <f>X90-X84</f>
        <v>1437</v>
      </c>
      <c r="Y87" s="195">
        <f t="shared" si="54"/>
        <v>-25.5</v>
      </c>
      <c r="Z87" s="311">
        <f>Z90-Z84</f>
        <v>4284</v>
      </c>
      <c r="AA87" s="311">
        <f>AA90-AA84</f>
        <v>3183</v>
      </c>
      <c r="AB87" s="195">
        <f t="shared" si="55"/>
        <v>-25.7</v>
      </c>
      <c r="AC87" s="311">
        <f>AC90-AC84</f>
        <v>1725</v>
      </c>
      <c r="AD87" s="311">
        <f>AD90-AD84</f>
        <v>1385</v>
      </c>
      <c r="AE87" s="195">
        <f t="shared" si="56"/>
        <v>-19.7</v>
      </c>
      <c r="AF87" s="311">
        <f>AF90-AF84</f>
        <v>6009</v>
      </c>
      <c r="AG87" s="311">
        <f>AG90-AG84</f>
        <v>4568</v>
      </c>
      <c r="AH87" s="195">
        <f t="shared" si="57"/>
        <v>-24</v>
      </c>
      <c r="AI87" s="311">
        <f>AI90-AI84</f>
        <v>1477</v>
      </c>
      <c r="AJ87" s="311">
        <f>AJ90-AJ84</f>
        <v>1264</v>
      </c>
      <c r="AK87" s="195">
        <f t="shared" si="58"/>
        <v>-14.4</v>
      </c>
      <c r="AL87" s="311">
        <f>AL90-AL84</f>
        <v>7486</v>
      </c>
      <c r="AM87" s="311">
        <f>AM90-AM84</f>
        <v>5832</v>
      </c>
      <c r="AN87" s="195">
        <f t="shared" si="59"/>
        <v>-22.1</v>
      </c>
      <c r="AO87" s="599">
        <f>AO90-AO84</f>
        <v>1252</v>
      </c>
      <c r="AP87" s="599">
        <f>AP90-AP84</f>
        <v>891</v>
      </c>
      <c r="AQ87" s="589">
        <f t="shared" si="60"/>
        <v>-28.8</v>
      </c>
      <c r="AR87" s="869">
        <f>AR90-AR84</f>
        <v>8738</v>
      </c>
      <c r="AS87" s="869">
        <f>AS90-AS84</f>
        <v>6723</v>
      </c>
      <c r="AT87" s="589">
        <f t="shared" si="61"/>
        <v>-23.1</v>
      </c>
      <c r="AU87" s="869">
        <f>AU90-AU84</f>
        <v>1706</v>
      </c>
      <c r="AV87" s="869">
        <f>AV90-AV84</f>
        <v>1239</v>
      </c>
      <c r="AW87" s="617">
        <f t="shared" si="62"/>
        <v>-27.4</v>
      </c>
      <c r="AX87" s="929">
        <f>AX90-AX84</f>
        <v>10444</v>
      </c>
      <c r="AY87" s="929">
        <f>AY90-AY84</f>
        <v>7962</v>
      </c>
      <c r="AZ87" s="617">
        <f t="shared" si="63"/>
        <v>-23.8</v>
      </c>
      <c r="BA87" s="869">
        <f>BA90-BA84</f>
        <v>1634</v>
      </c>
      <c r="BB87" s="869">
        <f>BB90-BB84</f>
        <v>763</v>
      </c>
      <c r="BC87" s="617">
        <f t="shared" si="64"/>
        <v>-53.3</v>
      </c>
      <c r="BD87" s="869">
        <f>BD90-BD84</f>
        <v>12078</v>
      </c>
      <c r="BE87" s="869">
        <f>BE90-BE84</f>
        <v>8725</v>
      </c>
      <c r="BF87" s="617">
        <f t="shared" si="65"/>
        <v>-27.8</v>
      </c>
      <c r="BG87" s="869">
        <f>BG90-BG84</f>
        <v>1737</v>
      </c>
      <c r="BH87" s="869">
        <f>BH90-BH84</f>
        <v>1063</v>
      </c>
      <c r="BI87" s="617">
        <f t="shared" si="66"/>
        <v>-38.799999999999997</v>
      </c>
      <c r="BJ87" s="869">
        <f>BJ90-BJ84</f>
        <v>13815</v>
      </c>
      <c r="BK87" s="869">
        <f>BK90-BK84</f>
        <v>9788</v>
      </c>
      <c r="BL87" s="617">
        <f t="shared" si="67"/>
        <v>-29.1</v>
      </c>
      <c r="BM87" s="869">
        <f>BM90-BM84</f>
        <v>1849</v>
      </c>
      <c r="BN87" s="869">
        <f>BN90-BN84</f>
        <v>911</v>
      </c>
      <c r="BO87" s="617">
        <f t="shared" si="68"/>
        <v>-50.7</v>
      </c>
      <c r="BP87" s="869">
        <f>BP90-BP84</f>
        <v>15664</v>
      </c>
      <c r="BQ87" s="869">
        <f>BQ90-BQ84</f>
        <v>10699</v>
      </c>
      <c r="BR87" s="617">
        <f t="shared" si="69"/>
        <v>-31.7</v>
      </c>
      <c r="BS87" s="869">
        <f>BS90-BS84</f>
        <v>1809</v>
      </c>
      <c r="BT87" s="869">
        <f>BT90-BT84</f>
        <v>1255</v>
      </c>
      <c r="BU87" s="617">
        <f t="shared" si="70"/>
        <v>-30.6</v>
      </c>
      <c r="BV87" s="869">
        <f>BV90-BV84</f>
        <v>17473</v>
      </c>
      <c r="BW87" s="869">
        <f>BW90-BW84</f>
        <v>11954</v>
      </c>
      <c r="BX87" s="617">
        <f t="shared" si="71"/>
        <v>-31.6</v>
      </c>
    </row>
    <row r="88" spans="1:76" ht="22.5" customHeight="1">
      <c r="A88" s="14"/>
      <c r="B88" s="1099"/>
      <c r="C88" s="1100"/>
      <c r="D88" s="366" t="s">
        <v>14</v>
      </c>
      <c r="E88" s="449">
        <f t="shared" si="80"/>
        <v>101558</v>
      </c>
      <c r="F88" s="449">
        <f t="shared" si="80"/>
        <v>66743</v>
      </c>
      <c r="G88" s="449">
        <f t="shared" si="80"/>
        <v>57856</v>
      </c>
      <c r="H88" s="449">
        <f>H91-H85</f>
        <v>89805</v>
      </c>
      <c r="I88" s="449">
        <f>I91-I85</f>
        <v>76219</v>
      </c>
      <c r="J88" s="449">
        <f t="shared" si="81"/>
        <v>64785</v>
      </c>
      <c r="K88" s="202">
        <f t="shared" si="81"/>
        <v>85086</v>
      </c>
      <c r="L88" s="180">
        <f t="shared" si="81"/>
        <v>114231</v>
      </c>
      <c r="M88" s="438">
        <f t="shared" si="82"/>
        <v>157606</v>
      </c>
      <c r="N88" s="309">
        <f t="shared" si="82"/>
        <v>11818</v>
      </c>
      <c r="O88" s="309">
        <f t="shared" si="82"/>
        <v>9213</v>
      </c>
      <c r="P88" s="193">
        <f t="shared" si="51"/>
        <v>-22</v>
      </c>
      <c r="Q88" s="309">
        <f>Q91-Q85</f>
        <v>13534</v>
      </c>
      <c r="R88" s="309">
        <f>R91-R85</f>
        <v>8175</v>
      </c>
      <c r="S88" s="193">
        <f t="shared" si="52"/>
        <v>-39.6</v>
      </c>
      <c r="T88" s="309">
        <f>T91-T85</f>
        <v>25352</v>
      </c>
      <c r="U88" s="309">
        <f>U91-U85</f>
        <v>17388</v>
      </c>
      <c r="V88" s="193">
        <f t="shared" si="53"/>
        <v>-31.4</v>
      </c>
      <c r="W88" s="309">
        <f>W91-W85</f>
        <v>13483</v>
      </c>
      <c r="X88" s="309">
        <f>X91-X85</f>
        <v>11448</v>
      </c>
      <c r="Y88" s="193">
        <f t="shared" si="54"/>
        <v>-15.1</v>
      </c>
      <c r="Z88" s="309">
        <f>Z91-Z85</f>
        <v>38835</v>
      </c>
      <c r="AA88" s="309">
        <f>AA91-AA85</f>
        <v>28836</v>
      </c>
      <c r="AB88" s="193">
        <f t="shared" si="55"/>
        <v>-25.7</v>
      </c>
      <c r="AC88" s="309">
        <f>AC91-AC85</f>
        <v>13427</v>
      </c>
      <c r="AD88" s="309">
        <f>AD91-AD85</f>
        <v>8744</v>
      </c>
      <c r="AE88" s="193">
        <f t="shared" si="56"/>
        <v>-34.9</v>
      </c>
      <c r="AF88" s="309">
        <f>AF91-AF85</f>
        <v>52262</v>
      </c>
      <c r="AG88" s="309">
        <f>AG91-AG85</f>
        <v>37580</v>
      </c>
      <c r="AH88" s="193">
        <f t="shared" si="57"/>
        <v>-28.1</v>
      </c>
      <c r="AI88" s="309">
        <f>AI91-AI85</f>
        <v>11916</v>
      </c>
      <c r="AJ88" s="309">
        <f>AJ91-AJ85</f>
        <v>11714</v>
      </c>
      <c r="AK88" s="193">
        <f t="shared" si="58"/>
        <v>-1.7</v>
      </c>
      <c r="AL88" s="309">
        <f>AL91-AL85</f>
        <v>64178</v>
      </c>
      <c r="AM88" s="309">
        <f>AM91-AM85</f>
        <v>49294</v>
      </c>
      <c r="AN88" s="193">
        <f t="shared" si="59"/>
        <v>-23.2</v>
      </c>
      <c r="AO88" s="597">
        <f>AO91-AO85</f>
        <v>10615</v>
      </c>
      <c r="AP88" s="597">
        <f>AP91-AP85</f>
        <v>9442</v>
      </c>
      <c r="AQ88" s="587">
        <f t="shared" si="60"/>
        <v>-11.1</v>
      </c>
      <c r="AR88" s="868">
        <f>AR91-AR85</f>
        <v>74793</v>
      </c>
      <c r="AS88" s="868">
        <f>AS91-AS85</f>
        <v>58736</v>
      </c>
      <c r="AT88" s="587">
        <f t="shared" si="61"/>
        <v>-21.5</v>
      </c>
      <c r="AU88" s="868">
        <f>AU91-AU85</f>
        <v>14083</v>
      </c>
      <c r="AV88" s="868">
        <f>AV91-AV85</f>
        <v>12285</v>
      </c>
      <c r="AW88" s="615">
        <f t="shared" si="62"/>
        <v>-12.8</v>
      </c>
      <c r="AX88" s="925">
        <f>AX91-AX85</f>
        <v>88876</v>
      </c>
      <c r="AY88" s="925">
        <f>AY91-AY85</f>
        <v>71021</v>
      </c>
      <c r="AZ88" s="615">
        <f t="shared" si="63"/>
        <v>-20.100000000000001</v>
      </c>
      <c r="BA88" s="868">
        <f>BA91-BA85</f>
        <v>13550</v>
      </c>
      <c r="BB88" s="868">
        <f>BB91-BB85</f>
        <v>10220</v>
      </c>
      <c r="BC88" s="615">
        <f t="shared" si="64"/>
        <v>-24.6</v>
      </c>
      <c r="BD88" s="868">
        <f>BD91-BD85</f>
        <v>102426</v>
      </c>
      <c r="BE88" s="868">
        <f>BE91-BE85</f>
        <v>81241</v>
      </c>
      <c r="BF88" s="615">
        <f t="shared" si="65"/>
        <v>-20.7</v>
      </c>
      <c r="BG88" s="868">
        <f>BG91-BG85</f>
        <v>14380</v>
      </c>
      <c r="BH88" s="868">
        <f>BH91-BH85</f>
        <v>9973</v>
      </c>
      <c r="BI88" s="615">
        <f t="shared" si="66"/>
        <v>-30.6</v>
      </c>
      <c r="BJ88" s="868">
        <f>BJ91-BJ85</f>
        <v>116806</v>
      </c>
      <c r="BK88" s="868">
        <f>BK91-BK85</f>
        <v>91214</v>
      </c>
      <c r="BL88" s="615">
        <f t="shared" si="67"/>
        <v>-21.9</v>
      </c>
      <c r="BM88" s="868">
        <f>BM91-BM85</f>
        <v>15229</v>
      </c>
      <c r="BN88" s="868">
        <f>BN91-BN85</f>
        <v>7333</v>
      </c>
      <c r="BO88" s="615">
        <f t="shared" si="68"/>
        <v>-51.8</v>
      </c>
      <c r="BP88" s="868">
        <f>BP91-BP85</f>
        <v>132035</v>
      </c>
      <c r="BQ88" s="868">
        <f>BQ91-BQ85</f>
        <v>98547</v>
      </c>
      <c r="BR88" s="615">
        <f t="shared" si="69"/>
        <v>-25.4</v>
      </c>
      <c r="BS88" s="868">
        <f>BS91-BS85</f>
        <v>14581</v>
      </c>
      <c r="BT88" s="868">
        <f>BT91-BT85</f>
        <v>9728</v>
      </c>
      <c r="BU88" s="615">
        <f t="shared" si="70"/>
        <v>-33.299999999999997</v>
      </c>
      <c r="BV88" s="868">
        <f>BV91-BV85</f>
        <v>146616</v>
      </c>
      <c r="BW88" s="868">
        <f>BW91-BW85</f>
        <v>108275</v>
      </c>
      <c r="BX88" s="615">
        <f t="shared" si="71"/>
        <v>-26.2</v>
      </c>
    </row>
    <row r="89" spans="1:76" ht="22.5" customHeight="1">
      <c r="A89" s="14"/>
      <c r="B89" s="1099"/>
      <c r="C89" s="1100"/>
      <c r="D89" s="370" t="s">
        <v>15</v>
      </c>
      <c r="E89" s="453">
        <f t="shared" ref="E89:L89" si="83">E88/E87*1000</f>
        <v>8001.1029701410234</v>
      </c>
      <c r="F89" s="453">
        <f t="shared" si="83"/>
        <v>8882.4860260846417</v>
      </c>
      <c r="G89" s="453">
        <f t="shared" si="83"/>
        <v>8853.2517214996169</v>
      </c>
      <c r="H89" s="453">
        <f t="shared" si="83"/>
        <v>9210.7692307692305</v>
      </c>
      <c r="I89" s="453">
        <f t="shared" si="83"/>
        <v>7031.2730627306273</v>
      </c>
      <c r="J89" s="453">
        <f t="shared" si="83"/>
        <v>6617.4668028600618</v>
      </c>
      <c r="K89" s="208">
        <f t="shared" si="83"/>
        <v>8308.3683234059172</v>
      </c>
      <c r="L89" s="184">
        <f t="shared" si="83"/>
        <v>10834.771886559804</v>
      </c>
      <c r="M89" s="442">
        <f>M88/M87*1000</f>
        <v>7941.0490250415687</v>
      </c>
      <c r="N89" s="310">
        <f>N88/N87*1000</f>
        <v>10902.214022140221</v>
      </c>
      <c r="O89" s="310">
        <f>O88/O87*1000</f>
        <v>9259.296482412059</v>
      </c>
      <c r="P89" s="194">
        <f t="shared" si="51"/>
        <v>-15.1</v>
      </c>
      <c r="Q89" s="310">
        <f>Q88/Q87*1000</f>
        <v>10656.692913385827</v>
      </c>
      <c r="R89" s="310">
        <f>R88/R87*1000</f>
        <v>10885.48601864181</v>
      </c>
      <c r="S89" s="194">
        <f t="shared" si="52"/>
        <v>2.1</v>
      </c>
      <c r="T89" s="310">
        <f>T88/T87*1000</f>
        <v>10769.753610875106</v>
      </c>
      <c r="U89" s="310">
        <f>U88/U87*1000</f>
        <v>9958.7628865979386</v>
      </c>
      <c r="V89" s="194">
        <f t="shared" si="53"/>
        <v>-7.5</v>
      </c>
      <c r="W89" s="310">
        <f>W88/W87*1000</f>
        <v>6986.010362694301</v>
      </c>
      <c r="X89" s="310">
        <f>X88/X87*1000</f>
        <v>7966.5970772442588</v>
      </c>
      <c r="Y89" s="194">
        <f t="shared" si="54"/>
        <v>14</v>
      </c>
      <c r="Z89" s="310">
        <f>Z88/Z87*1000</f>
        <v>9065.1260504201691</v>
      </c>
      <c r="AA89" s="310">
        <f>AA88/AA87*1000</f>
        <v>9059.3779453345905</v>
      </c>
      <c r="AB89" s="194">
        <f t="shared" si="55"/>
        <v>-0.1</v>
      </c>
      <c r="AC89" s="310">
        <f>AC88/AC87*1000</f>
        <v>7783.768115942029</v>
      </c>
      <c r="AD89" s="310">
        <f>AD88/AD87*1000</f>
        <v>6313.3574007220213</v>
      </c>
      <c r="AE89" s="194">
        <f t="shared" si="56"/>
        <v>-18.899999999999999</v>
      </c>
      <c r="AF89" s="310">
        <f>AF88/AF87*1000</f>
        <v>8697.2874022299893</v>
      </c>
      <c r="AG89" s="310">
        <f>AG88/AG87*1000</f>
        <v>8226.7950963222411</v>
      </c>
      <c r="AH89" s="194">
        <f t="shared" si="57"/>
        <v>-5.4</v>
      </c>
      <c r="AI89" s="310">
        <f>AI88/AI87*1000</f>
        <v>8067.7048070413002</v>
      </c>
      <c r="AJ89" s="310">
        <f>AJ88/AJ87*1000</f>
        <v>9267.4050632911403</v>
      </c>
      <c r="AK89" s="194">
        <f t="shared" si="58"/>
        <v>14.9</v>
      </c>
      <c r="AL89" s="310">
        <f>AL88/AL87*1000</f>
        <v>8573.0697301629698</v>
      </c>
      <c r="AM89" s="310">
        <f>AM88/AM87*1000</f>
        <v>8452.3319615912205</v>
      </c>
      <c r="AN89" s="194">
        <f t="shared" si="59"/>
        <v>-1.4</v>
      </c>
      <c r="AO89" s="598">
        <f>AO88/AO87*1000</f>
        <v>8478.4345047923325</v>
      </c>
      <c r="AP89" s="598">
        <f>AP88/AP87*1000</f>
        <v>10597.081930415265</v>
      </c>
      <c r="AQ89" s="588">
        <f t="shared" si="60"/>
        <v>25</v>
      </c>
      <c r="AR89" s="626">
        <f>AR88/AR87*1000</f>
        <v>8559.5101853971155</v>
      </c>
      <c r="AS89" s="626">
        <f>AS88/AS87*1000</f>
        <v>8736.5759333630813</v>
      </c>
      <c r="AT89" s="588">
        <f t="shared" si="61"/>
        <v>2.1</v>
      </c>
      <c r="AU89" s="626">
        <f>AU88/AU87*1000</f>
        <v>8254.9824150058612</v>
      </c>
      <c r="AV89" s="626">
        <f>AV88/AV87*1000</f>
        <v>9915.2542372881344</v>
      </c>
      <c r="AW89" s="616">
        <f t="shared" si="62"/>
        <v>20.100000000000001</v>
      </c>
      <c r="AX89" s="930">
        <f>AX88/AX87*1000</f>
        <v>8509.7663730371496</v>
      </c>
      <c r="AY89" s="930">
        <f>AY88/AY87*1000</f>
        <v>8919.9949761366497</v>
      </c>
      <c r="AZ89" s="616">
        <f t="shared" si="63"/>
        <v>4.8</v>
      </c>
      <c r="BA89" s="626">
        <f>BA88/BA87*1000</f>
        <v>8292.5336597307214</v>
      </c>
      <c r="BB89" s="626">
        <f>BB88/BB87*1000</f>
        <v>13394.495412844037</v>
      </c>
      <c r="BC89" s="616">
        <f t="shared" si="64"/>
        <v>61.5</v>
      </c>
      <c r="BD89" s="626">
        <f>BD88/BD87*1000</f>
        <v>8480.3775459513163</v>
      </c>
      <c r="BE89" s="626">
        <f>BE88/BE87*1000</f>
        <v>9311.2893982808018</v>
      </c>
      <c r="BF89" s="616">
        <f t="shared" si="65"/>
        <v>9.8000000000000007</v>
      </c>
      <c r="BG89" s="626">
        <f>BG88/BG87*1000</f>
        <v>8278.6413356361536</v>
      </c>
      <c r="BH89" s="626">
        <f>BH88/BH87*1000</f>
        <v>9381.9379115710253</v>
      </c>
      <c r="BI89" s="616">
        <f t="shared" si="66"/>
        <v>13.3</v>
      </c>
      <c r="BJ89" s="626">
        <f>BJ88/BJ87*1000</f>
        <v>8455.0126673905179</v>
      </c>
      <c r="BK89" s="626">
        <f>BK88/BK87*1000</f>
        <v>9318.9619942787085</v>
      </c>
      <c r="BL89" s="616">
        <f t="shared" si="67"/>
        <v>10.199999999999999</v>
      </c>
      <c r="BM89" s="626">
        <f>BM88/BM87*1000</f>
        <v>8236.3439697133581</v>
      </c>
      <c r="BN89" s="626">
        <f>BN88/BN87*1000</f>
        <v>8049.3962678375401</v>
      </c>
      <c r="BO89" s="616">
        <f t="shared" si="68"/>
        <v>-2.2999999999999998</v>
      </c>
      <c r="BP89" s="626">
        <f>BP88/BP87*1000</f>
        <v>8429.2007150153222</v>
      </c>
      <c r="BQ89" s="626">
        <f>BQ88/BQ87*1000</f>
        <v>9210.8608281147772</v>
      </c>
      <c r="BR89" s="616">
        <f t="shared" si="69"/>
        <v>9.3000000000000007</v>
      </c>
      <c r="BS89" s="626">
        <f>BS88/BS87*1000</f>
        <v>8060.2542841348813</v>
      </c>
      <c r="BT89" s="626">
        <f>BT88/BT87*1000</f>
        <v>7751.3944223107574</v>
      </c>
      <c r="BU89" s="616">
        <f t="shared" si="70"/>
        <v>-3.8</v>
      </c>
      <c r="BV89" s="626">
        <f>BV88/BV87*1000</f>
        <v>8391.0032621759292</v>
      </c>
      <c r="BW89" s="626">
        <f>BW88/BW87*1000</f>
        <v>9057.6376108415607</v>
      </c>
      <c r="BX89" s="616">
        <f t="shared" si="71"/>
        <v>7.9</v>
      </c>
    </row>
    <row r="90" spans="1:76" ht="22.5" customHeight="1">
      <c r="A90" s="14"/>
      <c r="B90" s="1104" t="s">
        <v>25</v>
      </c>
      <c r="C90" s="1105"/>
      <c r="D90" s="15" t="s">
        <v>271</v>
      </c>
      <c r="E90" s="454">
        <v>17637</v>
      </c>
      <c r="F90" s="454">
        <v>12478</v>
      </c>
      <c r="G90" s="454">
        <v>21010</v>
      </c>
      <c r="H90" s="454">
        <v>13864</v>
      </c>
      <c r="I90" s="454">
        <v>16173</v>
      </c>
      <c r="J90" s="454">
        <v>23074</v>
      </c>
      <c r="K90" s="209">
        <v>16569</v>
      </c>
      <c r="L90" s="185">
        <v>12445</v>
      </c>
      <c r="M90" s="443">
        <v>21792</v>
      </c>
      <c r="N90" s="313">
        <v>1293</v>
      </c>
      <c r="O90" s="313">
        <v>1075</v>
      </c>
      <c r="P90" s="197">
        <f t="shared" si="51"/>
        <v>-16.899999999999999</v>
      </c>
      <c r="Q90" s="313">
        <f>T90-N90</f>
        <v>1412</v>
      </c>
      <c r="R90" s="313">
        <f>U90-O90</f>
        <v>973</v>
      </c>
      <c r="S90" s="197">
        <f t="shared" si="52"/>
        <v>-31.1</v>
      </c>
      <c r="T90" s="313">
        <v>2705</v>
      </c>
      <c r="U90" s="313">
        <v>2048</v>
      </c>
      <c r="V90" s="197">
        <f t="shared" si="53"/>
        <v>-24.3</v>
      </c>
      <c r="W90" s="313">
        <f>Z90-T90</f>
        <v>2137</v>
      </c>
      <c r="X90" s="313">
        <f>AA90-U90</f>
        <v>1461</v>
      </c>
      <c r="Y90" s="197">
        <f t="shared" si="54"/>
        <v>-31.6</v>
      </c>
      <c r="Z90" s="313">
        <v>4842</v>
      </c>
      <c r="AA90" s="313">
        <v>3509</v>
      </c>
      <c r="AB90" s="197">
        <f t="shared" si="55"/>
        <v>-27.5</v>
      </c>
      <c r="AC90" s="313">
        <f>AF90-Z90</f>
        <v>1828</v>
      </c>
      <c r="AD90" s="313">
        <f>AG90-AA90</f>
        <v>1399</v>
      </c>
      <c r="AE90" s="197">
        <f t="shared" si="56"/>
        <v>-23.5</v>
      </c>
      <c r="AF90" s="313">
        <v>6670</v>
      </c>
      <c r="AG90" s="313">
        <v>4908</v>
      </c>
      <c r="AH90" s="197">
        <f t="shared" si="57"/>
        <v>-26.4</v>
      </c>
      <c r="AI90" s="313">
        <f>AL90-AF90</f>
        <v>1702</v>
      </c>
      <c r="AJ90" s="313">
        <f>AM90-AG90</f>
        <v>1293</v>
      </c>
      <c r="AK90" s="197">
        <f t="shared" si="58"/>
        <v>-24</v>
      </c>
      <c r="AL90" s="313">
        <v>8372</v>
      </c>
      <c r="AM90" s="313">
        <v>6201</v>
      </c>
      <c r="AN90" s="197">
        <f t="shared" si="59"/>
        <v>-25.9</v>
      </c>
      <c r="AO90" s="600">
        <f>AR90-AL90</f>
        <v>1429</v>
      </c>
      <c r="AP90" s="600">
        <f>AS90-AM90</f>
        <v>1099</v>
      </c>
      <c r="AQ90" s="590">
        <f t="shared" si="60"/>
        <v>-23.1</v>
      </c>
      <c r="AR90" s="640">
        <v>9801</v>
      </c>
      <c r="AS90" s="640">
        <v>7300</v>
      </c>
      <c r="AT90" s="590">
        <f t="shared" si="61"/>
        <v>-25.5</v>
      </c>
      <c r="AU90" s="640">
        <f>AX90-AR90</f>
        <v>1741</v>
      </c>
      <c r="AV90" s="640">
        <f>AY90-AS90</f>
        <v>1576</v>
      </c>
      <c r="AW90" s="618">
        <f t="shared" si="62"/>
        <v>-9.5</v>
      </c>
      <c r="AX90" s="931">
        <v>11542</v>
      </c>
      <c r="AY90" s="931">
        <v>8876</v>
      </c>
      <c r="AZ90" s="618">
        <f t="shared" si="63"/>
        <v>-23.1</v>
      </c>
      <c r="BA90" s="640">
        <f>BD90-AX90</f>
        <v>1855</v>
      </c>
      <c r="BB90" s="640">
        <f>BE90-AY90</f>
        <v>895</v>
      </c>
      <c r="BC90" s="618">
        <f t="shared" si="64"/>
        <v>-51.8</v>
      </c>
      <c r="BD90" s="640">
        <v>13397</v>
      </c>
      <c r="BE90" s="640">
        <v>9771</v>
      </c>
      <c r="BF90" s="618">
        <f t="shared" si="65"/>
        <v>-27.1</v>
      </c>
      <c r="BG90" s="640">
        <f>BJ90-BD90</f>
        <v>1948</v>
      </c>
      <c r="BH90" s="640">
        <f>BK90-BE90</f>
        <v>1228</v>
      </c>
      <c r="BI90" s="618">
        <f t="shared" si="66"/>
        <v>-37</v>
      </c>
      <c r="BJ90" s="640">
        <v>15345</v>
      </c>
      <c r="BK90" s="640">
        <v>10999</v>
      </c>
      <c r="BL90" s="618">
        <f t="shared" si="67"/>
        <v>-28.3</v>
      </c>
      <c r="BM90" s="640">
        <f>BP90-BJ90</f>
        <v>1991</v>
      </c>
      <c r="BN90" s="640">
        <f>BQ90-BK90</f>
        <v>1097</v>
      </c>
      <c r="BO90" s="618">
        <f t="shared" si="68"/>
        <v>-44.9</v>
      </c>
      <c r="BP90" s="640">
        <v>17336</v>
      </c>
      <c r="BQ90" s="640">
        <v>12096</v>
      </c>
      <c r="BR90" s="618">
        <f t="shared" si="69"/>
        <v>-30.2</v>
      </c>
      <c r="BS90" s="640">
        <f>BV90-BP90</f>
        <v>1925</v>
      </c>
      <c r="BT90" s="640">
        <f>BW90-BQ90</f>
        <v>1433</v>
      </c>
      <c r="BU90" s="618">
        <f t="shared" si="70"/>
        <v>-25.6</v>
      </c>
      <c r="BV90" s="640">
        <v>19261</v>
      </c>
      <c r="BW90" s="640">
        <v>13529</v>
      </c>
      <c r="BX90" s="618">
        <f t="shared" si="71"/>
        <v>-29.8</v>
      </c>
    </row>
    <row r="91" spans="1:76" ht="22.5" customHeight="1">
      <c r="A91" s="14"/>
      <c r="B91" s="1104"/>
      <c r="C91" s="1105"/>
      <c r="D91" s="367" t="s">
        <v>272</v>
      </c>
      <c r="E91" s="455">
        <v>198694</v>
      </c>
      <c r="F91" s="455">
        <v>146252</v>
      </c>
      <c r="G91" s="455">
        <v>266977</v>
      </c>
      <c r="H91" s="455">
        <v>160449</v>
      </c>
      <c r="I91" s="455">
        <v>130565</v>
      </c>
      <c r="J91" s="455">
        <v>182177</v>
      </c>
      <c r="K91" s="210">
        <v>150939</v>
      </c>
      <c r="L91" s="186">
        <v>142283</v>
      </c>
      <c r="M91" s="444">
        <v>186009</v>
      </c>
      <c r="N91" s="314">
        <v>14303</v>
      </c>
      <c r="O91" s="314">
        <v>10417</v>
      </c>
      <c r="P91" s="198">
        <f t="shared" si="51"/>
        <v>-27.2</v>
      </c>
      <c r="Q91" s="314">
        <f>T91-N91</f>
        <v>15349</v>
      </c>
      <c r="R91" s="314">
        <f>U91-O91</f>
        <v>11114</v>
      </c>
      <c r="S91" s="198">
        <f t="shared" si="52"/>
        <v>-27.6</v>
      </c>
      <c r="T91" s="314">
        <v>29652</v>
      </c>
      <c r="U91" s="314">
        <v>21531</v>
      </c>
      <c r="V91" s="198">
        <f t="shared" si="53"/>
        <v>-27.4</v>
      </c>
      <c r="W91" s="314">
        <f>Z91-T91</f>
        <v>16401</v>
      </c>
      <c r="X91" s="314">
        <f>AA91-U91</f>
        <v>11868</v>
      </c>
      <c r="Y91" s="198">
        <f t="shared" si="54"/>
        <v>-27.6</v>
      </c>
      <c r="Z91" s="314">
        <v>46053</v>
      </c>
      <c r="AA91" s="314">
        <v>33399</v>
      </c>
      <c r="AB91" s="198">
        <f t="shared" si="55"/>
        <v>-27.5</v>
      </c>
      <c r="AC91" s="314">
        <f>AF91-Z91</f>
        <v>14834</v>
      </c>
      <c r="AD91" s="314">
        <f>AG91-AA91</f>
        <v>8950</v>
      </c>
      <c r="AE91" s="198">
        <f t="shared" si="56"/>
        <v>-39.700000000000003</v>
      </c>
      <c r="AF91" s="314">
        <v>60887</v>
      </c>
      <c r="AG91" s="314">
        <v>42349</v>
      </c>
      <c r="AH91" s="198">
        <f t="shared" si="57"/>
        <v>-30.4</v>
      </c>
      <c r="AI91" s="314">
        <f>AL91-AF91</f>
        <v>14773</v>
      </c>
      <c r="AJ91" s="314">
        <f>AM91-AG91</f>
        <v>12072</v>
      </c>
      <c r="AK91" s="198">
        <f t="shared" si="58"/>
        <v>-18.3</v>
      </c>
      <c r="AL91" s="314">
        <v>75660</v>
      </c>
      <c r="AM91" s="314">
        <v>54421</v>
      </c>
      <c r="AN91" s="198">
        <f t="shared" si="59"/>
        <v>-28.1</v>
      </c>
      <c r="AO91" s="601">
        <f>AR91-AL91</f>
        <v>12854</v>
      </c>
      <c r="AP91" s="601">
        <f>AS91-AM91</f>
        <v>12125</v>
      </c>
      <c r="AQ91" s="591">
        <f t="shared" si="60"/>
        <v>-5.7</v>
      </c>
      <c r="AR91" s="641">
        <v>88514</v>
      </c>
      <c r="AS91" s="641">
        <v>66546</v>
      </c>
      <c r="AT91" s="591">
        <f t="shared" si="61"/>
        <v>-24.8</v>
      </c>
      <c r="AU91" s="641">
        <f>AX91-AR91</f>
        <v>14674</v>
      </c>
      <c r="AV91" s="641">
        <f>AY91-AS91</f>
        <v>16686</v>
      </c>
      <c r="AW91" s="619">
        <f t="shared" si="62"/>
        <v>13.7</v>
      </c>
      <c r="AX91" s="932">
        <v>103188</v>
      </c>
      <c r="AY91" s="932">
        <v>83232</v>
      </c>
      <c r="AZ91" s="619">
        <f t="shared" si="63"/>
        <v>-19.3</v>
      </c>
      <c r="BA91" s="641">
        <f>BD91-AX91</f>
        <v>17284</v>
      </c>
      <c r="BB91" s="641">
        <f>BE91-AY91</f>
        <v>12178</v>
      </c>
      <c r="BC91" s="619">
        <f t="shared" si="64"/>
        <v>-29.5</v>
      </c>
      <c r="BD91" s="641">
        <v>120472</v>
      </c>
      <c r="BE91" s="641">
        <v>95410</v>
      </c>
      <c r="BF91" s="619">
        <f t="shared" si="65"/>
        <v>-20.8</v>
      </c>
      <c r="BG91" s="641">
        <f>BJ91-BD91</f>
        <v>18016</v>
      </c>
      <c r="BH91" s="641">
        <f>BK91-BE91</f>
        <v>12506</v>
      </c>
      <c r="BI91" s="619">
        <f t="shared" si="66"/>
        <v>-30.6</v>
      </c>
      <c r="BJ91" s="641">
        <v>138488</v>
      </c>
      <c r="BK91" s="641">
        <v>107916</v>
      </c>
      <c r="BL91" s="619">
        <f t="shared" si="67"/>
        <v>-22.1</v>
      </c>
      <c r="BM91" s="641">
        <f>BP91-BJ91</f>
        <v>17778</v>
      </c>
      <c r="BN91" s="641">
        <f>BQ91-BK91</f>
        <v>10296</v>
      </c>
      <c r="BO91" s="619">
        <f t="shared" si="68"/>
        <v>-42.1</v>
      </c>
      <c r="BP91" s="641">
        <v>156266</v>
      </c>
      <c r="BQ91" s="641">
        <v>118212</v>
      </c>
      <c r="BR91" s="619">
        <f t="shared" si="69"/>
        <v>-24.4</v>
      </c>
      <c r="BS91" s="641">
        <f>BV91-BP91</f>
        <v>16469</v>
      </c>
      <c r="BT91" s="641">
        <f>BW91-BQ91</f>
        <v>12516</v>
      </c>
      <c r="BU91" s="619">
        <f t="shared" si="70"/>
        <v>-24</v>
      </c>
      <c r="BV91" s="641">
        <v>172735</v>
      </c>
      <c r="BW91" s="641">
        <v>130728</v>
      </c>
      <c r="BX91" s="619">
        <f t="shared" si="71"/>
        <v>-24.3</v>
      </c>
    </row>
    <row r="92" spans="1:76" ht="22.5" customHeight="1">
      <c r="A92" s="14"/>
      <c r="B92" s="1110"/>
      <c r="C92" s="1105"/>
      <c r="D92" s="371" t="s">
        <v>317</v>
      </c>
      <c r="E92" s="456">
        <f t="shared" ref="E92:L92" si="84">E91/E90*1000</f>
        <v>11265.748143108238</v>
      </c>
      <c r="F92" s="456">
        <f t="shared" si="84"/>
        <v>11720.788587914729</v>
      </c>
      <c r="G92" s="456">
        <f t="shared" si="84"/>
        <v>12707.139457401237</v>
      </c>
      <c r="H92" s="456">
        <f t="shared" si="84"/>
        <v>11573.06693594922</v>
      </c>
      <c r="I92" s="456">
        <f t="shared" si="84"/>
        <v>8073.0229394670123</v>
      </c>
      <c r="J92" s="456">
        <f t="shared" si="84"/>
        <v>7895.336742654069</v>
      </c>
      <c r="K92" s="211">
        <f t="shared" si="84"/>
        <v>9109.7229766431283</v>
      </c>
      <c r="L92" s="187">
        <f t="shared" si="84"/>
        <v>11432.944957814383</v>
      </c>
      <c r="M92" s="445">
        <f>M91/M90*1000</f>
        <v>8535.6552863436118</v>
      </c>
      <c r="N92" s="315">
        <f>N91/N90*1000</f>
        <v>11061.871616395978</v>
      </c>
      <c r="O92" s="315">
        <f>O91/O90*1000</f>
        <v>9690.2325581395344</v>
      </c>
      <c r="P92" s="199">
        <f t="shared" si="51"/>
        <v>-12.4</v>
      </c>
      <c r="Q92" s="315">
        <f>Q91/Q90*1000</f>
        <v>10870.396600566572</v>
      </c>
      <c r="R92" s="315">
        <f>R91/R90*1000</f>
        <v>11422.404933196301</v>
      </c>
      <c r="S92" s="199">
        <f t="shared" si="52"/>
        <v>5.0999999999999996</v>
      </c>
      <c r="T92" s="315">
        <f>T91/T90*1000</f>
        <v>10961.92236598891</v>
      </c>
      <c r="U92" s="315">
        <f>U91/U90*1000</f>
        <v>10513.18359375</v>
      </c>
      <c r="V92" s="199">
        <f t="shared" si="53"/>
        <v>-4.0999999999999996</v>
      </c>
      <c r="W92" s="315">
        <f>W91/W90*1000</f>
        <v>7674.7777257838088</v>
      </c>
      <c r="X92" s="315">
        <f>X91/X90*1000</f>
        <v>8123.2032854209438</v>
      </c>
      <c r="Y92" s="199">
        <f t="shared" si="54"/>
        <v>5.8</v>
      </c>
      <c r="Z92" s="315">
        <f>Z91/Z90*1000</f>
        <v>9511.1524163568774</v>
      </c>
      <c r="AA92" s="315">
        <f>AA91/AA90*1000</f>
        <v>9518.0963237389569</v>
      </c>
      <c r="AB92" s="199">
        <f t="shared" si="55"/>
        <v>0.1</v>
      </c>
      <c r="AC92" s="315">
        <f>AC91/AC90*1000</f>
        <v>8114.8796498905913</v>
      </c>
      <c r="AD92" s="315">
        <f>AD91/AD90*1000</f>
        <v>6397.4267333809867</v>
      </c>
      <c r="AE92" s="199">
        <f t="shared" si="56"/>
        <v>-21.2</v>
      </c>
      <c r="AF92" s="315">
        <f>AF91/AF90*1000</f>
        <v>9128.4857571214379</v>
      </c>
      <c r="AG92" s="315">
        <f>AG91/AG90*1000</f>
        <v>8628.5656071719641</v>
      </c>
      <c r="AH92" s="199">
        <f t="shared" si="57"/>
        <v>-5.5</v>
      </c>
      <c r="AI92" s="315">
        <f>AI91/AI90*1000</f>
        <v>8679.7884841363102</v>
      </c>
      <c r="AJ92" s="315">
        <f>AJ91/AJ90*1000</f>
        <v>9336.4269141531331</v>
      </c>
      <c r="AK92" s="199">
        <f t="shared" si="58"/>
        <v>7.6</v>
      </c>
      <c r="AL92" s="315">
        <f>AL91/AL90*1000</f>
        <v>9037.2670807453414</v>
      </c>
      <c r="AM92" s="315">
        <f>AM91/AM90*1000</f>
        <v>8776.165134655701</v>
      </c>
      <c r="AN92" s="199">
        <f t="shared" si="59"/>
        <v>-2.9</v>
      </c>
      <c r="AO92" s="602">
        <f>AO91/AO90*1000</f>
        <v>8995.101469559133</v>
      </c>
      <c r="AP92" s="602">
        <f>AP91/AP90*1000</f>
        <v>11032.757051865332</v>
      </c>
      <c r="AQ92" s="592">
        <f t="shared" si="60"/>
        <v>22.7</v>
      </c>
      <c r="AR92" s="630">
        <f>AR91/AR90*1000</f>
        <v>9031.1192735435161</v>
      </c>
      <c r="AS92" s="630">
        <f>AS91/AS90*1000</f>
        <v>9115.8904109589039</v>
      </c>
      <c r="AT92" s="592">
        <f t="shared" si="61"/>
        <v>0.9</v>
      </c>
      <c r="AU92" s="630">
        <f>AU91/AU90*1000</f>
        <v>8428.489373923032</v>
      </c>
      <c r="AV92" s="630">
        <f>AV91/AV90*1000</f>
        <v>10587.563451776648</v>
      </c>
      <c r="AW92" s="620">
        <f t="shared" si="62"/>
        <v>25.6</v>
      </c>
      <c r="AX92" s="933">
        <f>AX91/AX90*1000</f>
        <v>8940.2183330445314</v>
      </c>
      <c r="AY92" s="933">
        <f>AY91/AY90*1000</f>
        <v>9377.1969355565561</v>
      </c>
      <c r="AZ92" s="620">
        <f t="shared" si="63"/>
        <v>4.9000000000000004</v>
      </c>
      <c r="BA92" s="630">
        <f>BA91/BA90*1000</f>
        <v>9317.5202156334235</v>
      </c>
      <c r="BB92" s="630">
        <f>BB91/BB90*1000</f>
        <v>13606.703910614526</v>
      </c>
      <c r="BC92" s="620">
        <f t="shared" si="64"/>
        <v>46</v>
      </c>
      <c r="BD92" s="630">
        <f>BD91/BD90*1000</f>
        <v>8992.4609987310596</v>
      </c>
      <c r="BE92" s="630">
        <f>BE91/BE90*1000</f>
        <v>9764.609558898781</v>
      </c>
      <c r="BF92" s="620">
        <f t="shared" si="65"/>
        <v>8.6</v>
      </c>
      <c r="BG92" s="630">
        <f>BG91/BG90*1000</f>
        <v>9248.4599589322388</v>
      </c>
      <c r="BH92" s="630">
        <f>BH91/BH90*1000</f>
        <v>10184.039087947882</v>
      </c>
      <c r="BI92" s="620">
        <f t="shared" si="66"/>
        <v>10.1</v>
      </c>
      <c r="BJ92" s="630">
        <f>BJ91/BJ90*1000</f>
        <v>9024.9592701205602</v>
      </c>
      <c r="BK92" s="630">
        <f>BK91/BK90*1000</f>
        <v>9811.4374034003085</v>
      </c>
      <c r="BL92" s="620">
        <f t="shared" si="67"/>
        <v>8.6999999999999993</v>
      </c>
      <c r="BM92" s="630">
        <f>BM91/BM90*1000</f>
        <v>8929.1813159216472</v>
      </c>
      <c r="BN92" s="630">
        <f>BN91/BN90*1000</f>
        <v>9385.597082953509</v>
      </c>
      <c r="BO92" s="620">
        <f t="shared" si="68"/>
        <v>5.0999999999999996</v>
      </c>
      <c r="BP92" s="630">
        <f>BP91/BP90*1000</f>
        <v>9013.9593908629431</v>
      </c>
      <c r="BQ92" s="630">
        <f>BQ91/BQ90*1000</f>
        <v>9772.8174603174612</v>
      </c>
      <c r="BR92" s="620">
        <f t="shared" si="69"/>
        <v>8.4</v>
      </c>
      <c r="BS92" s="630">
        <f>BS91/BS90*1000</f>
        <v>8555.3246753246749</v>
      </c>
      <c r="BT92" s="630">
        <f>BT91/BT90*1000</f>
        <v>8734.1242149337068</v>
      </c>
      <c r="BU92" s="620">
        <f t="shared" si="70"/>
        <v>2.1</v>
      </c>
      <c r="BV92" s="630">
        <f>BV91/BV90*1000</f>
        <v>8968.1221120398732</v>
      </c>
      <c r="BW92" s="630">
        <f>BW91/BW90*1000</f>
        <v>9662.7984329957872</v>
      </c>
      <c r="BX92" s="620">
        <f t="shared" si="71"/>
        <v>7.7</v>
      </c>
    </row>
    <row r="93" spans="1:76" ht="22.5" customHeight="1">
      <c r="A93" s="1106" t="s">
        <v>35</v>
      </c>
      <c r="B93" s="1099" t="s">
        <v>32</v>
      </c>
      <c r="C93" s="1100">
        <v>8001</v>
      </c>
      <c r="D93" s="365" t="s">
        <v>13</v>
      </c>
      <c r="E93" s="452">
        <v>429</v>
      </c>
      <c r="F93" s="452">
        <v>1004</v>
      </c>
      <c r="G93" s="452">
        <v>1361</v>
      </c>
      <c r="H93" s="452">
        <v>970</v>
      </c>
      <c r="I93" s="452">
        <v>1023</v>
      </c>
      <c r="J93" s="452">
        <v>1003</v>
      </c>
      <c r="K93" s="207">
        <v>754</v>
      </c>
      <c r="L93" s="183">
        <v>838</v>
      </c>
      <c r="M93" s="312">
        <v>623</v>
      </c>
      <c r="N93" s="311">
        <v>55</v>
      </c>
      <c r="O93" s="311">
        <v>12</v>
      </c>
      <c r="P93" s="195">
        <f t="shared" si="51"/>
        <v>-78.2</v>
      </c>
      <c r="Q93" s="311">
        <f>T93-N93</f>
        <v>100</v>
      </c>
      <c r="R93" s="311">
        <f>U93-O93</f>
        <v>55</v>
      </c>
      <c r="S93" s="195">
        <f t="shared" si="52"/>
        <v>-45</v>
      </c>
      <c r="T93" s="311">
        <v>155</v>
      </c>
      <c r="U93" s="311">
        <v>67</v>
      </c>
      <c r="V93" s="195">
        <f t="shared" si="53"/>
        <v>-56.8</v>
      </c>
      <c r="W93" s="311">
        <f>Z93-T93</f>
        <v>50</v>
      </c>
      <c r="X93" s="311">
        <f>AA93-U93</f>
        <v>4</v>
      </c>
      <c r="Y93" s="195">
        <f t="shared" si="54"/>
        <v>-92</v>
      </c>
      <c r="Z93" s="311">
        <v>205</v>
      </c>
      <c r="AA93" s="311">
        <v>71</v>
      </c>
      <c r="AB93" s="195">
        <f t="shared" si="55"/>
        <v>-65.400000000000006</v>
      </c>
      <c r="AC93" s="311">
        <f>AF93-Z93</f>
        <v>30</v>
      </c>
      <c r="AD93" s="311">
        <f>AG93-AA93</f>
        <v>130</v>
      </c>
      <c r="AE93" s="195">
        <f t="shared" si="56"/>
        <v>333.3</v>
      </c>
      <c r="AF93" s="311">
        <v>235</v>
      </c>
      <c r="AG93" s="311">
        <v>201</v>
      </c>
      <c r="AH93" s="195">
        <f t="shared" si="57"/>
        <v>-14.5</v>
      </c>
      <c r="AI93" s="311">
        <f>AL93-AF93</f>
        <v>60</v>
      </c>
      <c r="AJ93" s="311">
        <f>AM93-AG93</f>
        <v>39</v>
      </c>
      <c r="AK93" s="195">
        <f t="shared" si="58"/>
        <v>-35</v>
      </c>
      <c r="AL93" s="311">
        <v>295</v>
      </c>
      <c r="AM93" s="311">
        <v>240</v>
      </c>
      <c r="AN93" s="195">
        <f t="shared" si="59"/>
        <v>-18.600000000000001</v>
      </c>
      <c r="AO93" s="599">
        <f>AR93-AL93</f>
        <v>36</v>
      </c>
      <c r="AP93" s="599">
        <f>AS93-AM93</f>
        <v>14</v>
      </c>
      <c r="AQ93" s="589">
        <f t="shared" si="60"/>
        <v>-61.1</v>
      </c>
      <c r="AR93" s="869">
        <v>331</v>
      </c>
      <c r="AS93" s="869">
        <v>254</v>
      </c>
      <c r="AT93" s="589">
        <f t="shared" si="61"/>
        <v>-23.3</v>
      </c>
      <c r="AU93" s="869">
        <f>AX93-AR93</f>
        <v>47</v>
      </c>
      <c r="AV93" s="869">
        <f>AY93-AS93</f>
        <v>145</v>
      </c>
      <c r="AW93" s="617">
        <f t="shared" si="62"/>
        <v>208.5</v>
      </c>
      <c r="AX93" s="929">
        <v>378</v>
      </c>
      <c r="AY93" s="929">
        <v>399</v>
      </c>
      <c r="AZ93" s="617">
        <f t="shared" si="63"/>
        <v>5.6</v>
      </c>
      <c r="BA93" s="869">
        <f>BD93-AX93</f>
        <v>90</v>
      </c>
      <c r="BB93" s="869">
        <f>BE93-AY93</f>
        <v>36</v>
      </c>
      <c r="BC93" s="617">
        <f t="shared" si="64"/>
        <v>-60</v>
      </c>
      <c r="BD93" s="869">
        <v>468</v>
      </c>
      <c r="BE93" s="869">
        <v>435</v>
      </c>
      <c r="BF93" s="617">
        <f t="shared" si="65"/>
        <v>-7.1</v>
      </c>
      <c r="BG93" s="869">
        <f>BJ93-BD93</f>
        <v>11</v>
      </c>
      <c r="BH93" s="869">
        <f>BK93-BE93</f>
        <v>96</v>
      </c>
      <c r="BI93" s="617">
        <f t="shared" si="66"/>
        <v>772.7</v>
      </c>
      <c r="BJ93" s="869">
        <v>479</v>
      </c>
      <c r="BK93" s="869">
        <v>531</v>
      </c>
      <c r="BL93" s="617">
        <f t="shared" si="67"/>
        <v>10.9</v>
      </c>
      <c r="BM93" s="869">
        <f>BP93-BJ93</f>
        <v>54</v>
      </c>
      <c r="BN93" s="869">
        <f>BQ93-BK93</f>
        <v>35</v>
      </c>
      <c r="BO93" s="617">
        <f t="shared" si="68"/>
        <v>-35.200000000000003</v>
      </c>
      <c r="BP93" s="869">
        <v>533</v>
      </c>
      <c r="BQ93" s="869">
        <v>566</v>
      </c>
      <c r="BR93" s="617">
        <f t="shared" si="69"/>
        <v>6.2</v>
      </c>
      <c r="BS93" s="869">
        <f>BV93-BP93</f>
        <v>35</v>
      </c>
      <c r="BT93" s="869">
        <f>BW93-BQ93</f>
        <v>12</v>
      </c>
      <c r="BU93" s="617">
        <f t="shared" si="70"/>
        <v>-65.7</v>
      </c>
      <c r="BV93" s="869">
        <v>568</v>
      </c>
      <c r="BW93" s="869">
        <v>578</v>
      </c>
      <c r="BX93" s="617">
        <f t="shared" si="71"/>
        <v>1.8</v>
      </c>
    </row>
    <row r="94" spans="1:76" ht="22.5" customHeight="1">
      <c r="A94" s="1102"/>
      <c r="B94" s="1099"/>
      <c r="C94" s="1100"/>
      <c r="D94" s="366" t="s">
        <v>14</v>
      </c>
      <c r="E94" s="449">
        <v>11149</v>
      </c>
      <c r="F94" s="449">
        <v>22051</v>
      </c>
      <c r="G94" s="449">
        <v>29966</v>
      </c>
      <c r="H94" s="449">
        <v>24307</v>
      </c>
      <c r="I94" s="449">
        <v>20541</v>
      </c>
      <c r="J94" s="449">
        <v>19532</v>
      </c>
      <c r="K94" s="202">
        <v>15056</v>
      </c>
      <c r="L94" s="180">
        <v>16705</v>
      </c>
      <c r="M94" s="438">
        <v>11822</v>
      </c>
      <c r="N94" s="309">
        <v>1180</v>
      </c>
      <c r="O94" s="309">
        <v>263</v>
      </c>
      <c r="P94" s="193">
        <f t="shared" si="51"/>
        <v>-77.7</v>
      </c>
      <c r="Q94" s="309">
        <f>T94-N94</f>
        <v>2035</v>
      </c>
      <c r="R94" s="309">
        <f>U94-O94</f>
        <v>1081</v>
      </c>
      <c r="S94" s="193">
        <f t="shared" si="52"/>
        <v>-46.9</v>
      </c>
      <c r="T94" s="309">
        <v>3215</v>
      </c>
      <c r="U94" s="309">
        <v>1344</v>
      </c>
      <c r="V94" s="193">
        <f t="shared" si="53"/>
        <v>-58.2</v>
      </c>
      <c r="W94" s="309">
        <f>Z94-T94</f>
        <v>1111</v>
      </c>
      <c r="X94" s="309">
        <f>AA94-U94</f>
        <v>203</v>
      </c>
      <c r="Y94" s="193">
        <f t="shared" si="54"/>
        <v>-81.7</v>
      </c>
      <c r="Z94" s="309">
        <v>4326</v>
      </c>
      <c r="AA94" s="309">
        <v>1547</v>
      </c>
      <c r="AB94" s="193">
        <f t="shared" si="55"/>
        <v>-64.2</v>
      </c>
      <c r="AC94" s="309">
        <f>AF94-Z94</f>
        <v>685</v>
      </c>
      <c r="AD94" s="309">
        <f>AG94-AA94</f>
        <v>2150</v>
      </c>
      <c r="AE94" s="193">
        <f t="shared" si="56"/>
        <v>213.9</v>
      </c>
      <c r="AF94" s="309">
        <v>5011</v>
      </c>
      <c r="AG94" s="309">
        <v>3697</v>
      </c>
      <c r="AH94" s="193">
        <f t="shared" si="57"/>
        <v>-26.2</v>
      </c>
      <c r="AI94" s="309">
        <f>AL94-AF94</f>
        <v>1294</v>
      </c>
      <c r="AJ94" s="309">
        <f>AM94-AG94</f>
        <v>611</v>
      </c>
      <c r="AK94" s="193">
        <f t="shared" si="58"/>
        <v>-52.8</v>
      </c>
      <c r="AL94" s="309">
        <v>6305</v>
      </c>
      <c r="AM94" s="309">
        <v>4308</v>
      </c>
      <c r="AN94" s="193">
        <f t="shared" si="59"/>
        <v>-31.7</v>
      </c>
      <c r="AO94" s="597">
        <f>AR94-AL94</f>
        <v>662</v>
      </c>
      <c r="AP94" s="597">
        <f>AS94-AM94</f>
        <v>223</v>
      </c>
      <c r="AQ94" s="587">
        <f t="shared" si="60"/>
        <v>-66.3</v>
      </c>
      <c r="AR94" s="868">
        <v>6967</v>
      </c>
      <c r="AS94" s="868">
        <v>4531</v>
      </c>
      <c r="AT94" s="587">
        <f t="shared" si="61"/>
        <v>-35</v>
      </c>
      <c r="AU94" s="868">
        <f>AX94-AR94</f>
        <v>672</v>
      </c>
      <c r="AV94" s="868">
        <f>AY94-AS94</f>
        <v>2244</v>
      </c>
      <c r="AW94" s="615">
        <f t="shared" si="62"/>
        <v>233.9</v>
      </c>
      <c r="AX94" s="925">
        <v>7639</v>
      </c>
      <c r="AY94" s="925">
        <v>6775</v>
      </c>
      <c r="AZ94" s="615">
        <f t="shared" si="63"/>
        <v>-11.3</v>
      </c>
      <c r="BA94" s="868">
        <f>BD94-AX94</f>
        <v>1327</v>
      </c>
      <c r="BB94" s="868">
        <f>BE94-AY94</f>
        <v>604</v>
      </c>
      <c r="BC94" s="615">
        <f t="shared" si="64"/>
        <v>-54.5</v>
      </c>
      <c r="BD94" s="868">
        <v>8966</v>
      </c>
      <c r="BE94" s="868">
        <v>7379</v>
      </c>
      <c r="BF94" s="615">
        <f t="shared" si="65"/>
        <v>-17.7</v>
      </c>
      <c r="BG94" s="868">
        <f>BJ94-BD94</f>
        <v>153</v>
      </c>
      <c r="BH94" s="868">
        <f>BK94-BE94</f>
        <v>1976</v>
      </c>
      <c r="BI94" s="615">
        <f t="shared" si="66"/>
        <v>1191.5</v>
      </c>
      <c r="BJ94" s="868">
        <v>9119</v>
      </c>
      <c r="BK94" s="868">
        <v>9355</v>
      </c>
      <c r="BL94" s="615">
        <f t="shared" si="67"/>
        <v>2.6</v>
      </c>
      <c r="BM94" s="868">
        <f>BP94-BJ94</f>
        <v>1127</v>
      </c>
      <c r="BN94" s="868">
        <f>BQ94-BK94</f>
        <v>672</v>
      </c>
      <c r="BO94" s="615">
        <f t="shared" si="68"/>
        <v>-40.4</v>
      </c>
      <c r="BP94" s="868">
        <v>10246</v>
      </c>
      <c r="BQ94" s="868">
        <v>10027</v>
      </c>
      <c r="BR94" s="615">
        <f t="shared" si="69"/>
        <v>-2.1</v>
      </c>
      <c r="BS94" s="868">
        <f>BV94-BP94</f>
        <v>623</v>
      </c>
      <c r="BT94" s="868">
        <f>BW94-BQ94</f>
        <v>287</v>
      </c>
      <c r="BU94" s="615">
        <f t="shared" si="70"/>
        <v>-53.9</v>
      </c>
      <c r="BV94" s="868">
        <v>10869</v>
      </c>
      <c r="BW94" s="868">
        <v>10314</v>
      </c>
      <c r="BX94" s="615">
        <f t="shared" si="71"/>
        <v>-5.0999999999999996</v>
      </c>
    </row>
    <row r="95" spans="1:76" ht="22.5" customHeight="1">
      <c r="A95" s="14"/>
      <c r="B95" s="1099"/>
      <c r="C95" s="1100"/>
      <c r="D95" s="370" t="s">
        <v>15</v>
      </c>
      <c r="E95" s="453">
        <f t="shared" ref="E95:L95" si="85">E94/E93*1000</f>
        <v>25988.344988344987</v>
      </c>
      <c r="F95" s="453">
        <f t="shared" si="85"/>
        <v>21963.147410358564</v>
      </c>
      <c r="G95" s="453">
        <f t="shared" si="85"/>
        <v>22017.634092578988</v>
      </c>
      <c r="H95" s="453">
        <f t="shared" si="85"/>
        <v>25058.762886597939</v>
      </c>
      <c r="I95" s="453">
        <f t="shared" si="85"/>
        <v>20079.178885630499</v>
      </c>
      <c r="J95" s="453">
        <f t="shared" si="85"/>
        <v>19473.579262213359</v>
      </c>
      <c r="K95" s="208">
        <f t="shared" si="85"/>
        <v>19968.16976127321</v>
      </c>
      <c r="L95" s="184">
        <f t="shared" si="85"/>
        <v>19934.367541766111</v>
      </c>
      <c r="M95" s="439">
        <f>M94/M93*1000</f>
        <v>18975.922953451041</v>
      </c>
      <c r="N95" s="310">
        <f>N94/N93*1000</f>
        <v>21454.545454545452</v>
      </c>
      <c r="O95" s="310">
        <f>O94/O93*1000</f>
        <v>21916.666666666668</v>
      </c>
      <c r="P95" s="194">
        <f t="shared" si="51"/>
        <v>2.2000000000000002</v>
      </c>
      <c r="Q95" s="310">
        <f>Q94/Q93*1000</f>
        <v>20350</v>
      </c>
      <c r="R95" s="309">
        <f>R94/R93*1000</f>
        <v>19654.545454545456</v>
      </c>
      <c r="S95" s="194">
        <f t="shared" si="52"/>
        <v>-3.4</v>
      </c>
      <c r="T95" s="310">
        <f>T94/T93*1000</f>
        <v>20741.93548387097</v>
      </c>
      <c r="U95" s="310">
        <f>U94/U93*1000</f>
        <v>20059.701492537315</v>
      </c>
      <c r="V95" s="194">
        <f t="shared" si="53"/>
        <v>-3.3</v>
      </c>
      <c r="W95" s="310">
        <f>W94/W93*1000</f>
        <v>22220</v>
      </c>
      <c r="X95" s="309">
        <f>X94/X93*1000</f>
        <v>50750</v>
      </c>
      <c r="Y95" s="194">
        <f t="shared" si="54"/>
        <v>128.4</v>
      </c>
      <c r="Z95" s="310">
        <f>Z94/Z93*1000</f>
        <v>21102.439024390242</v>
      </c>
      <c r="AA95" s="310">
        <f>AA94/AA93*1000</f>
        <v>21788.732394366198</v>
      </c>
      <c r="AB95" s="194">
        <f t="shared" si="55"/>
        <v>3.3</v>
      </c>
      <c r="AC95" s="310">
        <f>AC94/AC93*1000</f>
        <v>22833.333333333332</v>
      </c>
      <c r="AD95" s="309">
        <f>AD94/AD93*1000</f>
        <v>16538.461538461539</v>
      </c>
      <c r="AE95" s="194">
        <f t="shared" si="56"/>
        <v>-27.6</v>
      </c>
      <c r="AF95" s="310">
        <f>AF94/AF93*1000</f>
        <v>21323.404255319147</v>
      </c>
      <c r="AG95" s="310">
        <f>AG94/AG93*1000</f>
        <v>18393.034825870647</v>
      </c>
      <c r="AH95" s="194">
        <f t="shared" si="57"/>
        <v>-13.7</v>
      </c>
      <c r="AI95" s="310">
        <f>AI94/AI93*1000</f>
        <v>21566.666666666668</v>
      </c>
      <c r="AJ95" s="309">
        <f>AJ94/AJ93*1000</f>
        <v>15666.666666666666</v>
      </c>
      <c r="AK95" s="194">
        <f t="shared" si="58"/>
        <v>-27.4</v>
      </c>
      <c r="AL95" s="310">
        <f>AL94/AL93*1000</f>
        <v>21372.881355932204</v>
      </c>
      <c r="AM95" s="310">
        <f>AM94/AM93*1000</f>
        <v>17950</v>
      </c>
      <c r="AN95" s="194">
        <f t="shared" si="59"/>
        <v>-16</v>
      </c>
      <c r="AO95" s="598">
        <f>AO94/AO93*1000</f>
        <v>18388.888888888891</v>
      </c>
      <c r="AP95" s="597">
        <f>AP94/AP93*1000</f>
        <v>15928.571428571429</v>
      </c>
      <c r="AQ95" s="588">
        <f t="shared" si="60"/>
        <v>-13.4</v>
      </c>
      <c r="AR95" s="626">
        <f>AR94/AR93*1000</f>
        <v>21048.338368580062</v>
      </c>
      <c r="AS95" s="626">
        <f>AS94/AS93*1000</f>
        <v>17838.582677165356</v>
      </c>
      <c r="AT95" s="588">
        <f t="shared" si="61"/>
        <v>-15.2</v>
      </c>
      <c r="AU95" s="626">
        <f>AU94/AU93*1000</f>
        <v>14297.872340425531</v>
      </c>
      <c r="AV95" s="868">
        <f>AV94/AV93*1000</f>
        <v>15475.862068965516</v>
      </c>
      <c r="AW95" s="616">
        <f t="shared" si="62"/>
        <v>8.1999999999999993</v>
      </c>
      <c r="AX95" s="930">
        <f>AX94/AX93*1000</f>
        <v>20208.994708994709</v>
      </c>
      <c r="AY95" s="930">
        <f>AY94/AY93*1000</f>
        <v>16979.949874686718</v>
      </c>
      <c r="AZ95" s="616">
        <f t="shared" si="63"/>
        <v>-16</v>
      </c>
      <c r="BA95" s="626">
        <f>BA94/BA93*1000</f>
        <v>14744.444444444443</v>
      </c>
      <c r="BB95" s="868">
        <f>BB94/BB93*1000</f>
        <v>16777.777777777777</v>
      </c>
      <c r="BC95" s="616">
        <f t="shared" si="64"/>
        <v>13.8</v>
      </c>
      <c r="BD95" s="626">
        <f>BD94/BD93*1000</f>
        <v>19158.11965811966</v>
      </c>
      <c r="BE95" s="626">
        <f>BE94/BE93*1000</f>
        <v>16963.218390804599</v>
      </c>
      <c r="BF95" s="616">
        <f t="shared" si="65"/>
        <v>-11.5</v>
      </c>
      <c r="BG95" s="626">
        <f>BG94/BG93*1000</f>
        <v>13909.090909090908</v>
      </c>
      <c r="BH95" s="868">
        <f>BH94/BH93*1000</f>
        <v>20583.333333333332</v>
      </c>
      <c r="BI95" s="616">
        <f t="shared" si="66"/>
        <v>48</v>
      </c>
      <c r="BJ95" s="626">
        <f>BJ94/BJ93*1000</f>
        <v>19037.578288100209</v>
      </c>
      <c r="BK95" s="626">
        <f>BK94/BK93*1000</f>
        <v>17617.702448210923</v>
      </c>
      <c r="BL95" s="616">
        <f t="shared" si="67"/>
        <v>-7.5</v>
      </c>
      <c r="BM95" s="626">
        <f>BM94/BM93*1000</f>
        <v>20870.370370370369</v>
      </c>
      <c r="BN95" s="868">
        <f>BN94/BN93*1000</f>
        <v>19200</v>
      </c>
      <c r="BO95" s="616">
        <f t="shared" si="68"/>
        <v>-8</v>
      </c>
      <c r="BP95" s="626">
        <f>BP94/BP93*1000</f>
        <v>19223.264540337714</v>
      </c>
      <c r="BQ95" s="626">
        <f>BQ94/BQ93*1000</f>
        <v>17715.547703180215</v>
      </c>
      <c r="BR95" s="616">
        <f t="shared" si="69"/>
        <v>-7.8</v>
      </c>
      <c r="BS95" s="626">
        <f>BS94/BS93*1000</f>
        <v>17800</v>
      </c>
      <c r="BT95" s="868">
        <f>BT94/BT93*1000</f>
        <v>23916.666666666668</v>
      </c>
      <c r="BU95" s="616">
        <f t="shared" si="70"/>
        <v>34.4</v>
      </c>
      <c r="BV95" s="626">
        <f>BV94/BV93*1000</f>
        <v>19135.563380281692</v>
      </c>
      <c r="BW95" s="626">
        <f>BW94/BW93*1000</f>
        <v>17844.290657439447</v>
      </c>
      <c r="BX95" s="616">
        <f t="shared" si="71"/>
        <v>-6.7</v>
      </c>
    </row>
    <row r="96" spans="1:76" ht="22.5" customHeight="1">
      <c r="A96" s="14"/>
      <c r="B96" s="1099" t="s">
        <v>24</v>
      </c>
      <c r="C96" s="1100"/>
      <c r="D96" s="365" t="s">
        <v>13</v>
      </c>
      <c r="E96" s="452">
        <f t="shared" ref="E96:G97" si="86">E99-E93</f>
        <v>2837</v>
      </c>
      <c r="F96" s="452">
        <f t="shared" si="86"/>
        <v>2388</v>
      </c>
      <c r="G96" s="452">
        <f t="shared" si="86"/>
        <v>1202</v>
      </c>
      <c r="H96" s="452">
        <f>H99-H93</f>
        <v>1231</v>
      </c>
      <c r="I96" s="452">
        <f>I99-I93</f>
        <v>1093</v>
      </c>
      <c r="J96" s="452">
        <f t="shared" ref="J96:L97" si="87">J99-J93</f>
        <v>1193</v>
      </c>
      <c r="K96" s="207">
        <f t="shared" si="87"/>
        <v>1153</v>
      </c>
      <c r="L96" s="183">
        <f t="shared" si="87"/>
        <v>1201</v>
      </c>
      <c r="M96" s="312">
        <f t="shared" ref="M96:O97" si="88">M99-M93</f>
        <v>1461</v>
      </c>
      <c r="N96" s="311">
        <f t="shared" si="88"/>
        <v>249</v>
      </c>
      <c r="O96" s="311">
        <f t="shared" si="88"/>
        <v>81</v>
      </c>
      <c r="P96" s="195">
        <f t="shared" si="51"/>
        <v>-67.5</v>
      </c>
      <c r="Q96" s="311">
        <f>Q99-Q93</f>
        <v>95</v>
      </c>
      <c r="R96" s="311">
        <f>R99-R93</f>
        <v>94</v>
      </c>
      <c r="S96" s="195">
        <f t="shared" si="52"/>
        <v>-1.1000000000000001</v>
      </c>
      <c r="T96" s="311">
        <f>T99-T93</f>
        <v>344</v>
      </c>
      <c r="U96" s="311">
        <f>U99-U93</f>
        <v>175</v>
      </c>
      <c r="V96" s="195">
        <f t="shared" si="53"/>
        <v>-49.1</v>
      </c>
      <c r="W96" s="311">
        <f>W99-W93</f>
        <v>141</v>
      </c>
      <c r="X96" s="311">
        <f>X99-X93</f>
        <v>147</v>
      </c>
      <c r="Y96" s="195">
        <f t="shared" si="54"/>
        <v>4.3</v>
      </c>
      <c r="Z96" s="311">
        <f>Z99-Z93</f>
        <v>485</v>
      </c>
      <c r="AA96" s="311">
        <f>AA99-AA93</f>
        <v>322</v>
      </c>
      <c r="AB96" s="195">
        <f t="shared" si="55"/>
        <v>-33.6</v>
      </c>
      <c r="AC96" s="311">
        <f>AC99-AC93</f>
        <v>87</v>
      </c>
      <c r="AD96" s="311">
        <f>AD99-AD93</f>
        <v>76</v>
      </c>
      <c r="AE96" s="195">
        <f t="shared" si="56"/>
        <v>-12.6</v>
      </c>
      <c r="AF96" s="311">
        <f>AF99-AF93</f>
        <v>572</v>
      </c>
      <c r="AG96" s="311">
        <f>AG99-AG93</f>
        <v>398</v>
      </c>
      <c r="AH96" s="195">
        <f t="shared" si="57"/>
        <v>-30.4</v>
      </c>
      <c r="AI96" s="311">
        <f>AI99-AI93</f>
        <v>99</v>
      </c>
      <c r="AJ96" s="311">
        <f>AJ99-AJ93</f>
        <v>59</v>
      </c>
      <c r="AK96" s="195">
        <f t="shared" si="58"/>
        <v>-40.4</v>
      </c>
      <c r="AL96" s="311">
        <f>AL99-AL93</f>
        <v>671</v>
      </c>
      <c r="AM96" s="311">
        <f>AM99-AM93</f>
        <v>457</v>
      </c>
      <c r="AN96" s="195">
        <f t="shared" si="59"/>
        <v>-31.9</v>
      </c>
      <c r="AO96" s="599">
        <f>AO99-AO93</f>
        <v>87</v>
      </c>
      <c r="AP96" s="599">
        <f>AP99-AP93</f>
        <v>155</v>
      </c>
      <c r="AQ96" s="589">
        <f t="shared" si="60"/>
        <v>78.2</v>
      </c>
      <c r="AR96" s="869">
        <f>AR99-AR93</f>
        <v>758</v>
      </c>
      <c r="AS96" s="869">
        <f>AS99-AS93</f>
        <v>612</v>
      </c>
      <c r="AT96" s="589">
        <f t="shared" si="61"/>
        <v>-19.3</v>
      </c>
      <c r="AU96" s="869">
        <f>AU99-AU93</f>
        <v>86</v>
      </c>
      <c r="AV96" s="869">
        <f>AV99-AV93</f>
        <v>111</v>
      </c>
      <c r="AW96" s="617">
        <f t="shared" si="62"/>
        <v>29.1</v>
      </c>
      <c r="AX96" s="929">
        <f>AX99-AX93</f>
        <v>844</v>
      </c>
      <c r="AY96" s="929">
        <f>AY99-AY93</f>
        <v>723</v>
      </c>
      <c r="AZ96" s="617">
        <f t="shared" si="63"/>
        <v>-14.3</v>
      </c>
      <c r="BA96" s="869">
        <f>BA99-BA93</f>
        <v>111</v>
      </c>
      <c r="BB96" s="869">
        <f>BB99-BB93</f>
        <v>86</v>
      </c>
      <c r="BC96" s="617">
        <f t="shared" si="64"/>
        <v>-22.5</v>
      </c>
      <c r="BD96" s="869">
        <f>BD99-BD93</f>
        <v>955</v>
      </c>
      <c r="BE96" s="869">
        <f>BE99-BE93</f>
        <v>809</v>
      </c>
      <c r="BF96" s="617">
        <f t="shared" si="65"/>
        <v>-15.3</v>
      </c>
      <c r="BG96" s="869">
        <f>BG99-BG93</f>
        <v>201</v>
      </c>
      <c r="BH96" s="869">
        <f>BH99-BH93</f>
        <v>201</v>
      </c>
      <c r="BI96" s="617">
        <f t="shared" si="66"/>
        <v>0</v>
      </c>
      <c r="BJ96" s="869">
        <f>BJ99-BJ93</f>
        <v>1156</v>
      </c>
      <c r="BK96" s="869">
        <f>BK99-BK93</f>
        <v>1010</v>
      </c>
      <c r="BL96" s="617">
        <f t="shared" si="67"/>
        <v>-12.6</v>
      </c>
      <c r="BM96" s="869">
        <f>BM99-BM93</f>
        <v>112</v>
      </c>
      <c r="BN96" s="869">
        <f>BN99-BN93</f>
        <v>118</v>
      </c>
      <c r="BO96" s="617">
        <f t="shared" si="68"/>
        <v>5.4</v>
      </c>
      <c r="BP96" s="869">
        <f>BP99-BP93</f>
        <v>1268</v>
      </c>
      <c r="BQ96" s="869">
        <f>BQ99-BQ93</f>
        <v>1128</v>
      </c>
      <c r="BR96" s="617">
        <f t="shared" si="69"/>
        <v>-11</v>
      </c>
      <c r="BS96" s="869">
        <f>BS99-BS93</f>
        <v>77</v>
      </c>
      <c r="BT96" s="869">
        <f>BT99-BT93</f>
        <v>143</v>
      </c>
      <c r="BU96" s="617">
        <f t="shared" si="70"/>
        <v>85.7</v>
      </c>
      <c r="BV96" s="869">
        <f>BV99-BV93</f>
        <v>1345</v>
      </c>
      <c r="BW96" s="869">
        <f>BW99-BW93</f>
        <v>1271</v>
      </c>
      <c r="BX96" s="617">
        <f t="shared" si="71"/>
        <v>-5.5</v>
      </c>
    </row>
    <row r="97" spans="1:76" ht="22.5" customHeight="1">
      <c r="A97" s="14"/>
      <c r="B97" s="1099"/>
      <c r="C97" s="1100"/>
      <c r="D97" s="366" t="s">
        <v>14</v>
      </c>
      <c r="E97" s="449">
        <f t="shared" si="86"/>
        <v>47007</v>
      </c>
      <c r="F97" s="449">
        <f t="shared" si="86"/>
        <v>45244</v>
      </c>
      <c r="G97" s="449">
        <f t="shared" si="86"/>
        <v>33401</v>
      </c>
      <c r="H97" s="449">
        <f>H100-H94</f>
        <v>34422</v>
      </c>
      <c r="I97" s="449">
        <f>I100-I94</f>
        <v>26690</v>
      </c>
      <c r="J97" s="449">
        <f t="shared" si="87"/>
        <v>26240</v>
      </c>
      <c r="K97" s="202">
        <f t="shared" si="87"/>
        <v>29772</v>
      </c>
      <c r="L97" s="180">
        <f t="shared" si="87"/>
        <v>32533</v>
      </c>
      <c r="M97" s="438">
        <f t="shared" si="88"/>
        <v>31025</v>
      </c>
      <c r="N97" s="309">
        <f t="shared" si="88"/>
        <v>2889</v>
      </c>
      <c r="O97" s="309">
        <f t="shared" si="88"/>
        <v>2422</v>
      </c>
      <c r="P97" s="193">
        <f t="shared" si="51"/>
        <v>-16.2</v>
      </c>
      <c r="Q97" s="309">
        <f>Q100-Q94</f>
        <v>2304</v>
      </c>
      <c r="R97" s="309">
        <f>R100-R94</f>
        <v>3370</v>
      </c>
      <c r="S97" s="193">
        <f t="shared" si="52"/>
        <v>46.3</v>
      </c>
      <c r="T97" s="309">
        <f>T100-T94</f>
        <v>5193</v>
      </c>
      <c r="U97" s="309">
        <f>U100-U94</f>
        <v>5792</v>
      </c>
      <c r="V97" s="193">
        <f t="shared" si="53"/>
        <v>11.5</v>
      </c>
      <c r="W97" s="309">
        <f>W100-W94</f>
        <v>3090</v>
      </c>
      <c r="X97" s="309">
        <f>X100-X94</f>
        <v>2641</v>
      </c>
      <c r="Y97" s="193">
        <f t="shared" si="54"/>
        <v>-14.5</v>
      </c>
      <c r="Z97" s="309">
        <f>Z100-Z94</f>
        <v>8283</v>
      </c>
      <c r="AA97" s="309">
        <f>AA100-AA94</f>
        <v>8433</v>
      </c>
      <c r="AB97" s="193">
        <f t="shared" si="55"/>
        <v>1.8</v>
      </c>
      <c r="AC97" s="309">
        <f>AC100-AC94</f>
        <v>2559</v>
      </c>
      <c r="AD97" s="309">
        <f>AD100-AD94</f>
        <v>2095</v>
      </c>
      <c r="AE97" s="193">
        <f t="shared" si="56"/>
        <v>-18.100000000000001</v>
      </c>
      <c r="AF97" s="309">
        <f>AF100-AF94</f>
        <v>10842</v>
      </c>
      <c r="AG97" s="309">
        <f>AG100-AG94</f>
        <v>10528</v>
      </c>
      <c r="AH97" s="193">
        <f t="shared" si="57"/>
        <v>-2.9</v>
      </c>
      <c r="AI97" s="309">
        <f>AI100-AI94</f>
        <v>2468</v>
      </c>
      <c r="AJ97" s="309">
        <f>AJ100-AJ94</f>
        <v>1994</v>
      </c>
      <c r="AK97" s="193">
        <f t="shared" si="58"/>
        <v>-19.2</v>
      </c>
      <c r="AL97" s="309">
        <f>AL100-AL94</f>
        <v>13310</v>
      </c>
      <c r="AM97" s="309">
        <f>AM100-AM94</f>
        <v>12522</v>
      </c>
      <c r="AN97" s="193">
        <f t="shared" si="59"/>
        <v>-5.9</v>
      </c>
      <c r="AO97" s="597">
        <f>AO100-AO94</f>
        <v>2278</v>
      </c>
      <c r="AP97" s="597">
        <f>AP100-AP94</f>
        <v>2785</v>
      </c>
      <c r="AQ97" s="587">
        <f t="shared" si="60"/>
        <v>22.3</v>
      </c>
      <c r="AR97" s="868">
        <f>AR100-AR94</f>
        <v>15588</v>
      </c>
      <c r="AS97" s="868">
        <f>AS100-AS94</f>
        <v>15307</v>
      </c>
      <c r="AT97" s="587">
        <f t="shared" si="61"/>
        <v>-1.8</v>
      </c>
      <c r="AU97" s="868">
        <f>AU100-AU94</f>
        <v>2834</v>
      </c>
      <c r="AV97" s="868">
        <f>AV100-AV94</f>
        <v>3091</v>
      </c>
      <c r="AW97" s="615">
        <f t="shared" si="62"/>
        <v>9.1</v>
      </c>
      <c r="AX97" s="925">
        <f>AX100-AX94</f>
        <v>18422</v>
      </c>
      <c r="AY97" s="925">
        <f>AY100-AY94</f>
        <v>18398</v>
      </c>
      <c r="AZ97" s="615">
        <f t="shared" si="63"/>
        <v>-0.1</v>
      </c>
      <c r="BA97" s="868">
        <f>BA100-BA94</f>
        <v>2859</v>
      </c>
      <c r="BB97" s="868">
        <f>BB100-BB94</f>
        <v>2951</v>
      </c>
      <c r="BC97" s="615">
        <f t="shared" si="64"/>
        <v>3.2</v>
      </c>
      <c r="BD97" s="868">
        <f>BD100-BD94</f>
        <v>21281</v>
      </c>
      <c r="BE97" s="868">
        <f>BE100-BE94</f>
        <v>21349</v>
      </c>
      <c r="BF97" s="615">
        <f t="shared" si="65"/>
        <v>0.3</v>
      </c>
      <c r="BG97" s="868">
        <f>BG100-BG94</f>
        <v>2667</v>
      </c>
      <c r="BH97" s="868">
        <f>BH100-BH94</f>
        <v>4229</v>
      </c>
      <c r="BI97" s="615">
        <f t="shared" si="66"/>
        <v>58.6</v>
      </c>
      <c r="BJ97" s="868">
        <f>BJ100-BJ94</f>
        <v>23948</v>
      </c>
      <c r="BK97" s="868">
        <f>BK100-BK94</f>
        <v>25578</v>
      </c>
      <c r="BL97" s="615">
        <f t="shared" si="67"/>
        <v>6.8</v>
      </c>
      <c r="BM97" s="868">
        <f>BM100-BM94</f>
        <v>2575</v>
      </c>
      <c r="BN97" s="868">
        <f>BN100-BN94</f>
        <v>4146</v>
      </c>
      <c r="BO97" s="615">
        <f t="shared" si="68"/>
        <v>61</v>
      </c>
      <c r="BP97" s="868">
        <f>BP100-BP94</f>
        <v>26523</v>
      </c>
      <c r="BQ97" s="868">
        <f>BQ100-BQ94</f>
        <v>29724</v>
      </c>
      <c r="BR97" s="615">
        <f t="shared" si="69"/>
        <v>12.1</v>
      </c>
      <c r="BS97" s="868">
        <f>BS100-BS94</f>
        <v>2209</v>
      </c>
      <c r="BT97" s="868">
        <f>BT100-BT94</f>
        <v>5230</v>
      </c>
      <c r="BU97" s="615">
        <f t="shared" si="70"/>
        <v>136.80000000000001</v>
      </c>
      <c r="BV97" s="868">
        <f>BV100-BV94</f>
        <v>28732</v>
      </c>
      <c r="BW97" s="868">
        <f>BW100-BW94</f>
        <v>34954</v>
      </c>
      <c r="BX97" s="615">
        <f t="shared" si="71"/>
        <v>21.7</v>
      </c>
    </row>
    <row r="98" spans="1:76" ht="22.5" customHeight="1">
      <c r="A98" s="14"/>
      <c r="B98" s="1099"/>
      <c r="C98" s="1100"/>
      <c r="D98" s="370" t="s">
        <v>15</v>
      </c>
      <c r="E98" s="453">
        <f t="shared" ref="E98:L98" si="89">E97/E96*1000</f>
        <v>16569.26330630948</v>
      </c>
      <c r="F98" s="453">
        <f t="shared" si="89"/>
        <v>18946.398659966497</v>
      </c>
      <c r="G98" s="453">
        <f t="shared" si="89"/>
        <v>27787.85357737105</v>
      </c>
      <c r="H98" s="453">
        <f t="shared" si="89"/>
        <v>27962.632006498781</v>
      </c>
      <c r="I98" s="453">
        <f t="shared" si="89"/>
        <v>24419.030192131748</v>
      </c>
      <c r="J98" s="453">
        <f t="shared" si="89"/>
        <v>21994.970662196145</v>
      </c>
      <c r="K98" s="208">
        <f t="shared" si="89"/>
        <v>25821.335646140506</v>
      </c>
      <c r="L98" s="184">
        <f t="shared" si="89"/>
        <v>27088.259783513739</v>
      </c>
      <c r="M98" s="442">
        <f>M97/M96*1000</f>
        <v>21235.455167693359</v>
      </c>
      <c r="N98" s="310">
        <f>N97/N96*1000</f>
        <v>11602.409638554218</v>
      </c>
      <c r="O98" s="310">
        <f>O97/O96*1000</f>
        <v>29901.234567901232</v>
      </c>
      <c r="P98" s="194">
        <f t="shared" si="51"/>
        <v>157.69999999999999</v>
      </c>
      <c r="Q98" s="310">
        <f>Q97/Q96*1000</f>
        <v>24252.63157894737</v>
      </c>
      <c r="R98" s="310">
        <f>R97/R96*1000</f>
        <v>35851.063829787236</v>
      </c>
      <c r="S98" s="194">
        <f t="shared" si="52"/>
        <v>47.8</v>
      </c>
      <c r="T98" s="310">
        <f>T97/T96*1000</f>
        <v>15095.930232558139</v>
      </c>
      <c r="U98" s="310">
        <f>U97/U96*1000</f>
        <v>33097.142857142855</v>
      </c>
      <c r="V98" s="194">
        <f t="shared" si="53"/>
        <v>119.2</v>
      </c>
      <c r="W98" s="310">
        <f>W97/W96*1000</f>
        <v>21914.893617021276</v>
      </c>
      <c r="X98" s="310">
        <f>X97/X96*1000</f>
        <v>17965.986394557825</v>
      </c>
      <c r="Y98" s="194">
        <f t="shared" si="54"/>
        <v>-18</v>
      </c>
      <c r="Z98" s="310">
        <f>Z97/Z96*1000</f>
        <v>17078.350515463917</v>
      </c>
      <c r="AA98" s="310">
        <f>AA97/AA96*1000</f>
        <v>26189.440993788819</v>
      </c>
      <c r="AB98" s="194">
        <f t="shared" si="55"/>
        <v>53.3</v>
      </c>
      <c r="AC98" s="310">
        <f>AC97/AC96*1000</f>
        <v>29413.793103448279</v>
      </c>
      <c r="AD98" s="310">
        <f>AD97/AD96*1000</f>
        <v>27565.78947368421</v>
      </c>
      <c r="AE98" s="194">
        <f t="shared" si="56"/>
        <v>-6.3</v>
      </c>
      <c r="AF98" s="310">
        <f>AF97/AF96*1000</f>
        <v>18954.545454545452</v>
      </c>
      <c r="AG98" s="310">
        <f>AG97/AG96*1000</f>
        <v>26452.261306532662</v>
      </c>
      <c r="AH98" s="194">
        <f t="shared" si="57"/>
        <v>39.6</v>
      </c>
      <c r="AI98" s="310">
        <f>AI97/AI96*1000</f>
        <v>24929.292929292929</v>
      </c>
      <c r="AJ98" s="310">
        <f>AJ97/AJ96*1000</f>
        <v>33796.61016949152</v>
      </c>
      <c r="AK98" s="194">
        <f t="shared" si="58"/>
        <v>35.6</v>
      </c>
      <c r="AL98" s="310">
        <f>AL97/AL96*1000</f>
        <v>19836.065573770491</v>
      </c>
      <c r="AM98" s="310">
        <f>AM97/AM96*1000</f>
        <v>27400.43763676149</v>
      </c>
      <c r="AN98" s="194">
        <f t="shared" si="59"/>
        <v>38.1</v>
      </c>
      <c r="AO98" s="598">
        <f>AO97/AO96*1000</f>
        <v>26183.908045977012</v>
      </c>
      <c r="AP98" s="598">
        <f>AP97/AP96*1000</f>
        <v>17967.741935483871</v>
      </c>
      <c r="AQ98" s="588">
        <f t="shared" si="60"/>
        <v>-31.4</v>
      </c>
      <c r="AR98" s="626">
        <f>AR97/AR96*1000</f>
        <v>20564.643799472298</v>
      </c>
      <c r="AS98" s="626">
        <f>AS97/AS96*1000</f>
        <v>25011.43790849673</v>
      </c>
      <c r="AT98" s="588">
        <f t="shared" si="61"/>
        <v>21.6</v>
      </c>
      <c r="AU98" s="626">
        <f>AU97/AU96*1000</f>
        <v>32953.48837209303</v>
      </c>
      <c r="AV98" s="626">
        <f>AV97/AV96*1000</f>
        <v>27846.846846846849</v>
      </c>
      <c r="AW98" s="616">
        <f t="shared" si="62"/>
        <v>-15.5</v>
      </c>
      <c r="AX98" s="930">
        <f>AX97/AX96*1000</f>
        <v>21827.014218009477</v>
      </c>
      <c r="AY98" s="930">
        <f>AY97/AY96*1000</f>
        <v>25446.749654218533</v>
      </c>
      <c r="AZ98" s="616">
        <f t="shared" si="63"/>
        <v>16.600000000000001</v>
      </c>
      <c r="BA98" s="626">
        <f>BA97/BA96*1000</f>
        <v>25756.756756756757</v>
      </c>
      <c r="BB98" s="626">
        <f>BB97/BB96*1000</f>
        <v>34313.953488372092</v>
      </c>
      <c r="BC98" s="616">
        <f t="shared" si="64"/>
        <v>33.200000000000003</v>
      </c>
      <c r="BD98" s="626">
        <f>BD97/BD96*1000</f>
        <v>22283.769633507851</v>
      </c>
      <c r="BE98" s="626">
        <f>BE97/BE96*1000</f>
        <v>26389.369592088999</v>
      </c>
      <c r="BF98" s="616">
        <f t="shared" si="65"/>
        <v>18.399999999999999</v>
      </c>
      <c r="BG98" s="626">
        <f>BG97/BG96*1000</f>
        <v>13268.656716417911</v>
      </c>
      <c r="BH98" s="626">
        <f>BH97/BH96*1000</f>
        <v>21039.800995024878</v>
      </c>
      <c r="BI98" s="616">
        <f t="shared" si="66"/>
        <v>58.6</v>
      </c>
      <c r="BJ98" s="626">
        <f>BJ97/BJ96*1000</f>
        <v>20716.262975778547</v>
      </c>
      <c r="BK98" s="626">
        <f>BK97/BK96*1000</f>
        <v>25324.752475247526</v>
      </c>
      <c r="BL98" s="616">
        <f t="shared" si="67"/>
        <v>22.2</v>
      </c>
      <c r="BM98" s="626">
        <f>BM97/BM96*1000</f>
        <v>22991.071428571428</v>
      </c>
      <c r="BN98" s="626">
        <f>BN97/BN96*1000</f>
        <v>35135.593220338982</v>
      </c>
      <c r="BO98" s="616">
        <f t="shared" si="68"/>
        <v>52.8</v>
      </c>
      <c r="BP98" s="626">
        <f>BP97/BP96*1000</f>
        <v>20917.192429022085</v>
      </c>
      <c r="BQ98" s="626">
        <f>BQ97/BQ96*1000</f>
        <v>26351.063829787232</v>
      </c>
      <c r="BR98" s="616">
        <f t="shared" si="69"/>
        <v>26</v>
      </c>
      <c r="BS98" s="626">
        <f>BS97/BS96*1000</f>
        <v>28688.311688311689</v>
      </c>
      <c r="BT98" s="626">
        <f>BT97/BT96*1000</f>
        <v>36573.426573426572</v>
      </c>
      <c r="BU98" s="616">
        <f t="shared" si="70"/>
        <v>27.5</v>
      </c>
      <c r="BV98" s="626">
        <f>BV97/BV96*1000</f>
        <v>21362.081784386617</v>
      </c>
      <c r="BW98" s="626">
        <f>BW97/BW96*1000</f>
        <v>27501.180173092052</v>
      </c>
      <c r="BX98" s="616">
        <f t="shared" si="71"/>
        <v>28.7</v>
      </c>
    </row>
    <row r="99" spans="1:76" ht="22.5" customHeight="1">
      <c r="A99" s="14"/>
      <c r="B99" s="1104" t="s">
        <v>25</v>
      </c>
      <c r="C99" s="1105"/>
      <c r="D99" s="15" t="s">
        <v>271</v>
      </c>
      <c r="E99" s="454">
        <v>3266</v>
      </c>
      <c r="F99" s="454">
        <v>3392</v>
      </c>
      <c r="G99" s="454">
        <v>2563</v>
      </c>
      <c r="H99" s="454">
        <v>2201</v>
      </c>
      <c r="I99" s="454">
        <v>2116</v>
      </c>
      <c r="J99" s="454">
        <v>2196</v>
      </c>
      <c r="K99" s="209">
        <v>1907</v>
      </c>
      <c r="L99" s="185">
        <v>2039</v>
      </c>
      <c r="M99" s="443">
        <v>2084</v>
      </c>
      <c r="N99" s="313">
        <v>304</v>
      </c>
      <c r="O99" s="313">
        <v>93</v>
      </c>
      <c r="P99" s="197">
        <f t="shared" si="51"/>
        <v>-69.400000000000006</v>
      </c>
      <c r="Q99" s="313">
        <f>T99-N99</f>
        <v>195</v>
      </c>
      <c r="R99" s="313">
        <f>U99-O99</f>
        <v>149</v>
      </c>
      <c r="S99" s="197">
        <f t="shared" si="52"/>
        <v>-23.6</v>
      </c>
      <c r="T99" s="313">
        <v>499</v>
      </c>
      <c r="U99" s="313">
        <v>242</v>
      </c>
      <c r="V99" s="197">
        <f t="shared" si="53"/>
        <v>-51.5</v>
      </c>
      <c r="W99" s="313">
        <f>Z99-T99</f>
        <v>191</v>
      </c>
      <c r="X99" s="313">
        <f>AA99-U99</f>
        <v>151</v>
      </c>
      <c r="Y99" s="197">
        <f t="shared" si="54"/>
        <v>-20.9</v>
      </c>
      <c r="Z99" s="313">
        <v>690</v>
      </c>
      <c r="AA99" s="313">
        <v>393</v>
      </c>
      <c r="AB99" s="197">
        <f t="shared" si="55"/>
        <v>-43</v>
      </c>
      <c r="AC99" s="313">
        <f>AF99-Z99</f>
        <v>117</v>
      </c>
      <c r="AD99" s="313">
        <f>AG99-AA99</f>
        <v>206</v>
      </c>
      <c r="AE99" s="197">
        <f t="shared" si="56"/>
        <v>76.099999999999994</v>
      </c>
      <c r="AF99" s="313">
        <v>807</v>
      </c>
      <c r="AG99" s="313">
        <v>599</v>
      </c>
      <c r="AH99" s="197">
        <f t="shared" si="57"/>
        <v>-25.8</v>
      </c>
      <c r="AI99" s="313">
        <f>AL99-AF99</f>
        <v>159</v>
      </c>
      <c r="AJ99" s="313">
        <f>AM99-AG99</f>
        <v>98</v>
      </c>
      <c r="AK99" s="197">
        <f t="shared" si="58"/>
        <v>-38.4</v>
      </c>
      <c r="AL99" s="313">
        <v>966</v>
      </c>
      <c r="AM99" s="313">
        <v>697</v>
      </c>
      <c r="AN99" s="197">
        <f t="shared" si="59"/>
        <v>-27.8</v>
      </c>
      <c r="AO99" s="600">
        <f>AR99-AL99</f>
        <v>123</v>
      </c>
      <c r="AP99" s="600">
        <f>AS99-AM99</f>
        <v>169</v>
      </c>
      <c r="AQ99" s="590">
        <f t="shared" si="60"/>
        <v>37.4</v>
      </c>
      <c r="AR99" s="640">
        <v>1089</v>
      </c>
      <c r="AS99" s="640">
        <v>866</v>
      </c>
      <c r="AT99" s="590">
        <f t="shared" si="61"/>
        <v>-20.5</v>
      </c>
      <c r="AU99" s="640">
        <f>AX99-AR99</f>
        <v>133</v>
      </c>
      <c r="AV99" s="640">
        <f>AY99-AS99</f>
        <v>256</v>
      </c>
      <c r="AW99" s="618">
        <f t="shared" si="62"/>
        <v>92.5</v>
      </c>
      <c r="AX99" s="931">
        <v>1222</v>
      </c>
      <c r="AY99" s="931">
        <v>1122</v>
      </c>
      <c r="AZ99" s="618">
        <f t="shared" si="63"/>
        <v>-8.1999999999999993</v>
      </c>
      <c r="BA99" s="640">
        <f>BD99-AX99</f>
        <v>201</v>
      </c>
      <c r="BB99" s="640">
        <f>BE99-AY99</f>
        <v>122</v>
      </c>
      <c r="BC99" s="618">
        <f t="shared" si="64"/>
        <v>-39.299999999999997</v>
      </c>
      <c r="BD99" s="640">
        <v>1423</v>
      </c>
      <c r="BE99" s="640">
        <v>1244</v>
      </c>
      <c r="BF99" s="618">
        <f t="shared" si="65"/>
        <v>-12.6</v>
      </c>
      <c r="BG99" s="640">
        <f>BJ99-BD99</f>
        <v>212</v>
      </c>
      <c r="BH99" s="640">
        <f>BK99-BE99</f>
        <v>297</v>
      </c>
      <c r="BI99" s="618">
        <f t="shared" si="66"/>
        <v>40.1</v>
      </c>
      <c r="BJ99" s="640">
        <v>1635</v>
      </c>
      <c r="BK99" s="640">
        <v>1541</v>
      </c>
      <c r="BL99" s="618">
        <f t="shared" si="67"/>
        <v>-5.7</v>
      </c>
      <c r="BM99" s="640">
        <f>BP99-BJ99</f>
        <v>166</v>
      </c>
      <c r="BN99" s="640">
        <f>BQ99-BK99</f>
        <v>153</v>
      </c>
      <c r="BO99" s="618">
        <f t="shared" si="68"/>
        <v>-7.8</v>
      </c>
      <c r="BP99" s="640">
        <v>1801</v>
      </c>
      <c r="BQ99" s="640">
        <v>1694</v>
      </c>
      <c r="BR99" s="618">
        <f t="shared" si="69"/>
        <v>-5.9</v>
      </c>
      <c r="BS99" s="640">
        <f>BV99-BP99</f>
        <v>112</v>
      </c>
      <c r="BT99" s="640">
        <f>BW99-BQ99</f>
        <v>155</v>
      </c>
      <c r="BU99" s="618">
        <f t="shared" si="70"/>
        <v>38.4</v>
      </c>
      <c r="BV99" s="640">
        <v>1913</v>
      </c>
      <c r="BW99" s="640">
        <v>1849</v>
      </c>
      <c r="BX99" s="618">
        <f t="shared" si="71"/>
        <v>-3.3</v>
      </c>
    </row>
    <row r="100" spans="1:76" ht="22.5" customHeight="1">
      <c r="A100" s="14"/>
      <c r="B100" s="1104"/>
      <c r="C100" s="1105"/>
      <c r="D100" s="367" t="s">
        <v>272</v>
      </c>
      <c r="E100" s="455">
        <v>58156</v>
      </c>
      <c r="F100" s="455">
        <v>67295</v>
      </c>
      <c r="G100" s="455">
        <v>63367</v>
      </c>
      <c r="H100" s="455">
        <v>58729</v>
      </c>
      <c r="I100" s="455">
        <v>47231</v>
      </c>
      <c r="J100" s="455">
        <v>45772</v>
      </c>
      <c r="K100" s="210">
        <v>44828</v>
      </c>
      <c r="L100" s="186">
        <v>49238</v>
      </c>
      <c r="M100" s="444">
        <v>42847</v>
      </c>
      <c r="N100" s="314">
        <v>4069</v>
      </c>
      <c r="O100" s="314">
        <v>2685</v>
      </c>
      <c r="P100" s="198">
        <f t="shared" si="51"/>
        <v>-34</v>
      </c>
      <c r="Q100" s="314">
        <f>T100-N100</f>
        <v>4339</v>
      </c>
      <c r="R100" s="314">
        <f>U100-O100</f>
        <v>4451</v>
      </c>
      <c r="S100" s="198">
        <f t="shared" si="52"/>
        <v>2.6</v>
      </c>
      <c r="T100" s="314">
        <v>8408</v>
      </c>
      <c r="U100" s="314">
        <v>7136</v>
      </c>
      <c r="V100" s="198">
        <f t="shared" si="53"/>
        <v>-15.1</v>
      </c>
      <c r="W100" s="314">
        <f>Z100-T100</f>
        <v>4201</v>
      </c>
      <c r="X100" s="314">
        <f>AA100-U100</f>
        <v>2844</v>
      </c>
      <c r="Y100" s="198">
        <f t="shared" si="54"/>
        <v>-32.299999999999997</v>
      </c>
      <c r="Z100" s="314">
        <v>12609</v>
      </c>
      <c r="AA100" s="314">
        <v>9980</v>
      </c>
      <c r="AB100" s="198">
        <f t="shared" si="55"/>
        <v>-20.9</v>
      </c>
      <c r="AC100" s="314">
        <f>AF100-Z100</f>
        <v>3244</v>
      </c>
      <c r="AD100" s="314">
        <f>AG100-AA100</f>
        <v>4245</v>
      </c>
      <c r="AE100" s="198">
        <f t="shared" si="56"/>
        <v>30.9</v>
      </c>
      <c r="AF100" s="314">
        <v>15853</v>
      </c>
      <c r="AG100" s="314">
        <v>14225</v>
      </c>
      <c r="AH100" s="198">
        <f t="shared" si="57"/>
        <v>-10.3</v>
      </c>
      <c r="AI100" s="314">
        <f>AL100-AF100</f>
        <v>3762</v>
      </c>
      <c r="AJ100" s="314">
        <f>AM100-AG100</f>
        <v>2605</v>
      </c>
      <c r="AK100" s="198">
        <f t="shared" si="58"/>
        <v>-30.8</v>
      </c>
      <c r="AL100" s="314">
        <v>19615</v>
      </c>
      <c r="AM100" s="314">
        <v>16830</v>
      </c>
      <c r="AN100" s="198">
        <f t="shared" si="59"/>
        <v>-14.2</v>
      </c>
      <c r="AO100" s="601">
        <f>AR100-AL100</f>
        <v>2940</v>
      </c>
      <c r="AP100" s="601">
        <f>AS100-AM100</f>
        <v>3008</v>
      </c>
      <c r="AQ100" s="591">
        <f t="shared" si="60"/>
        <v>2.2999999999999998</v>
      </c>
      <c r="AR100" s="641">
        <v>22555</v>
      </c>
      <c r="AS100" s="641">
        <v>19838</v>
      </c>
      <c r="AT100" s="591">
        <f t="shared" si="61"/>
        <v>-12</v>
      </c>
      <c r="AU100" s="641">
        <f>AX100-AR100</f>
        <v>3506</v>
      </c>
      <c r="AV100" s="641">
        <f>AY100-AS100</f>
        <v>5335</v>
      </c>
      <c r="AW100" s="619">
        <f t="shared" si="62"/>
        <v>52.2</v>
      </c>
      <c r="AX100" s="932">
        <v>26061</v>
      </c>
      <c r="AY100" s="932">
        <v>25173</v>
      </c>
      <c r="AZ100" s="619">
        <f t="shared" si="63"/>
        <v>-3.4</v>
      </c>
      <c r="BA100" s="641">
        <f>BD100-AX100</f>
        <v>4186</v>
      </c>
      <c r="BB100" s="641">
        <f>BE100-AY100</f>
        <v>3555</v>
      </c>
      <c r="BC100" s="619">
        <f t="shared" si="64"/>
        <v>-15.1</v>
      </c>
      <c r="BD100" s="641">
        <v>30247</v>
      </c>
      <c r="BE100" s="641">
        <v>28728</v>
      </c>
      <c r="BF100" s="619">
        <f t="shared" si="65"/>
        <v>-5</v>
      </c>
      <c r="BG100" s="641">
        <f>BJ100-BD100</f>
        <v>2820</v>
      </c>
      <c r="BH100" s="641">
        <f>BK100-BE100</f>
        <v>6205</v>
      </c>
      <c r="BI100" s="619">
        <f t="shared" si="66"/>
        <v>120</v>
      </c>
      <c r="BJ100" s="641">
        <v>33067</v>
      </c>
      <c r="BK100" s="641">
        <v>34933</v>
      </c>
      <c r="BL100" s="619">
        <f t="shared" si="67"/>
        <v>5.6</v>
      </c>
      <c r="BM100" s="641">
        <f>BP100-BJ100</f>
        <v>3702</v>
      </c>
      <c r="BN100" s="641">
        <f>BQ100-BK100</f>
        <v>4818</v>
      </c>
      <c r="BO100" s="619">
        <f t="shared" si="68"/>
        <v>30.1</v>
      </c>
      <c r="BP100" s="641">
        <v>36769</v>
      </c>
      <c r="BQ100" s="641">
        <v>39751</v>
      </c>
      <c r="BR100" s="619">
        <f t="shared" si="69"/>
        <v>8.1</v>
      </c>
      <c r="BS100" s="641">
        <f>BV100-BP100</f>
        <v>2832</v>
      </c>
      <c r="BT100" s="641">
        <f>BW100-BQ100</f>
        <v>5517</v>
      </c>
      <c r="BU100" s="619">
        <f t="shared" si="70"/>
        <v>94.8</v>
      </c>
      <c r="BV100" s="641">
        <v>39601</v>
      </c>
      <c r="BW100" s="641">
        <v>45268</v>
      </c>
      <c r="BX100" s="619">
        <f t="shared" si="71"/>
        <v>14.3</v>
      </c>
    </row>
    <row r="101" spans="1:76" ht="22.5" customHeight="1">
      <c r="A101" s="13"/>
      <c r="B101" s="1104"/>
      <c r="C101" s="1105"/>
      <c r="D101" s="371" t="s">
        <v>317</v>
      </c>
      <c r="E101" s="456">
        <f t="shared" ref="E101:L101" si="90">E100/E99*1000</f>
        <v>17806.491120636863</v>
      </c>
      <c r="F101" s="456">
        <f t="shared" si="90"/>
        <v>19839.327830188678</v>
      </c>
      <c r="G101" s="456">
        <f t="shared" si="90"/>
        <v>24723.761217323448</v>
      </c>
      <c r="H101" s="456">
        <f t="shared" si="90"/>
        <v>26682.871422080872</v>
      </c>
      <c r="I101" s="456">
        <f t="shared" si="90"/>
        <v>22320.888468809073</v>
      </c>
      <c r="J101" s="456">
        <f t="shared" si="90"/>
        <v>20843.35154826958</v>
      </c>
      <c r="K101" s="211">
        <f t="shared" si="90"/>
        <v>23507.079181961195</v>
      </c>
      <c r="L101" s="187">
        <f t="shared" si="90"/>
        <v>24148.11181951937</v>
      </c>
      <c r="M101" s="445">
        <f>M100/M99*1000</f>
        <v>20559.980806142037</v>
      </c>
      <c r="N101" s="315">
        <f>N100/N99*1000</f>
        <v>13384.868421052632</v>
      </c>
      <c r="O101" s="315">
        <f>O100/O99*1000</f>
        <v>28870.967741935485</v>
      </c>
      <c r="P101" s="199">
        <f t="shared" si="51"/>
        <v>115.7</v>
      </c>
      <c r="Q101" s="315">
        <f>Q100/Q99*1000</f>
        <v>22251.282051282051</v>
      </c>
      <c r="R101" s="315">
        <f>R100/R99*1000</f>
        <v>29872.483221476512</v>
      </c>
      <c r="S101" s="199">
        <f t="shared" si="52"/>
        <v>34.299999999999997</v>
      </c>
      <c r="T101" s="315">
        <f>T100/T99*1000</f>
        <v>16849.699398797598</v>
      </c>
      <c r="U101" s="315">
        <f>U100/U99*1000</f>
        <v>29487.603305785124</v>
      </c>
      <c r="V101" s="199">
        <f t="shared" si="53"/>
        <v>75</v>
      </c>
      <c r="W101" s="315">
        <f>W100/W99*1000</f>
        <v>21994.764397905758</v>
      </c>
      <c r="X101" s="315">
        <f>X100/X99*1000</f>
        <v>18834.437086092716</v>
      </c>
      <c r="Y101" s="199">
        <f t="shared" si="54"/>
        <v>-14.4</v>
      </c>
      <c r="Z101" s="315">
        <f>Z100/Z99*1000</f>
        <v>18273.91304347826</v>
      </c>
      <c r="AA101" s="315">
        <f>AA100/AA99*1000</f>
        <v>25394.40203562341</v>
      </c>
      <c r="AB101" s="199">
        <f t="shared" si="55"/>
        <v>39</v>
      </c>
      <c r="AC101" s="315">
        <f>AC100/AC99*1000</f>
        <v>27726.495726495727</v>
      </c>
      <c r="AD101" s="315">
        <f>AD100/AD99*1000</f>
        <v>20606.796116504855</v>
      </c>
      <c r="AE101" s="199">
        <f t="shared" si="56"/>
        <v>-25.7</v>
      </c>
      <c r="AF101" s="315">
        <f>AF100/AF99*1000</f>
        <v>19644.361833952909</v>
      </c>
      <c r="AG101" s="315">
        <f>AG100/AG99*1000</f>
        <v>23747.913188647748</v>
      </c>
      <c r="AH101" s="199">
        <f t="shared" si="57"/>
        <v>20.9</v>
      </c>
      <c r="AI101" s="315">
        <f>AI100/AI99*1000</f>
        <v>23660.377358490568</v>
      </c>
      <c r="AJ101" s="315">
        <f>AJ100/AJ99*1000</f>
        <v>26581.632653061224</v>
      </c>
      <c r="AK101" s="199">
        <f t="shared" si="58"/>
        <v>12.3</v>
      </c>
      <c r="AL101" s="315">
        <f>AL100/AL99*1000</f>
        <v>20305.383022774324</v>
      </c>
      <c r="AM101" s="315">
        <f>AM100/AM99*1000</f>
        <v>24146.341463414632</v>
      </c>
      <c r="AN101" s="199">
        <f t="shared" si="59"/>
        <v>18.899999999999999</v>
      </c>
      <c r="AO101" s="602">
        <f>AO100/AO99*1000</f>
        <v>23902.439024390245</v>
      </c>
      <c r="AP101" s="602">
        <f>AP100/AP99*1000</f>
        <v>17798.816568047336</v>
      </c>
      <c r="AQ101" s="592">
        <f t="shared" si="60"/>
        <v>-25.5</v>
      </c>
      <c r="AR101" s="630">
        <f>AR100/AR99*1000</f>
        <v>20711.662075298438</v>
      </c>
      <c r="AS101" s="630">
        <f>AS100/AS99*1000</f>
        <v>22907.621247113162</v>
      </c>
      <c r="AT101" s="592">
        <f t="shared" si="61"/>
        <v>10.6</v>
      </c>
      <c r="AU101" s="630">
        <f>AU100/AU99*1000</f>
        <v>26360.902255639096</v>
      </c>
      <c r="AV101" s="630">
        <f>AV100/AV99*1000</f>
        <v>20839.84375</v>
      </c>
      <c r="AW101" s="620">
        <f t="shared" si="62"/>
        <v>-20.9</v>
      </c>
      <c r="AX101" s="933">
        <f>AX100/AX99*1000</f>
        <v>21326.513911620295</v>
      </c>
      <c r="AY101" s="933">
        <f>AY100/AY99*1000</f>
        <v>22435.828877005348</v>
      </c>
      <c r="AZ101" s="620">
        <f t="shared" si="63"/>
        <v>5.2</v>
      </c>
      <c r="BA101" s="630">
        <f>BA100/BA99*1000</f>
        <v>20825.870646766169</v>
      </c>
      <c r="BB101" s="630">
        <f>BB100/BB99*1000</f>
        <v>29139.344262295082</v>
      </c>
      <c r="BC101" s="620">
        <f t="shared" si="64"/>
        <v>39.9</v>
      </c>
      <c r="BD101" s="630">
        <f>BD100/BD99*1000</f>
        <v>21255.797610681657</v>
      </c>
      <c r="BE101" s="630">
        <f>BE100/BE99*1000</f>
        <v>23093.247588424438</v>
      </c>
      <c r="BF101" s="620">
        <f t="shared" si="65"/>
        <v>8.6</v>
      </c>
      <c r="BG101" s="630">
        <f>BG100/BG99*1000</f>
        <v>13301.886792452829</v>
      </c>
      <c r="BH101" s="630">
        <f>BH100/BH99*1000</f>
        <v>20892.255892255893</v>
      </c>
      <c r="BI101" s="620">
        <f t="shared" si="66"/>
        <v>57.1</v>
      </c>
      <c r="BJ101" s="630">
        <f>BJ100/BJ99*1000</f>
        <v>20224.464831804278</v>
      </c>
      <c r="BK101" s="630">
        <f>BK100/BK99*1000</f>
        <v>22669.046073977934</v>
      </c>
      <c r="BL101" s="620">
        <f t="shared" si="67"/>
        <v>12.1</v>
      </c>
      <c r="BM101" s="630">
        <f>BM100/BM99*1000</f>
        <v>22301.204819277107</v>
      </c>
      <c r="BN101" s="630">
        <f>BN100/BN99*1000</f>
        <v>31490.196078431371</v>
      </c>
      <c r="BO101" s="620">
        <f t="shared" si="68"/>
        <v>41.2</v>
      </c>
      <c r="BP101" s="630">
        <f>BP100/BP99*1000</f>
        <v>20415.880066629652</v>
      </c>
      <c r="BQ101" s="630">
        <f>BQ100/BQ99*1000</f>
        <v>23465.761511216057</v>
      </c>
      <c r="BR101" s="620">
        <f t="shared" si="69"/>
        <v>14.9</v>
      </c>
      <c r="BS101" s="630">
        <f>BS100/BS99*1000</f>
        <v>25285.714285714286</v>
      </c>
      <c r="BT101" s="630">
        <f>BT100/BT99*1000</f>
        <v>35593.548387096773</v>
      </c>
      <c r="BU101" s="620">
        <f t="shared" si="70"/>
        <v>40.799999999999997</v>
      </c>
      <c r="BV101" s="630">
        <f>BV100/BV99*1000</f>
        <v>20700.993204391008</v>
      </c>
      <c r="BW101" s="630">
        <f>BW100/BW99*1000</f>
        <v>24482.422931314224</v>
      </c>
      <c r="BX101" s="620">
        <f t="shared" si="71"/>
        <v>18.3</v>
      </c>
    </row>
    <row r="102" spans="1:76" ht="22.5" customHeight="1">
      <c r="A102" s="1111" t="s">
        <v>36</v>
      </c>
      <c r="B102" s="1109"/>
      <c r="C102" s="1100">
        <v>81</v>
      </c>
      <c r="D102" s="365" t="s">
        <v>37</v>
      </c>
      <c r="E102" s="452">
        <v>15754</v>
      </c>
      <c r="F102" s="452">
        <v>19220</v>
      </c>
      <c r="G102" s="452">
        <v>29841</v>
      </c>
      <c r="H102" s="452">
        <v>23207</v>
      </c>
      <c r="I102" s="452">
        <v>31418</v>
      </c>
      <c r="J102" s="452">
        <v>96278</v>
      </c>
      <c r="K102" s="207">
        <v>40395</v>
      </c>
      <c r="L102" s="183">
        <v>47078</v>
      </c>
      <c r="M102" s="312">
        <v>82485</v>
      </c>
      <c r="N102" s="311">
        <v>31520</v>
      </c>
      <c r="O102" s="311">
        <v>1485</v>
      </c>
      <c r="P102" s="195">
        <f t="shared" si="51"/>
        <v>-95.3</v>
      </c>
      <c r="Q102" s="311">
        <f>T102-N102</f>
        <v>1255</v>
      </c>
      <c r="R102" s="311">
        <f>U102-O102</f>
        <v>1660</v>
      </c>
      <c r="S102" s="195">
        <f t="shared" si="52"/>
        <v>32.299999999999997</v>
      </c>
      <c r="T102" s="311">
        <v>32775</v>
      </c>
      <c r="U102" s="311">
        <v>3145</v>
      </c>
      <c r="V102" s="195">
        <f t="shared" si="53"/>
        <v>-90.4</v>
      </c>
      <c r="W102" s="311">
        <f>Z102-T102</f>
        <v>1737</v>
      </c>
      <c r="X102" s="311">
        <f>AA102-U102</f>
        <v>2326</v>
      </c>
      <c r="Y102" s="195">
        <f t="shared" si="54"/>
        <v>33.9</v>
      </c>
      <c r="Z102" s="311">
        <v>34512</v>
      </c>
      <c r="AA102" s="311">
        <v>5471</v>
      </c>
      <c r="AB102" s="195">
        <f t="shared" si="55"/>
        <v>-84.1</v>
      </c>
      <c r="AC102" s="311">
        <f>AF102-Z102</f>
        <v>1803</v>
      </c>
      <c r="AD102" s="311">
        <f>AG102-AA102</f>
        <v>3239</v>
      </c>
      <c r="AE102" s="195">
        <f t="shared" si="56"/>
        <v>79.599999999999994</v>
      </c>
      <c r="AF102" s="311">
        <v>36315</v>
      </c>
      <c r="AG102" s="311">
        <v>8710</v>
      </c>
      <c r="AH102" s="195">
        <f t="shared" si="57"/>
        <v>-76</v>
      </c>
      <c r="AI102" s="311">
        <f>AL102-AF102</f>
        <v>1868</v>
      </c>
      <c r="AJ102" s="311">
        <f>AM102-AG102</f>
        <v>1464</v>
      </c>
      <c r="AK102" s="195">
        <f t="shared" si="58"/>
        <v>-21.6</v>
      </c>
      <c r="AL102" s="311">
        <v>38183</v>
      </c>
      <c r="AM102" s="311">
        <v>10174</v>
      </c>
      <c r="AN102" s="195">
        <f t="shared" si="59"/>
        <v>-73.400000000000006</v>
      </c>
      <c r="AO102" s="599">
        <f>AR102-AL102</f>
        <v>33470</v>
      </c>
      <c r="AP102" s="599">
        <f>AS102-AM102</f>
        <v>1890</v>
      </c>
      <c r="AQ102" s="589">
        <f t="shared" si="60"/>
        <v>-94.4</v>
      </c>
      <c r="AR102" s="869">
        <v>71653</v>
      </c>
      <c r="AS102" s="869">
        <v>12064</v>
      </c>
      <c r="AT102" s="589">
        <f t="shared" si="61"/>
        <v>-83.2</v>
      </c>
      <c r="AU102" s="869">
        <f>AX102-AR102</f>
        <v>1559</v>
      </c>
      <c r="AV102" s="869">
        <f>AY102-AS102</f>
        <v>1678</v>
      </c>
      <c r="AW102" s="617">
        <f t="shared" si="62"/>
        <v>7.6</v>
      </c>
      <c r="AX102" s="929">
        <v>73212</v>
      </c>
      <c r="AY102" s="929">
        <v>13742</v>
      </c>
      <c r="AZ102" s="617">
        <f t="shared" si="63"/>
        <v>-81.2</v>
      </c>
      <c r="BA102" s="869">
        <f>BD102-AX102</f>
        <v>1875</v>
      </c>
      <c r="BB102" s="869">
        <f>BE102-AY102</f>
        <v>1850</v>
      </c>
      <c r="BC102" s="617">
        <f t="shared" si="64"/>
        <v>-1.3</v>
      </c>
      <c r="BD102" s="869">
        <v>75087</v>
      </c>
      <c r="BE102" s="869">
        <v>15592</v>
      </c>
      <c r="BF102" s="617">
        <f t="shared" si="65"/>
        <v>-79.2</v>
      </c>
      <c r="BG102" s="869">
        <f>BJ102-BD102</f>
        <v>1825</v>
      </c>
      <c r="BH102" s="869">
        <f>BK102-BE102</f>
        <v>1670</v>
      </c>
      <c r="BI102" s="617">
        <f t="shared" si="66"/>
        <v>-8.5</v>
      </c>
      <c r="BJ102" s="869">
        <v>76912</v>
      </c>
      <c r="BK102" s="869">
        <v>17262</v>
      </c>
      <c r="BL102" s="617">
        <f t="shared" si="67"/>
        <v>-77.599999999999994</v>
      </c>
      <c r="BM102" s="869">
        <f>BP102-BJ102</f>
        <v>1695</v>
      </c>
      <c r="BN102" s="869">
        <f>BQ102-BK102</f>
        <v>2032</v>
      </c>
      <c r="BO102" s="617">
        <f t="shared" si="68"/>
        <v>19.899999999999999</v>
      </c>
      <c r="BP102" s="869">
        <v>78607</v>
      </c>
      <c r="BQ102" s="869">
        <v>19294</v>
      </c>
      <c r="BR102" s="617">
        <f t="shared" si="69"/>
        <v>-75.5</v>
      </c>
      <c r="BS102" s="869">
        <f>BV102-BP102</f>
        <v>1574</v>
      </c>
      <c r="BT102" s="869">
        <f>BW102-BQ102</f>
        <v>1812</v>
      </c>
      <c r="BU102" s="617">
        <f t="shared" si="70"/>
        <v>15.1</v>
      </c>
      <c r="BV102" s="869">
        <v>80181</v>
      </c>
      <c r="BW102" s="869">
        <v>21106</v>
      </c>
      <c r="BX102" s="617">
        <f t="shared" si="71"/>
        <v>-73.7</v>
      </c>
    </row>
    <row r="103" spans="1:76" ht="22.5" customHeight="1">
      <c r="A103" s="1112"/>
      <c r="B103" s="1109"/>
      <c r="C103" s="1100"/>
      <c r="D103" s="366" t="s">
        <v>38</v>
      </c>
      <c r="E103" s="449">
        <v>432212</v>
      </c>
      <c r="F103" s="449">
        <v>350816</v>
      </c>
      <c r="G103" s="449">
        <v>461325</v>
      </c>
      <c r="H103" s="449">
        <v>446103</v>
      </c>
      <c r="I103" s="449">
        <v>265000</v>
      </c>
      <c r="J103" s="449">
        <v>275446</v>
      </c>
      <c r="K103" s="202">
        <v>317314</v>
      </c>
      <c r="L103" s="180">
        <v>366602</v>
      </c>
      <c r="M103" s="438">
        <v>272204</v>
      </c>
      <c r="N103" s="309">
        <v>29990</v>
      </c>
      <c r="O103" s="309">
        <v>19525</v>
      </c>
      <c r="P103" s="193">
        <f t="shared" si="51"/>
        <v>-34.9</v>
      </c>
      <c r="Q103" s="309">
        <f>T103-N103</f>
        <v>20576</v>
      </c>
      <c r="R103" s="309">
        <f>U103-O103</f>
        <v>19843</v>
      </c>
      <c r="S103" s="193">
        <f t="shared" si="52"/>
        <v>-3.6</v>
      </c>
      <c r="T103" s="309">
        <v>50566</v>
      </c>
      <c r="U103" s="309">
        <v>39368</v>
      </c>
      <c r="V103" s="193">
        <f t="shared" si="53"/>
        <v>-22.1</v>
      </c>
      <c r="W103" s="309">
        <f>Z103-T103</f>
        <v>26351</v>
      </c>
      <c r="X103" s="309">
        <f>AA103-U103</f>
        <v>21608</v>
      </c>
      <c r="Y103" s="193">
        <f t="shared" si="54"/>
        <v>-18</v>
      </c>
      <c r="Z103" s="309">
        <v>76917</v>
      </c>
      <c r="AA103" s="309">
        <v>60976</v>
      </c>
      <c r="AB103" s="193">
        <f t="shared" si="55"/>
        <v>-20.7</v>
      </c>
      <c r="AC103" s="309">
        <f>AF103-Z103</f>
        <v>24324</v>
      </c>
      <c r="AD103" s="309">
        <f>AG103-AA103</f>
        <v>22501</v>
      </c>
      <c r="AE103" s="193">
        <f t="shared" si="56"/>
        <v>-7.5</v>
      </c>
      <c r="AF103" s="309">
        <v>101241</v>
      </c>
      <c r="AG103" s="309">
        <v>83477</v>
      </c>
      <c r="AH103" s="193">
        <f t="shared" si="57"/>
        <v>-17.5</v>
      </c>
      <c r="AI103" s="309">
        <f>AL103-AF103</f>
        <v>23971</v>
      </c>
      <c r="AJ103" s="309">
        <f>AM103-AG103</f>
        <v>15876</v>
      </c>
      <c r="AK103" s="193">
        <f t="shared" si="58"/>
        <v>-33.799999999999997</v>
      </c>
      <c r="AL103" s="309">
        <v>125212</v>
      </c>
      <c r="AM103" s="309">
        <v>99353</v>
      </c>
      <c r="AN103" s="193">
        <f t="shared" si="59"/>
        <v>-20.7</v>
      </c>
      <c r="AO103" s="597">
        <f>AR103-AL103</f>
        <v>26501</v>
      </c>
      <c r="AP103" s="597">
        <f>AS103-AM103</f>
        <v>18194</v>
      </c>
      <c r="AQ103" s="587">
        <f t="shared" si="60"/>
        <v>-31.3</v>
      </c>
      <c r="AR103" s="868">
        <v>151713</v>
      </c>
      <c r="AS103" s="868">
        <v>117547</v>
      </c>
      <c r="AT103" s="587">
        <f t="shared" si="61"/>
        <v>-22.5</v>
      </c>
      <c r="AU103" s="868">
        <f>AX103-AR103</f>
        <v>20392</v>
      </c>
      <c r="AV103" s="868">
        <f>AY103-AS103</f>
        <v>18628</v>
      </c>
      <c r="AW103" s="615">
        <f t="shared" si="62"/>
        <v>-8.6999999999999993</v>
      </c>
      <c r="AX103" s="925">
        <v>172105</v>
      </c>
      <c r="AY103" s="925">
        <v>136175</v>
      </c>
      <c r="AZ103" s="615">
        <f t="shared" si="63"/>
        <v>-20.9</v>
      </c>
      <c r="BA103" s="868">
        <f>BD103-AX103</f>
        <v>19791</v>
      </c>
      <c r="BB103" s="868">
        <f>BE103-AY103</f>
        <v>17564</v>
      </c>
      <c r="BC103" s="615">
        <f t="shared" si="64"/>
        <v>-11.3</v>
      </c>
      <c r="BD103" s="868">
        <v>191896</v>
      </c>
      <c r="BE103" s="868">
        <v>153739</v>
      </c>
      <c r="BF103" s="615">
        <f t="shared" si="65"/>
        <v>-19.899999999999999</v>
      </c>
      <c r="BG103" s="868">
        <f>BJ103-BD103</f>
        <v>19205</v>
      </c>
      <c r="BH103" s="868">
        <f>BK103-BE103</f>
        <v>22617</v>
      </c>
      <c r="BI103" s="615">
        <f t="shared" si="66"/>
        <v>17.8</v>
      </c>
      <c r="BJ103" s="868">
        <v>211101</v>
      </c>
      <c r="BK103" s="868">
        <v>176356</v>
      </c>
      <c r="BL103" s="615">
        <f t="shared" si="67"/>
        <v>-16.5</v>
      </c>
      <c r="BM103" s="868">
        <f>BP103-BJ103</f>
        <v>20945</v>
      </c>
      <c r="BN103" s="868">
        <f>BQ103-BK103</f>
        <v>20340</v>
      </c>
      <c r="BO103" s="615">
        <f t="shared" si="68"/>
        <v>-2.9</v>
      </c>
      <c r="BP103" s="868">
        <v>232046</v>
      </c>
      <c r="BQ103" s="868">
        <v>196696</v>
      </c>
      <c r="BR103" s="615">
        <f t="shared" si="69"/>
        <v>-15.2</v>
      </c>
      <c r="BS103" s="868">
        <f>BV103-BP103</f>
        <v>16421</v>
      </c>
      <c r="BT103" s="868">
        <f>BW103-BQ103</f>
        <v>16823</v>
      </c>
      <c r="BU103" s="615">
        <f t="shared" si="70"/>
        <v>2.4</v>
      </c>
      <c r="BV103" s="868">
        <v>248467</v>
      </c>
      <c r="BW103" s="868">
        <v>213519</v>
      </c>
      <c r="BX103" s="615">
        <f t="shared" si="71"/>
        <v>-14.1</v>
      </c>
    </row>
    <row r="104" spans="1:76" ht="22.5" customHeight="1">
      <c r="A104" s="1112"/>
      <c r="B104" s="1109"/>
      <c r="C104" s="1100"/>
      <c r="D104" s="370" t="s">
        <v>15</v>
      </c>
      <c r="E104" s="453">
        <f>E103/E102*1000</f>
        <v>27435.064110702042</v>
      </c>
      <c r="F104" s="453">
        <f t="shared" ref="F104:O104" si="91">F103/F102*1000</f>
        <v>18252.653485952134</v>
      </c>
      <c r="G104" s="453">
        <f t="shared" si="91"/>
        <v>15459.435005529305</v>
      </c>
      <c r="H104" s="453">
        <f t="shared" si="91"/>
        <v>19222.777610203819</v>
      </c>
      <c r="I104" s="453">
        <f t="shared" si="91"/>
        <v>8434.6552931440583</v>
      </c>
      <c r="J104" s="453">
        <f t="shared" si="91"/>
        <v>2860.944348657014</v>
      </c>
      <c r="K104" s="208">
        <f t="shared" si="91"/>
        <v>7855.2791187028097</v>
      </c>
      <c r="L104" s="184">
        <f t="shared" si="91"/>
        <v>7787.1192489060704</v>
      </c>
      <c r="M104" s="439">
        <f>M103/M102*1000</f>
        <v>3300.0424319573253</v>
      </c>
      <c r="N104" s="310">
        <f t="shared" si="91"/>
        <v>951.45939086294413</v>
      </c>
      <c r="O104" s="310">
        <f t="shared" si="91"/>
        <v>13148.14814814815</v>
      </c>
      <c r="P104" s="194">
        <f t="shared" si="51"/>
        <v>1281.9000000000001</v>
      </c>
      <c r="Q104" s="310">
        <f>Q103/Q102*1000</f>
        <v>16395.219123505973</v>
      </c>
      <c r="R104" s="310">
        <f>R103/R102*1000</f>
        <v>11953.614457831325</v>
      </c>
      <c r="S104" s="194">
        <f t="shared" si="52"/>
        <v>-27.1</v>
      </c>
      <c r="T104" s="310">
        <f>T103/T102*1000</f>
        <v>1542.8222730739894</v>
      </c>
      <c r="U104" s="310">
        <f>U103/U102*1000</f>
        <v>12517.64705882353</v>
      </c>
      <c r="V104" s="194">
        <f t="shared" si="53"/>
        <v>711.3</v>
      </c>
      <c r="W104" s="310">
        <f>W103/W102*1000</f>
        <v>15170.408750719633</v>
      </c>
      <c r="X104" s="310">
        <f>X103/X102*1000</f>
        <v>9289.7678417884781</v>
      </c>
      <c r="Y104" s="194">
        <f t="shared" si="54"/>
        <v>-38.799999999999997</v>
      </c>
      <c r="Z104" s="310">
        <f>Z103/Z102*1000</f>
        <v>2228.7030598052852</v>
      </c>
      <c r="AA104" s="310">
        <f>AA103/AA102*1000</f>
        <v>11145.31164320965</v>
      </c>
      <c r="AB104" s="194">
        <f t="shared" si="55"/>
        <v>400.1</v>
      </c>
      <c r="AC104" s="310">
        <f>AC103/AC102*1000</f>
        <v>13490.848585690515</v>
      </c>
      <c r="AD104" s="310">
        <f>AD103/AD102*1000</f>
        <v>6946.8971904908922</v>
      </c>
      <c r="AE104" s="194">
        <f t="shared" si="56"/>
        <v>-48.5</v>
      </c>
      <c r="AF104" s="310">
        <f>AF103/AF102*1000</f>
        <v>2787.8562577447337</v>
      </c>
      <c r="AG104" s="310">
        <f>AG103/AG102*1000</f>
        <v>9584.0413318025257</v>
      </c>
      <c r="AH104" s="194">
        <f t="shared" si="57"/>
        <v>243.8</v>
      </c>
      <c r="AI104" s="310">
        <f>AI103/AI102*1000</f>
        <v>12832.441113490366</v>
      </c>
      <c r="AJ104" s="310">
        <f>AJ103/AJ102*1000</f>
        <v>10844.262295081966</v>
      </c>
      <c r="AK104" s="194">
        <f t="shared" si="58"/>
        <v>-15.5</v>
      </c>
      <c r="AL104" s="310">
        <f>AL103/AL102*1000</f>
        <v>3279.260403844643</v>
      </c>
      <c r="AM104" s="310">
        <f>AM103/AM102*1000</f>
        <v>9765.382347159426</v>
      </c>
      <c r="AN104" s="194">
        <f t="shared" si="59"/>
        <v>197.8</v>
      </c>
      <c r="AO104" s="598">
        <f>AO103/AO102*1000</f>
        <v>791.78368688377657</v>
      </c>
      <c r="AP104" s="598">
        <f>AP103/AP102*1000</f>
        <v>9626.4550264550271</v>
      </c>
      <c r="AQ104" s="588">
        <f t="shared" si="60"/>
        <v>1115.8</v>
      </c>
      <c r="AR104" s="626">
        <f>AR103/AR102*1000</f>
        <v>2117.3293511785969</v>
      </c>
      <c r="AS104" s="626">
        <f>AS103/AS102*1000</f>
        <v>9743.6173740053055</v>
      </c>
      <c r="AT104" s="588">
        <f t="shared" si="61"/>
        <v>360.2</v>
      </c>
      <c r="AU104" s="626">
        <f>AU103/AU102*1000</f>
        <v>13080.179602309172</v>
      </c>
      <c r="AV104" s="626">
        <f>AV103/AV102*1000</f>
        <v>11101.311084624553</v>
      </c>
      <c r="AW104" s="616">
        <f t="shared" si="62"/>
        <v>-15.1</v>
      </c>
      <c r="AX104" s="930">
        <f>AX103/AX102*1000</f>
        <v>2350.7758290990546</v>
      </c>
      <c r="AY104" s="930">
        <f>AY103/AY102*1000</f>
        <v>9909.4018337942071</v>
      </c>
      <c r="AZ104" s="616">
        <f t="shared" si="63"/>
        <v>321.5</v>
      </c>
      <c r="BA104" s="626">
        <f>BA103/BA102*1000</f>
        <v>10555.199999999999</v>
      </c>
      <c r="BB104" s="626">
        <f>BB103/BB102*1000</f>
        <v>9494.0540540540533</v>
      </c>
      <c r="BC104" s="616">
        <f t="shared" si="64"/>
        <v>-10.1</v>
      </c>
      <c r="BD104" s="626">
        <f>BD103/BD102*1000</f>
        <v>2555.648780747666</v>
      </c>
      <c r="BE104" s="626">
        <f>BE103/BE102*1000</f>
        <v>9860.1205746536689</v>
      </c>
      <c r="BF104" s="616">
        <f t="shared" si="65"/>
        <v>285.8</v>
      </c>
      <c r="BG104" s="626">
        <f>BG103/BG102*1000</f>
        <v>10523.287671232878</v>
      </c>
      <c r="BH104" s="626">
        <f>BH103/BH102*1000</f>
        <v>13543.11377245509</v>
      </c>
      <c r="BI104" s="616">
        <f t="shared" si="66"/>
        <v>28.7</v>
      </c>
      <c r="BJ104" s="626">
        <f>BJ103/BJ102*1000</f>
        <v>2744.70823798627</v>
      </c>
      <c r="BK104" s="626">
        <f>BK103/BK102*1000</f>
        <v>10216.429150735721</v>
      </c>
      <c r="BL104" s="616">
        <f t="shared" si="67"/>
        <v>272.2</v>
      </c>
      <c r="BM104" s="626">
        <f>BM103/BM102*1000</f>
        <v>12356.93215339233</v>
      </c>
      <c r="BN104" s="626">
        <f>BN103/BN102*1000</f>
        <v>10009.842519685038</v>
      </c>
      <c r="BO104" s="616">
        <f t="shared" si="68"/>
        <v>-19</v>
      </c>
      <c r="BP104" s="626">
        <f>BP103/BP102*1000</f>
        <v>2951.9762870991135</v>
      </c>
      <c r="BQ104" s="626">
        <f>BQ103/BQ102*1000</f>
        <v>10194.671918731212</v>
      </c>
      <c r="BR104" s="616">
        <f t="shared" si="69"/>
        <v>245.4</v>
      </c>
      <c r="BS104" s="626">
        <f>BS103/BS102*1000</f>
        <v>10432.655654383736</v>
      </c>
      <c r="BT104" s="626">
        <f>BT103/BT102*1000</f>
        <v>9284.2163355408393</v>
      </c>
      <c r="BU104" s="616">
        <f t="shared" si="70"/>
        <v>-11</v>
      </c>
      <c r="BV104" s="626">
        <f>BV103/BV102*1000</f>
        <v>3098.8264052581035</v>
      </c>
      <c r="BW104" s="626">
        <f>BW103/BW102*1000</f>
        <v>10116.507154363688</v>
      </c>
      <c r="BX104" s="616">
        <f t="shared" si="71"/>
        <v>226.5</v>
      </c>
    </row>
    <row r="105" spans="1:76" ht="22.5" customHeight="1">
      <c r="A105" s="1097" t="s">
        <v>39</v>
      </c>
      <c r="B105" s="1097"/>
      <c r="C105" s="1097"/>
      <c r="D105" s="15" t="s">
        <v>13</v>
      </c>
      <c r="E105" s="454">
        <f t="shared" ref="E105:G106" si="92">SUM(E33+E63+E72+E81+E90+E99+E102)</f>
        <v>1936397</v>
      </c>
      <c r="F105" s="454">
        <f t="shared" si="92"/>
        <v>2026977</v>
      </c>
      <c r="G105" s="454">
        <f t="shared" si="92"/>
        <v>2104262</v>
      </c>
      <c r="H105" s="454">
        <f>SUM(H33+H63+H72+H81+H90+H99+H102)</f>
        <v>2185840</v>
      </c>
      <c r="I105" s="454">
        <f>SUM(I33+I63+I72+I81+I90+I99+I102)</f>
        <v>2387010</v>
      </c>
      <c r="J105" s="454">
        <f t="shared" ref="J105:L106" si="93">SUM(J33+J63+J72+J81+J90+J99+J102)</f>
        <v>2581770</v>
      </c>
      <c r="K105" s="209">
        <f t="shared" si="93"/>
        <v>2533611</v>
      </c>
      <c r="L105" s="185">
        <f t="shared" si="93"/>
        <v>2744989</v>
      </c>
      <c r="M105" s="443">
        <f t="shared" ref="M105:O106" si="94">SUM(M33+M63+M72+M81+M90+M99+M102)</f>
        <v>2805302</v>
      </c>
      <c r="N105" s="313">
        <f t="shared" si="94"/>
        <v>250846</v>
      </c>
      <c r="O105" s="313">
        <f t="shared" si="94"/>
        <v>232401</v>
      </c>
      <c r="P105" s="197">
        <f t="shared" si="51"/>
        <v>-7.4</v>
      </c>
      <c r="Q105" s="313">
        <f>SUM(Q33+Q63+Q72+Q81+Q90+Q99+Q102)</f>
        <v>210156</v>
      </c>
      <c r="R105" s="313">
        <f>SUM(R33+R63+R72+R81+R90+R99+R102)</f>
        <v>224018</v>
      </c>
      <c r="S105" s="197">
        <f t="shared" si="52"/>
        <v>6.6</v>
      </c>
      <c r="T105" s="313">
        <f>SUM(T33+T63+T72+T81+T90+T99+T102)</f>
        <v>461002</v>
      </c>
      <c r="U105" s="313">
        <f>SUM(U33+U63+U72+U81+U90+U99+U102)</f>
        <v>456419</v>
      </c>
      <c r="V105" s="197">
        <f t="shared" si="53"/>
        <v>-1</v>
      </c>
      <c r="W105" s="313">
        <f>SUM(W33+W63+W72+W81+W90+W99+W102)</f>
        <v>221887</v>
      </c>
      <c r="X105" s="313">
        <f>SUM(X33+X63+X72+X81+X90+X99+X102)</f>
        <v>256743</v>
      </c>
      <c r="Y105" s="197">
        <f t="shared" si="54"/>
        <v>15.7</v>
      </c>
      <c r="Z105" s="313">
        <f>SUM(Z33+Z63+Z72+Z81+Z90+Z99+Z102)</f>
        <v>682889</v>
      </c>
      <c r="AA105" s="313">
        <f>SUM(AA33+AA63+AA72+AA81+AA90+AA99+AA102)</f>
        <v>713162</v>
      </c>
      <c r="AB105" s="197">
        <f t="shared" si="55"/>
        <v>4.4000000000000004</v>
      </c>
      <c r="AC105" s="313">
        <f>SUM(AC33+AC63+AC72+AC81+AC90+AC99+AC102)</f>
        <v>236104</v>
      </c>
      <c r="AD105" s="313">
        <f>SUM(AD33+AD63+AD72+AD81+AD90+AD99+AD102)</f>
        <v>230243</v>
      </c>
      <c r="AE105" s="197">
        <f t="shared" si="56"/>
        <v>-2.5</v>
      </c>
      <c r="AF105" s="313">
        <f>SUM(AF33+AF63+AF72+AF81+AF90+AF99+AF102)</f>
        <v>918993</v>
      </c>
      <c r="AG105" s="313">
        <f>SUM(AG33+AG63+AG72+AG81+AG90+AG99+AG102)</f>
        <v>943405</v>
      </c>
      <c r="AH105" s="197">
        <f t="shared" si="57"/>
        <v>2.7</v>
      </c>
      <c r="AI105" s="313">
        <f>SUM(AI33+AI63+AI72+AI81+AI90+AI99+AI102)</f>
        <v>263405</v>
      </c>
      <c r="AJ105" s="313">
        <f>SUM(AJ33+AJ63+AJ72+AJ81+AJ90+AJ99+AJ102)</f>
        <v>210982</v>
      </c>
      <c r="AK105" s="197">
        <f t="shared" si="58"/>
        <v>-19.899999999999999</v>
      </c>
      <c r="AL105" s="313">
        <f>SUM(AL33+AL63+AL72+AL81+AL90+AL99+AL102)</f>
        <v>1182398</v>
      </c>
      <c r="AM105" s="313">
        <f>SUM(AM33+AM63+AM72+AM81+AM90+AM99+AM102)</f>
        <v>1154387</v>
      </c>
      <c r="AN105" s="197">
        <f t="shared" si="59"/>
        <v>-2.4</v>
      </c>
      <c r="AO105" s="600">
        <f>SUM(AO33+AO63+AO72+AO81+AO90+AO99+AO102)</f>
        <v>258659</v>
      </c>
      <c r="AP105" s="600">
        <f>SUM(AP33+AP63+AP72+AP81+AP90+AP99+AP102)</f>
        <v>237261</v>
      </c>
      <c r="AQ105" s="590">
        <f t="shared" si="60"/>
        <v>-8.3000000000000007</v>
      </c>
      <c r="AR105" s="640">
        <f>SUM(AR33+AR63+AR72+AR81+AR90+AR99+AR102)</f>
        <v>1441057</v>
      </c>
      <c r="AS105" s="640">
        <f>SUM(AS33+AS63+AS72+AS81+AS90+AS99+AS102)</f>
        <v>1391648</v>
      </c>
      <c r="AT105" s="590">
        <f t="shared" si="61"/>
        <v>-3.4</v>
      </c>
      <c r="AU105" s="640">
        <f>SUM(AU33+AU63+AU72+AU81+AU90+AU99+AU102)</f>
        <v>230239</v>
      </c>
      <c r="AV105" s="640">
        <f>SUM(AV33+AV63+AV72+AV81+AV90+AV99+AV102)</f>
        <v>265945</v>
      </c>
      <c r="AW105" s="618">
        <f t="shared" si="62"/>
        <v>15.5</v>
      </c>
      <c r="AX105" s="640">
        <f>SUM(AX33+AX63+AX72+AX81+AX90+AX99+AX102)</f>
        <v>1671296</v>
      </c>
      <c r="AY105" s="640">
        <f>SUM(AY33+AY63+AY72+AY81+AY90+AY99+AY102)</f>
        <v>1657593</v>
      </c>
      <c r="AZ105" s="618">
        <f t="shared" si="63"/>
        <v>-0.8</v>
      </c>
      <c r="BA105" s="640">
        <f>SUM(BA33+BA63+BA72+BA81+BA90+BA99+BA102)</f>
        <v>224698</v>
      </c>
      <c r="BB105" s="640">
        <f>SUM(BB33+BB63+BB72+BB81+BB90+BB99+BB102)</f>
        <v>221844</v>
      </c>
      <c r="BC105" s="618">
        <f t="shared" si="64"/>
        <v>-1.3</v>
      </c>
      <c r="BD105" s="640">
        <f>SUM(BD33+BD63+BD72+BD81+BD90+BD99+BD102)</f>
        <v>1895994</v>
      </c>
      <c r="BE105" s="640">
        <f>SUM(BE33+BE63+BE72+BE81+BE90+BE99+BE102)</f>
        <v>1879437</v>
      </c>
      <c r="BF105" s="618">
        <f t="shared" si="65"/>
        <v>-0.9</v>
      </c>
      <c r="BG105" s="640">
        <f>SUM(BG33+BG63+BG72+BG81+BG90+BG99+BG102)</f>
        <v>207493</v>
      </c>
      <c r="BH105" s="640">
        <f>SUM(BH33+BH63+BH72+BH81+BH90+BH99+BH102)</f>
        <v>256916</v>
      </c>
      <c r="BI105" s="618">
        <f t="shared" si="66"/>
        <v>23.8</v>
      </c>
      <c r="BJ105" s="640">
        <f>SUM(BJ33+BJ63+BJ72+BJ81+BJ90+BJ99+BJ102)</f>
        <v>2103487</v>
      </c>
      <c r="BK105" s="640">
        <f>SUM(BK33+BK63+BK72+BK81+BK90+BK99+BK102)</f>
        <v>2136353</v>
      </c>
      <c r="BL105" s="618">
        <f t="shared" si="67"/>
        <v>1.6</v>
      </c>
      <c r="BM105" s="640">
        <f>SUM(BM33+BM63+BM72+BM81+BM90+BM99+BM102)</f>
        <v>240853</v>
      </c>
      <c r="BN105" s="640">
        <f>SUM(BN33+BN63+BN72+BN81+BN90+BN99+BN102)</f>
        <v>247244</v>
      </c>
      <c r="BO105" s="618">
        <f t="shared" si="68"/>
        <v>2.7</v>
      </c>
      <c r="BP105" s="640">
        <f>SUM(BP33+BP63+BP72+BP81+BP90+BP99+BP102)</f>
        <v>2344340</v>
      </c>
      <c r="BQ105" s="640">
        <f>SUM(BQ33+BQ63+BQ72+BQ81+BQ90+BQ99+BQ102)</f>
        <v>2383597</v>
      </c>
      <c r="BR105" s="618">
        <f t="shared" si="69"/>
        <v>1.7</v>
      </c>
      <c r="BS105" s="640">
        <f>SUM(BS33+BS63+BS72+BS81+BS90+BS99+BS102)</f>
        <v>216741</v>
      </c>
      <c r="BT105" s="640">
        <f>SUM(BT33+BT63+BT72+BT81+BT90+BT99+BT102)</f>
        <v>265321</v>
      </c>
      <c r="BU105" s="618">
        <f t="shared" si="70"/>
        <v>22.4</v>
      </c>
      <c r="BV105" s="640">
        <f>SUM(BV33+BV63+BV72+BV81+BV90+BV99+BV102)</f>
        <v>2561081</v>
      </c>
      <c r="BW105" s="640">
        <f>SUM(BW33+BW63+BW72+BW81+BW90+BW99+BW102)</f>
        <v>2648918</v>
      </c>
      <c r="BX105" s="618">
        <f t="shared" si="71"/>
        <v>3.4</v>
      </c>
    </row>
    <row r="106" spans="1:76" ht="22.5" customHeight="1">
      <c r="A106" s="1097"/>
      <c r="B106" s="1097"/>
      <c r="C106" s="1097"/>
      <c r="D106" s="367" t="s">
        <v>14</v>
      </c>
      <c r="E106" s="455">
        <f t="shared" si="92"/>
        <v>9940495</v>
      </c>
      <c r="F106" s="455">
        <f t="shared" si="92"/>
        <v>9154384</v>
      </c>
      <c r="G106" s="455">
        <f t="shared" si="92"/>
        <v>9471030</v>
      </c>
      <c r="H106" s="455">
        <f>SUM(H34+H64+H73+H82+H91+H100+H103)</f>
        <v>9723897</v>
      </c>
      <c r="I106" s="455">
        <f>SUM(I34+I64+I73+I82+I91+I100+I103)</f>
        <v>9240601</v>
      </c>
      <c r="J106" s="455">
        <f t="shared" si="93"/>
        <v>8846556</v>
      </c>
      <c r="K106" s="210">
        <f t="shared" si="93"/>
        <v>10467205</v>
      </c>
      <c r="L106" s="186">
        <f t="shared" si="93"/>
        <v>11873008</v>
      </c>
      <c r="M106" s="444">
        <f t="shared" si="94"/>
        <v>10975658</v>
      </c>
      <c r="N106" s="314">
        <f t="shared" si="94"/>
        <v>922185</v>
      </c>
      <c r="O106" s="314">
        <f t="shared" si="94"/>
        <v>872274</v>
      </c>
      <c r="P106" s="198">
        <f t="shared" si="51"/>
        <v>-5.4</v>
      </c>
      <c r="Q106" s="314">
        <f>SUM(Q34+Q64+Q73+Q82+Q91+Q100+Q103)</f>
        <v>851982</v>
      </c>
      <c r="R106" s="314">
        <f>SUM(R34+R64+R73+R82+R91+R100+R103)</f>
        <v>848100</v>
      </c>
      <c r="S106" s="198">
        <f t="shared" si="52"/>
        <v>-0.5</v>
      </c>
      <c r="T106" s="314">
        <f>SUM(T34+T64+T73+T82+T91+T100+T103)</f>
        <v>1774167</v>
      </c>
      <c r="U106" s="314">
        <f>SUM(U34+U64+U73+U82+U91+U100+U103)</f>
        <v>1720374</v>
      </c>
      <c r="V106" s="198">
        <f t="shared" si="53"/>
        <v>-3</v>
      </c>
      <c r="W106" s="314">
        <f>SUM(W34+W64+W73+W82+W91+W100+W103)</f>
        <v>914459</v>
      </c>
      <c r="X106" s="314">
        <f>SUM(X34+X64+X73+X82+X91+X100+X103)</f>
        <v>914319</v>
      </c>
      <c r="Y106" s="198">
        <f t="shared" si="54"/>
        <v>0</v>
      </c>
      <c r="Z106" s="314">
        <f>SUM(Z34+Z64+Z73+Z82+Z91+Z100+Z103)</f>
        <v>2688626</v>
      </c>
      <c r="AA106" s="314">
        <f>SUM(AA34+AA64+AA73+AA82+AA91+AA100+AA103)</f>
        <v>2634693</v>
      </c>
      <c r="AB106" s="198">
        <f t="shared" si="55"/>
        <v>-2</v>
      </c>
      <c r="AC106" s="314">
        <f>SUM(AC34+AC64+AC73+AC82+AC91+AC100+AC103)</f>
        <v>962835</v>
      </c>
      <c r="AD106" s="314">
        <f>SUM(AD34+AD64+AD73+AD82+AD91+AD100+AD103)</f>
        <v>803910</v>
      </c>
      <c r="AE106" s="198">
        <f t="shared" si="56"/>
        <v>-16.5</v>
      </c>
      <c r="AF106" s="314">
        <f>SUM(AF34+AF64+AF73+AF82+AF91+AF100+AF103)</f>
        <v>3651461</v>
      </c>
      <c r="AG106" s="314">
        <f>SUM(AG34+AG64+AG73+AG82+AG91+AG100+AG103)</f>
        <v>3438603</v>
      </c>
      <c r="AH106" s="198">
        <f t="shared" si="57"/>
        <v>-5.8</v>
      </c>
      <c r="AI106" s="314">
        <f>SUM(AI34+AI64+AI73+AI82+AI91+AI100+AI103)</f>
        <v>1064019</v>
      </c>
      <c r="AJ106" s="314">
        <f>SUM(AJ34+AJ64+AJ73+AJ82+AJ91+AJ100+AJ103)</f>
        <v>709480</v>
      </c>
      <c r="AK106" s="198">
        <f t="shared" si="58"/>
        <v>-33.299999999999997</v>
      </c>
      <c r="AL106" s="314">
        <f>SUM(AL34+AL64+AL73+AL82+AL91+AL100+AL103)</f>
        <v>4715480</v>
      </c>
      <c r="AM106" s="314">
        <f>SUM(AM34+AM64+AM73+AM82+AM91+AM100+AM103)</f>
        <v>4148083</v>
      </c>
      <c r="AN106" s="198">
        <f t="shared" si="59"/>
        <v>-12</v>
      </c>
      <c r="AO106" s="601">
        <f>SUM(AO34+AO64+AO73+AO82+AO91+AO100+AO103)</f>
        <v>894693</v>
      </c>
      <c r="AP106" s="601">
        <f>SUM(AP34+AP64+AP73+AP82+AP91+AP100+AP103)</f>
        <v>814835</v>
      </c>
      <c r="AQ106" s="591">
        <f t="shared" si="60"/>
        <v>-8.9</v>
      </c>
      <c r="AR106" s="641">
        <f>SUM(AR34+AR64+AR73+AR82+AR91+AR100+AR103)</f>
        <v>5610173</v>
      </c>
      <c r="AS106" s="641">
        <f>SUM(AS34+AS64+AS73+AS82+AS91+AS100+AS103)</f>
        <v>4962918</v>
      </c>
      <c r="AT106" s="591">
        <f t="shared" si="61"/>
        <v>-11.5</v>
      </c>
      <c r="AU106" s="641">
        <f>SUM(AU34+AU64+AU73+AU82+AU91+AU100+AU103)</f>
        <v>940993</v>
      </c>
      <c r="AV106" s="641">
        <f>SUM(AV34+AV64+AV73+AV82+AV91+AV100+AV103)</f>
        <v>955823</v>
      </c>
      <c r="AW106" s="619">
        <f t="shared" si="62"/>
        <v>1.6</v>
      </c>
      <c r="AX106" s="641">
        <f>SUM(AX34+AX64+AX73+AX82+AX91+AX100+AX103)</f>
        <v>6551166</v>
      </c>
      <c r="AY106" s="641">
        <f>SUM(AY34+AY64+AY73+AY82+AY91+AY100+AY103)</f>
        <v>5918741</v>
      </c>
      <c r="AZ106" s="619">
        <f t="shared" si="63"/>
        <v>-9.6999999999999993</v>
      </c>
      <c r="BA106" s="641">
        <f>SUM(BA34+BA64+BA73+BA82+BA91+BA100+BA103)</f>
        <v>870765</v>
      </c>
      <c r="BB106" s="641">
        <f>SUM(BB34+BB64+BB73+BB82+BB91+BB100+BB103)</f>
        <v>826375</v>
      </c>
      <c r="BC106" s="619">
        <f t="shared" si="64"/>
        <v>-5.0999999999999996</v>
      </c>
      <c r="BD106" s="641">
        <f>SUM(BD34+BD64+BD73+BD82+BD91+BD100+BD103)</f>
        <v>7421931</v>
      </c>
      <c r="BE106" s="641">
        <f>SUM(BE34+BE64+BE73+BE82+BE91+BE100+BE103)</f>
        <v>6745116</v>
      </c>
      <c r="BF106" s="619">
        <f t="shared" si="65"/>
        <v>-9.1</v>
      </c>
      <c r="BG106" s="641">
        <f>SUM(BG34+BG64+BG73+BG82+BG91+BG100+BG103)</f>
        <v>824250</v>
      </c>
      <c r="BH106" s="641">
        <f>SUM(BH34+BH64+BH73+BH82+BH91+BH100+BH103)</f>
        <v>1015860</v>
      </c>
      <c r="BI106" s="619">
        <f t="shared" si="66"/>
        <v>23.2</v>
      </c>
      <c r="BJ106" s="641">
        <f>SUM(BJ34+BJ64+BJ73+BJ82+BJ91+BJ100+BJ103)</f>
        <v>8246181</v>
      </c>
      <c r="BK106" s="641">
        <f>SUM(BK34+BK64+BK73+BK82+BK91+BK100+BK103)</f>
        <v>7760976</v>
      </c>
      <c r="BL106" s="619">
        <f t="shared" si="67"/>
        <v>-5.9</v>
      </c>
      <c r="BM106" s="641">
        <f>SUM(BM34+BM64+BM73+BM82+BM91+BM100+BM103)</f>
        <v>944210</v>
      </c>
      <c r="BN106" s="641">
        <f>SUM(BN34+BN64+BN73+BN82+BN91+BN100+BN103)</f>
        <v>1005863</v>
      </c>
      <c r="BO106" s="619">
        <f t="shared" si="68"/>
        <v>6.5</v>
      </c>
      <c r="BP106" s="641">
        <f>SUM(BP34+BP64+BP73+BP82+BP91+BP100+BP103)</f>
        <v>9190391</v>
      </c>
      <c r="BQ106" s="641">
        <f>SUM(BQ34+BQ64+BQ73+BQ82+BQ91+BQ100+BQ103)</f>
        <v>8766839</v>
      </c>
      <c r="BR106" s="619">
        <f t="shared" si="69"/>
        <v>-4.5999999999999996</v>
      </c>
      <c r="BS106" s="641">
        <f>SUM(BS34+BS64+BS73+BS82+BS91+BS100+BS103)</f>
        <v>860559</v>
      </c>
      <c r="BT106" s="641">
        <f>SUM(BT34+BT64+BT73+BT82+BT91+BT100+BT103)</f>
        <v>1087687</v>
      </c>
      <c r="BU106" s="619">
        <f t="shared" si="70"/>
        <v>26.4</v>
      </c>
      <c r="BV106" s="641">
        <f>SUM(BV34+BV64+BV73+BV82+BV91+BV100+BV103)</f>
        <v>10050950</v>
      </c>
      <c r="BW106" s="641">
        <f>SUM(BW34+BW64+BW73+BW82+BW91+BW100+BW103)</f>
        <v>9854526</v>
      </c>
      <c r="BX106" s="619">
        <f t="shared" si="71"/>
        <v>-2</v>
      </c>
    </row>
    <row r="107" spans="1:76" ht="22.5" customHeight="1">
      <c r="A107" s="1097"/>
      <c r="B107" s="1097"/>
      <c r="C107" s="1097"/>
      <c r="D107" s="371" t="s">
        <v>15</v>
      </c>
      <c r="E107" s="456">
        <f t="shared" ref="E107:L107" si="95">E106/E105*1000</f>
        <v>5133.500516681238</v>
      </c>
      <c r="F107" s="456">
        <f t="shared" si="95"/>
        <v>4516.2742349814534</v>
      </c>
      <c r="G107" s="456">
        <f t="shared" si="95"/>
        <v>4500.879643314378</v>
      </c>
      <c r="H107" s="456">
        <f t="shared" si="95"/>
        <v>4448.5858983274165</v>
      </c>
      <c r="I107" s="456">
        <f t="shared" si="95"/>
        <v>3871.2033045525573</v>
      </c>
      <c r="J107" s="456">
        <f t="shared" si="95"/>
        <v>3426.5469038682763</v>
      </c>
      <c r="K107" s="211">
        <f t="shared" si="95"/>
        <v>4131.3386309105854</v>
      </c>
      <c r="L107" s="187">
        <f t="shared" si="95"/>
        <v>4325.3390086444797</v>
      </c>
      <c r="M107" s="445">
        <f>M106/M105*1000</f>
        <v>3912.4693170289688</v>
      </c>
      <c r="N107" s="315">
        <f>N106/N105*1000</f>
        <v>3676.2994028208541</v>
      </c>
      <c r="O107" s="315">
        <f>O106/O105*1000</f>
        <v>3753.3143144822957</v>
      </c>
      <c r="P107" s="199">
        <f t="shared" si="51"/>
        <v>2.1</v>
      </c>
      <c r="Q107" s="315">
        <f>Q106/Q105*1000</f>
        <v>4054.045566150859</v>
      </c>
      <c r="R107" s="315">
        <f>R106/R105*1000</f>
        <v>3785.8564936746152</v>
      </c>
      <c r="S107" s="199">
        <f t="shared" si="52"/>
        <v>-6.6</v>
      </c>
      <c r="T107" s="315">
        <f>T106/T105*1000</f>
        <v>3848.5017418579532</v>
      </c>
      <c r="U107" s="315">
        <f>U106/U105*1000</f>
        <v>3769.2865546789244</v>
      </c>
      <c r="V107" s="199">
        <f t="shared" si="53"/>
        <v>-2.1</v>
      </c>
      <c r="W107" s="315">
        <f>W106/W105*1000</f>
        <v>4121.2824545827389</v>
      </c>
      <c r="X107" s="315">
        <f>X106/X105*1000</f>
        <v>3561.2227013005222</v>
      </c>
      <c r="Y107" s="199">
        <f t="shared" si="54"/>
        <v>-13.6</v>
      </c>
      <c r="Z107" s="315">
        <f>Z106/Z105*1000</f>
        <v>3937.1347319989045</v>
      </c>
      <c r="AA107" s="315">
        <f>AA106/AA105*1000</f>
        <v>3694.3822020803127</v>
      </c>
      <c r="AB107" s="199">
        <f t="shared" si="55"/>
        <v>-6.2</v>
      </c>
      <c r="AC107" s="315">
        <f>AC106/AC105*1000</f>
        <v>4078.0122318978079</v>
      </c>
      <c r="AD107" s="315">
        <f>AD106/AD105*1000</f>
        <v>3491.5719478985247</v>
      </c>
      <c r="AE107" s="199">
        <f t="shared" si="56"/>
        <v>-14.4</v>
      </c>
      <c r="AF107" s="315">
        <f>AF106/AF105*1000</f>
        <v>3973.3284149063161</v>
      </c>
      <c r="AG107" s="315">
        <f>AG106/AG105*1000</f>
        <v>3644.8852825668719</v>
      </c>
      <c r="AH107" s="199">
        <f t="shared" si="57"/>
        <v>-8.3000000000000007</v>
      </c>
      <c r="AI107" s="315">
        <f>AI106/AI105*1000</f>
        <v>4039.4791290977769</v>
      </c>
      <c r="AJ107" s="315">
        <f>AJ106/AJ105*1000</f>
        <v>3362.7513247575625</v>
      </c>
      <c r="AK107" s="199">
        <f t="shared" si="58"/>
        <v>-16.8</v>
      </c>
      <c r="AL107" s="315">
        <f>AL106/AL105*1000</f>
        <v>3988.0649324508331</v>
      </c>
      <c r="AM107" s="315">
        <f>AM106/AM105*1000</f>
        <v>3593.3209573565887</v>
      </c>
      <c r="AN107" s="199">
        <f t="shared" si="59"/>
        <v>-9.9</v>
      </c>
      <c r="AO107" s="602">
        <f>AO106/AO105*1000</f>
        <v>3458.9672116570464</v>
      </c>
      <c r="AP107" s="602">
        <f>AP106/AP105*1000</f>
        <v>3434.3402413375984</v>
      </c>
      <c r="AQ107" s="592">
        <f t="shared" si="60"/>
        <v>-0.7</v>
      </c>
      <c r="AR107" s="630">
        <f>AR106/AR105*1000</f>
        <v>3893.0958317401742</v>
      </c>
      <c r="AS107" s="630">
        <f>AS106/AS105*1000</f>
        <v>3566.2164570351124</v>
      </c>
      <c r="AT107" s="592">
        <f t="shared" si="61"/>
        <v>-8.4</v>
      </c>
      <c r="AU107" s="630">
        <f>AU106/AU105*1000</f>
        <v>4087.0269589426639</v>
      </c>
      <c r="AV107" s="630">
        <f>AV106/AV105*1000</f>
        <v>3594.062682133524</v>
      </c>
      <c r="AW107" s="620">
        <f t="shared" si="62"/>
        <v>-12.1</v>
      </c>
      <c r="AX107" s="630">
        <f>AX106/AX105*1000</f>
        <v>3919.8119303821704</v>
      </c>
      <c r="AY107" s="630">
        <f>AY106/AY105*1000</f>
        <v>3570.6841184778168</v>
      </c>
      <c r="AZ107" s="620">
        <f t="shared" si="63"/>
        <v>-8.9</v>
      </c>
      <c r="BA107" s="630">
        <f>BA106/BA105*1000</f>
        <v>3875.2681376781284</v>
      </c>
      <c r="BB107" s="630">
        <f>BB106/BB105*1000</f>
        <v>3725.0274967995529</v>
      </c>
      <c r="BC107" s="620">
        <f t="shared" si="64"/>
        <v>-3.9</v>
      </c>
      <c r="BD107" s="630">
        <f>BD106/BD105*1000</f>
        <v>3914.5329573827767</v>
      </c>
      <c r="BE107" s="630">
        <f>BE106/BE105*1000</f>
        <v>3588.9024213102116</v>
      </c>
      <c r="BF107" s="620">
        <f t="shared" si="65"/>
        <v>-8.3000000000000007</v>
      </c>
      <c r="BG107" s="630">
        <f>BG106/BG105*1000</f>
        <v>3972.4231660827113</v>
      </c>
      <c r="BH107" s="630">
        <f>BH106/BH105*1000</f>
        <v>3954.0550218748544</v>
      </c>
      <c r="BI107" s="620">
        <f t="shared" si="66"/>
        <v>-0.5</v>
      </c>
      <c r="BJ107" s="630">
        <f>BJ106/BJ105*1000</f>
        <v>3920.2433863389692</v>
      </c>
      <c r="BK107" s="630">
        <f>BK106/BK105*1000</f>
        <v>3632.8153633786178</v>
      </c>
      <c r="BL107" s="620">
        <f t="shared" si="67"/>
        <v>-7.3</v>
      </c>
      <c r="BM107" s="630">
        <f>BM106/BM105*1000</f>
        <v>3920.275022524112</v>
      </c>
      <c r="BN107" s="630">
        <f>BN106/BN105*1000</f>
        <v>4068.3009496691529</v>
      </c>
      <c r="BO107" s="620">
        <f t="shared" si="68"/>
        <v>3.8</v>
      </c>
      <c r="BP107" s="630">
        <f>BP106/BP105*1000</f>
        <v>3920.2466365800183</v>
      </c>
      <c r="BQ107" s="630">
        <f>BQ106/BQ105*1000</f>
        <v>3677.9870926167468</v>
      </c>
      <c r="BR107" s="620">
        <f t="shared" si="69"/>
        <v>-6.2</v>
      </c>
      <c r="BS107" s="630">
        <f>BS106/BS105*1000</f>
        <v>3970.4485999418662</v>
      </c>
      <c r="BT107" s="630">
        <f>BT106/BT105*1000</f>
        <v>4099.5134195936243</v>
      </c>
      <c r="BU107" s="620">
        <f t="shared" si="70"/>
        <v>3.3</v>
      </c>
      <c r="BV107" s="630">
        <f>BV106/BV105*1000</f>
        <v>3924.4951643466175</v>
      </c>
      <c r="BW107" s="630">
        <f>BW106/BW105*1000</f>
        <v>3720.2080245594616</v>
      </c>
      <c r="BX107" s="620">
        <f t="shared" si="71"/>
        <v>-5.2</v>
      </c>
    </row>
  </sheetData>
  <mergeCells count="116">
    <mergeCell ref="BT3:BU3"/>
    <mergeCell ref="BS4:BU4"/>
    <mergeCell ref="BV4:BX4"/>
    <mergeCell ref="A1:BX1"/>
    <mergeCell ref="BN3:BO3"/>
    <mergeCell ref="BM4:BO4"/>
    <mergeCell ref="BP4:BR4"/>
    <mergeCell ref="BH3:BI3"/>
    <mergeCell ref="BG4:BI4"/>
    <mergeCell ref="BJ4:BL4"/>
    <mergeCell ref="BB3:BC3"/>
    <mergeCell ref="BA4:BC4"/>
    <mergeCell ref="BD4:BF4"/>
    <mergeCell ref="AP3:AQ3"/>
    <mergeCell ref="AO4:AQ4"/>
    <mergeCell ref="AR4:AT4"/>
    <mergeCell ref="AD3:AE3"/>
    <mergeCell ref="AC4:AE4"/>
    <mergeCell ref="AF4:AH4"/>
    <mergeCell ref="R3:S3"/>
    <mergeCell ref="Q4:S4"/>
    <mergeCell ref="T4:V4"/>
    <mergeCell ref="X3:Y3"/>
    <mergeCell ref="W4:Y4"/>
    <mergeCell ref="Z4:AB4"/>
    <mergeCell ref="AL4:AN4"/>
    <mergeCell ref="AV3:AW3"/>
    <mergeCell ref="AU4:AW4"/>
    <mergeCell ref="AX4:AZ4"/>
    <mergeCell ref="A6:A7"/>
    <mergeCell ref="B6:B8"/>
    <mergeCell ref="C6:C8"/>
    <mergeCell ref="N4:P4"/>
    <mergeCell ref="A4:D5"/>
    <mergeCell ref="M4:M5"/>
    <mergeCell ref="L4:L5"/>
    <mergeCell ref="B12:B14"/>
    <mergeCell ref="C12:C14"/>
    <mergeCell ref="J4:J5"/>
    <mergeCell ref="K4:K5"/>
    <mergeCell ref="E4:E5"/>
    <mergeCell ref="F4:F5"/>
    <mergeCell ref="I4:I5"/>
    <mergeCell ref="B9:B11"/>
    <mergeCell ref="C9:C11"/>
    <mergeCell ref="G4:G5"/>
    <mergeCell ref="H4:H5"/>
    <mergeCell ref="A105:C107"/>
    <mergeCell ref="B96:B98"/>
    <mergeCell ref="C96:C98"/>
    <mergeCell ref="B99:B101"/>
    <mergeCell ref="C99:C101"/>
    <mergeCell ref="A102:A104"/>
    <mergeCell ref="B102:B104"/>
    <mergeCell ref="C102:C104"/>
    <mergeCell ref="AJ3:AK3"/>
    <mergeCell ref="AI4:AK4"/>
    <mergeCell ref="A75:A76"/>
    <mergeCell ref="B75:B77"/>
    <mergeCell ref="C75:C77"/>
    <mergeCell ref="B66:B68"/>
    <mergeCell ref="C66:C68"/>
    <mergeCell ref="B51:B53"/>
    <mergeCell ref="C51:C53"/>
    <mergeCell ref="B54:B56"/>
    <mergeCell ref="C54:C56"/>
    <mergeCell ref="B57:B59"/>
    <mergeCell ref="C57:C59"/>
    <mergeCell ref="B33:B35"/>
    <mergeCell ref="C33:C35"/>
    <mergeCell ref="A36:A37"/>
    <mergeCell ref="B81:B83"/>
    <mergeCell ref="C81:C83"/>
    <mergeCell ref="B69:B71"/>
    <mergeCell ref="B39:B41"/>
    <mergeCell ref="C39:C41"/>
    <mergeCell ref="B60:B62"/>
    <mergeCell ref="C60:C62"/>
    <mergeCell ref="B63:B65"/>
    <mergeCell ref="A93:A94"/>
    <mergeCell ref="B93:B95"/>
    <mergeCell ref="C93:C95"/>
    <mergeCell ref="A84:A85"/>
    <mergeCell ref="B84:B86"/>
    <mergeCell ref="C84:C86"/>
    <mergeCell ref="B87:B89"/>
    <mergeCell ref="C87:C89"/>
    <mergeCell ref="B90:B92"/>
    <mergeCell ref="C90:C92"/>
    <mergeCell ref="C63:C65"/>
    <mergeCell ref="B42:B44"/>
    <mergeCell ref="C42:C44"/>
    <mergeCell ref="B45:B47"/>
    <mergeCell ref="C45:C47"/>
    <mergeCell ref="B48:B50"/>
    <mergeCell ref="B78:B80"/>
    <mergeCell ref="A66:A67"/>
    <mergeCell ref="B36:B38"/>
    <mergeCell ref="C36:C38"/>
    <mergeCell ref="C78:C80"/>
    <mergeCell ref="C48:C50"/>
    <mergeCell ref="C69:C71"/>
    <mergeCell ref="B72:B74"/>
    <mergeCell ref="C72:C74"/>
    <mergeCell ref="B24:B26"/>
    <mergeCell ref="C24:C26"/>
    <mergeCell ref="B27:B29"/>
    <mergeCell ref="C27:C29"/>
    <mergeCell ref="B30:B32"/>
    <mergeCell ref="C30:C32"/>
    <mergeCell ref="B15:B17"/>
    <mergeCell ref="C15:C17"/>
    <mergeCell ref="B18:B20"/>
    <mergeCell ref="C18:C20"/>
    <mergeCell ref="B21:B23"/>
    <mergeCell ref="C21:C23"/>
  </mergeCells>
  <phoneticPr fontId="2" type="noConversion"/>
  <printOptions horizontalCentered="1"/>
  <pageMargins left="0.11811023622047245" right="0.11811023622047245" top="0.74803149606299213" bottom="0.74803149606299213" header="0.31496062992125984" footer="0.31496062992125984"/>
  <pageSetup paperSize="9" scale="90" orientation="portrait" r:id="rId1"/>
  <rowBreaks count="3" manualBreakCount="3">
    <brk id="35" max="16383" man="1"/>
    <brk id="65" max="16383" man="1"/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7"/>
  <sheetViews>
    <sheetView workbookViewId="0">
      <pane xSplit="12" ySplit="5" topLeftCell="N27" activePane="bottomRight" state="frozen"/>
      <selection pane="topRight" activeCell="X1" sqref="X1"/>
      <selection pane="bottomLeft" activeCell="A6" sqref="A6"/>
      <selection pane="bottomRight" sqref="A1:BX1"/>
    </sheetView>
  </sheetViews>
  <sheetFormatPr defaultRowHeight="16.5"/>
  <cols>
    <col min="1" max="3" width="9.875" customWidth="1"/>
    <col min="4" max="4" width="5.875" customWidth="1"/>
    <col min="5" max="10" width="12.125" hidden="1" customWidth="1"/>
    <col min="11" max="11" width="12.625" hidden="1" customWidth="1"/>
    <col min="12" max="12" width="12.625" style="175" hidden="1" customWidth="1"/>
    <col min="13" max="13" width="12.625" style="373" hidden="1" customWidth="1"/>
    <col min="14" max="15" width="11.625" style="320" hidden="1" customWidth="1"/>
    <col min="16" max="16" width="8.625" hidden="1" customWidth="1"/>
    <col min="17" max="18" width="11.625" style="319" hidden="1" customWidth="1"/>
    <col min="19" max="19" width="8.625" style="291" hidden="1" customWidth="1"/>
    <col min="20" max="21" width="11.625" style="319" hidden="1" customWidth="1"/>
    <col min="22" max="22" width="8.625" style="291" hidden="1" customWidth="1"/>
    <col min="23" max="24" width="11.625" style="319" hidden="1" customWidth="1"/>
    <col min="25" max="25" width="8.625" style="291" hidden="1" customWidth="1"/>
    <col min="26" max="27" width="11.625" style="319" hidden="1" customWidth="1"/>
    <col min="28" max="28" width="8.625" style="291" hidden="1" customWidth="1"/>
    <col min="29" max="30" width="11.625" style="319" hidden="1" customWidth="1"/>
    <col min="31" max="31" width="8.625" style="291" hidden="1" customWidth="1"/>
    <col min="32" max="33" width="11.625" style="319" hidden="1" customWidth="1"/>
    <col min="34" max="34" width="8.625" style="291" hidden="1" customWidth="1"/>
    <col min="35" max="36" width="11.625" style="319" hidden="1" customWidth="1"/>
    <col min="37" max="37" width="8.625" style="291" hidden="1" customWidth="1"/>
    <col min="38" max="39" width="11.625" style="319" hidden="1" customWidth="1"/>
    <col min="40" max="40" width="8.625" style="291" hidden="1" customWidth="1"/>
    <col min="41" max="42" width="11.625" style="632" hidden="1" customWidth="1"/>
    <col min="43" max="43" width="8.625" style="613" hidden="1" customWidth="1"/>
    <col min="44" max="45" width="11.625" style="632" hidden="1" customWidth="1"/>
    <col min="46" max="46" width="8.625" style="613" hidden="1" customWidth="1"/>
    <col min="47" max="48" width="11.625" style="632" hidden="1" customWidth="1"/>
    <col min="49" max="49" width="8.625" style="846" hidden="1" customWidth="1"/>
    <col min="50" max="51" width="11.625" style="632" hidden="1" customWidth="1"/>
    <col min="52" max="52" width="8.625" style="846" hidden="1" customWidth="1"/>
    <col min="53" max="54" width="11.625" style="632" hidden="1" customWidth="1"/>
    <col min="55" max="55" width="8.625" style="846" hidden="1" customWidth="1"/>
    <col min="56" max="57" width="11.625" style="632" hidden="1" customWidth="1"/>
    <col min="58" max="58" width="8.625" style="846" hidden="1" customWidth="1"/>
    <col min="59" max="60" width="11.625" style="632" hidden="1" customWidth="1"/>
    <col min="61" max="61" width="8.625" style="846" hidden="1" customWidth="1"/>
    <col min="62" max="63" width="11.625" style="632" hidden="1" customWidth="1"/>
    <col min="64" max="64" width="8.625" style="846" hidden="1" customWidth="1"/>
    <col min="65" max="66" width="11.625" style="632" hidden="1" customWidth="1"/>
    <col min="67" max="67" width="8.625" style="846" hidden="1" customWidth="1"/>
    <col min="68" max="69" width="11.625" style="632" hidden="1" customWidth="1"/>
    <col min="70" max="70" width="8.625" style="846" hidden="1" customWidth="1"/>
    <col min="71" max="72" width="11.625" style="632" customWidth="1"/>
    <col min="73" max="73" width="8.625" style="846" customWidth="1"/>
    <col min="74" max="75" width="11.625" style="632" customWidth="1"/>
    <col min="76" max="76" width="8.625" style="846" customWidth="1"/>
  </cols>
  <sheetData>
    <row r="1" spans="1:76" ht="22.5">
      <c r="A1" s="1095" t="s">
        <v>718</v>
      </c>
      <c r="B1" s="1095"/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  <c r="AA1" s="1095"/>
      <c r="AB1" s="1095"/>
      <c r="AC1" s="1095"/>
      <c r="AD1" s="1095"/>
      <c r="AE1" s="1095"/>
      <c r="AF1" s="1095"/>
      <c r="AG1" s="1095"/>
      <c r="AH1" s="1095"/>
      <c r="AI1" s="1095"/>
      <c r="AJ1" s="1095"/>
      <c r="AK1" s="1095"/>
      <c r="AL1" s="1095"/>
      <c r="AM1" s="1095"/>
      <c r="AN1" s="1095"/>
      <c r="AO1" s="1095"/>
      <c r="AP1" s="1095"/>
      <c r="AQ1" s="1095"/>
      <c r="AR1" s="1095"/>
      <c r="AS1" s="1095"/>
      <c r="AT1" s="1095"/>
      <c r="AU1" s="1095"/>
      <c r="AV1" s="1095"/>
      <c r="AW1" s="1095"/>
      <c r="AX1" s="1095"/>
      <c r="AY1" s="1095"/>
      <c r="AZ1" s="1095"/>
      <c r="BA1" s="1095"/>
      <c r="BB1" s="1095"/>
      <c r="BC1" s="1095"/>
      <c r="BD1" s="1095"/>
      <c r="BE1" s="1095"/>
      <c r="BF1" s="1095"/>
      <c r="BG1" s="1095"/>
      <c r="BH1" s="1095"/>
      <c r="BI1" s="1095"/>
      <c r="BJ1" s="1095"/>
      <c r="BK1" s="1095"/>
      <c r="BL1" s="1095"/>
      <c r="BM1" s="1095"/>
      <c r="BN1" s="1095"/>
      <c r="BO1" s="1095"/>
      <c r="BP1" s="1095"/>
      <c r="BQ1" s="1095"/>
      <c r="BR1" s="1095"/>
      <c r="BS1" s="1095"/>
      <c r="BT1" s="1095"/>
      <c r="BU1" s="1095"/>
      <c r="BV1" s="1095"/>
      <c r="BW1" s="1095"/>
      <c r="BX1" s="1095"/>
    </row>
    <row r="3" spans="1:7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92"/>
      <c r="M3" s="292"/>
      <c r="N3" s="292"/>
      <c r="O3" s="292"/>
      <c r="P3" s="470" t="s">
        <v>0</v>
      </c>
      <c r="Q3" s="490"/>
      <c r="R3" s="1113"/>
      <c r="S3" s="1113"/>
      <c r="T3" s="293"/>
      <c r="V3" s="470" t="s">
        <v>0</v>
      </c>
      <c r="W3" s="490"/>
      <c r="X3" s="1113"/>
      <c r="Y3" s="1113"/>
      <c r="Z3" s="293"/>
      <c r="AB3" s="502" t="s">
        <v>0</v>
      </c>
      <c r="AC3" s="490"/>
      <c r="AD3" s="1113"/>
      <c r="AE3" s="1113"/>
      <c r="AF3" s="293"/>
      <c r="AH3" s="514" t="s">
        <v>0</v>
      </c>
      <c r="AI3" s="490"/>
      <c r="AJ3" s="1113"/>
      <c r="AK3" s="1113"/>
      <c r="AL3" s="293"/>
      <c r="AN3" s="539" t="s">
        <v>0</v>
      </c>
      <c r="AO3" s="637"/>
      <c r="AP3" s="1113"/>
      <c r="AQ3" s="1113"/>
      <c r="AR3" s="556"/>
      <c r="AT3" s="635" t="s">
        <v>0</v>
      </c>
      <c r="AU3" s="637"/>
      <c r="AV3" s="1113"/>
      <c r="AW3" s="1113"/>
      <c r="AX3" s="556"/>
      <c r="AZ3" s="918" t="s">
        <v>0</v>
      </c>
      <c r="BA3" s="637"/>
      <c r="BB3" s="1113"/>
      <c r="BC3" s="1113"/>
      <c r="BD3" s="556"/>
      <c r="BF3" s="1031" t="s">
        <v>0</v>
      </c>
      <c r="BG3" s="637"/>
      <c r="BH3" s="1113"/>
      <c r="BI3" s="1113"/>
      <c r="BJ3" s="556"/>
      <c r="BL3" s="1043" t="s">
        <v>0</v>
      </c>
      <c r="BM3" s="637"/>
      <c r="BN3" s="1113"/>
      <c r="BO3" s="1113"/>
      <c r="BP3" s="556"/>
      <c r="BR3" s="1058" t="s">
        <v>0</v>
      </c>
      <c r="BS3" s="637"/>
      <c r="BT3" s="1113"/>
      <c r="BU3" s="1113"/>
      <c r="BV3" s="556"/>
      <c r="BX3" s="1075" t="s">
        <v>0</v>
      </c>
    </row>
    <row r="4" spans="1:76" ht="17.25" customHeight="1">
      <c r="A4" s="1082" t="s">
        <v>1</v>
      </c>
      <c r="B4" s="1082"/>
      <c r="C4" s="1082"/>
      <c r="D4" s="1082"/>
      <c r="E4" s="1082" t="s">
        <v>2</v>
      </c>
      <c r="F4" s="1082" t="s">
        <v>3</v>
      </c>
      <c r="G4" s="1082" t="s">
        <v>4</v>
      </c>
      <c r="H4" s="1082" t="s">
        <v>5</v>
      </c>
      <c r="I4" s="1082" t="s">
        <v>6</v>
      </c>
      <c r="J4" s="1082" t="s">
        <v>7</v>
      </c>
      <c r="K4" s="1082" t="s">
        <v>8</v>
      </c>
      <c r="L4" s="1082" t="s">
        <v>83</v>
      </c>
      <c r="M4" s="1082" t="s">
        <v>315</v>
      </c>
      <c r="N4" s="1082" t="s">
        <v>40</v>
      </c>
      <c r="O4" s="1082"/>
      <c r="P4" s="1082"/>
      <c r="Q4" s="1082" t="s">
        <v>489</v>
      </c>
      <c r="R4" s="1082"/>
      <c r="S4" s="1082"/>
      <c r="T4" s="1082" t="s">
        <v>490</v>
      </c>
      <c r="U4" s="1082"/>
      <c r="V4" s="1082"/>
      <c r="W4" s="1082" t="s">
        <v>515</v>
      </c>
      <c r="X4" s="1082"/>
      <c r="Y4" s="1082"/>
      <c r="Z4" s="1082" t="s">
        <v>516</v>
      </c>
      <c r="AA4" s="1082"/>
      <c r="AB4" s="1082"/>
      <c r="AC4" s="1082" t="s">
        <v>535</v>
      </c>
      <c r="AD4" s="1082"/>
      <c r="AE4" s="1082"/>
      <c r="AF4" s="1082" t="s">
        <v>536</v>
      </c>
      <c r="AG4" s="1082"/>
      <c r="AH4" s="1082"/>
      <c r="AI4" s="1082" t="s">
        <v>552</v>
      </c>
      <c r="AJ4" s="1082"/>
      <c r="AK4" s="1082"/>
      <c r="AL4" s="1082" t="s">
        <v>553</v>
      </c>
      <c r="AM4" s="1082"/>
      <c r="AN4" s="1082"/>
      <c r="AO4" s="1082" t="s">
        <v>586</v>
      </c>
      <c r="AP4" s="1082"/>
      <c r="AQ4" s="1082"/>
      <c r="AR4" s="1082" t="s">
        <v>587</v>
      </c>
      <c r="AS4" s="1082"/>
      <c r="AT4" s="1082"/>
      <c r="AU4" s="1082" t="s">
        <v>604</v>
      </c>
      <c r="AV4" s="1082"/>
      <c r="AW4" s="1082"/>
      <c r="AX4" s="1082" t="s">
        <v>606</v>
      </c>
      <c r="AY4" s="1082"/>
      <c r="AZ4" s="1082"/>
      <c r="BA4" s="1082" t="s">
        <v>627</v>
      </c>
      <c r="BB4" s="1082"/>
      <c r="BC4" s="1082"/>
      <c r="BD4" s="1082" t="s">
        <v>629</v>
      </c>
      <c r="BE4" s="1082"/>
      <c r="BF4" s="1082"/>
      <c r="BG4" s="1082" t="s">
        <v>650</v>
      </c>
      <c r="BH4" s="1082"/>
      <c r="BI4" s="1082"/>
      <c r="BJ4" s="1082" t="s">
        <v>651</v>
      </c>
      <c r="BK4" s="1082"/>
      <c r="BL4" s="1082"/>
      <c r="BM4" s="1082" t="s">
        <v>676</v>
      </c>
      <c r="BN4" s="1082"/>
      <c r="BO4" s="1082"/>
      <c r="BP4" s="1082" t="s">
        <v>677</v>
      </c>
      <c r="BQ4" s="1082"/>
      <c r="BR4" s="1082"/>
      <c r="BS4" s="1082" t="s">
        <v>712</v>
      </c>
      <c r="BT4" s="1082"/>
      <c r="BU4" s="1082"/>
      <c r="BV4" s="1082" t="s">
        <v>711</v>
      </c>
      <c r="BW4" s="1082"/>
      <c r="BX4" s="1082"/>
    </row>
    <row r="5" spans="1:76" ht="17.25" customHeight="1" thickBot="1">
      <c r="A5" s="1083"/>
      <c r="B5" s="1083"/>
      <c r="C5" s="1083"/>
      <c r="D5" s="1083"/>
      <c r="E5" s="1083"/>
      <c r="F5" s="1083"/>
      <c r="G5" s="1083"/>
      <c r="H5" s="1083"/>
      <c r="I5" s="1083"/>
      <c r="J5" s="1083"/>
      <c r="K5" s="1083"/>
      <c r="L5" s="1083"/>
      <c r="M5" s="1083"/>
      <c r="N5" s="411" t="s">
        <v>314</v>
      </c>
      <c r="O5" s="411" t="s">
        <v>444</v>
      </c>
      <c r="P5" s="363" t="s">
        <v>10</v>
      </c>
      <c r="Q5" s="471" t="s">
        <v>314</v>
      </c>
      <c r="R5" s="471" t="s">
        <v>444</v>
      </c>
      <c r="S5" s="468" t="s">
        <v>10</v>
      </c>
      <c r="T5" s="493" t="s">
        <v>314</v>
      </c>
      <c r="U5" s="493" t="s">
        <v>444</v>
      </c>
      <c r="V5" s="468" t="s">
        <v>10</v>
      </c>
      <c r="W5" s="501" t="s">
        <v>314</v>
      </c>
      <c r="X5" s="501" t="s">
        <v>444</v>
      </c>
      <c r="Y5" s="498" t="s">
        <v>10</v>
      </c>
      <c r="Z5" s="507" t="s">
        <v>314</v>
      </c>
      <c r="AA5" s="507" t="s">
        <v>444</v>
      </c>
      <c r="AB5" s="498" t="s">
        <v>10</v>
      </c>
      <c r="AC5" s="515" t="s">
        <v>314</v>
      </c>
      <c r="AD5" s="515" t="s">
        <v>444</v>
      </c>
      <c r="AE5" s="513" t="s">
        <v>10</v>
      </c>
      <c r="AF5" s="530" t="s">
        <v>314</v>
      </c>
      <c r="AG5" s="530" t="s">
        <v>444</v>
      </c>
      <c r="AH5" s="513" t="s">
        <v>10</v>
      </c>
      <c r="AI5" s="538" t="s">
        <v>314</v>
      </c>
      <c r="AJ5" s="538" t="s">
        <v>554</v>
      </c>
      <c r="AK5" s="534" t="s">
        <v>10</v>
      </c>
      <c r="AL5" s="538" t="s">
        <v>314</v>
      </c>
      <c r="AM5" s="538" t="s">
        <v>554</v>
      </c>
      <c r="AN5" s="534" t="s">
        <v>10</v>
      </c>
      <c r="AO5" s="634" t="s">
        <v>314</v>
      </c>
      <c r="AP5" s="634" t="s">
        <v>444</v>
      </c>
      <c r="AQ5" s="633" t="s">
        <v>10</v>
      </c>
      <c r="AR5" s="910" t="s">
        <v>314</v>
      </c>
      <c r="AS5" s="910" t="s">
        <v>444</v>
      </c>
      <c r="AT5" s="633" t="s">
        <v>10</v>
      </c>
      <c r="AU5" s="919" t="s">
        <v>314</v>
      </c>
      <c r="AV5" s="919" t="s">
        <v>444</v>
      </c>
      <c r="AW5" s="917" t="s">
        <v>10</v>
      </c>
      <c r="AX5" s="919" t="s">
        <v>314</v>
      </c>
      <c r="AY5" s="919" t="s">
        <v>444</v>
      </c>
      <c r="AZ5" s="917" t="s">
        <v>10</v>
      </c>
      <c r="BA5" s="1032" t="s">
        <v>314</v>
      </c>
      <c r="BB5" s="1032" t="s">
        <v>444</v>
      </c>
      <c r="BC5" s="1029" t="s">
        <v>10</v>
      </c>
      <c r="BD5" s="1032" t="s">
        <v>314</v>
      </c>
      <c r="BE5" s="1032" t="s">
        <v>444</v>
      </c>
      <c r="BF5" s="1029" t="s">
        <v>10</v>
      </c>
      <c r="BG5" s="1044" t="s">
        <v>314</v>
      </c>
      <c r="BH5" s="1044" t="s">
        <v>511</v>
      </c>
      <c r="BI5" s="1042" t="s">
        <v>10</v>
      </c>
      <c r="BJ5" s="1044" t="s">
        <v>314</v>
      </c>
      <c r="BK5" s="1044" t="s">
        <v>511</v>
      </c>
      <c r="BL5" s="1042" t="s">
        <v>10</v>
      </c>
      <c r="BM5" s="1059" t="s">
        <v>678</v>
      </c>
      <c r="BN5" s="1059" t="s">
        <v>511</v>
      </c>
      <c r="BO5" s="1057" t="s">
        <v>10</v>
      </c>
      <c r="BP5" s="1059" t="s">
        <v>678</v>
      </c>
      <c r="BQ5" s="1059" t="s">
        <v>511</v>
      </c>
      <c r="BR5" s="1057" t="s">
        <v>10</v>
      </c>
      <c r="BS5" s="1076" t="s">
        <v>314</v>
      </c>
      <c r="BT5" s="1076" t="s">
        <v>716</v>
      </c>
      <c r="BU5" s="1074" t="s">
        <v>10</v>
      </c>
      <c r="BV5" s="1076" t="s">
        <v>314</v>
      </c>
      <c r="BW5" s="1076" t="s">
        <v>717</v>
      </c>
      <c r="BX5" s="1074" t="s">
        <v>10</v>
      </c>
    </row>
    <row r="6" spans="1:76" ht="22.5" customHeight="1">
      <c r="A6" s="1101" t="s">
        <v>11</v>
      </c>
      <c r="B6" s="1117" t="s">
        <v>12</v>
      </c>
      <c r="C6" s="1118" t="s">
        <v>318</v>
      </c>
      <c r="D6" s="368" t="s">
        <v>13</v>
      </c>
      <c r="E6" s="23">
        <v>316113</v>
      </c>
      <c r="F6" s="23">
        <v>282586</v>
      </c>
      <c r="G6" s="23">
        <v>284634</v>
      </c>
      <c r="H6" s="23">
        <v>331682</v>
      </c>
      <c r="I6" s="23">
        <v>359833</v>
      </c>
      <c r="J6" s="23">
        <v>379515</v>
      </c>
      <c r="K6" s="23">
        <v>308946</v>
      </c>
      <c r="L6" s="190">
        <v>262628</v>
      </c>
      <c r="M6" s="440">
        <v>229099</v>
      </c>
      <c r="N6" s="308">
        <v>24934</v>
      </c>
      <c r="O6" s="308">
        <v>16249</v>
      </c>
      <c r="P6" s="192">
        <f>ROUND(((O6/N6-1)*100),1)</f>
        <v>-34.799999999999997</v>
      </c>
      <c r="Q6" s="482">
        <f>T6-N6</f>
        <v>19263</v>
      </c>
      <c r="R6" s="482">
        <f>U6-O6</f>
        <v>16674</v>
      </c>
      <c r="S6" s="201">
        <f>ROUND(((R6/Q6-1)*100),1)</f>
        <v>-13.4</v>
      </c>
      <c r="T6" s="308">
        <v>44197</v>
      </c>
      <c r="U6" s="308">
        <v>32923</v>
      </c>
      <c r="V6" s="201">
        <f>ROUND(((U6/T6-1)*100),1)</f>
        <v>-25.5</v>
      </c>
      <c r="W6" s="482">
        <f>Z6-T6</f>
        <v>22402</v>
      </c>
      <c r="X6" s="482">
        <f>AA6-U6</f>
        <v>20243</v>
      </c>
      <c r="Y6" s="201">
        <f>ROUND(((X6/W6-1)*100),1)</f>
        <v>-9.6</v>
      </c>
      <c r="Z6" s="308">
        <v>66599</v>
      </c>
      <c r="AA6" s="308">
        <v>53166</v>
      </c>
      <c r="AB6" s="201">
        <f>ROUND(((AA6/Z6-1)*100),1)</f>
        <v>-20.2</v>
      </c>
      <c r="AC6" s="482">
        <f>AF6-Z6</f>
        <v>19898</v>
      </c>
      <c r="AD6" s="482">
        <f>AG6-AA6</f>
        <v>21109</v>
      </c>
      <c r="AE6" s="201">
        <f>ROUND(((AD6/AC6-1)*100),1)</f>
        <v>6.1</v>
      </c>
      <c r="AF6" s="308">
        <v>86497</v>
      </c>
      <c r="AG6" s="308">
        <v>74275</v>
      </c>
      <c r="AH6" s="201">
        <f>ROUND(((AG6/AF6-1)*100),1)</f>
        <v>-14.1</v>
      </c>
      <c r="AI6" s="482">
        <f>AL6-AF6</f>
        <v>16050</v>
      </c>
      <c r="AJ6" s="482">
        <f>AM6-AG6</f>
        <v>17997</v>
      </c>
      <c r="AK6" s="201">
        <f>ROUND(((AJ6/AI6-1)*100),1)</f>
        <v>12.1</v>
      </c>
      <c r="AL6" s="308">
        <v>102547</v>
      </c>
      <c r="AM6" s="308">
        <v>92272</v>
      </c>
      <c r="AN6" s="201">
        <f>ROUND(((AM6/AL6-1)*100),1)</f>
        <v>-10</v>
      </c>
      <c r="AO6" s="636">
        <f>AR6-AL6</f>
        <v>19305</v>
      </c>
      <c r="AP6" s="636">
        <f>AS6-AM6</f>
        <v>20103</v>
      </c>
      <c r="AQ6" s="621">
        <f>ROUND(((AP6/AO6-1)*100),1)</f>
        <v>4.0999999999999996</v>
      </c>
      <c r="AR6" s="638">
        <v>121852</v>
      </c>
      <c r="AS6" s="638">
        <v>112375</v>
      </c>
      <c r="AT6" s="621">
        <f>ROUND(((AS6/AR6-1)*100),1)</f>
        <v>-7.8</v>
      </c>
      <c r="AU6" s="636">
        <f>AX6-AR6</f>
        <v>21034</v>
      </c>
      <c r="AV6" s="636">
        <f>AY6-AS6</f>
        <v>17507</v>
      </c>
      <c r="AW6" s="621">
        <f>ROUND(((AV6/AU6-1)*100),1)</f>
        <v>-16.8</v>
      </c>
      <c r="AX6" s="935">
        <v>142886</v>
      </c>
      <c r="AY6" s="935">
        <v>129882</v>
      </c>
      <c r="AZ6" s="621">
        <f>ROUND(((AY6/AX6-1)*100),1)</f>
        <v>-9.1</v>
      </c>
      <c r="BA6" s="636">
        <f>BD6-AX6</f>
        <v>16048</v>
      </c>
      <c r="BB6" s="636">
        <f>BE6-AY6</f>
        <v>15648</v>
      </c>
      <c r="BC6" s="621">
        <f>ROUND(((BB6/BA6-1)*100),1)</f>
        <v>-2.5</v>
      </c>
      <c r="BD6" s="638">
        <v>158934</v>
      </c>
      <c r="BE6" s="638">
        <v>145530</v>
      </c>
      <c r="BF6" s="621">
        <f>ROUND(((BE6/BD6-1)*100),1)</f>
        <v>-8.4</v>
      </c>
      <c r="BG6" s="636">
        <f>BJ6-BD6</f>
        <v>19263</v>
      </c>
      <c r="BH6" s="636">
        <f>BK6-BE6</f>
        <v>16524</v>
      </c>
      <c r="BI6" s="621">
        <f>ROUND(((BH6/BG6-1)*100),1)</f>
        <v>-14.2</v>
      </c>
      <c r="BJ6" s="638">
        <v>178197</v>
      </c>
      <c r="BK6" s="638">
        <v>162054</v>
      </c>
      <c r="BL6" s="621">
        <f>ROUND(((BK6/BJ6-1)*100),1)</f>
        <v>-9.1</v>
      </c>
      <c r="BM6" s="636">
        <f>BP6-BJ6</f>
        <v>17131</v>
      </c>
      <c r="BN6" s="636">
        <f>BQ6-BK6</f>
        <v>21101</v>
      </c>
      <c r="BO6" s="621">
        <f>ROUND(((BN6/BM6-1)*100),1)</f>
        <v>23.2</v>
      </c>
      <c r="BP6" s="638">
        <v>195328</v>
      </c>
      <c r="BQ6" s="638">
        <v>183155</v>
      </c>
      <c r="BR6" s="621">
        <f>ROUND(((BQ6/BP6-1)*100),1)</f>
        <v>-6.2</v>
      </c>
      <c r="BS6" s="636">
        <f>BV6-BP6</f>
        <v>18013</v>
      </c>
      <c r="BT6" s="636">
        <f>BW6-BQ6</f>
        <v>21073</v>
      </c>
      <c r="BU6" s="621">
        <f>ROUND(((BT6/BS6-1)*100),1)</f>
        <v>17</v>
      </c>
      <c r="BV6" s="638">
        <v>213341</v>
      </c>
      <c r="BW6" s="638">
        <v>204228</v>
      </c>
      <c r="BX6" s="621">
        <f>ROUND(((BW6/BV6-1)*100),1)</f>
        <v>-4.3</v>
      </c>
    </row>
    <row r="7" spans="1:76" ht="22.5" customHeight="1">
      <c r="A7" s="1102"/>
      <c r="B7" s="1099"/>
      <c r="C7" s="1100"/>
      <c r="D7" s="366" t="s">
        <v>14</v>
      </c>
      <c r="E7" s="6">
        <v>2861814</v>
      </c>
      <c r="F7" s="6">
        <v>2271340</v>
      </c>
      <c r="G7" s="6">
        <v>2109551</v>
      </c>
      <c r="H7" s="6">
        <v>2320008</v>
      </c>
      <c r="I7" s="6">
        <v>2061376</v>
      </c>
      <c r="J7" s="6">
        <v>1832571</v>
      </c>
      <c r="K7" s="6">
        <v>1885676</v>
      </c>
      <c r="L7" s="180">
        <v>1728700</v>
      </c>
      <c r="M7" s="438">
        <v>1386512</v>
      </c>
      <c r="N7" s="309">
        <v>152368</v>
      </c>
      <c r="O7" s="309">
        <v>98765</v>
      </c>
      <c r="P7" s="193">
        <f t="shared" ref="P7:P70" si="0">ROUND(((O7/N7-1)*100),1)</f>
        <v>-35.200000000000003</v>
      </c>
      <c r="Q7" s="309">
        <f>T7-N7</f>
        <v>118744</v>
      </c>
      <c r="R7" s="309">
        <f>U7-O7</f>
        <v>100974</v>
      </c>
      <c r="S7" s="193">
        <f t="shared" ref="S7:S70" si="1">ROUND(((R7/Q7-1)*100),1)</f>
        <v>-15</v>
      </c>
      <c r="T7" s="309">
        <v>271112</v>
      </c>
      <c r="U7" s="309">
        <v>199739</v>
      </c>
      <c r="V7" s="193">
        <f t="shared" ref="V7:V70" si="2">ROUND(((U7/T7-1)*100),1)</f>
        <v>-26.3</v>
      </c>
      <c r="W7" s="309">
        <f>Z7-T7</f>
        <v>141894</v>
      </c>
      <c r="X7" s="309">
        <f>AA7-U7</f>
        <v>116979</v>
      </c>
      <c r="Y7" s="193">
        <f t="shared" ref="Y7:Y70" si="3">ROUND(((X7/W7-1)*100),1)</f>
        <v>-17.600000000000001</v>
      </c>
      <c r="Z7" s="309">
        <v>413006</v>
      </c>
      <c r="AA7" s="309">
        <v>316718</v>
      </c>
      <c r="AB7" s="193">
        <f t="shared" ref="AB7:AB70" si="4">ROUND(((AA7/Z7-1)*100),1)</f>
        <v>-23.3</v>
      </c>
      <c r="AC7" s="309">
        <f>AF7-Z7</f>
        <v>127749</v>
      </c>
      <c r="AD7" s="309">
        <f>AG7-AA7</f>
        <v>113871</v>
      </c>
      <c r="AE7" s="193">
        <f t="shared" ref="AE7:AE70" si="5">ROUND(((AD7/AC7-1)*100),1)</f>
        <v>-10.9</v>
      </c>
      <c r="AF7" s="309">
        <v>540755</v>
      </c>
      <c r="AG7" s="309">
        <v>430589</v>
      </c>
      <c r="AH7" s="193">
        <f t="shared" ref="AH7:AH70" si="6">ROUND(((AG7/AF7-1)*100),1)</f>
        <v>-20.399999999999999</v>
      </c>
      <c r="AI7" s="309">
        <f>AL7-AF7</f>
        <v>100043</v>
      </c>
      <c r="AJ7" s="309">
        <f>AM7-AG7</f>
        <v>89006</v>
      </c>
      <c r="AK7" s="193">
        <f t="shared" ref="AK7:AK70" si="7">ROUND(((AJ7/AI7-1)*100),1)</f>
        <v>-11</v>
      </c>
      <c r="AL7" s="309">
        <v>640798</v>
      </c>
      <c r="AM7" s="309">
        <v>519595</v>
      </c>
      <c r="AN7" s="193">
        <f t="shared" ref="AN7:AN70" si="8">ROUND(((AM7/AL7-1)*100),1)</f>
        <v>-18.899999999999999</v>
      </c>
      <c r="AO7" s="625">
        <f>AR7-AL7</f>
        <v>117445</v>
      </c>
      <c r="AP7" s="625">
        <f>AS7-AM7</f>
        <v>104770</v>
      </c>
      <c r="AQ7" s="615">
        <f t="shared" ref="AQ7:AQ70" si="9">ROUND(((AP7/AO7-1)*100),1)</f>
        <v>-10.8</v>
      </c>
      <c r="AR7" s="868">
        <v>758243</v>
      </c>
      <c r="AS7" s="868">
        <v>624365</v>
      </c>
      <c r="AT7" s="615">
        <f t="shared" ref="AT7:AT70" si="10">ROUND(((AS7/AR7-1)*100),1)</f>
        <v>-17.7</v>
      </c>
      <c r="AU7" s="868">
        <f>AX7-AR7</f>
        <v>124752</v>
      </c>
      <c r="AV7" s="868">
        <f>AY7-AS7</f>
        <v>100736</v>
      </c>
      <c r="AW7" s="615">
        <f t="shared" ref="AW7:AW70" si="11">ROUND(((AV7/AU7-1)*100),1)</f>
        <v>-19.3</v>
      </c>
      <c r="AX7" s="925">
        <v>882995</v>
      </c>
      <c r="AY7" s="925">
        <v>725101</v>
      </c>
      <c r="AZ7" s="615">
        <f t="shared" ref="AZ7:AZ70" si="12">ROUND(((AY7/AX7-1)*100),1)</f>
        <v>-17.899999999999999</v>
      </c>
      <c r="BA7" s="868">
        <f>BD7-AX7</f>
        <v>94131</v>
      </c>
      <c r="BB7" s="868">
        <f>BE7-AY7</f>
        <v>93837</v>
      </c>
      <c r="BC7" s="615">
        <f t="shared" ref="BC7:BC70" si="13">ROUND(((BB7/BA7-1)*100),1)</f>
        <v>-0.3</v>
      </c>
      <c r="BD7" s="868">
        <v>977126</v>
      </c>
      <c r="BE7" s="868">
        <v>818938</v>
      </c>
      <c r="BF7" s="615">
        <f t="shared" ref="BF7:BF70" si="14">ROUND(((BE7/BD7-1)*100),1)</f>
        <v>-16.2</v>
      </c>
      <c r="BG7" s="868">
        <f>BJ7-BD7</f>
        <v>112814</v>
      </c>
      <c r="BH7" s="868">
        <f>BK7-BE7</f>
        <v>111254</v>
      </c>
      <c r="BI7" s="615">
        <f t="shared" ref="BI7:BI70" si="15">ROUND(((BH7/BG7-1)*100),1)</f>
        <v>-1.4</v>
      </c>
      <c r="BJ7" s="868">
        <v>1089940</v>
      </c>
      <c r="BK7" s="868">
        <v>930192</v>
      </c>
      <c r="BL7" s="615">
        <f t="shared" ref="BL7:BL70" si="16">ROUND(((BK7/BJ7-1)*100),1)</f>
        <v>-14.7</v>
      </c>
      <c r="BM7" s="868">
        <f>BP7-BJ7</f>
        <v>99177</v>
      </c>
      <c r="BN7" s="868">
        <f>BQ7-BK7</f>
        <v>141499</v>
      </c>
      <c r="BO7" s="615">
        <f t="shared" ref="BO7:BO70" si="17">ROUND(((BN7/BM7-1)*100),1)</f>
        <v>42.7</v>
      </c>
      <c r="BP7" s="868">
        <v>1189117</v>
      </c>
      <c r="BQ7" s="868">
        <v>1071691</v>
      </c>
      <c r="BR7" s="615">
        <f t="shared" ref="BR7:BR70" si="18">ROUND(((BQ7/BP7-1)*100),1)</f>
        <v>-9.9</v>
      </c>
      <c r="BS7" s="868">
        <f>BV7-BP7</f>
        <v>104753</v>
      </c>
      <c r="BT7" s="868">
        <f>BW7-BQ7</f>
        <v>146992</v>
      </c>
      <c r="BU7" s="615">
        <f t="shared" ref="BU7:BU70" si="19">ROUND(((BT7/BS7-1)*100),1)</f>
        <v>40.299999999999997</v>
      </c>
      <c r="BV7" s="868">
        <v>1293870</v>
      </c>
      <c r="BW7" s="868">
        <v>1218683</v>
      </c>
      <c r="BX7" s="615">
        <f t="shared" ref="BX7:BX70" si="20">ROUND(((BW7/BV7-1)*100),1)</f>
        <v>-5.8</v>
      </c>
    </row>
    <row r="8" spans="1:76" ht="22.5" customHeight="1">
      <c r="A8" s="14"/>
      <c r="B8" s="1099"/>
      <c r="C8" s="1100"/>
      <c r="D8" s="370" t="s">
        <v>15</v>
      </c>
      <c r="E8" s="12">
        <f t="shared" ref="E8:O8" si="21">E7/E6*1000</f>
        <v>9053.1360621043732</v>
      </c>
      <c r="F8" s="12">
        <f t="shared" si="21"/>
        <v>8037.6947194836266</v>
      </c>
      <c r="G8" s="12">
        <f t="shared" si="21"/>
        <v>7411.451196975765</v>
      </c>
      <c r="H8" s="12">
        <f t="shared" si="21"/>
        <v>6994.6756230365227</v>
      </c>
      <c r="I8" s="12">
        <f t="shared" si="21"/>
        <v>5728.7019256154936</v>
      </c>
      <c r="J8" s="12">
        <f t="shared" si="21"/>
        <v>4828.7182324809301</v>
      </c>
      <c r="K8" s="12">
        <f t="shared" si="21"/>
        <v>6103.5779715548988</v>
      </c>
      <c r="L8" s="184">
        <f t="shared" si="21"/>
        <v>6582.3141477679455</v>
      </c>
      <c r="M8" s="442">
        <f>M7/M6*1000</f>
        <v>6052.0211786171039</v>
      </c>
      <c r="N8" s="310">
        <f t="shared" si="21"/>
        <v>6110.8526509986368</v>
      </c>
      <c r="O8" s="310">
        <f t="shared" si="21"/>
        <v>6078.220198166041</v>
      </c>
      <c r="P8" s="194">
        <f t="shared" si="0"/>
        <v>-0.5</v>
      </c>
      <c r="Q8" s="317">
        <f>Q7/Q6*1000</f>
        <v>6164.3565384415715</v>
      </c>
      <c r="R8" s="317">
        <f>R7/R6*1000</f>
        <v>6055.775458798129</v>
      </c>
      <c r="S8" s="204">
        <f t="shared" si="1"/>
        <v>-1.8</v>
      </c>
      <c r="T8" s="310">
        <f>T7/T6*1000</f>
        <v>6134.172002624613</v>
      </c>
      <c r="U8" s="310">
        <f>U7/U6*1000</f>
        <v>6066.8529599368221</v>
      </c>
      <c r="V8" s="204">
        <f t="shared" si="2"/>
        <v>-1.1000000000000001</v>
      </c>
      <c r="W8" s="317">
        <f>W7/W6*1000</f>
        <v>6333.9880367824298</v>
      </c>
      <c r="X8" s="317">
        <f>X7/X6*1000</f>
        <v>5778.7383292990171</v>
      </c>
      <c r="Y8" s="204">
        <f t="shared" si="3"/>
        <v>-8.8000000000000007</v>
      </c>
      <c r="Z8" s="310">
        <f>Z7/Z6*1000</f>
        <v>6201.3844051712485</v>
      </c>
      <c r="AA8" s="310">
        <f>AA7/AA6*1000</f>
        <v>5957.1530677500659</v>
      </c>
      <c r="AB8" s="204">
        <f t="shared" si="4"/>
        <v>-3.9</v>
      </c>
      <c r="AC8" s="317">
        <f>AC7/AC6*1000</f>
        <v>6420.1929842195195</v>
      </c>
      <c r="AD8" s="317">
        <f>AD7/AD6*1000</f>
        <v>5394.4289165758682</v>
      </c>
      <c r="AE8" s="204">
        <f t="shared" si="5"/>
        <v>-16</v>
      </c>
      <c r="AF8" s="310">
        <f>AF7/AF6*1000</f>
        <v>6251.7197128224107</v>
      </c>
      <c r="AG8" s="310">
        <f>AG7/AG6*1000</f>
        <v>5797.2265230562098</v>
      </c>
      <c r="AH8" s="204">
        <f t="shared" si="6"/>
        <v>-7.3</v>
      </c>
      <c r="AI8" s="317">
        <f>AI7/AI6*1000</f>
        <v>6233.2087227414331</v>
      </c>
      <c r="AJ8" s="317">
        <f>AJ7/AJ6*1000</f>
        <v>4945.6020447852425</v>
      </c>
      <c r="AK8" s="204">
        <f t="shared" si="7"/>
        <v>-20.7</v>
      </c>
      <c r="AL8" s="310">
        <f>AL7/AL6*1000</f>
        <v>6248.8224911503994</v>
      </c>
      <c r="AM8" s="310">
        <f>AM7/AM6*1000</f>
        <v>5631.123200971042</v>
      </c>
      <c r="AN8" s="204">
        <f t="shared" si="8"/>
        <v>-9.9</v>
      </c>
      <c r="AO8" s="631">
        <f>AO7/AO6*1000</f>
        <v>6083.6570836570836</v>
      </c>
      <c r="AP8" s="631">
        <f>AP7/AP6*1000</f>
        <v>5211.6599512510566</v>
      </c>
      <c r="AQ8" s="622">
        <f t="shared" si="9"/>
        <v>-14.3</v>
      </c>
      <c r="AR8" s="626">
        <f>AR7/AR6*1000</f>
        <v>6222.6553523947086</v>
      </c>
      <c r="AS8" s="626">
        <f>AS7/AS6*1000</f>
        <v>5556.0845383759734</v>
      </c>
      <c r="AT8" s="622">
        <f t="shared" si="10"/>
        <v>-10.7</v>
      </c>
      <c r="AU8" s="631">
        <f>AU7/AU6*1000</f>
        <v>5930.9689074831222</v>
      </c>
      <c r="AV8" s="631">
        <f>AV7/AV6*1000</f>
        <v>5754.0412406465985</v>
      </c>
      <c r="AW8" s="622">
        <f t="shared" si="11"/>
        <v>-3</v>
      </c>
      <c r="AX8" s="930">
        <f>AX7/AX6*1000</f>
        <v>6179.7166972271607</v>
      </c>
      <c r="AY8" s="930">
        <f>AY7/AY6*1000</f>
        <v>5582.7674350564357</v>
      </c>
      <c r="AZ8" s="622">
        <f t="shared" si="12"/>
        <v>-9.6999999999999993</v>
      </c>
      <c r="BA8" s="631">
        <f>BA7/BA6*1000</f>
        <v>5865.5907278165505</v>
      </c>
      <c r="BB8" s="631">
        <f>BB7/BB6*1000</f>
        <v>5996.7407975460119</v>
      </c>
      <c r="BC8" s="622">
        <f t="shared" si="13"/>
        <v>2.2000000000000002</v>
      </c>
      <c r="BD8" s="626">
        <f>BD7/BD6*1000</f>
        <v>6147.9985402745788</v>
      </c>
      <c r="BE8" s="626">
        <f>BE7/BE6*1000</f>
        <v>5627.2795987081699</v>
      </c>
      <c r="BF8" s="622">
        <f t="shared" si="14"/>
        <v>-8.5</v>
      </c>
      <c r="BG8" s="631">
        <f>BG7/BG6*1000</f>
        <v>5856.5124850750144</v>
      </c>
      <c r="BH8" s="631">
        <f>BH7/BH6*1000</f>
        <v>6732.8733962720898</v>
      </c>
      <c r="BI8" s="622">
        <f t="shared" si="15"/>
        <v>15</v>
      </c>
      <c r="BJ8" s="626">
        <f>BJ7/BJ6*1000</f>
        <v>6116.4890542489493</v>
      </c>
      <c r="BK8" s="626">
        <f>BK7/BK6*1000</f>
        <v>5740.0125883964602</v>
      </c>
      <c r="BL8" s="622">
        <f t="shared" si="16"/>
        <v>-6.2</v>
      </c>
      <c r="BM8" s="631">
        <f>BM7/BM6*1000</f>
        <v>5789.3292860895453</v>
      </c>
      <c r="BN8" s="631">
        <f>BN7/BN6*1000</f>
        <v>6705.7959338419978</v>
      </c>
      <c r="BO8" s="622">
        <f t="shared" si="17"/>
        <v>15.8</v>
      </c>
      <c r="BP8" s="626">
        <f>BP7/BP6*1000</f>
        <v>6087.7959125163825</v>
      </c>
      <c r="BQ8" s="626">
        <f>BQ7/BQ6*1000</f>
        <v>5851.2789713630527</v>
      </c>
      <c r="BR8" s="622">
        <f t="shared" si="18"/>
        <v>-3.9</v>
      </c>
      <c r="BS8" s="631">
        <f>BS7/BS6*1000</f>
        <v>5815.4110919891191</v>
      </c>
      <c r="BT8" s="631">
        <f>BT7/BT6*1000</f>
        <v>6975.3713282399276</v>
      </c>
      <c r="BU8" s="622">
        <f t="shared" si="19"/>
        <v>19.899999999999999</v>
      </c>
      <c r="BV8" s="626">
        <f>BV7/BV6*1000</f>
        <v>6064.7976713336866</v>
      </c>
      <c r="BW8" s="626">
        <f>BW7/BW6*1000</f>
        <v>5967.2669761247234</v>
      </c>
      <c r="BX8" s="622">
        <f t="shared" si="20"/>
        <v>-1.6</v>
      </c>
    </row>
    <row r="9" spans="1:76" ht="22.5" customHeight="1">
      <c r="A9" s="14"/>
      <c r="B9" s="1099" t="s">
        <v>16</v>
      </c>
      <c r="C9" s="1103" t="s">
        <v>303</v>
      </c>
      <c r="D9" s="365" t="s">
        <v>13</v>
      </c>
      <c r="E9" s="11">
        <f>356388-E6</f>
        <v>40275</v>
      </c>
      <c r="F9" s="11">
        <f>309810-F6</f>
        <v>27224</v>
      </c>
      <c r="G9" s="11">
        <f>301353-G6</f>
        <v>16719</v>
      </c>
      <c r="H9" s="11">
        <f>352839-H6</f>
        <v>21157</v>
      </c>
      <c r="I9" s="11">
        <f>387972-I6</f>
        <v>28139</v>
      </c>
      <c r="J9" s="11">
        <f>405925-J6</f>
        <v>26410</v>
      </c>
      <c r="K9" s="11">
        <f>329836-K6</f>
        <v>20890</v>
      </c>
      <c r="L9" s="183">
        <f>285651-L6</f>
        <v>23023</v>
      </c>
      <c r="M9" s="312">
        <f>248246-M6</f>
        <v>19147</v>
      </c>
      <c r="N9" s="311">
        <f>26884-N6</f>
        <v>1950</v>
      </c>
      <c r="O9" s="311">
        <f>17610-O6</f>
        <v>1361</v>
      </c>
      <c r="P9" s="195">
        <f t="shared" si="0"/>
        <v>-30.2</v>
      </c>
      <c r="Q9" s="311">
        <f>T9-N9</f>
        <v>1222</v>
      </c>
      <c r="R9" s="311">
        <f>U9-O9</f>
        <v>956</v>
      </c>
      <c r="S9" s="206">
        <f t="shared" si="1"/>
        <v>-21.8</v>
      </c>
      <c r="T9" s="311">
        <f>47369-T6</f>
        <v>3172</v>
      </c>
      <c r="U9" s="311">
        <f>35240-U6</f>
        <v>2317</v>
      </c>
      <c r="V9" s="206">
        <f t="shared" si="2"/>
        <v>-27</v>
      </c>
      <c r="W9" s="311">
        <f>Z9-T9</f>
        <v>1615</v>
      </c>
      <c r="X9" s="311">
        <f>AA9-U9</f>
        <v>1996</v>
      </c>
      <c r="Y9" s="206">
        <f t="shared" si="3"/>
        <v>23.6</v>
      </c>
      <c r="Z9" s="311">
        <f>71386-Z6</f>
        <v>4787</v>
      </c>
      <c r="AA9" s="311">
        <f>57479-AA6</f>
        <v>4313</v>
      </c>
      <c r="AB9" s="206">
        <f t="shared" si="4"/>
        <v>-9.9</v>
      </c>
      <c r="AC9" s="311">
        <f>AF9-Z9</f>
        <v>2075</v>
      </c>
      <c r="AD9" s="311">
        <f>AG9-AA9</f>
        <v>1233</v>
      </c>
      <c r="AE9" s="206">
        <f t="shared" si="5"/>
        <v>-40.6</v>
      </c>
      <c r="AF9" s="311">
        <f>93359-AF6</f>
        <v>6862</v>
      </c>
      <c r="AG9" s="311">
        <f>79821-AG6</f>
        <v>5546</v>
      </c>
      <c r="AH9" s="206">
        <f t="shared" si="6"/>
        <v>-19.2</v>
      </c>
      <c r="AI9" s="311">
        <f>AL9-AF9</f>
        <v>1468</v>
      </c>
      <c r="AJ9" s="311">
        <f>AM9-AG9</f>
        <v>1290</v>
      </c>
      <c r="AK9" s="206">
        <f t="shared" si="7"/>
        <v>-12.1</v>
      </c>
      <c r="AL9" s="311">
        <f>110877-AL6</f>
        <v>8330</v>
      </c>
      <c r="AM9" s="311">
        <f>99108-AM6</f>
        <v>6836</v>
      </c>
      <c r="AN9" s="206">
        <f t="shared" si="8"/>
        <v>-17.899999999999999</v>
      </c>
      <c r="AO9" s="627">
        <f>AR9-AL9</f>
        <v>1624</v>
      </c>
      <c r="AP9" s="627">
        <f>AS9-AM9</f>
        <v>1712</v>
      </c>
      <c r="AQ9" s="623">
        <f t="shared" si="9"/>
        <v>5.4</v>
      </c>
      <c r="AR9" s="869">
        <f>131806-AR6</f>
        <v>9954</v>
      </c>
      <c r="AS9" s="869">
        <f>120923-AS6</f>
        <v>8548</v>
      </c>
      <c r="AT9" s="623">
        <f t="shared" si="10"/>
        <v>-14.1</v>
      </c>
      <c r="AU9" s="869">
        <f>AX9-AR9</f>
        <v>1582</v>
      </c>
      <c r="AV9" s="869">
        <f>AY9-AS9</f>
        <v>1524</v>
      </c>
      <c r="AW9" s="623">
        <f t="shared" si="11"/>
        <v>-3.7</v>
      </c>
      <c r="AX9" s="929">
        <f>154422-AX6</f>
        <v>11536</v>
      </c>
      <c r="AY9" s="929">
        <f>139954-AY6</f>
        <v>10072</v>
      </c>
      <c r="AZ9" s="623">
        <f t="shared" si="12"/>
        <v>-12.7</v>
      </c>
      <c r="BA9" s="869">
        <f>BD9-AX9</f>
        <v>1778</v>
      </c>
      <c r="BB9" s="869">
        <f>BE9-AY9</f>
        <v>1468</v>
      </c>
      <c r="BC9" s="623">
        <f t="shared" si="13"/>
        <v>-17.399999999999999</v>
      </c>
      <c r="BD9" s="869">
        <f>172248-BD6</f>
        <v>13314</v>
      </c>
      <c r="BE9" s="869">
        <f>157070-BE6</f>
        <v>11540</v>
      </c>
      <c r="BF9" s="623">
        <f t="shared" si="14"/>
        <v>-13.3</v>
      </c>
      <c r="BG9" s="869">
        <f>BJ9-BD9</f>
        <v>1507</v>
      </c>
      <c r="BH9" s="869">
        <f>BK9-BE9</f>
        <v>1627</v>
      </c>
      <c r="BI9" s="623">
        <f t="shared" si="15"/>
        <v>8</v>
      </c>
      <c r="BJ9" s="869">
        <f>193018-BJ6</f>
        <v>14821</v>
      </c>
      <c r="BK9" s="869">
        <f>175221-BK6</f>
        <v>13167</v>
      </c>
      <c r="BL9" s="623">
        <f t="shared" si="16"/>
        <v>-11.2</v>
      </c>
      <c r="BM9" s="869">
        <f>BP9-BJ9</f>
        <v>1425</v>
      </c>
      <c r="BN9" s="869">
        <f>BQ9-BK9</f>
        <v>1815</v>
      </c>
      <c r="BO9" s="623">
        <f t="shared" si="17"/>
        <v>27.4</v>
      </c>
      <c r="BP9" s="869">
        <f>211574-BP6</f>
        <v>16246</v>
      </c>
      <c r="BQ9" s="869">
        <f>198137-BQ6</f>
        <v>14982</v>
      </c>
      <c r="BR9" s="623">
        <f t="shared" si="18"/>
        <v>-7.8</v>
      </c>
      <c r="BS9" s="869">
        <f>BV9-BP9</f>
        <v>1259</v>
      </c>
      <c r="BT9" s="869">
        <f>BW9-BQ9</f>
        <v>1052</v>
      </c>
      <c r="BU9" s="623">
        <f t="shared" si="19"/>
        <v>-16.399999999999999</v>
      </c>
      <c r="BV9" s="869">
        <f>230846-BV6</f>
        <v>17505</v>
      </c>
      <c r="BW9" s="869">
        <f>220262-BW6</f>
        <v>16034</v>
      </c>
      <c r="BX9" s="623">
        <f t="shared" si="20"/>
        <v>-8.4</v>
      </c>
    </row>
    <row r="10" spans="1:76" ht="22.5" customHeight="1">
      <c r="A10" s="14"/>
      <c r="B10" s="1099"/>
      <c r="C10" s="1100"/>
      <c r="D10" s="366" t="s">
        <v>14</v>
      </c>
      <c r="E10" s="6">
        <f>3234219-E7</f>
        <v>372405</v>
      </c>
      <c r="F10" s="6">
        <f>2495957-F7</f>
        <v>224617</v>
      </c>
      <c r="G10" s="6">
        <f>2241382-G7</f>
        <v>131831</v>
      </c>
      <c r="H10" s="6">
        <f>2474073-H7</f>
        <v>154065</v>
      </c>
      <c r="I10" s="6">
        <f>2229722-I7</f>
        <v>168346</v>
      </c>
      <c r="J10" s="6">
        <f>1968102-J7</f>
        <v>135531</v>
      </c>
      <c r="K10" s="6">
        <f>2019737-K7</f>
        <v>134061</v>
      </c>
      <c r="L10" s="180">
        <f>1888834-L7</f>
        <v>160134</v>
      </c>
      <c r="M10" s="440">
        <f>1510167-M7</f>
        <v>123655</v>
      </c>
      <c r="N10" s="309">
        <f>164824-N7</f>
        <v>12456</v>
      </c>
      <c r="O10" s="309">
        <f>107932-O7</f>
        <v>9167</v>
      </c>
      <c r="P10" s="193">
        <f t="shared" si="0"/>
        <v>-26.4</v>
      </c>
      <c r="Q10" s="309">
        <f>T10-N10</f>
        <v>7927</v>
      </c>
      <c r="R10" s="309">
        <f>U10-O10</f>
        <v>6764</v>
      </c>
      <c r="S10" s="193">
        <f t="shared" si="1"/>
        <v>-14.7</v>
      </c>
      <c r="T10" s="309">
        <f>291495-T7</f>
        <v>20383</v>
      </c>
      <c r="U10" s="309">
        <f>215670-U7</f>
        <v>15931</v>
      </c>
      <c r="V10" s="193">
        <f t="shared" si="2"/>
        <v>-21.8</v>
      </c>
      <c r="W10" s="309">
        <f>Z10-T10</f>
        <v>10503</v>
      </c>
      <c r="X10" s="309">
        <f>AA10-U10</f>
        <v>13322</v>
      </c>
      <c r="Y10" s="193">
        <f t="shared" si="3"/>
        <v>26.8</v>
      </c>
      <c r="Z10" s="309">
        <f>443892-Z7</f>
        <v>30886</v>
      </c>
      <c r="AA10" s="309">
        <f>345971-AA7</f>
        <v>29253</v>
      </c>
      <c r="AB10" s="193">
        <f t="shared" si="4"/>
        <v>-5.3</v>
      </c>
      <c r="AC10" s="309">
        <f>AF10-Z10</f>
        <v>13965</v>
      </c>
      <c r="AD10" s="309">
        <f>AG10-AA10</f>
        <v>7078</v>
      </c>
      <c r="AE10" s="193">
        <f t="shared" si="5"/>
        <v>-49.3</v>
      </c>
      <c r="AF10" s="309">
        <f>585606-AF7</f>
        <v>44851</v>
      </c>
      <c r="AG10" s="309">
        <f>466920-AG7</f>
        <v>36331</v>
      </c>
      <c r="AH10" s="193">
        <f t="shared" si="6"/>
        <v>-19</v>
      </c>
      <c r="AI10" s="309">
        <f>AL10-AF10</f>
        <v>10742</v>
      </c>
      <c r="AJ10" s="309">
        <f>AM10-AG10</f>
        <v>8246</v>
      </c>
      <c r="AK10" s="193">
        <f t="shared" si="7"/>
        <v>-23.2</v>
      </c>
      <c r="AL10" s="309">
        <f>696391-AL7</f>
        <v>55593</v>
      </c>
      <c r="AM10" s="309">
        <f>564172-AM7</f>
        <v>44577</v>
      </c>
      <c r="AN10" s="193">
        <f t="shared" si="8"/>
        <v>-19.8</v>
      </c>
      <c r="AO10" s="625">
        <f>AR10-AL10</f>
        <v>10577</v>
      </c>
      <c r="AP10" s="625">
        <f>AS10-AM10</f>
        <v>9982</v>
      </c>
      <c r="AQ10" s="615">
        <f t="shared" si="9"/>
        <v>-5.6</v>
      </c>
      <c r="AR10" s="868">
        <f>824413-AR7</f>
        <v>66170</v>
      </c>
      <c r="AS10" s="868">
        <f>678924-AS7</f>
        <v>54559</v>
      </c>
      <c r="AT10" s="615">
        <f t="shared" si="10"/>
        <v>-17.5</v>
      </c>
      <c r="AU10" s="868">
        <f>AX10-AR10</f>
        <v>10157</v>
      </c>
      <c r="AV10" s="868">
        <f>AY10-AS10</f>
        <v>9724</v>
      </c>
      <c r="AW10" s="615">
        <f t="shared" si="11"/>
        <v>-4.3</v>
      </c>
      <c r="AX10" s="925">
        <f>959322-AX7</f>
        <v>76327</v>
      </c>
      <c r="AY10" s="925">
        <f>789384-AY7</f>
        <v>64283</v>
      </c>
      <c r="AZ10" s="615">
        <f t="shared" si="12"/>
        <v>-15.8</v>
      </c>
      <c r="BA10" s="868">
        <f>BD10-AX10</f>
        <v>11234</v>
      </c>
      <c r="BB10" s="868">
        <f>BE10-AY10</f>
        <v>10489</v>
      </c>
      <c r="BC10" s="615">
        <f t="shared" si="13"/>
        <v>-6.6</v>
      </c>
      <c r="BD10" s="868">
        <f>1064687-BD7</f>
        <v>87561</v>
      </c>
      <c r="BE10" s="868">
        <f>893710-BE7</f>
        <v>74772</v>
      </c>
      <c r="BF10" s="615">
        <f t="shared" si="14"/>
        <v>-14.6</v>
      </c>
      <c r="BG10" s="868">
        <f>BJ10-BD10</f>
        <v>9494</v>
      </c>
      <c r="BH10" s="868">
        <f>BK10-BE10</f>
        <v>11936</v>
      </c>
      <c r="BI10" s="615">
        <f t="shared" si="15"/>
        <v>25.7</v>
      </c>
      <c r="BJ10" s="868">
        <f>1186995-BJ7</f>
        <v>97055</v>
      </c>
      <c r="BK10" s="868">
        <f>1016900-BK7</f>
        <v>86708</v>
      </c>
      <c r="BL10" s="615">
        <f t="shared" si="16"/>
        <v>-10.7</v>
      </c>
      <c r="BM10" s="868">
        <f>BP10-BJ10</f>
        <v>8710</v>
      </c>
      <c r="BN10" s="868">
        <f>BQ10-BK10</f>
        <v>12705</v>
      </c>
      <c r="BO10" s="615">
        <f t="shared" si="17"/>
        <v>45.9</v>
      </c>
      <c r="BP10" s="868">
        <f>1294882-BP7</f>
        <v>105765</v>
      </c>
      <c r="BQ10" s="868">
        <f>1171104-BQ7</f>
        <v>99413</v>
      </c>
      <c r="BR10" s="615">
        <f t="shared" si="18"/>
        <v>-6</v>
      </c>
      <c r="BS10" s="868">
        <f>BV10-BP10</f>
        <v>7854</v>
      </c>
      <c r="BT10" s="868">
        <f>BW10-BQ10</f>
        <v>7951</v>
      </c>
      <c r="BU10" s="615">
        <f t="shared" si="19"/>
        <v>1.2</v>
      </c>
      <c r="BV10" s="868">
        <f>1407489-BV7</f>
        <v>113619</v>
      </c>
      <c r="BW10" s="868">
        <f>1326047-BW7</f>
        <v>107364</v>
      </c>
      <c r="BX10" s="615">
        <f t="shared" si="20"/>
        <v>-5.5</v>
      </c>
    </row>
    <row r="11" spans="1:76" ht="22.5" customHeight="1">
      <c r="A11" s="14"/>
      <c r="B11" s="1099"/>
      <c r="C11" s="1100"/>
      <c r="D11" s="370" t="s">
        <v>15</v>
      </c>
      <c r="E11" s="12">
        <f t="shared" ref="E11:O11" si="22">E10/E9*1000</f>
        <v>9246.5549348230907</v>
      </c>
      <c r="F11" s="12">
        <f t="shared" si="22"/>
        <v>8250.6979136056416</v>
      </c>
      <c r="G11" s="12">
        <f t="shared" si="22"/>
        <v>7885.1007835396849</v>
      </c>
      <c r="H11" s="12">
        <f t="shared" si="22"/>
        <v>7281.9870492035734</v>
      </c>
      <c r="I11" s="12">
        <f t="shared" si="22"/>
        <v>5982.6575215892535</v>
      </c>
      <c r="J11" s="12">
        <f t="shared" si="22"/>
        <v>5131.8061340401364</v>
      </c>
      <c r="K11" s="12">
        <f t="shared" si="22"/>
        <v>6417.4724748683584</v>
      </c>
      <c r="L11" s="184">
        <f t="shared" si="22"/>
        <v>6955.3924336533037</v>
      </c>
      <c r="M11" s="442">
        <f>M10/M9*1000</f>
        <v>6458.1918838460333</v>
      </c>
      <c r="N11" s="310">
        <f t="shared" si="22"/>
        <v>6387.6923076923076</v>
      </c>
      <c r="O11" s="310">
        <f t="shared" si="22"/>
        <v>6735.4886113152097</v>
      </c>
      <c r="P11" s="194">
        <f t="shared" si="0"/>
        <v>5.4</v>
      </c>
      <c r="Q11" s="317">
        <f>Q10/Q9*1000</f>
        <v>6486.9067103109655</v>
      </c>
      <c r="R11" s="317">
        <f>R10/R9*1000</f>
        <v>7075.3138075313809</v>
      </c>
      <c r="S11" s="204">
        <f t="shared" si="1"/>
        <v>9.1</v>
      </c>
      <c r="T11" s="310">
        <f>T10/T9*1000</f>
        <v>6425.9142496847417</v>
      </c>
      <c r="U11" s="310">
        <f>U10/U9*1000</f>
        <v>6875.7013379369873</v>
      </c>
      <c r="V11" s="204">
        <f t="shared" si="2"/>
        <v>7</v>
      </c>
      <c r="W11" s="317">
        <f>W10/W9*1000</f>
        <v>6503.4055727554178</v>
      </c>
      <c r="X11" s="317">
        <f>X10/X9*1000</f>
        <v>6674.3486973947893</v>
      </c>
      <c r="Y11" s="204">
        <f t="shared" si="3"/>
        <v>2.6</v>
      </c>
      <c r="Z11" s="310">
        <f>Z10/Z9*1000</f>
        <v>6452.0576561520784</v>
      </c>
      <c r="AA11" s="310">
        <f>AA10/AA9*1000</f>
        <v>6782.5179689311381</v>
      </c>
      <c r="AB11" s="204">
        <f t="shared" si="4"/>
        <v>5.0999999999999996</v>
      </c>
      <c r="AC11" s="317">
        <f>AC10/AC9*1000</f>
        <v>6730.1204819277109</v>
      </c>
      <c r="AD11" s="317">
        <f>AD10/AD9*1000</f>
        <v>5740.4703974047043</v>
      </c>
      <c r="AE11" s="204">
        <f t="shared" si="5"/>
        <v>-14.7</v>
      </c>
      <c r="AF11" s="310">
        <f>AF10/AF9*1000</f>
        <v>6536.1410667443897</v>
      </c>
      <c r="AG11" s="310">
        <f>AG10/AG9*1000</f>
        <v>6550.8474576271183</v>
      </c>
      <c r="AH11" s="204">
        <f t="shared" si="6"/>
        <v>0.2</v>
      </c>
      <c r="AI11" s="317">
        <f>AI10/AI9*1000</f>
        <v>7317.4386920980924</v>
      </c>
      <c r="AJ11" s="317">
        <f>AJ10/AJ9*1000</f>
        <v>6392.2480620155038</v>
      </c>
      <c r="AK11" s="204">
        <f t="shared" si="7"/>
        <v>-12.6</v>
      </c>
      <c r="AL11" s="310">
        <f>AL10/AL9*1000</f>
        <v>6673.8295318127248</v>
      </c>
      <c r="AM11" s="310">
        <f>AM10/AM9*1000</f>
        <v>6520.9186658864837</v>
      </c>
      <c r="AN11" s="204">
        <f t="shared" si="8"/>
        <v>-2.2999999999999998</v>
      </c>
      <c r="AO11" s="631">
        <f>AO10/AO9*1000</f>
        <v>6512.9310344827591</v>
      </c>
      <c r="AP11" s="631">
        <f>AP10/AP9*1000</f>
        <v>5830.6074766355141</v>
      </c>
      <c r="AQ11" s="622">
        <f t="shared" si="9"/>
        <v>-10.5</v>
      </c>
      <c r="AR11" s="626">
        <f>AR10/AR9*1000</f>
        <v>6647.5788627687361</v>
      </c>
      <c r="AS11" s="626">
        <f>AS10/AS9*1000</f>
        <v>6382.6626111371079</v>
      </c>
      <c r="AT11" s="622">
        <f t="shared" si="10"/>
        <v>-4</v>
      </c>
      <c r="AU11" s="631">
        <f>AU10/AU9*1000</f>
        <v>6420.353982300885</v>
      </c>
      <c r="AV11" s="631">
        <f>AV10/AV9*1000</f>
        <v>6380.5774278215222</v>
      </c>
      <c r="AW11" s="622">
        <f t="shared" si="11"/>
        <v>-0.6</v>
      </c>
      <c r="AX11" s="930">
        <f>AX10/AX9*1000</f>
        <v>6616.4181692094317</v>
      </c>
      <c r="AY11" s="930">
        <f>AY10/AY9*1000</f>
        <v>6382.3471008737097</v>
      </c>
      <c r="AZ11" s="622">
        <f t="shared" si="12"/>
        <v>-3.5</v>
      </c>
      <c r="BA11" s="631">
        <f>BA10/BA9*1000</f>
        <v>6318.3352080989871</v>
      </c>
      <c r="BB11" s="631">
        <f>BB10/BB9*1000</f>
        <v>7145.0953678474116</v>
      </c>
      <c r="BC11" s="622">
        <f t="shared" si="13"/>
        <v>13.1</v>
      </c>
      <c r="BD11" s="626">
        <f>BD10/BD9*1000</f>
        <v>6576.6110860748086</v>
      </c>
      <c r="BE11" s="626">
        <f>BE10/BE9*1000</f>
        <v>6479.3760831889085</v>
      </c>
      <c r="BF11" s="622">
        <f t="shared" si="14"/>
        <v>-1.5</v>
      </c>
      <c r="BG11" s="631">
        <f>BG10/BG9*1000</f>
        <v>6299.9336429993364</v>
      </c>
      <c r="BH11" s="631">
        <f>BH10/BH9*1000</f>
        <v>7336.2015980331898</v>
      </c>
      <c r="BI11" s="622">
        <f t="shared" si="15"/>
        <v>16.399999999999999</v>
      </c>
      <c r="BJ11" s="626">
        <f>BJ10/BJ9*1000</f>
        <v>6548.4785102219821</v>
      </c>
      <c r="BK11" s="626">
        <f>BK10/BK9*1000</f>
        <v>6585.251006303638</v>
      </c>
      <c r="BL11" s="622">
        <f t="shared" si="16"/>
        <v>0.6</v>
      </c>
      <c r="BM11" s="631">
        <f>BM10/BM9*1000</f>
        <v>6112.2807017543864</v>
      </c>
      <c r="BN11" s="631">
        <f>BN10/BN9*1000</f>
        <v>7000</v>
      </c>
      <c r="BO11" s="622">
        <f t="shared" si="17"/>
        <v>14.5</v>
      </c>
      <c r="BP11" s="626">
        <f>BP10/BP9*1000</f>
        <v>6510.2178997907176</v>
      </c>
      <c r="BQ11" s="626">
        <f>BQ10/BQ9*1000</f>
        <v>6635.4959284474708</v>
      </c>
      <c r="BR11" s="622">
        <f t="shared" si="18"/>
        <v>1.9</v>
      </c>
      <c r="BS11" s="631">
        <f>BS10/BS9*1000</f>
        <v>6238.2843526608422</v>
      </c>
      <c r="BT11" s="631">
        <f>BT10/BT9*1000</f>
        <v>7557.9847908745242</v>
      </c>
      <c r="BU11" s="622">
        <f t="shared" si="19"/>
        <v>21.2</v>
      </c>
      <c r="BV11" s="626">
        <f>BV10/BV9*1000</f>
        <v>6490.6598114824328</v>
      </c>
      <c r="BW11" s="626">
        <f>BW10/BW9*1000</f>
        <v>6696.0209554696266</v>
      </c>
      <c r="BX11" s="622">
        <f t="shared" si="20"/>
        <v>3.2</v>
      </c>
    </row>
    <row r="12" spans="1:76" ht="22.5" customHeight="1">
      <c r="A12" s="14"/>
      <c r="B12" s="1099" t="s">
        <v>17</v>
      </c>
      <c r="C12" s="1100">
        <v>7404</v>
      </c>
      <c r="D12" s="365" t="s">
        <v>13</v>
      </c>
      <c r="E12" s="11">
        <v>263182</v>
      </c>
      <c r="F12" s="11">
        <v>300708</v>
      </c>
      <c r="G12" s="11">
        <v>291178</v>
      </c>
      <c r="H12" s="11">
        <v>298541</v>
      </c>
      <c r="I12" s="11">
        <v>289645</v>
      </c>
      <c r="J12" s="11">
        <v>273616</v>
      </c>
      <c r="K12" s="11">
        <v>331003</v>
      </c>
      <c r="L12" s="183">
        <v>338644</v>
      </c>
      <c r="M12" s="312">
        <v>355385</v>
      </c>
      <c r="N12" s="311">
        <v>35539</v>
      </c>
      <c r="O12" s="311">
        <v>33095</v>
      </c>
      <c r="P12" s="195">
        <f t="shared" si="0"/>
        <v>-6.9</v>
      </c>
      <c r="Q12" s="311">
        <f>T12-N12</f>
        <v>29222</v>
      </c>
      <c r="R12" s="311">
        <f>U12-O12</f>
        <v>32420</v>
      </c>
      <c r="S12" s="206">
        <f t="shared" si="1"/>
        <v>10.9</v>
      </c>
      <c r="T12" s="311">
        <v>64761</v>
      </c>
      <c r="U12" s="311">
        <v>65515</v>
      </c>
      <c r="V12" s="206">
        <f t="shared" si="2"/>
        <v>1.2</v>
      </c>
      <c r="W12" s="311">
        <f>Z12-T12</f>
        <v>29523</v>
      </c>
      <c r="X12" s="311">
        <f>AA12-U12</f>
        <v>32293</v>
      </c>
      <c r="Y12" s="206">
        <f t="shared" si="3"/>
        <v>9.4</v>
      </c>
      <c r="Z12" s="311">
        <v>94284</v>
      </c>
      <c r="AA12" s="311">
        <v>97808</v>
      </c>
      <c r="AB12" s="206">
        <f t="shared" si="4"/>
        <v>3.7</v>
      </c>
      <c r="AC12" s="311">
        <f>AF12-Z12</f>
        <v>29221</v>
      </c>
      <c r="AD12" s="311">
        <f>AG12-AA12</f>
        <v>27979</v>
      </c>
      <c r="AE12" s="206">
        <f t="shared" si="5"/>
        <v>-4.3</v>
      </c>
      <c r="AF12" s="311">
        <v>123505</v>
      </c>
      <c r="AG12" s="311">
        <v>125787</v>
      </c>
      <c r="AH12" s="206">
        <f t="shared" si="6"/>
        <v>1.8</v>
      </c>
      <c r="AI12" s="311">
        <f>AL12-AF12</f>
        <v>28530</v>
      </c>
      <c r="AJ12" s="311">
        <f>AM12-AG12</f>
        <v>22636</v>
      </c>
      <c r="AK12" s="206">
        <f t="shared" si="7"/>
        <v>-20.7</v>
      </c>
      <c r="AL12" s="311">
        <v>152035</v>
      </c>
      <c r="AM12" s="311">
        <v>148423</v>
      </c>
      <c r="AN12" s="206">
        <f t="shared" si="8"/>
        <v>-2.4</v>
      </c>
      <c r="AO12" s="627">
        <f>AR12-AL12</f>
        <v>26151</v>
      </c>
      <c r="AP12" s="627">
        <f>AS12-AM12</f>
        <v>22660</v>
      </c>
      <c r="AQ12" s="623">
        <f t="shared" si="9"/>
        <v>-13.3</v>
      </c>
      <c r="AR12" s="869">
        <v>178186</v>
      </c>
      <c r="AS12" s="869">
        <v>171083</v>
      </c>
      <c r="AT12" s="623">
        <f t="shared" si="10"/>
        <v>-4</v>
      </c>
      <c r="AU12" s="869">
        <f>AX12-AR12</f>
        <v>25338</v>
      </c>
      <c r="AV12" s="869">
        <f>AY12-AS12</f>
        <v>24482</v>
      </c>
      <c r="AW12" s="623">
        <f t="shared" si="11"/>
        <v>-3.4</v>
      </c>
      <c r="AX12" s="929">
        <v>203524</v>
      </c>
      <c r="AY12" s="929">
        <v>195565</v>
      </c>
      <c r="AZ12" s="623">
        <f t="shared" si="12"/>
        <v>-3.9</v>
      </c>
      <c r="BA12" s="869">
        <f>BD12-AX12</f>
        <v>24932</v>
      </c>
      <c r="BB12" s="869">
        <f>BE12-AY12</f>
        <v>29668</v>
      </c>
      <c r="BC12" s="623">
        <f t="shared" si="13"/>
        <v>19</v>
      </c>
      <c r="BD12" s="869">
        <v>228456</v>
      </c>
      <c r="BE12" s="869">
        <v>225233</v>
      </c>
      <c r="BF12" s="623">
        <f t="shared" si="14"/>
        <v>-1.4</v>
      </c>
      <c r="BG12" s="869">
        <f>BJ12-BD12</f>
        <v>27319</v>
      </c>
      <c r="BH12" s="869">
        <f>BK12-BE12</f>
        <v>28975</v>
      </c>
      <c r="BI12" s="623">
        <f t="shared" si="15"/>
        <v>6.1</v>
      </c>
      <c r="BJ12" s="869">
        <v>255775</v>
      </c>
      <c r="BK12" s="869">
        <v>254208</v>
      </c>
      <c r="BL12" s="623">
        <f t="shared" si="16"/>
        <v>-0.6</v>
      </c>
      <c r="BM12" s="869">
        <f>BP12-BJ12</f>
        <v>32018</v>
      </c>
      <c r="BN12" s="869">
        <f>BQ12-BK12</f>
        <v>29299</v>
      </c>
      <c r="BO12" s="623">
        <f t="shared" si="17"/>
        <v>-8.5</v>
      </c>
      <c r="BP12" s="869">
        <v>287793</v>
      </c>
      <c r="BQ12" s="869">
        <v>283507</v>
      </c>
      <c r="BR12" s="623">
        <f t="shared" si="18"/>
        <v>-1.5</v>
      </c>
      <c r="BS12" s="869">
        <f>BV12-BP12</f>
        <v>32979</v>
      </c>
      <c r="BT12" s="869">
        <f>BW12-BQ12</f>
        <v>26254</v>
      </c>
      <c r="BU12" s="623">
        <f t="shared" si="19"/>
        <v>-20.399999999999999</v>
      </c>
      <c r="BV12" s="869">
        <v>320772</v>
      </c>
      <c r="BW12" s="869">
        <v>309761</v>
      </c>
      <c r="BX12" s="623">
        <f t="shared" si="20"/>
        <v>-3.4</v>
      </c>
    </row>
    <row r="13" spans="1:76" ht="22.5" customHeight="1">
      <c r="A13" s="14"/>
      <c r="B13" s="1099"/>
      <c r="C13" s="1100"/>
      <c r="D13" s="366" t="s">
        <v>14</v>
      </c>
      <c r="E13" s="6">
        <v>2106854</v>
      </c>
      <c r="F13" s="6">
        <v>2134047</v>
      </c>
      <c r="G13" s="6">
        <v>1949359</v>
      </c>
      <c r="H13" s="6">
        <v>1920824</v>
      </c>
      <c r="I13" s="6">
        <v>1534569</v>
      </c>
      <c r="J13" s="6">
        <v>1189101</v>
      </c>
      <c r="K13" s="6">
        <v>1701338</v>
      </c>
      <c r="L13" s="180">
        <v>1988769</v>
      </c>
      <c r="M13" s="438">
        <v>1892855</v>
      </c>
      <c r="N13" s="309">
        <v>200844</v>
      </c>
      <c r="O13" s="309">
        <v>169104</v>
      </c>
      <c r="P13" s="193">
        <f t="shared" si="0"/>
        <v>-15.8</v>
      </c>
      <c r="Q13" s="309">
        <f>T13-N13</f>
        <v>163235</v>
      </c>
      <c r="R13" s="309">
        <f>U13-O13</f>
        <v>170286</v>
      </c>
      <c r="S13" s="193">
        <f t="shared" si="1"/>
        <v>4.3</v>
      </c>
      <c r="T13" s="309">
        <v>364079</v>
      </c>
      <c r="U13" s="309">
        <v>339390</v>
      </c>
      <c r="V13" s="193">
        <f t="shared" si="2"/>
        <v>-6.8</v>
      </c>
      <c r="W13" s="309">
        <f>Z13-T13</f>
        <v>163906</v>
      </c>
      <c r="X13" s="309">
        <f>AA13-U13</f>
        <v>164624</v>
      </c>
      <c r="Y13" s="193">
        <f t="shared" si="3"/>
        <v>0.4</v>
      </c>
      <c r="Z13" s="309">
        <v>527985</v>
      </c>
      <c r="AA13" s="309">
        <v>504014</v>
      </c>
      <c r="AB13" s="193">
        <f t="shared" si="4"/>
        <v>-4.5</v>
      </c>
      <c r="AC13" s="309">
        <f>AF13-Z13</f>
        <v>161779</v>
      </c>
      <c r="AD13" s="309">
        <f>AG13-AA13</f>
        <v>131093</v>
      </c>
      <c r="AE13" s="193">
        <f t="shared" si="5"/>
        <v>-19</v>
      </c>
      <c r="AF13" s="309">
        <v>689764</v>
      </c>
      <c r="AG13" s="309">
        <v>635107</v>
      </c>
      <c r="AH13" s="193">
        <f t="shared" si="6"/>
        <v>-7.9</v>
      </c>
      <c r="AI13" s="309">
        <f>AL13-AF13</f>
        <v>157960</v>
      </c>
      <c r="AJ13" s="309">
        <f>AM13-AG13</f>
        <v>99622</v>
      </c>
      <c r="AK13" s="193">
        <f t="shared" si="7"/>
        <v>-36.9</v>
      </c>
      <c r="AL13" s="309">
        <v>847724</v>
      </c>
      <c r="AM13" s="309">
        <v>734729</v>
      </c>
      <c r="AN13" s="193">
        <f t="shared" si="8"/>
        <v>-13.3</v>
      </c>
      <c r="AO13" s="625">
        <f>AR13-AL13</f>
        <v>143488</v>
      </c>
      <c r="AP13" s="625">
        <f>AS13-AM13</f>
        <v>97427</v>
      </c>
      <c r="AQ13" s="615">
        <f t="shared" si="9"/>
        <v>-32.1</v>
      </c>
      <c r="AR13" s="868">
        <v>991212</v>
      </c>
      <c r="AS13" s="868">
        <v>832156</v>
      </c>
      <c r="AT13" s="615">
        <f t="shared" si="10"/>
        <v>-16</v>
      </c>
      <c r="AU13" s="868">
        <f>AX13-AR13</f>
        <v>136336</v>
      </c>
      <c r="AV13" s="868">
        <f>AY13-AS13</f>
        <v>115197</v>
      </c>
      <c r="AW13" s="615">
        <f t="shared" si="11"/>
        <v>-15.5</v>
      </c>
      <c r="AX13" s="925">
        <v>1127548</v>
      </c>
      <c r="AY13" s="925">
        <v>947353</v>
      </c>
      <c r="AZ13" s="615">
        <f t="shared" si="12"/>
        <v>-16</v>
      </c>
      <c r="BA13" s="868">
        <f>BD13-AX13</f>
        <v>129711</v>
      </c>
      <c r="BB13" s="868">
        <f>BE13-AY13</f>
        <v>149047</v>
      </c>
      <c r="BC13" s="615">
        <f t="shared" si="13"/>
        <v>14.9</v>
      </c>
      <c r="BD13" s="868">
        <v>1257259</v>
      </c>
      <c r="BE13" s="868">
        <v>1096400</v>
      </c>
      <c r="BF13" s="615">
        <f t="shared" si="14"/>
        <v>-12.8</v>
      </c>
      <c r="BG13" s="868">
        <f>BJ13-BD13</f>
        <v>138231</v>
      </c>
      <c r="BH13" s="868">
        <f>BK13-BE13</f>
        <v>153508</v>
      </c>
      <c r="BI13" s="615">
        <f t="shared" si="15"/>
        <v>11.1</v>
      </c>
      <c r="BJ13" s="868">
        <v>1395490</v>
      </c>
      <c r="BK13" s="868">
        <v>1249908</v>
      </c>
      <c r="BL13" s="615">
        <f t="shared" si="16"/>
        <v>-10.4</v>
      </c>
      <c r="BM13" s="868">
        <f>BP13-BJ13</f>
        <v>161763</v>
      </c>
      <c r="BN13" s="868">
        <f>BQ13-BK13</f>
        <v>163428</v>
      </c>
      <c r="BO13" s="615">
        <f t="shared" si="17"/>
        <v>1</v>
      </c>
      <c r="BP13" s="868">
        <v>1557253</v>
      </c>
      <c r="BQ13" s="868">
        <v>1413336</v>
      </c>
      <c r="BR13" s="615">
        <f t="shared" si="18"/>
        <v>-9.1999999999999993</v>
      </c>
      <c r="BS13" s="868">
        <f>BV13-BP13</f>
        <v>163812</v>
      </c>
      <c r="BT13" s="868">
        <f>BW13-BQ13</f>
        <v>154202</v>
      </c>
      <c r="BU13" s="615">
        <f t="shared" si="19"/>
        <v>-5.9</v>
      </c>
      <c r="BV13" s="868">
        <v>1721065</v>
      </c>
      <c r="BW13" s="868">
        <v>1567538</v>
      </c>
      <c r="BX13" s="615">
        <f t="shared" si="20"/>
        <v>-8.9</v>
      </c>
    </row>
    <row r="14" spans="1:76" ht="22.5" customHeight="1">
      <c r="A14" s="14"/>
      <c r="B14" s="1099"/>
      <c r="C14" s="1100"/>
      <c r="D14" s="370" t="s">
        <v>15</v>
      </c>
      <c r="E14" s="12">
        <f t="shared" ref="E14:O14" si="23">E13/E12*1000</f>
        <v>8005.3119134287308</v>
      </c>
      <c r="F14" s="12">
        <f t="shared" si="23"/>
        <v>7096.7416896125142</v>
      </c>
      <c r="G14" s="12">
        <f t="shared" si="23"/>
        <v>6694.7331185735184</v>
      </c>
      <c r="H14" s="12">
        <f t="shared" si="23"/>
        <v>6434.0375358828442</v>
      </c>
      <c r="I14" s="12">
        <f t="shared" si="23"/>
        <v>5298.1028500405673</v>
      </c>
      <c r="J14" s="12">
        <f t="shared" si="23"/>
        <v>4345.8752412139638</v>
      </c>
      <c r="K14" s="12">
        <f t="shared" si="23"/>
        <v>5139.9473720781989</v>
      </c>
      <c r="L14" s="184">
        <f t="shared" si="23"/>
        <v>5872.7424670155087</v>
      </c>
      <c r="M14" s="442">
        <f>M13/M12*1000</f>
        <v>5326.2096036692601</v>
      </c>
      <c r="N14" s="310">
        <f t="shared" si="23"/>
        <v>5651.3689186527472</v>
      </c>
      <c r="O14" s="310">
        <f t="shared" si="23"/>
        <v>5109.6540262879589</v>
      </c>
      <c r="P14" s="194">
        <f t="shared" si="0"/>
        <v>-9.6</v>
      </c>
      <c r="Q14" s="317">
        <f>Q13/Q12*1000</f>
        <v>5586.0310724796382</v>
      </c>
      <c r="R14" s="317">
        <f>R13/R12*1000</f>
        <v>5252.4984577421337</v>
      </c>
      <c r="S14" s="204">
        <f t="shared" si="1"/>
        <v>-6</v>
      </c>
      <c r="T14" s="310">
        <f>T13/T12*1000</f>
        <v>5621.8866292984976</v>
      </c>
      <c r="U14" s="310">
        <f>U13/U12*1000</f>
        <v>5180.3403800656342</v>
      </c>
      <c r="V14" s="204">
        <f t="shared" si="2"/>
        <v>-7.9</v>
      </c>
      <c r="W14" s="317">
        <f>W13/W12*1000</f>
        <v>5551.8070656776072</v>
      </c>
      <c r="X14" s="317">
        <f>X13/X12*1000</f>
        <v>5097.8230576285878</v>
      </c>
      <c r="Y14" s="204">
        <f t="shared" si="3"/>
        <v>-8.1999999999999993</v>
      </c>
      <c r="Z14" s="310">
        <f>Z13/Z12*1000</f>
        <v>5599.9427262313857</v>
      </c>
      <c r="AA14" s="310">
        <f>AA13/AA12*1000</f>
        <v>5153.095861279241</v>
      </c>
      <c r="AB14" s="204">
        <f t="shared" si="4"/>
        <v>-8</v>
      </c>
      <c r="AC14" s="317">
        <f>AC13/AC12*1000</f>
        <v>5536.3950583484484</v>
      </c>
      <c r="AD14" s="317">
        <f>AD13/AD12*1000</f>
        <v>4685.406912327102</v>
      </c>
      <c r="AE14" s="204">
        <f t="shared" si="5"/>
        <v>-15.4</v>
      </c>
      <c r="AF14" s="310">
        <f>AF13/AF12*1000</f>
        <v>5584.9074936237394</v>
      </c>
      <c r="AG14" s="310">
        <f>AG13/AG12*1000</f>
        <v>5049.06707370396</v>
      </c>
      <c r="AH14" s="204">
        <f t="shared" si="6"/>
        <v>-9.6</v>
      </c>
      <c r="AI14" s="317">
        <f>AI13/AI12*1000</f>
        <v>5536.6281107606028</v>
      </c>
      <c r="AJ14" s="317">
        <f>AJ13/AJ12*1000</f>
        <v>4401.0425870295103</v>
      </c>
      <c r="AK14" s="204">
        <f t="shared" si="7"/>
        <v>-20.5</v>
      </c>
      <c r="AL14" s="310">
        <f>AL13/AL12*1000</f>
        <v>5575.8476666557044</v>
      </c>
      <c r="AM14" s="310">
        <f>AM13/AM12*1000</f>
        <v>4950.2368231338805</v>
      </c>
      <c r="AN14" s="204">
        <f t="shared" si="8"/>
        <v>-11.2</v>
      </c>
      <c r="AO14" s="631">
        <f>AO13/AO12*1000</f>
        <v>5486.9029865014718</v>
      </c>
      <c r="AP14" s="631">
        <f>AP13/AP12*1000</f>
        <v>4299.5145631067962</v>
      </c>
      <c r="AQ14" s="622">
        <f t="shared" si="9"/>
        <v>-21.6</v>
      </c>
      <c r="AR14" s="626">
        <f>AR13/AR12*1000</f>
        <v>5562.7939344280694</v>
      </c>
      <c r="AS14" s="626">
        <f>AS13/AS12*1000</f>
        <v>4864.0484443223468</v>
      </c>
      <c r="AT14" s="622">
        <f t="shared" si="10"/>
        <v>-12.6</v>
      </c>
      <c r="AU14" s="631">
        <f>AU13/AU12*1000</f>
        <v>5380.693030231273</v>
      </c>
      <c r="AV14" s="631">
        <f>AV13/AV12*1000</f>
        <v>4705.3753778286082</v>
      </c>
      <c r="AW14" s="622">
        <f t="shared" si="11"/>
        <v>-12.6</v>
      </c>
      <c r="AX14" s="930">
        <f>AX13/AX12*1000</f>
        <v>5540.12303217311</v>
      </c>
      <c r="AY14" s="930">
        <f>AY13/AY12*1000</f>
        <v>4844.1847978932828</v>
      </c>
      <c r="AZ14" s="622">
        <f t="shared" si="12"/>
        <v>-12.6</v>
      </c>
      <c r="BA14" s="631">
        <f>BA13/BA12*1000</f>
        <v>5202.5910476496065</v>
      </c>
      <c r="BB14" s="631">
        <f>BB13/BB12*1000</f>
        <v>5023.8303896454099</v>
      </c>
      <c r="BC14" s="622">
        <f t="shared" si="13"/>
        <v>-3.4</v>
      </c>
      <c r="BD14" s="626">
        <f>BD13/BD12*1000</f>
        <v>5503.2872850789654</v>
      </c>
      <c r="BE14" s="626">
        <f>BE13/BE12*1000</f>
        <v>4867.8479618883557</v>
      </c>
      <c r="BF14" s="622">
        <f t="shared" si="14"/>
        <v>-11.5</v>
      </c>
      <c r="BG14" s="631">
        <f>BG13/BG12*1000</f>
        <v>5059.8850616786849</v>
      </c>
      <c r="BH14" s="631">
        <f>BH13/BH12*1000</f>
        <v>5297.9465056082827</v>
      </c>
      <c r="BI14" s="622">
        <f t="shared" si="15"/>
        <v>4.7</v>
      </c>
      <c r="BJ14" s="626">
        <f>BJ13/BJ12*1000</f>
        <v>5455.9280617730428</v>
      </c>
      <c r="BK14" s="626">
        <f>BK13/BK12*1000</f>
        <v>4916.8712235649546</v>
      </c>
      <c r="BL14" s="622">
        <f t="shared" si="16"/>
        <v>-9.9</v>
      </c>
      <c r="BM14" s="631">
        <f>BM13/BM12*1000</f>
        <v>5052.2518583296887</v>
      </c>
      <c r="BN14" s="631">
        <f>BN13/BN12*1000</f>
        <v>5577.9378135772549</v>
      </c>
      <c r="BO14" s="622">
        <f t="shared" si="17"/>
        <v>10.4</v>
      </c>
      <c r="BP14" s="626">
        <f>BP13/BP12*1000</f>
        <v>5411.0176411518005</v>
      </c>
      <c r="BQ14" s="626">
        <f>BQ13/BQ12*1000</f>
        <v>4985.1890782238179</v>
      </c>
      <c r="BR14" s="622">
        <f t="shared" si="18"/>
        <v>-7.9</v>
      </c>
      <c r="BS14" s="631">
        <f>BS13/BS12*1000</f>
        <v>4967.1609205858267</v>
      </c>
      <c r="BT14" s="631">
        <f>BT13/BT12*1000</f>
        <v>5873.4669002818619</v>
      </c>
      <c r="BU14" s="622">
        <f t="shared" si="19"/>
        <v>18.2</v>
      </c>
      <c r="BV14" s="626">
        <f>BV13/BV12*1000</f>
        <v>5365.3841357724486</v>
      </c>
      <c r="BW14" s="626">
        <f>BW13/BW12*1000</f>
        <v>5060.4756570388136</v>
      </c>
      <c r="BX14" s="622">
        <f t="shared" si="20"/>
        <v>-5.7</v>
      </c>
    </row>
    <row r="15" spans="1:76" ht="22.5" customHeight="1">
      <c r="A15" s="14" t="s">
        <v>18</v>
      </c>
      <c r="B15" s="1099" t="s">
        <v>19</v>
      </c>
      <c r="C15" s="1100">
        <v>7407</v>
      </c>
      <c r="D15" s="365" t="s">
        <v>13</v>
      </c>
      <c r="E15" s="11">
        <v>3321</v>
      </c>
      <c r="F15" s="11">
        <v>2740</v>
      </c>
      <c r="G15" s="11">
        <v>3531</v>
      </c>
      <c r="H15" s="11">
        <v>2036</v>
      </c>
      <c r="I15" s="11">
        <v>2182</v>
      </c>
      <c r="J15" s="11">
        <v>4142</v>
      </c>
      <c r="K15" s="11">
        <v>2845</v>
      </c>
      <c r="L15" s="183">
        <v>1970</v>
      </c>
      <c r="M15" s="312">
        <v>2387</v>
      </c>
      <c r="N15" s="311">
        <v>170</v>
      </c>
      <c r="O15" s="311">
        <v>173</v>
      </c>
      <c r="P15" s="195">
        <f t="shared" si="0"/>
        <v>1.8</v>
      </c>
      <c r="Q15" s="311">
        <f>T15-N15</f>
        <v>159</v>
      </c>
      <c r="R15" s="311">
        <f>U15-O15</f>
        <v>145</v>
      </c>
      <c r="S15" s="206">
        <f t="shared" si="1"/>
        <v>-8.8000000000000007</v>
      </c>
      <c r="T15" s="311">
        <v>329</v>
      </c>
      <c r="U15" s="311">
        <v>318</v>
      </c>
      <c r="V15" s="206">
        <f t="shared" si="2"/>
        <v>-3.3</v>
      </c>
      <c r="W15" s="311">
        <f>Z15-T15</f>
        <v>191</v>
      </c>
      <c r="X15" s="311">
        <f>AA15-U15</f>
        <v>251</v>
      </c>
      <c r="Y15" s="206">
        <f t="shared" si="3"/>
        <v>31.4</v>
      </c>
      <c r="Z15" s="311">
        <v>520</v>
      </c>
      <c r="AA15" s="311">
        <v>569</v>
      </c>
      <c r="AB15" s="206">
        <f t="shared" si="4"/>
        <v>9.4</v>
      </c>
      <c r="AC15" s="311">
        <f>AF15-Z15</f>
        <v>231</v>
      </c>
      <c r="AD15" s="311">
        <f>AG15-AA15</f>
        <v>175</v>
      </c>
      <c r="AE15" s="206">
        <f t="shared" si="5"/>
        <v>-24.2</v>
      </c>
      <c r="AF15" s="311">
        <v>751</v>
      </c>
      <c r="AG15" s="311">
        <v>744</v>
      </c>
      <c r="AH15" s="206">
        <f t="shared" si="6"/>
        <v>-0.9</v>
      </c>
      <c r="AI15" s="311">
        <f>AL15-AF15</f>
        <v>215</v>
      </c>
      <c r="AJ15" s="311">
        <f>AM15-AG15</f>
        <v>189</v>
      </c>
      <c r="AK15" s="206">
        <f t="shared" si="7"/>
        <v>-12.1</v>
      </c>
      <c r="AL15" s="311">
        <v>966</v>
      </c>
      <c r="AM15" s="311">
        <v>933</v>
      </c>
      <c r="AN15" s="206">
        <f t="shared" si="8"/>
        <v>-3.4</v>
      </c>
      <c r="AO15" s="627">
        <f>AR15-AL15</f>
        <v>168</v>
      </c>
      <c r="AP15" s="627">
        <f>AS15-AM15</f>
        <v>238</v>
      </c>
      <c r="AQ15" s="623">
        <f t="shared" si="9"/>
        <v>41.7</v>
      </c>
      <c r="AR15" s="869">
        <v>1134</v>
      </c>
      <c r="AS15" s="869">
        <v>1171</v>
      </c>
      <c r="AT15" s="623">
        <f t="shared" si="10"/>
        <v>3.3</v>
      </c>
      <c r="AU15" s="869">
        <f>AX15-AR15</f>
        <v>242</v>
      </c>
      <c r="AV15" s="869">
        <f>AY15-AS15</f>
        <v>187</v>
      </c>
      <c r="AW15" s="623">
        <f t="shared" si="11"/>
        <v>-22.7</v>
      </c>
      <c r="AX15" s="929">
        <v>1376</v>
      </c>
      <c r="AY15" s="929">
        <v>1358</v>
      </c>
      <c r="AZ15" s="623">
        <f t="shared" si="12"/>
        <v>-1.3</v>
      </c>
      <c r="BA15" s="869">
        <f>BD15-AX15</f>
        <v>222</v>
      </c>
      <c r="BB15" s="869">
        <f>BE15-AY15</f>
        <v>126</v>
      </c>
      <c r="BC15" s="623">
        <f t="shared" si="13"/>
        <v>-43.2</v>
      </c>
      <c r="BD15" s="869">
        <v>1598</v>
      </c>
      <c r="BE15" s="869">
        <v>1484</v>
      </c>
      <c r="BF15" s="623">
        <f t="shared" si="14"/>
        <v>-7.1</v>
      </c>
      <c r="BG15" s="869">
        <f>BJ15-BD15</f>
        <v>162</v>
      </c>
      <c r="BH15" s="869">
        <f>BK15-BE15</f>
        <v>468</v>
      </c>
      <c r="BI15" s="623">
        <f t="shared" si="15"/>
        <v>188.9</v>
      </c>
      <c r="BJ15" s="869">
        <v>1760</v>
      </c>
      <c r="BK15" s="869">
        <v>1952</v>
      </c>
      <c r="BL15" s="623">
        <f t="shared" si="16"/>
        <v>10.9</v>
      </c>
      <c r="BM15" s="869">
        <f>BP15-BJ15</f>
        <v>268</v>
      </c>
      <c r="BN15" s="869">
        <f>BQ15-BK15</f>
        <v>173</v>
      </c>
      <c r="BO15" s="623">
        <f t="shared" si="17"/>
        <v>-35.4</v>
      </c>
      <c r="BP15" s="869">
        <v>2028</v>
      </c>
      <c r="BQ15" s="869">
        <v>2125</v>
      </c>
      <c r="BR15" s="623">
        <f t="shared" si="18"/>
        <v>4.8</v>
      </c>
      <c r="BS15" s="869">
        <f>BV15-BP15</f>
        <v>206</v>
      </c>
      <c r="BT15" s="869">
        <f>BW15-BQ15</f>
        <v>243</v>
      </c>
      <c r="BU15" s="623">
        <f t="shared" si="19"/>
        <v>18</v>
      </c>
      <c r="BV15" s="869">
        <v>2234</v>
      </c>
      <c r="BW15" s="869">
        <v>2368</v>
      </c>
      <c r="BX15" s="623">
        <f t="shared" si="20"/>
        <v>6</v>
      </c>
    </row>
    <row r="16" spans="1:76" ht="22.5" customHeight="1">
      <c r="A16" s="14" t="s">
        <v>18</v>
      </c>
      <c r="B16" s="1099"/>
      <c r="C16" s="1100"/>
      <c r="D16" s="366" t="s">
        <v>14</v>
      </c>
      <c r="E16" s="6">
        <v>40697</v>
      </c>
      <c r="F16" s="6">
        <v>31608</v>
      </c>
      <c r="G16" s="6">
        <v>35543</v>
      </c>
      <c r="H16" s="6">
        <v>23314</v>
      </c>
      <c r="I16" s="6">
        <v>25227</v>
      </c>
      <c r="J16" s="6">
        <v>28658</v>
      </c>
      <c r="K16" s="6">
        <v>25964</v>
      </c>
      <c r="L16" s="180">
        <v>23915</v>
      </c>
      <c r="M16" s="438">
        <v>24145</v>
      </c>
      <c r="N16" s="309">
        <v>1871</v>
      </c>
      <c r="O16" s="309">
        <v>1572</v>
      </c>
      <c r="P16" s="193">
        <f t="shared" si="0"/>
        <v>-16</v>
      </c>
      <c r="Q16" s="309">
        <f>T16-N16</f>
        <v>1559</v>
      </c>
      <c r="R16" s="309">
        <f>U16-O16</f>
        <v>1370</v>
      </c>
      <c r="S16" s="193">
        <f t="shared" si="1"/>
        <v>-12.1</v>
      </c>
      <c r="T16" s="309">
        <v>3430</v>
      </c>
      <c r="U16" s="309">
        <v>2942</v>
      </c>
      <c r="V16" s="193">
        <f t="shared" si="2"/>
        <v>-14.2</v>
      </c>
      <c r="W16" s="309">
        <f>Z16-T16</f>
        <v>1939</v>
      </c>
      <c r="X16" s="309">
        <f>AA16-U16</f>
        <v>2512</v>
      </c>
      <c r="Y16" s="193">
        <f t="shared" si="3"/>
        <v>29.6</v>
      </c>
      <c r="Z16" s="309">
        <v>5369</v>
      </c>
      <c r="AA16" s="309">
        <v>5454</v>
      </c>
      <c r="AB16" s="193">
        <f t="shared" si="4"/>
        <v>1.6</v>
      </c>
      <c r="AC16" s="309">
        <f>AF16-Z16</f>
        <v>2375</v>
      </c>
      <c r="AD16" s="309">
        <f>AG16-AA16</f>
        <v>1780</v>
      </c>
      <c r="AE16" s="193">
        <f t="shared" si="5"/>
        <v>-25.1</v>
      </c>
      <c r="AF16" s="309">
        <v>7744</v>
      </c>
      <c r="AG16" s="309">
        <v>7234</v>
      </c>
      <c r="AH16" s="193">
        <f t="shared" si="6"/>
        <v>-6.6</v>
      </c>
      <c r="AI16" s="309">
        <f>AL16-AF16</f>
        <v>2142</v>
      </c>
      <c r="AJ16" s="309">
        <f>AM16-AG16</f>
        <v>1746</v>
      </c>
      <c r="AK16" s="193">
        <f t="shared" si="7"/>
        <v>-18.5</v>
      </c>
      <c r="AL16" s="309">
        <v>9886</v>
      </c>
      <c r="AM16" s="309">
        <v>8980</v>
      </c>
      <c r="AN16" s="193">
        <f t="shared" si="8"/>
        <v>-9.1999999999999993</v>
      </c>
      <c r="AO16" s="625">
        <f>AR16-AL16</f>
        <v>1728</v>
      </c>
      <c r="AP16" s="625">
        <f>AS16-AM16</f>
        <v>2258</v>
      </c>
      <c r="AQ16" s="615">
        <f t="shared" si="9"/>
        <v>30.7</v>
      </c>
      <c r="AR16" s="868">
        <v>11614</v>
      </c>
      <c r="AS16" s="868">
        <v>11238</v>
      </c>
      <c r="AT16" s="615">
        <f t="shared" si="10"/>
        <v>-3.2</v>
      </c>
      <c r="AU16" s="868">
        <f>AX16-AR16</f>
        <v>2509</v>
      </c>
      <c r="AV16" s="868">
        <f>AY16-AS16</f>
        <v>2006</v>
      </c>
      <c r="AW16" s="615">
        <f t="shared" si="11"/>
        <v>-20</v>
      </c>
      <c r="AX16" s="925">
        <v>14123</v>
      </c>
      <c r="AY16" s="925">
        <v>13244</v>
      </c>
      <c r="AZ16" s="615">
        <f t="shared" si="12"/>
        <v>-6.2</v>
      </c>
      <c r="BA16" s="868">
        <f>BD16-AX16</f>
        <v>2374</v>
      </c>
      <c r="BB16" s="868">
        <f>BE16-AY16</f>
        <v>1169</v>
      </c>
      <c r="BC16" s="615">
        <f t="shared" si="13"/>
        <v>-50.8</v>
      </c>
      <c r="BD16" s="868">
        <v>16497</v>
      </c>
      <c r="BE16" s="868">
        <v>14413</v>
      </c>
      <c r="BF16" s="615">
        <f t="shared" si="14"/>
        <v>-12.6</v>
      </c>
      <c r="BG16" s="868">
        <f>BJ16-BD16</f>
        <v>1893</v>
      </c>
      <c r="BH16" s="868">
        <f>BK16-BE16</f>
        <v>3988</v>
      </c>
      <c r="BI16" s="615">
        <f t="shared" si="15"/>
        <v>110.7</v>
      </c>
      <c r="BJ16" s="868">
        <v>18390</v>
      </c>
      <c r="BK16" s="868">
        <v>18401</v>
      </c>
      <c r="BL16" s="615">
        <f t="shared" si="16"/>
        <v>0.1</v>
      </c>
      <c r="BM16" s="868">
        <f>BP16-BJ16</f>
        <v>2141</v>
      </c>
      <c r="BN16" s="868">
        <f>BQ16-BK16</f>
        <v>1793</v>
      </c>
      <c r="BO16" s="615">
        <f t="shared" si="17"/>
        <v>-16.3</v>
      </c>
      <c r="BP16" s="868">
        <v>20531</v>
      </c>
      <c r="BQ16" s="868">
        <v>20194</v>
      </c>
      <c r="BR16" s="615">
        <f t="shared" si="18"/>
        <v>-1.6</v>
      </c>
      <c r="BS16" s="868">
        <f>BV16-BP16</f>
        <v>2075</v>
      </c>
      <c r="BT16" s="868">
        <f>BW16-BQ16</f>
        <v>2354</v>
      </c>
      <c r="BU16" s="615">
        <f t="shared" si="19"/>
        <v>13.4</v>
      </c>
      <c r="BV16" s="868">
        <v>22606</v>
      </c>
      <c r="BW16" s="868">
        <v>22548</v>
      </c>
      <c r="BX16" s="615">
        <f t="shared" si="20"/>
        <v>-0.3</v>
      </c>
    </row>
    <row r="17" spans="1:76" ht="22.5" customHeight="1">
      <c r="A17" s="14"/>
      <c r="B17" s="1099"/>
      <c r="C17" s="1100"/>
      <c r="D17" s="370" t="s">
        <v>15</v>
      </c>
      <c r="E17" s="12">
        <f t="shared" ref="E17:O17" si="24">E16/E15*1000</f>
        <v>12254.441433303222</v>
      </c>
      <c r="F17" s="12">
        <f t="shared" si="24"/>
        <v>11535.766423357663</v>
      </c>
      <c r="G17" s="12">
        <f t="shared" si="24"/>
        <v>10065.986972529028</v>
      </c>
      <c r="H17" s="12">
        <f t="shared" si="24"/>
        <v>11450.884086444008</v>
      </c>
      <c r="I17" s="12">
        <f t="shared" si="24"/>
        <v>11561.411549037579</v>
      </c>
      <c r="J17" s="12">
        <f t="shared" si="24"/>
        <v>6918.8797682279092</v>
      </c>
      <c r="K17" s="12">
        <f t="shared" si="24"/>
        <v>9126.1862917398958</v>
      </c>
      <c r="L17" s="184">
        <f t="shared" si="24"/>
        <v>12139.593908629442</v>
      </c>
      <c r="M17" s="442">
        <f>M16/M15*1000</f>
        <v>10115.207373271889</v>
      </c>
      <c r="N17" s="310">
        <f t="shared" si="24"/>
        <v>11005.882352941177</v>
      </c>
      <c r="O17" s="310">
        <f t="shared" si="24"/>
        <v>9086.7052023121396</v>
      </c>
      <c r="P17" s="194">
        <f t="shared" si="0"/>
        <v>-17.399999999999999</v>
      </c>
      <c r="Q17" s="317">
        <f>Q16/Q15*1000</f>
        <v>9805.031446540881</v>
      </c>
      <c r="R17" s="317">
        <f>R16/R15*1000</f>
        <v>9448.2758620689656</v>
      </c>
      <c r="S17" s="204">
        <f t="shared" si="1"/>
        <v>-3.6</v>
      </c>
      <c r="T17" s="310">
        <f>T16/T15*1000</f>
        <v>10425.531914893616</v>
      </c>
      <c r="U17" s="310">
        <f>U16/U15*1000</f>
        <v>9251.5723270440249</v>
      </c>
      <c r="V17" s="204">
        <f t="shared" si="2"/>
        <v>-11.3</v>
      </c>
      <c r="W17" s="317">
        <f>W16/W15*1000</f>
        <v>10151.832460732985</v>
      </c>
      <c r="X17" s="317">
        <f>X16/X15*1000</f>
        <v>10007.968127490039</v>
      </c>
      <c r="Y17" s="204">
        <f t="shared" si="3"/>
        <v>-1.4</v>
      </c>
      <c r="Z17" s="310">
        <f>Z16/Z15*1000</f>
        <v>10325</v>
      </c>
      <c r="AA17" s="310">
        <f>AA16/AA15*1000</f>
        <v>9585.2372583479792</v>
      </c>
      <c r="AB17" s="204">
        <f t="shared" si="4"/>
        <v>-7.2</v>
      </c>
      <c r="AC17" s="317">
        <f>AC16/AC15*1000</f>
        <v>10281.385281385281</v>
      </c>
      <c r="AD17" s="317">
        <f>AD16/AD15*1000</f>
        <v>10171.428571428571</v>
      </c>
      <c r="AE17" s="204">
        <f t="shared" si="5"/>
        <v>-1.1000000000000001</v>
      </c>
      <c r="AF17" s="310">
        <f>AF16/AF15*1000</f>
        <v>10311.584553928096</v>
      </c>
      <c r="AG17" s="310">
        <f>AG16/AG15*1000</f>
        <v>9723.1182795698915</v>
      </c>
      <c r="AH17" s="204">
        <f t="shared" si="6"/>
        <v>-5.7</v>
      </c>
      <c r="AI17" s="317">
        <f>AI16/AI15*1000</f>
        <v>9962.790697674418</v>
      </c>
      <c r="AJ17" s="317">
        <f>AJ16/AJ15*1000</f>
        <v>9238.0952380952367</v>
      </c>
      <c r="AK17" s="204">
        <f t="shared" si="7"/>
        <v>-7.3</v>
      </c>
      <c r="AL17" s="310">
        <f>AL16/AL15*1000</f>
        <v>10233.954451345757</v>
      </c>
      <c r="AM17" s="310">
        <f>AM16/AM15*1000</f>
        <v>9624.8660235798507</v>
      </c>
      <c r="AN17" s="204">
        <f t="shared" si="8"/>
        <v>-6</v>
      </c>
      <c r="AO17" s="631">
        <f>AO16/AO15*1000</f>
        <v>10285.714285714286</v>
      </c>
      <c r="AP17" s="631">
        <f>AP16/AP15*1000</f>
        <v>9487.3949579831933</v>
      </c>
      <c r="AQ17" s="622">
        <f t="shared" si="9"/>
        <v>-7.8</v>
      </c>
      <c r="AR17" s="626">
        <f>AR16/AR15*1000</f>
        <v>10241.622574955909</v>
      </c>
      <c r="AS17" s="626">
        <f>AS16/AS15*1000</f>
        <v>9596.9257045260474</v>
      </c>
      <c r="AT17" s="622">
        <f t="shared" si="10"/>
        <v>-6.3</v>
      </c>
      <c r="AU17" s="631">
        <f>AU16/AU15*1000</f>
        <v>10367.768595041323</v>
      </c>
      <c r="AV17" s="631">
        <f>AV16/AV15*1000</f>
        <v>10727.272727272726</v>
      </c>
      <c r="AW17" s="622">
        <f t="shared" si="11"/>
        <v>3.5</v>
      </c>
      <c r="AX17" s="930">
        <f>AX16/AX15*1000</f>
        <v>10263.808139534884</v>
      </c>
      <c r="AY17" s="930">
        <f>AY16/AY15*1000</f>
        <v>9752.57731958763</v>
      </c>
      <c r="AZ17" s="622">
        <f t="shared" si="12"/>
        <v>-5</v>
      </c>
      <c r="BA17" s="631">
        <f>BA16/BA15*1000</f>
        <v>10693.693693693695</v>
      </c>
      <c r="BB17" s="631">
        <f>BB16/BB15*1000</f>
        <v>9277.7777777777792</v>
      </c>
      <c r="BC17" s="622">
        <f t="shared" si="13"/>
        <v>-13.2</v>
      </c>
      <c r="BD17" s="626">
        <f>BD16/BD15*1000</f>
        <v>10323.529411764706</v>
      </c>
      <c r="BE17" s="626">
        <f>BE16/BE15*1000</f>
        <v>9712.2641509433961</v>
      </c>
      <c r="BF17" s="622">
        <f t="shared" si="14"/>
        <v>-5.9</v>
      </c>
      <c r="BG17" s="631">
        <f>BG16/BG15*1000</f>
        <v>11685.185185185184</v>
      </c>
      <c r="BH17" s="631">
        <f>BH16/BH15*1000</f>
        <v>8521.3675213675215</v>
      </c>
      <c r="BI17" s="622">
        <f t="shared" si="15"/>
        <v>-27.1</v>
      </c>
      <c r="BJ17" s="626">
        <f>BJ16/BJ15*1000</f>
        <v>10448.863636363636</v>
      </c>
      <c r="BK17" s="626">
        <f>BK16/BK15*1000</f>
        <v>9426.7418032786882</v>
      </c>
      <c r="BL17" s="622">
        <f t="shared" si="16"/>
        <v>-9.8000000000000007</v>
      </c>
      <c r="BM17" s="631">
        <f>BM16/BM15*1000</f>
        <v>7988.8059701492539</v>
      </c>
      <c r="BN17" s="631">
        <f>BN16/BN15*1000</f>
        <v>10364.161849710983</v>
      </c>
      <c r="BO17" s="622">
        <f t="shared" si="17"/>
        <v>29.7</v>
      </c>
      <c r="BP17" s="626">
        <f>BP16/BP15*1000</f>
        <v>10123.767258382642</v>
      </c>
      <c r="BQ17" s="626">
        <f>BQ16/BQ15*1000</f>
        <v>9503.0588235294108</v>
      </c>
      <c r="BR17" s="622">
        <f t="shared" si="18"/>
        <v>-6.1</v>
      </c>
      <c r="BS17" s="631">
        <f>BS16/BS15*1000</f>
        <v>10072.815533980583</v>
      </c>
      <c r="BT17" s="631">
        <f>BT16/BT15*1000</f>
        <v>9687.2427983539092</v>
      </c>
      <c r="BU17" s="622">
        <f t="shared" si="19"/>
        <v>-3.8</v>
      </c>
      <c r="BV17" s="626">
        <f>BV16/BV15*1000</f>
        <v>10119.068934646375</v>
      </c>
      <c r="BW17" s="626">
        <f>BW16/BW15*1000</f>
        <v>9521.95945945946</v>
      </c>
      <c r="BX17" s="622">
        <f t="shared" si="20"/>
        <v>-5.9</v>
      </c>
    </row>
    <row r="18" spans="1:76" ht="22.5" customHeight="1">
      <c r="A18" s="14"/>
      <c r="B18" s="1099" t="s">
        <v>20</v>
      </c>
      <c r="C18" s="1100">
        <v>7408</v>
      </c>
      <c r="D18" s="365" t="s">
        <v>13</v>
      </c>
      <c r="E18" s="11">
        <v>8065</v>
      </c>
      <c r="F18" s="11">
        <v>11133</v>
      </c>
      <c r="G18" s="11">
        <v>11666</v>
      </c>
      <c r="H18" s="11">
        <v>11162</v>
      </c>
      <c r="I18" s="11">
        <v>7508</v>
      </c>
      <c r="J18" s="11">
        <v>4455</v>
      </c>
      <c r="K18" s="11">
        <v>5260</v>
      </c>
      <c r="L18" s="183">
        <v>6202</v>
      </c>
      <c r="M18" s="312">
        <v>5892</v>
      </c>
      <c r="N18" s="311">
        <v>548</v>
      </c>
      <c r="O18" s="311">
        <v>545</v>
      </c>
      <c r="P18" s="195">
        <f t="shared" si="0"/>
        <v>-0.5</v>
      </c>
      <c r="Q18" s="311">
        <f>T18-N18</f>
        <v>322</v>
      </c>
      <c r="R18" s="311">
        <f>U18-O18</f>
        <v>361</v>
      </c>
      <c r="S18" s="206">
        <f t="shared" si="1"/>
        <v>12.1</v>
      </c>
      <c r="T18" s="311">
        <v>870</v>
      </c>
      <c r="U18" s="311">
        <v>906</v>
      </c>
      <c r="V18" s="206">
        <f t="shared" si="2"/>
        <v>4.0999999999999996</v>
      </c>
      <c r="W18" s="311">
        <f>Z18-T18</f>
        <v>504</v>
      </c>
      <c r="X18" s="311">
        <f>AA18-U18</f>
        <v>629</v>
      </c>
      <c r="Y18" s="206">
        <f t="shared" si="3"/>
        <v>24.8</v>
      </c>
      <c r="Z18" s="311">
        <v>1374</v>
      </c>
      <c r="AA18" s="311">
        <v>1535</v>
      </c>
      <c r="AB18" s="206">
        <f t="shared" si="4"/>
        <v>11.7</v>
      </c>
      <c r="AC18" s="311">
        <f>AF18-Z18</f>
        <v>563</v>
      </c>
      <c r="AD18" s="311">
        <f>AG18-AA18</f>
        <v>565</v>
      </c>
      <c r="AE18" s="206">
        <f t="shared" si="5"/>
        <v>0.4</v>
      </c>
      <c r="AF18" s="311">
        <v>1937</v>
      </c>
      <c r="AG18" s="311">
        <v>2100</v>
      </c>
      <c r="AH18" s="206">
        <f t="shared" si="6"/>
        <v>8.4</v>
      </c>
      <c r="AI18" s="311">
        <f>AL18-AF18</f>
        <v>449</v>
      </c>
      <c r="AJ18" s="311">
        <f>AM18-AG18</f>
        <v>384</v>
      </c>
      <c r="AK18" s="206">
        <f t="shared" si="7"/>
        <v>-14.5</v>
      </c>
      <c r="AL18" s="311">
        <v>2386</v>
      </c>
      <c r="AM18" s="311">
        <v>2484</v>
      </c>
      <c r="AN18" s="206">
        <f t="shared" si="8"/>
        <v>4.0999999999999996</v>
      </c>
      <c r="AO18" s="627">
        <f>AR18-AL18</f>
        <v>505</v>
      </c>
      <c r="AP18" s="627">
        <f>AS18-AM18</f>
        <v>575</v>
      </c>
      <c r="AQ18" s="623">
        <f t="shared" si="9"/>
        <v>13.9</v>
      </c>
      <c r="AR18" s="869">
        <v>2891</v>
      </c>
      <c r="AS18" s="869">
        <v>3059</v>
      </c>
      <c r="AT18" s="623">
        <f t="shared" si="10"/>
        <v>5.8</v>
      </c>
      <c r="AU18" s="869">
        <f>AX18-AR18</f>
        <v>500</v>
      </c>
      <c r="AV18" s="869">
        <f>AY18-AS18</f>
        <v>764</v>
      </c>
      <c r="AW18" s="623">
        <f t="shared" si="11"/>
        <v>52.8</v>
      </c>
      <c r="AX18" s="929">
        <v>3391</v>
      </c>
      <c r="AY18" s="929">
        <v>3823</v>
      </c>
      <c r="AZ18" s="623">
        <f t="shared" si="12"/>
        <v>12.7</v>
      </c>
      <c r="BA18" s="869">
        <f>BD18-AX18</f>
        <v>558</v>
      </c>
      <c r="BB18" s="869">
        <f>BE18-AY18</f>
        <v>374</v>
      </c>
      <c r="BC18" s="623">
        <f t="shared" si="13"/>
        <v>-33</v>
      </c>
      <c r="BD18" s="869">
        <v>3949</v>
      </c>
      <c r="BE18" s="869">
        <v>4197</v>
      </c>
      <c r="BF18" s="623">
        <f t="shared" si="14"/>
        <v>6.3</v>
      </c>
      <c r="BG18" s="869">
        <f>BJ18-BD18</f>
        <v>475</v>
      </c>
      <c r="BH18" s="869">
        <f>BK18-BE18</f>
        <v>411</v>
      </c>
      <c r="BI18" s="623">
        <f t="shared" si="15"/>
        <v>-13.5</v>
      </c>
      <c r="BJ18" s="869">
        <v>4424</v>
      </c>
      <c r="BK18" s="869">
        <v>4608</v>
      </c>
      <c r="BL18" s="623">
        <f t="shared" si="16"/>
        <v>4.2</v>
      </c>
      <c r="BM18" s="869">
        <f>BP18-BJ18</f>
        <v>587</v>
      </c>
      <c r="BN18" s="869">
        <f>BQ18-BK18</f>
        <v>388</v>
      </c>
      <c r="BO18" s="623">
        <f t="shared" si="17"/>
        <v>-33.9</v>
      </c>
      <c r="BP18" s="869">
        <v>5011</v>
      </c>
      <c r="BQ18" s="869">
        <v>4996</v>
      </c>
      <c r="BR18" s="623">
        <f t="shared" si="18"/>
        <v>-0.3</v>
      </c>
      <c r="BS18" s="869">
        <f>BV18-BP18</f>
        <v>482</v>
      </c>
      <c r="BT18" s="869">
        <f>BW18-BQ18</f>
        <v>508</v>
      </c>
      <c r="BU18" s="623">
        <f t="shared" si="19"/>
        <v>5.4</v>
      </c>
      <c r="BV18" s="869">
        <v>5493</v>
      </c>
      <c r="BW18" s="869">
        <v>5504</v>
      </c>
      <c r="BX18" s="623">
        <f t="shared" si="20"/>
        <v>0.2</v>
      </c>
    </row>
    <row r="19" spans="1:76" ht="22.5" customHeight="1">
      <c r="A19" s="14"/>
      <c r="B19" s="1099"/>
      <c r="C19" s="1100"/>
      <c r="D19" s="366" t="s">
        <v>14</v>
      </c>
      <c r="E19" s="6">
        <v>90495</v>
      </c>
      <c r="F19" s="6">
        <v>108652</v>
      </c>
      <c r="G19" s="6">
        <v>106441</v>
      </c>
      <c r="H19" s="6">
        <v>95950</v>
      </c>
      <c r="I19" s="6">
        <v>57757</v>
      </c>
      <c r="J19" s="6">
        <v>37169</v>
      </c>
      <c r="K19" s="6">
        <v>45507</v>
      </c>
      <c r="L19" s="180">
        <v>54353</v>
      </c>
      <c r="M19" s="438">
        <v>49855</v>
      </c>
      <c r="N19" s="309">
        <v>4464</v>
      </c>
      <c r="O19" s="309">
        <v>4293</v>
      </c>
      <c r="P19" s="193">
        <f t="shared" si="0"/>
        <v>-3.8</v>
      </c>
      <c r="Q19" s="309">
        <f>T19-N19</f>
        <v>2707</v>
      </c>
      <c r="R19" s="309">
        <f>U19-O19</f>
        <v>3157</v>
      </c>
      <c r="S19" s="193">
        <f t="shared" si="1"/>
        <v>16.600000000000001</v>
      </c>
      <c r="T19" s="309">
        <v>7171</v>
      </c>
      <c r="U19" s="309">
        <v>7450</v>
      </c>
      <c r="V19" s="193">
        <f t="shared" si="2"/>
        <v>3.9</v>
      </c>
      <c r="W19" s="309">
        <f>Z19-T19</f>
        <v>4416</v>
      </c>
      <c r="X19" s="309">
        <f>AA19-U19</f>
        <v>5009</v>
      </c>
      <c r="Y19" s="193">
        <f t="shared" si="3"/>
        <v>13.4</v>
      </c>
      <c r="Z19" s="309">
        <v>11587</v>
      </c>
      <c r="AA19" s="309">
        <v>12459</v>
      </c>
      <c r="AB19" s="193">
        <f t="shared" si="4"/>
        <v>7.5</v>
      </c>
      <c r="AC19" s="309">
        <f>AF19-Z19</f>
        <v>4720</v>
      </c>
      <c r="AD19" s="309">
        <f>AG19-AA19</f>
        <v>4134</v>
      </c>
      <c r="AE19" s="193">
        <f t="shared" si="5"/>
        <v>-12.4</v>
      </c>
      <c r="AF19" s="309">
        <v>16307</v>
      </c>
      <c r="AG19" s="309">
        <v>16593</v>
      </c>
      <c r="AH19" s="193">
        <f t="shared" si="6"/>
        <v>1.8</v>
      </c>
      <c r="AI19" s="309">
        <f>AL19-AF19</f>
        <v>3907</v>
      </c>
      <c r="AJ19" s="309">
        <f>AM19-AG19</f>
        <v>3058</v>
      </c>
      <c r="AK19" s="193">
        <f t="shared" si="7"/>
        <v>-21.7</v>
      </c>
      <c r="AL19" s="309">
        <v>20214</v>
      </c>
      <c r="AM19" s="309">
        <v>19651</v>
      </c>
      <c r="AN19" s="193">
        <f t="shared" si="8"/>
        <v>-2.8</v>
      </c>
      <c r="AO19" s="625">
        <f>AR19-AL19</f>
        <v>4450</v>
      </c>
      <c r="AP19" s="625">
        <f>AS19-AM19</f>
        <v>4251</v>
      </c>
      <c r="AQ19" s="615">
        <f t="shared" si="9"/>
        <v>-4.5</v>
      </c>
      <c r="AR19" s="868">
        <v>24664</v>
      </c>
      <c r="AS19" s="868">
        <v>23902</v>
      </c>
      <c r="AT19" s="615">
        <f t="shared" si="10"/>
        <v>-3.1</v>
      </c>
      <c r="AU19" s="868">
        <f>AX19-AR19</f>
        <v>4302</v>
      </c>
      <c r="AV19" s="868">
        <f>AY19-AS19</f>
        <v>6112</v>
      </c>
      <c r="AW19" s="615">
        <f t="shared" si="11"/>
        <v>42.1</v>
      </c>
      <c r="AX19" s="925">
        <v>28966</v>
      </c>
      <c r="AY19" s="925">
        <v>30014</v>
      </c>
      <c r="AZ19" s="615">
        <f t="shared" si="12"/>
        <v>3.6</v>
      </c>
      <c r="BA19" s="868">
        <f>BD19-AX19</f>
        <v>4757</v>
      </c>
      <c r="BB19" s="868">
        <f>BE19-AY19</f>
        <v>2895</v>
      </c>
      <c r="BC19" s="615">
        <f t="shared" si="13"/>
        <v>-39.1</v>
      </c>
      <c r="BD19" s="868">
        <v>33723</v>
      </c>
      <c r="BE19" s="868">
        <v>32909</v>
      </c>
      <c r="BF19" s="615">
        <f t="shared" si="14"/>
        <v>-2.4</v>
      </c>
      <c r="BG19" s="868">
        <f>BJ19-BD19</f>
        <v>3812</v>
      </c>
      <c r="BH19" s="868">
        <f>BK19-BE19</f>
        <v>3548</v>
      </c>
      <c r="BI19" s="615">
        <f t="shared" si="15"/>
        <v>-6.9</v>
      </c>
      <c r="BJ19" s="868">
        <v>37535</v>
      </c>
      <c r="BK19" s="868">
        <v>36457</v>
      </c>
      <c r="BL19" s="615">
        <f t="shared" si="16"/>
        <v>-2.9</v>
      </c>
      <c r="BM19" s="868">
        <f>BP19-BJ19</f>
        <v>4741</v>
      </c>
      <c r="BN19" s="868">
        <f>BQ19-BK19</f>
        <v>3302</v>
      </c>
      <c r="BO19" s="615">
        <f t="shared" si="17"/>
        <v>-30.4</v>
      </c>
      <c r="BP19" s="868">
        <v>42276</v>
      </c>
      <c r="BQ19" s="868">
        <v>39759</v>
      </c>
      <c r="BR19" s="615">
        <f t="shared" si="18"/>
        <v>-6</v>
      </c>
      <c r="BS19" s="868">
        <f>BV19-BP19</f>
        <v>4056</v>
      </c>
      <c r="BT19" s="868">
        <f>BW19-BQ19</f>
        <v>4455</v>
      </c>
      <c r="BU19" s="615">
        <f t="shared" si="19"/>
        <v>9.8000000000000007</v>
      </c>
      <c r="BV19" s="868">
        <v>46332</v>
      </c>
      <c r="BW19" s="868">
        <v>44214</v>
      </c>
      <c r="BX19" s="615">
        <f t="shared" si="20"/>
        <v>-4.5999999999999996</v>
      </c>
    </row>
    <row r="20" spans="1:76" ht="22.5" customHeight="1">
      <c r="A20" s="14"/>
      <c r="B20" s="1099"/>
      <c r="C20" s="1100"/>
      <c r="D20" s="370" t="s">
        <v>15</v>
      </c>
      <c r="E20" s="12">
        <f t="shared" ref="E20:O20" si="25">E19/E18*1000</f>
        <v>11220.706757594546</v>
      </c>
      <c r="F20" s="12">
        <f t="shared" si="25"/>
        <v>9759.4538758645485</v>
      </c>
      <c r="G20" s="12">
        <f t="shared" si="25"/>
        <v>9124.0356591805248</v>
      </c>
      <c r="H20" s="12">
        <f t="shared" si="25"/>
        <v>8596.1297258555805</v>
      </c>
      <c r="I20" s="12">
        <f t="shared" si="25"/>
        <v>7692.7277570591368</v>
      </c>
      <c r="J20" s="12">
        <f t="shared" si="25"/>
        <v>8343.2098765432092</v>
      </c>
      <c r="K20" s="12">
        <f t="shared" si="25"/>
        <v>8651.5209125475285</v>
      </c>
      <c r="L20" s="184">
        <f t="shared" si="25"/>
        <v>8763.785875524025</v>
      </c>
      <c r="M20" s="442">
        <f>M19/M18*1000</f>
        <v>8461.4731839782762</v>
      </c>
      <c r="N20" s="310">
        <f t="shared" si="25"/>
        <v>8145.9854014598532</v>
      </c>
      <c r="O20" s="310">
        <f t="shared" si="25"/>
        <v>7877.0642201834862</v>
      </c>
      <c r="P20" s="194">
        <f t="shared" si="0"/>
        <v>-3.3</v>
      </c>
      <c r="Q20" s="317">
        <f>Q19/Q18*1000</f>
        <v>8406.8322981366455</v>
      </c>
      <c r="R20" s="317">
        <f>R19/R18*1000</f>
        <v>8745.1523545706368</v>
      </c>
      <c r="S20" s="204">
        <f t="shared" si="1"/>
        <v>4</v>
      </c>
      <c r="T20" s="310">
        <f>T19/T18*1000</f>
        <v>8242.5287356321842</v>
      </c>
      <c r="U20" s="310">
        <f>U19/U18*1000</f>
        <v>8222.9580573951425</v>
      </c>
      <c r="V20" s="204">
        <f t="shared" si="2"/>
        <v>-0.2</v>
      </c>
      <c r="W20" s="317">
        <f>W19/W18*1000</f>
        <v>8761.9047619047633</v>
      </c>
      <c r="X20" s="317">
        <f>X19/X18*1000</f>
        <v>7963.434022257552</v>
      </c>
      <c r="Y20" s="204">
        <f t="shared" si="3"/>
        <v>-9.1</v>
      </c>
      <c r="Z20" s="310">
        <f>Z19/Z18*1000</f>
        <v>8433.0422125181958</v>
      </c>
      <c r="AA20" s="310">
        <f>AA19/AA18*1000</f>
        <v>8116.6123778501633</v>
      </c>
      <c r="AB20" s="204">
        <f t="shared" si="4"/>
        <v>-3.8</v>
      </c>
      <c r="AC20" s="317">
        <f>AC19/AC18*1000</f>
        <v>8383.6589698046173</v>
      </c>
      <c r="AD20" s="317">
        <f>AD19/AD18*1000</f>
        <v>7316.8141592920356</v>
      </c>
      <c r="AE20" s="204">
        <f t="shared" si="5"/>
        <v>-12.7</v>
      </c>
      <c r="AF20" s="310">
        <f>AF19/AF18*1000</f>
        <v>8418.6886938564785</v>
      </c>
      <c r="AG20" s="310">
        <f>AG19/AG18*1000</f>
        <v>7901.4285714285716</v>
      </c>
      <c r="AH20" s="204">
        <f t="shared" si="6"/>
        <v>-6.1</v>
      </c>
      <c r="AI20" s="317">
        <f>AI19/AI18*1000</f>
        <v>8701.559020044544</v>
      </c>
      <c r="AJ20" s="317">
        <f>AJ19/AJ18*1000</f>
        <v>7963.541666666667</v>
      </c>
      <c r="AK20" s="204">
        <f t="shared" si="7"/>
        <v>-8.5</v>
      </c>
      <c r="AL20" s="310">
        <f>AL19/AL18*1000</f>
        <v>8471.9195305951398</v>
      </c>
      <c r="AM20" s="310">
        <f>AM19/AM18*1000</f>
        <v>7911.0305958132039</v>
      </c>
      <c r="AN20" s="204">
        <f t="shared" si="8"/>
        <v>-6.6</v>
      </c>
      <c r="AO20" s="631">
        <f>AO19/AO18*1000</f>
        <v>8811.8811881188121</v>
      </c>
      <c r="AP20" s="631">
        <f>AP19/AP18*1000</f>
        <v>7393.04347826087</v>
      </c>
      <c r="AQ20" s="622">
        <f t="shared" si="9"/>
        <v>-16.100000000000001</v>
      </c>
      <c r="AR20" s="626">
        <f>AR19/AR18*1000</f>
        <v>8531.3040470425458</v>
      </c>
      <c r="AS20" s="626">
        <f>AS19/AS18*1000</f>
        <v>7813.6645962732919</v>
      </c>
      <c r="AT20" s="622">
        <f t="shared" si="10"/>
        <v>-8.4</v>
      </c>
      <c r="AU20" s="631">
        <f>AU19/AU18*1000</f>
        <v>8604</v>
      </c>
      <c r="AV20" s="631">
        <f>AV19/AV18*1000</f>
        <v>8000</v>
      </c>
      <c r="AW20" s="622">
        <f t="shared" si="11"/>
        <v>-7</v>
      </c>
      <c r="AX20" s="930">
        <f>AX19/AX18*1000</f>
        <v>8542.0230020642884</v>
      </c>
      <c r="AY20" s="930">
        <f>AY19/AY18*1000</f>
        <v>7850.9024326445196</v>
      </c>
      <c r="AZ20" s="622">
        <f t="shared" si="12"/>
        <v>-8.1</v>
      </c>
      <c r="BA20" s="631">
        <f>BA19/BA18*1000</f>
        <v>8525.0896057347672</v>
      </c>
      <c r="BB20" s="631">
        <f>BB19/BB18*1000</f>
        <v>7740.6417112299459</v>
      </c>
      <c r="BC20" s="622">
        <f t="shared" si="13"/>
        <v>-9.1999999999999993</v>
      </c>
      <c r="BD20" s="626">
        <f>BD19/BD18*1000</f>
        <v>8539.6302861483928</v>
      </c>
      <c r="BE20" s="626">
        <f>BE19/BE18*1000</f>
        <v>7841.0769597331428</v>
      </c>
      <c r="BF20" s="622">
        <f t="shared" si="14"/>
        <v>-8.1999999999999993</v>
      </c>
      <c r="BG20" s="631">
        <f>BG19/BG18*1000</f>
        <v>8025.2631578947367</v>
      </c>
      <c r="BH20" s="631">
        <f>BH19/BH18*1000</f>
        <v>8632.603406326034</v>
      </c>
      <c r="BI20" s="622">
        <f t="shared" si="15"/>
        <v>7.6</v>
      </c>
      <c r="BJ20" s="626">
        <f>BJ19/BJ18*1000</f>
        <v>8484.4032549728745</v>
      </c>
      <c r="BK20" s="626">
        <f>BK19/BK18*1000</f>
        <v>7911.6753472222226</v>
      </c>
      <c r="BL20" s="622">
        <f t="shared" si="16"/>
        <v>-6.8</v>
      </c>
      <c r="BM20" s="631">
        <f>BM19/BM18*1000</f>
        <v>8076.6609880749575</v>
      </c>
      <c r="BN20" s="631">
        <f>BN19/BN18*1000</f>
        <v>8510.3092783505163</v>
      </c>
      <c r="BO20" s="622">
        <f t="shared" si="17"/>
        <v>5.4</v>
      </c>
      <c r="BP20" s="626">
        <f>BP19/BP18*1000</f>
        <v>8436.6393933346644</v>
      </c>
      <c r="BQ20" s="626">
        <f>BQ19/BQ18*1000</f>
        <v>7958.1665332265811</v>
      </c>
      <c r="BR20" s="622">
        <f t="shared" si="18"/>
        <v>-5.7</v>
      </c>
      <c r="BS20" s="631">
        <f>BS19/BS18*1000</f>
        <v>8414.9377593361005</v>
      </c>
      <c r="BT20" s="631">
        <f>BT19/BT18*1000</f>
        <v>8769.6850393700788</v>
      </c>
      <c r="BU20" s="622">
        <f t="shared" si="19"/>
        <v>4.2</v>
      </c>
      <c r="BV20" s="626">
        <f>BV19/BV18*1000</f>
        <v>8434.7351174221731</v>
      </c>
      <c r="BW20" s="626">
        <f>BW19/BW18*1000</f>
        <v>8033.0668604651155</v>
      </c>
      <c r="BX20" s="622">
        <f t="shared" si="20"/>
        <v>-4.8</v>
      </c>
    </row>
    <row r="21" spans="1:76" ht="22.5" customHeight="1">
      <c r="A21" s="14"/>
      <c r="B21" s="1099" t="s">
        <v>21</v>
      </c>
      <c r="C21" s="1100">
        <v>7409</v>
      </c>
      <c r="D21" s="365" t="s">
        <v>13</v>
      </c>
      <c r="E21" s="11">
        <v>21708</v>
      </c>
      <c r="F21" s="11">
        <v>26617</v>
      </c>
      <c r="G21" s="11">
        <v>33681</v>
      </c>
      <c r="H21" s="11">
        <v>30253</v>
      </c>
      <c r="I21" s="11">
        <v>26775</v>
      </c>
      <c r="J21" s="11">
        <v>18816</v>
      </c>
      <c r="K21" s="11">
        <v>17770</v>
      </c>
      <c r="L21" s="183">
        <v>15350</v>
      </c>
      <c r="M21" s="312">
        <v>12619</v>
      </c>
      <c r="N21" s="311">
        <v>1484</v>
      </c>
      <c r="O21" s="311">
        <v>884</v>
      </c>
      <c r="P21" s="195">
        <f t="shared" si="0"/>
        <v>-40.4</v>
      </c>
      <c r="Q21" s="311">
        <f>T21-N21</f>
        <v>1043</v>
      </c>
      <c r="R21" s="311">
        <f>U21-O21</f>
        <v>794</v>
      </c>
      <c r="S21" s="206">
        <f t="shared" si="1"/>
        <v>-23.9</v>
      </c>
      <c r="T21" s="311">
        <v>2527</v>
      </c>
      <c r="U21" s="311">
        <v>1678</v>
      </c>
      <c r="V21" s="206">
        <f t="shared" si="2"/>
        <v>-33.6</v>
      </c>
      <c r="W21" s="311">
        <f>Z21-T21</f>
        <v>1168</v>
      </c>
      <c r="X21" s="311">
        <f>AA21-U21</f>
        <v>1085</v>
      </c>
      <c r="Y21" s="206">
        <f t="shared" si="3"/>
        <v>-7.1</v>
      </c>
      <c r="Z21" s="311">
        <v>3695</v>
      </c>
      <c r="AA21" s="311">
        <v>2763</v>
      </c>
      <c r="AB21" s="206">
        <f t="shared" si="4"/>
        <v>-25.2</v>
      </c>
      <c r="AC21" s="311">
        <f>AF21-Z21</f>
        <v>943</v>
      </c>
      <c r="AD21" s="311">
        <f>AG21-AA21</f>
        <v>831</v>
      </c>
      <c r="AE21" s="206">
        <f t="shared" si="5"/>
        <v>-11.9</v>
      </c>
      <c r="AF21" s="311">
        <v>4638</v>
      </c>
      <c r="AG21" s="311">
        <v>3594</v>
      </c>
      <c r="AH21" s="206">
        <f t="shared" si="6"/>
        <v>-22.5</v>
      </c>
      <c r="AI21" s="311">
        <f>AL21-AF21</f>
        <v>905</v>
      </c>
      <c r="AJ21" s="311">
        <f>AM21-AG21</f>
        <v>876</v>
      </c>
      <c r="AK21" s="206">
        <f t="shared" si="7"/>
        <v>-3.2</v>
      </c>
      <c r="AL21" s="311">
        <v>5543</v>
      </c>
      <c r="AM21" s="311">
        <v>4470</v>
      </c>
      <c r="AN21" s="206">
        <f t="shared" si="8"/>
        <v>-19.399999999999999</v>
      </c>
      <c r="AO21" s="627">
        <f>AR21-AL21</f>
        <v>866</v>
      </c>
      <c r="AP21" s="627">
        <f>AS21-AM21</f>
        <v>1152</v>
      </c>
      <c r="AQ21" s="623">
        <f t="shared" si="9"/>
        <v>33</v>
      </c>
      <c r="AR21" s="869">
        <v>6409</v>
      </c>
      <c r="AS21" s="869">
        <v>5622</v>
      </c>
      <c r="AT21" s="623">
        <f t="shared" si="10"/>
        <v>-12.3</v>
      </c>
      <c r="AU21" s="869">
        <f>AX21-AR21</f>
        <v>1368</v>
      </c>
      <c r="AV21" s="869">
        <f>AY21-AS21</f>
        <v>1303</v>
      </c>
      <c r="AW21" s="623">
        <f t="shared" si="11"/>
        <v>-4.8</v>
      </c>
      <c r="AX21" s="929">
        <v>7777</v>
      </c>
      <c r="AY21" s="929">
        <v>6925</v>
      </c>
      <c r="AZ21" s="623">
        <f t="shared" si="12"/>
        <v>-11</v>
      </c>
      <c r="BA21" s="869">
        <f>BD21-AX21</f>
        <v>1127</v>
      </c>
      <c r="BB21" s="869">
        <f>BE21-AY21</f>
        <v>1034</v>
      </c>
      <c r="BC21" s="623">
        <f t="shared" si="13"/>
        <v>-8.3000000000000007</v>
      </c>
      <c r="BD21" s="869">
        <v>8904</v>
      </c>
      <c r="BE21" s="869">
        <v>7959</v>
      </c>
      <c r="BF21" s="623">
        <f t="shared" si="14"/>
        <v>-10.6</v>
      </c>
      <c r="BG21" s="869">
        <f>BJ21-BD21</f>
        <v>1099</v>
      </c>
      <c r="BH21" s="869">
        <f>BK21-BE21</f>
        <v>1038</v>
      </c>
      <c r="BI21" s="623">
        <f t="shared" si="15"/>
        <v>-5.6</v>
      </c>
      <c r="BJ21" s="869">
        <v>10003</v>
      </c>
      <c r="BK21" s="869">
        <v>8997</v>
      </c>
      <c r="BL21" s="623">
        <f t="shared" si="16"/>
        <v>-10.1</v>
      </c>
      <c r="BM21" s="869">
        <f>BP21-BJ21</f>
        <v>907</v>
      </c>
      <c r="BN21" s="869">
        <f>BQ21-BK21</f>
        <v>1552</v>
      </c>
      <c r="BO21" s="623">
        <f t="shared" si="17"/>
        <v>71.099999999999994</v>
      </c>
      <c r="BP21" s="869">
        <v>10910</v>
      </c>
      <c r="BQ21" s="869">
        <v>10549</v>
      </c>
      <c r="BR21" s="623">
        <f t="shared" si="18"/>
        <v>-3.3</v>
      </c>
      <c r="BS21" s="869">
        <f>BV21-BP21</f>
        <v>802</v>
      </c>
      <c r="BT21" s="869">
        <f>BW21-BQ21</f>
        <v>1230</v>
      </c>
      <c r="BU21" s="623">
        <f t="shared" si="19"/>
        <v>53.4</v>
      </c>
      <c r="BV21" s="869">
        <v>11712</v>
      </c>
      <c r="BW21" s="869">
        <v>11779</v>
      </c>
      <c r="BX21" s="623">
        <f t="shared" si="20"/>
        <v>0.6</v>
      </c>
    </row>
    <row r="22" spans="1:76" ht="22.5" customHeight="1">
      <c r="A22" s="14"/>
      <c r="B22" s="1099"/>
      <c r="C22" s="1100"/>
      <c r="D22" s="366" t="s">
        <v>14</v>
      </c>
      <c r="E22" s="6">
        <v>286392</v>
      </c>
      <c r="F22" s="6">
        <v>295663</v>
      </c>
      <c r="G22" s="6">
        <v>325174</v>
      </c>
      <c r="H22" s="6">
        <v>278794</v>
      </c>
      <c r="I22" s="6">
        <v>215428</v>
      </c>
      <c r="J22" s="6">
        <v>150685</v>
      </c>
      <c r="K22" s="6">
        <v>165044</v>
      </c>
      <c r="L22" s="180">
        <v>162198</v>
      </c>
      <c r="M22" s="438">
        <v>140633</v>
      </c>
      <c r="N22" s="309">
        <v>15004</v>
      </c>
      <c r="O22" s="309">
        <v>9345</v>
      </c>
      <c r="P22" s="193">
        <f t="shared" si="0"/>
        <v>-37.700000000000003</v>
      </c>
      <c r="Q22" s="309">
        <f>T22-N22</f>
        <v>10745</v>
      </c>
      <c r="R22" s="309">
        <f>U22-O22</f>
        <v>9018</v>
      </c>
      <c r="S22" s="193">
        <f t="shared" si="1"/>
        <v>-16.100000000000001</v>
      </c>
      <c r="T22" s="309">
        <v>25749</v>
      </c>
      <c r="U22" s="309">
        <v>18363</v>
      </c>
      <c r="V22" s="193">
        <f t="shared" si="2"/>
        <v>-28.7</v>
      </c>
      <c r="W22" s="309">
        <f>Z22-T22</f>
        <v>12414</v>
      </c>
      <c r="X22" s="309">
        <f>AA22-U22</f>
        <v>11919</v>
      </c>
      <c r="Y22" s="193">
        <f t="shared" si="3"/>
        <v>-4</v>
      </c>
      <c r="Z22" s="309">
        <v>38163</v>
      </c>
      <c r="AA22" s="309">
        <v>30282</v>
      </c>
      <c r="AB22" s="193">
        <f t="shared" si="4"/>
        <v>-20.7</v>
      </c>
      <c r="AC22" s="309">
        <f>AF22-Z22</f>
        <v>11357</v>
      </c>
      <c r="AD22" s="309">
        <f>AG22-AA22</f>
        <v>9520</v>
      </c>
      <c r="AE22" s="193">
        <f t="shared" si="5"/>
        <v>-16.2</v>
      </c>
      <c r="AF22" s="309">
        <v>49520</v>
      </c>
      <c r="AG22" s="309">
        <v>39802</v>
      </c>
      <c r="AH22" s="193">
        <f t="shared" si="6"/>
        <v>-19.600000000000001</v>
      </c>
      <c r="AI22" s="309">
        <f>AL22-AF22</f>
        <v>9997</v>
      </c>
      <c r="AJ22" s="309">
        <f>AM22-AG22</f>
        <v>9079</v>
      </c>
      <c r="AK22" s="193">
        <f t="shared" si="7"/>
        <v>-9.1999999999999993</v>
      </c>
      <c r="AL22" s="309">
        <v>59517</v>
      </c>
      <c r="AM22" s="309">
        <v>48881</v>
      </c>
      <c r="AN22" s="193">
        <f t="shared" si="8"/>
        <v>-17.899999999999999</v>
      </c>
      <c r="AO22" s="625">
        <f>AR22-AL22</f>
        <v>10266</v>
      </c>
      <c r="AP22" s="625">
        <f>AS22-AM22</f>
        <v>10263</v>
      </c>
      <c r="AQ22" s="615">
        <f t="shared" si="9"/>
        <v>0</v>
      </c>
      <c r="AR22" s="868">
        <v>69783</v>
      </c>
      <c r="AS22" s="868">
        <v>59144</v>
      </c>
      <c r="AT22" s="615">
        <f t="shared" si="10"/>
        <v>-15.2</v>
      </c>
      <c r="AU22" s="868">
        <f>AX22-AR22</f>
        <v>15142</v>
      </c>
      <c r="AV22" s="868">
        <f>AY22-AS22</f>
        <v>11930</v>
      </c>
      <c r="AW22" s="615">
        <f t="shared" si="11"/>
        <v>-21.2</v>
      </c>
      <c r="AX22" s="925">
        <v>84925</v>
      </c>
      <c r="AY22" s="925">
        <v>71074</v>
      </c>
      <c r="AZ22" s="615">
        <f t="shared" si="12"/>
        <v>-16.3</v>
      </c>
      <c r="BA22" s="868">
        <f>BD22-AX22</f>
        <v>12774</v>
      </c>
      <c r="BB22" s="868">
        <f>BE22-AY22</f>
        <v>10323</v>
      </c>
      <c r="BC22" s="615">
        <f t="shared" si="13"/>
        <v>-19.2</v>
      </c>
      <c r="BD22" s="868">
        <v>97699</v>
      </c>
      <c r="BE22" s="868">
        <v>81397</v>
      </c>
      <c r="BF22" s="615">
        <f t="shared" si="14"/>
        <v>-16.7</v>
      </c>
      <c r="BG22" s="868">
        <f>BJ22-BD22</f>
        <v>12243</v>
      </c>
      <c r="BH22" s="868">
        <f>BK22-BE22</f>
        <v>11262</v>
      </c>
      <c r="BI22" s="615">
        <f t="shared" si="15"/>
        <v>-8</v>
      </c>
      <c r="BJ22" s="868">
        <v>109942</v>
      </c>
      <c r="BK22" s="868">
        <v>92659</v>
      </c>
      <c r="BL22" s="615">
        <f t="shared" si="16"/>
        <v>-15.7</v>
      </c>
      <c r="BM22" s="868">
        <f>BP22-BJ22</f>
        <v>10913</v>
      </c>
      <c r="BN22" s="868">
        <f>BQ22-BK22</f>
        <v>16003</v>
      </c>
      <c r="BO22" s="615">
        <f t="shared" si="17"/>
        <v>46.6</v>
      </c>
      <c r="BP22" s="868">
        <v>120855</v>
      </c>
      <c r="BQ22" s="868">
        <v>108662</v>
      </c>
      <c r="BR22" s="615">
        <f t="shared" si="18"/>
        <v>-10.1</v>
      </c>
      <c r="BS22" s="868">
        <f>BV22-BP22</f>
        <v>9336</v>
      </c>
      <c r="BT22" s="868">
        <f>BW22-BQ22</f>
        <v>14251</v>
      </c>
      <c r="BU22" s="615">
        <f t="shared" si="19"/>
        <v>52.6</v>
      </c>
      <c r="BV22" s="868">
        <v>130191</v>
      </c>
      <c r="BW22" s="868">
        <v>122913</v>
      </c>
      <c r="BX22" s="615">
        <f t="shared" si="20"/>
        <v>-5.6</v>
      </c>
    </row>
    <row r="23" spans="1:76" ht="22.5" customHeight="1">
      <c r="A23" s="14"/>
      <c r="B23" s="1099"/>
      <c r="C23" s="1100"/>
      <c r="D23" s="370" t="s">
        <v>15</v>
      </c>
      <c r="E23" s="12">
        <f t="shared" ref="E23:O23" si="26">E22/E21*1000</f>
        <v>13192.924267551132</v>
      </c>
      <c r="F23" s="12">
        <f t="shared" si="26"/>
        <v>11108.05124544464</v>
      </c>
      <c r="G23" s="12">
        <f t="shared" si="26"/>
        <v>9654.5233217541045</v>
      </c>
      <c r="H23" s="12">
        <f t="shared" si="26"/>
        <v>9215.4166528939277</v>
      </c>
      <c r="I23" s="12">
        <f t="shared" si="26"/>
        <v>8045.8636788048543</v>
      </c>
      <c r="J23" s="12">
        <f t="shared" si="26"/>
        <v>8008.3439625850342</v>
      </c>
      <c r="K23" s="12">
        <f t="shared" si="26"/>
        <v>9287.7884074282501</v>
      </c>
      <c r="L23" s="184">
        <f t="shared" si="26"/>
        <v>10566.644951140064</v>
      </c>
      <c r="M23" s="442">
        <f>M22/M21*1000</f>
        <v>11144.543941675252</v>
      </c>
      <c r="N23" s="310">
        <f t="shared" si="26"/>
        <v>10110.512129380053</v>
      </c>
      <c r="O23" s="310">
        <f t="shared" si="26"/>
        <v>10571.266968325792</v>
      </c>
      <c r="P23" s="194">
        <f t="shared" si="0"/>
        <v>4.5999999999999996</v>
      </c>
      <c r="Q23" s="317">
        <f>Q22/Q21*1000</f>
        <v>10302.013422818793</v>
      </c>
      <c r="R23" s="317">
        <f>R22/R21*1000</f>
        <v>11357.682619647354</v>
      </c>
      <c r="S23" s="204">
        <f t="shared" si="1"/>
        <v>10.199999999999999</v>
      </c>
      <c r="T23" s="310">
        <f>T22/T21*1000</f>
        <v>10189.552829442027</v>
      </c>
      <c r="U23" s="310">
        <f>U22/U21*1000</f>
        <v>10943.384982121574</v>
      </c>
      <c r="V23" s="204">
        <f t="shared" si="2"/>
        <v>7.4</v>
      </c>
      <c r="W23" s="317">
        <f>W22/W21*1000</f>
        <v>10628.424657534246</v>
      </c>
      <c r="X23" s="317">
        <f>X22/X21*1000</f>
        <v>10985.253456221199</v>
      </c>
      <c r="Y23" s="204">
        <f t="shared" si="3"/>
        <v>3.4</v>
      </c>
      <c r="Z23" s="310">
        <f>Z22/Z21*1000</f>
        <v>10328.28146143437</v>
      </c>
      <c r="AA23" s="310">
        <f>AA22/AA21*1000</f>
        <v>10959.826275787189</v>
      </c>
      <c r="AB23" s="204">
        <f t="shared" si="4"/>
        <v>6.1</v>
      </c>
      <c r="AC23" s="317">
        <f>AC22/AC21*1000</f>
        <v>12043.478260869564</v>
      </c>
      <c r="AD23" s="317">
        <f>AD22/AD21*1000</f>
        <v>11456.077015643803</v>
      </c>
      <c r="AE23" s="204">
        <f t="shared" si="5"/>
        <v>-4.9000000000000004</v>
      </c>
      <c r="AF23" s="310">
        <f>AF22/AF21*1000</f>
        <v>10677.015955153083</v>
      </c>
      <c r="AG23" s="310">
        <f>AG22/AG21*1000</f>
        <v>11074.568725653868</v>
      </c>
      <c r="AH23" s="204">
        <f t="shared" si="6"/>
        <v>3.7</v>
      </c>
      <c r="AI23" s="317">
        <f>AI22/AI21*1000</f>
        <v>11046.408839779006</v>
      </c>
      <c r="AJ23" s="317">
        <f>AJ22/AJ21*1000</f>
        <v>10364.155251141552</v>
      </c>
      <c r="AK23" s="204">
        <f t="shared" si="7"/>
        <v>-6.2</v>
      </c>
      <c r="AL23" s="310">
        <f>AL22/AL21*1000</f>
        <v>10737.326357568105</v>
      </c>
      <c r="AM23" s="310">
        <f>AM22/AM21*1000</f>
        <v>10935.346756152125</v>
      </c>
      <c r="AN23" s="204">
        <f t="shared" si="8"/>
        <v>1.8</v>
      </c>
      <c r="AO23" s="631">
        <f>AO22/AO21*1000</f>
        <v>11854.503464203233</v>
      </c>
      <c r="AP23" s="631">
        <f>AP22/AP21*1000</f>
        <v>8908.8541666666661</v>
      </c>
      <c r="AQ23" s="622">
        <f t="shared" si="9"/>
        <v>-24.8</v>
      </c>
      <c r="AR23" s="626">
        <f>AR22/AR21*1000</f>
        <v>10888.282103292246</v>
      </c>
      <c r="AS23" s="626">
        <f>AS22/AS21*1000</f>
        <v>10520.099608680186</v>
      </c>
      <c r="AT23" s="622">
        <f t="shared" si="10"/>
        <v>-3.4</v>
      </c>
      <c r="AU23" s="631">
        <f>AU22/AU21*1000</f>
        <v>11068.713450292398</v>
      </c>
      <c r="AV23" s="631">
        <f>AV22/AV21*1000</f>
        <v>9155.7943207981589</v>
      </c>
      <c r="AW23" s="622">
        <f t="shared" si="11"/>
        <v>-17.3</v>
      </c>
      <c r="AX23" s="930">
        <f>AX22/AX21*1000</f>
        <v>10920.020573485919</v>
      </c>
      <c r="AY23" s="930">
        <f>AY22/AY21*1000</f>
        <v>10263.393501805052</v>
      </c>
      <c r="AZ23" s="622">
        <f t="shared" si="12"/>
        <v>-6</v>
      </c>
      <c r="BA23" s="631">
        <f>BA22/BA21*1000</f>
        <v>11334.516415261756</v>
      </c>
      <c r="BB23" s="631">
        <f>BB22/BB21*1000</f>
        <v>9983.5589941972921</v>
      </c>
      <c r="BC23" s="622">
        <f t="shared" si="13"/>
        <v>-11.9</v>
      </c>
      <c r="BD23" s="626">
        <f>BD22/BD21*1000</f>
        <v>10972.484276729559</v>
      </c>
      <c r="BE23" s="626">
        <f>BE22/BE21*1000</f>
        <v>10227.038572685011</v>
      </c>
      <c r="BF23" s="622">
        <f t="shared" si="14"/>
        <v>-6.8</v>
      </c>
      <c r="BG23" s="631">
        <f>BG22/BG21*1000</f>
        <v>11140.127388535031</v>
      </c>
      <c r="BH23" s="631">
        <f>BH22/BH21*1000</f>
        <v>10849.71098265896</v>
      </c>
      <c r="BI23" s="622">
        <f t="shared" si="15"/>
        <v>-2.6</v>
      </c>
      <c r="BJ23" s="626">
        <f>BJ22/BJ21*1000</f>
        <v>10990.902729181245</v>
      </c>
      <c r="BK23" s="626">
        <f>BK22/BK21*1000</f>
        <v>10298.87740357897</v>
      </c>
      <c r="BL23" s="622">
        <f t="shared" si="16"/>
        <v>-6.3</v>
      </c>
      <c r="BM23" s="631">
        <f>BM22/BM21*1000</f>
        <v>12031.973539140023</v>
      </c>
      <c r="BN23" s="631">
        <f>BN22/BN21*1000</f>
        <v>10311.211340206186</v>
      </c>
      <c r="BO23" s="622">
        <f t="shared" si="17"/>
        <v>-14.3</v>
      </c>
      <c r="BP23" s="626">
        <f>BP22/BP21*1000</f>
        <v>11077.451879010083</v>
      </c>
      <c r="BQ23" s="626">
        <f>BQ22/BQ21*1000</f>
        <v>10300.692008721207</v>
      </c>
      <c r="BR23" s="622">
        <f t="shared" si="18"/>
        <v>-7</v>
      </c>
      <c r="BS23" s="631">
        <f>BS22/BS21*1000</f>
        <v>11640.897755610971</v>
      </c>
      <c r="BT23" s="631">
        <f>BT22/BT21*1000</f>
        <v>11586.178861788618</v>
      </c>
      <c r="BU23" s="622">
        <f t="shared" si="19"/>
        <v>-0.5</v>
      </c>
      <c r="BV23" s="626">
        <f>BV22/BV21*1000</f>
        <v>11116.034836065573</v>
      </c>
      <c r="BW23" s="626">
        <f>BW22/BW21*1000</f>
        <v>10434.926564224466</v>
      </c>
      <c r="BX23" s="622">
        <f t="shared" si="20"/>
        <v>-6.1</v>
      </c>
    </row>
    <row r="24" spans="1:76" ht="22.5" customHeight="1">
      <c r="A24" s="14"/>
      <c r="B24" s="1099" t="s">
        <v>22</v>
      </c>
      <c r="C24" s="1100">
        <v>7410</v>
      </c>
      <c r="D24" s="365" t="s">
        <v>13</v>
      </c>
      <c r="E24" s="11">
        <v>45806</v>
      </c>
      <c r="F24" s="11">
        <v>47722</v>
      </c>
      <c r="G24" s="11">
        <v>52290</v>
      </c>
      <c r="H24" s="11">
        <v>57039</v>
      </c>
      <c r="I24" s="11">
        <v>56060</v>
      </c>
      <c r="J24" s="11">
        <v>65086</v>
      </c>
      <c r="K24" s="11">
        <v>67763</v>
      </c>
      <c r="L24" s="183">
        <v>67122</v>
      </c>
      <c r="M24" s="312">
        <v>66820</v>
      </c>
      <c r="N24" s="311">
        <v>6735</v>
      </c>
      <c r="O24" s="311">
        <v>6066</v>
      </c>
      <c r="P24" s="195">
        <f t="shared" si="0"/>
        <v>-9.9</v>
      </c>
      <c r="Q24" s="311">
        <f>T24-N24</f>
        <v>4860</v>
      </c>
      <c r="R24" s="311">
        <f>U24-O24</f>
        <v>4130</v>
      </c>
      <c r="S24" s="195">
        <f t="shared" si="1"/>
        <v>-15</v>
      </c>
      <c r="T24" s="311">
        <v>11595</v>
      </c>
      <c r="U24" s="311">
        <v>10196</v>
      </c>
      <c r="V24" s="195">
        <f t="shared" si="2"/>
        <v>-12.1</v>
      </c>
      <c r="W24" s="311">
        <f>Z24-T24</f>
        <v>6015</v>
      </c>
      <c r="X24" s="311">
        <f>AA24-U24</f>
        <v>7828</v>
      </c>
      <c r="Y24" s="195">
        <f t="shared" si="3"/>
        <v>30.1</v>
      </c>
      <c r="Z24" s="311">
        <v>17610</v>
      </c>
      <c r="AA24" s="311">
        <v>18024</v>
      </c>
      <c r="AB24" s="195">
        <f t="shared" si="4"/>
        <v>2.4</v>
      </c>
      <c r="AC24" s="311">
        <f>AF24-Z24</f>
        <v>6138</v>
      </c>
      <c r="AD24" s="311">
        <f>AG24-AA24</f>
        <v>6228</v>
      </c>
      <c r="AE24" s="195">
        <f t="shared" si="5"/>
        <v>1.5</v>
      </c>
      <c r="AF24" s="311">
        <v>23748</v>
      </c>
      <c r="AG24" s="311">
        <v>24252</v>
      </c>
      <c r="AH24" s="195">
        <f t="shared" si="6"/>
        <v>2.1</v>
      </c>
      <c r="AI24" s="311">
        <f>AL24-AF24</f>
        <v>5430</v>
      </c>
      <c r="AJ24" s="311">
        <f>AM24-AG24</f>
        <v>4024</v>
      </c>
      <c r="AK24" s="195">
        <f t="shared" si="7"/>
        <v>-25.9</v>
      </c>
      <c r="AL24" s="311">
        <v>29178</v>
      </c>
      <c r="AM24" s="311">
        <v>28276</v>
      </c>
      <c r="AN24" s="195">
        <f t="shared" si="8"/>
        <v>-3.1</v>
      </c>
      <c r="AO24" s="627">
        <f>AR24-AL24</f>
        <v>5367</v>
      </c>
      <c r="AP24" s="627">
        <f>AS24-AM24</f>
        <v>4905</v>
      </c>
      <c r="AQ24" s="617">
        <f t="shared" si="9"/>
        <v>-8.6</v>
      </c>
      <c r="AR24" s="869">
        <v>34545</v>
      </c>
      <c r="AS24" s="869">
        <v>33181</v>
      </c>
      <c r="AT24" s="617">
        <f t="shared" si="10"/>
        <v>-3.9</v>
      </c>
      <c r="AU24" s="869">
        <f>AX24-AR24</f>
        <v>5411</v>
      </c>
      <c r="AV24" s="869">
        <f>AY24-AS24</f>
        <v>5821</v>
      </c>
      <c r="AW24" s="617">
        <f t="shared" si="11"/>
        <v>7.6</v>
      </c>
      <c r="AX24" s="929">
        <v>39956</v>
      </c>
      <c r="AY24" s="929">
        <v>39002</v>
      </c>
      <c r="AZ24" s="617">
        <f t="shared" si="12"/>
        <v>-2.4</v>
      </c>
      <c r="BA24" s="869">
        <f>BD24-AX24</f>
        <v>5301</v>
      </c>
      <c r="BB24" s="869">
        <f>BE24-AY24</f>
        <v>5651</v>
      </c>
      <c r="BC24" s="617">
        <f t="shared" si="13"/>
        <v>6.6</v>
      </c>
      <c r="BD24" s="869">
        <v>45257</v>
      </c>
      <c r="BE24" s="869">
        <v>44653</v>
      </c>
      <c r="BF24" s="617">
        <f t="shared" si="14"/>
        <v>-1.3</v>
      </c>
      <c r="BG24" s="869">
        <f>BJ24-BD24</f>
        <v>4953</v>
      </c>
      <c r="BH24" s="869">
        <f>BK24-BE24</f>
        <v>5975</v>
      </c>
      <c r="BI24" s="617">
        <f t="shared" si="15"/>
        <v>20.6</v>
      </c>
      <c r="BJ24" s="869">
        <v>50210</v>
      </c>
      <c r="BK24" s="869">
        <v>50628</v>
      </c>
      <c r="BL24" s="617">
        <f t="shared" si="16"/>
        <v>0.8</v>
      </c>
      <c r="BM24" s="869">
        <f>BP24-BJ24</f>
        <v>5424</v>
      </c>
      <c r="BN24" s="869">
        <f>BQ24-BK24</f>
        <v>6369</v>
      </c>
      <c r="BO24" s="617">
        <f t="shared" si="17"/>
        <v>17.399999999999999</v>
      </c>
      <c r="BP24" s="869">
        <v>55634</v>
      </c>
      <c r="BQ24" s="869">
        <v>56997</v>
      </c>
      <c r="BR24" s="617">
        <f t="shared" si="18"/>
        <v>2.4</v>
      </c>
      <c r="BS24" s="869">
        <f>BV24-BP24</f>
        <v>5430</v>
      </c>
      <c r="BT24" s="869">
        <f>BW24-BQ24</f>
        <v>6710</v>
      </c>
      <c r="BU24" s="617">
        <f t="shared" si="19"/>
        <v>23.6</v>
      </c>
      <c r="BV24" s="869">
        <v>61064</v>
      </c>
      <c r="BW24" s="869">
        <v>63707</v>
      </c>
      <c r="BX24" s="617">
        <f t="shared" si="20"/>
        <v>4.3</v>
      </c>
    </row>
    <row r="25" spans="1:76" ht="22.5" customHeight="1">
      <c r="A25" s="14"/>
      <c r="B25" s="1099"/>
      <c r="C25" s="1100"/>
      <c r="D25" s="366" t="s">
        <v>14</v>
      </c>
      <c r="E25" s="6">
        <v>644186</v>
      </c>
      <c r="F25" s="6">
        <v>643273</v>
      </c>
      <c r="G25" s="6">
        <v>672465</v>
      </c>
      <c r="H25" s="6">
        <v>655355</v>
      </c>
      <c r="I25" s="6">
        <v>607504</v>
      </c>
      <c r="J25" s="6">
        <v>662218</v>
      </c>
      <c r="K25" s="6">
        <v>816443</v>
      </c>
      <c r="L25" s="180">
        <v>845223</v>
      </c>
      <c r="M25" s="438">
        <v>802302</v>
      </c>
      <c r="N25" s="309">
        <v>73445</v>
      </c>
      <c r="O25" s="309">
        <v>66567</v>
      </c>
      <c r="P25" s="193">
        <f t="shared" si="0"/>
        <v>-9.4</v>
      </c>
      <c r="Q25" s="309">
        <f>T25-N25</f>
        <v>55346</v>
      </c>
      <c r="R25" s="309">
        <f>U25-O25</f>
        <v>56418</v>
      </c>
      <c r="S25" s="193">
        <f t="shared" si="1"/>
        <v>1.9</v>
      </c>
      <c r="T25" s="309">
        <v>128791</v>
      </c>
      <c r="U25" s="309">
        <v>122985</v>
      </c>
      <c r="V25" s="193">
        <f t="shared" si="2"/>
        <v>-4.5</v>
      </c>
      <c r="W25" s="309">
        <f>Z25-T25</f>
        <v>66485</v>
      </c>
      <c r="X25" s="309">
        <f>AA25-U25</f>
        <v>81330</v>
      </c>
      <c r="Y25" s="193">
        <f t="shared" si="3"/>
        <v>22.3</v>
      </c>
      <c r="Z25" s="309">
        <v>195276</v>
      </c>
      <c r="AA25" s="309">
        <v>204315</v>
      </c>
      <c r="AB25" s="193">
        <f t="shared" si="4"/>
        <v>4.5999999999999996</v>
      </c>
      <c r="AC25" s="309">
        <f>AF25-Z25</f>
        <v>71917</v>
      </c>
      <c r="AD25" s="309">
        <f>AG25-AA25</f>
        <v>73855</v>
      </c>
      <c r="AE25" s="193">
        <f t="shared" si="5"/>
        <v>2.7</v>
      </c>
      <c r="AF25" s="309">
        <v>267193</v>
      </c>
      <c r="AG25" s="309">
        <v>278170</v>
      </c>
      <c r="AH25" s="193">
        <f t="shared" si="6"/>
        <v>4.0999999999999996</v>
      </c>
      <c r="AI25" s="309">
        <f>AL25-AF25</f>
        <v>68257</v>
      </c>
      <c r="AJ25" s="309">
        <f>AM25-AG25</f>
        <v>58357</v>
      </c>
      <c r="AK25" s="193">
        <f t="shared" si="7"/>
        <v>-14.5</v>
      </c>
      <c r="AL25" s="309">
        <v>335450</v>
      </c>
      <c r="AM25" s="309">
        <v>336527</v>
      </c>
      <c r="AN25" s="193">
        <f t="shared" si="8"/>
        <v>0.3</v>
      </c>
      <c r="AO25" s="625">
        <f>AR25-AL25</f>
        <v>66782</v>
      </c>
      <c r="AP25" s="625">
        <f>AS25-AM25</f>
        <v>66977</v>
      </c>
      <c r="AQ25" s="615">
        <f t="shared" si="9"/>
        <v>0.3</v>
      </c>
      <c r="AR25" s="868">
        <v>402232</v>
      </c>
      <c r="AS25" s="868">
        <v>403504</v>
      </c>
      <c r="AT25" s="615">
        <f t="shared" si="10"/>
        <v>0.3</v>
      </c>
      <c r="AU25" s="868">
        <f>AX25-AR25</f>
        <v>72711</v>
      </c>
      <c r="AV25" s="868">
        <f>AY25-AS25</f>
        <v>69370</v>
      </c>
      <c r="AW25" s="615">
        <f t="shared" si="11"/>
        <v>-4.5999999999999996</v>
      </c>
      <c r="AX25" s="925">
        <v>474943</v>
      </c>
      <c r="AY25" s="925">
        <v>472874</v>
      </c>
      <c r="AZ25" s="615">
        <f t="shared" si="12"/>
        <v>-0.4</v>
      </c>
      <c r="BA25" s="868">
        <f>BD25-AX25</f>
        <v>71502</v>
      </c>
      <c r="BB25" s="868">
        <f>BE25-AY25</f>
        <v>66532</v>
      </c>
      <c r="BC25" s="615">
        <f t="shared" si="13"/>
        <v>-7</v>
      </c>
      <c r="BD25" s="868">
        <v>546445</v>
      </c>
      <c r="BE25" s="868">
        <v>539406</v>
      </c>
      <c r="BF25" s="615">
        <f t="shared" si="14"/>
        <v>-1.3</v>
      </c>
      <c r="BG25" s="868">
        <f>BJ25-BD25</f>
        <v>61740</v>
      </c>
      <c r="BH25" s="868">
        <f>BK25-BE25</f>
        <v>73704</v>
      </c>
      <c r="BI25" s="615">
        <f t="shared" si="15"/>
        <v>19.399999999999999</v>
      </c>
      <c r="BJ25" s="868">
        <v>608185</v>
      </c>
      <c r="BK25" s="868">
        <v>613110</v>
      </c>
      <c r="BL25" s="615">
        <f t="shared" si="16"/>
        <v>0.8</v>
      </c>
      <c r="BM25" s="868">
        <f>BP25-BJ25</f>
        <v>64606</v>
      </c>
      <c r="BN25" s="868">
        <f>BQ25-BK25</f>
        <v>73630</v>
      </c>
      <c r="BO25" s="615">
        <f t="shared" si="17"/>
        <v>14</v>
      </c>
      <c r="BP25" s="868">
        <v>672791</v>
      </c>
      <c r="BQ25" s="868">
        <v>686740</v>
      </c>
      <c r="BR25" s="615">
        <f t="shared" si="18"/>
        <v>2.1</v>
      </c>
      <c r="BS25" s="868">
        <f>BV25-BP25</f>
        <v>64713</v>
      </c>
      <c r="BT25" s="868">
        <f>BW25-BQ25</f>
        <v>79141</v>
      </c>
      <c r="BU25" s="615">
        <f t="shared" si="19"/>
        <v>22.3</v>
      </c>
      <c r="BV25" s="868">
        <v>737504</v>
      </c>
      <c r="BW25" s="868">
        <v>765881</v>
      </c>
      <c r="BX25" s="615">
        <f t="shared" si="20"/>
        <v>3.8</v>
      </c>
    </row>
    <row r="26" spans="1:76" ht="22.5" customHeight="1">
      <c r="A26" s="14"/>
      <c r="B26" s="1099"/>
      <c r="C26" s="1100"/>
      <c r="D26" s="370" t="s">
        <v>15</v>
      </c>
      <c r="E26" s="12">
        <f t="shared" ref="E26:O26" si="27">E25/E24*1000</f>
        <v>14063.354145745097</v>
      </c>
      <c r="F26" s="12">
        <f t="shared" si="27"/>
        <v>13479.59012614727</v>
      </c>
      <c r="G26" s="12">
        <f t="shared" si="27"/>
        <v>12860.298336201949</v>
      </c>
      <c r="H26" s="12">
        <f t="shared" si="27"/>
        <v>11489.59483861919</v>
      </c>
      <c r="I26" s="12">
        <f t="shared" si="27"/>
        <v>10836.674991080985</v>
      </c>
      <c r="J26" s="12">
        <f t="shared" si="27"/>
        <v>10174.507574593614</v>
      </c>
      <c r="K26" s="12">
        <f t="shared" si="27"/>
        <v>12048.507297492732</v>
      </c>
      <c r="L26" s="184">
        <f t="shared" si="27"/>
        <v>12592.339322427819</v>
      </c>
      <c r="M26" s="442">
        <f>M25/M24*1000</f>
        <v>12006.914097575576</v>
      </c>
      <c r="N26" s="310">
        <f t="shared" si="27"/>
        <v>10904.974016332591</v>
      </c>
      <c r="O26" s="310">
        <f t="shared" si="27"/>
        <v>10973.788328387736</v>
      </c>
      <c r="P26" s="194">
        <f t="shared" si="0"/>
        <v>0.6</v>
      </c>
      <c r="Q26" s="310">
        <f>Q25/Q24*1000</f>
        <v>11388.0658436214</v>
      </c>
      <c r="R26" s="310">
        <f>R25/R24*1000</f>
        <v>13660.532687651332</v>
      </c>
      <c r="S26" s="194">
        <f t="shared" si="1"/>
        <v>20</v>
      </c>
      <c r="T26" s="310">
        <f>T25/T24*1000</f>
        <v>11107.460112117291</v>
      </c>
      <c r="U26" s="310">
        <f>U25/U24*1000</f>
        <v>12062.083169870537</v>
      </c>
      <c r="V26" s="194">
        <f t="shared" si="2"/>
        <v>8.6</v>
      </c>
      <c r="W26" s="310">
        <f>W25/W24*1000</f>
        <v>11053.200332502078</v>
      </c>
      <c r="X26" s="310">
        <f>X25/X24*1000</f>
        <v>10389.626980071538</v>
      </c>
      <c r="Y26" s="194">
        <f t="shared" si="3"/>
        <v>-6</v>
      </c>
      <c r="Z26" s="310">
        <f>Z25/Z24*1000</f>
        <v>11088.926746166951</v>
      </c>
      <c r="AA26" s="310">
        <f>AA25/AA24*1000</f>
        <v>11335.719041278295</v>
      </c>
      <c r="AB26" s="194">
        <f t="shared" si="4"/>
        <v>2.2000000000000002</v>
      </c>
      <c r="AC26" s="310">
        <f>AC25/AC24*1000</f>
        <v>11716.682958618441</v>
      </c>
      <c r="AD26" s="310">
        <f>AD25/AD24*1000</f>
        <v>11858.54206807964</v>
      </c>
      <c r="AE26" s="194">
        <f t="shared" si="5"/>
        <v>1.2</v>
      </c>
      <c r="AF26" s="310">
        <f>AF25/AF24*1000</f>
        <v>11251.17904665656</v>
      </c>
      <c r="AG26" s="310">
        <f>AG25/AG24*1000</f>
        <v>11469.981857166418</v>
      </c>
      <c r="AH26" s="194">
        <f t="shared" si="6"/>
        <v>1.9</v>
      </c>
      <c r="AI26" s="310">
        <f>AI25/AI24*1000</f>
        <v>12570.349907918968</v>
      </c>
      <c r="AJ26" s="310">
        <f>AJ25/AJ24*1000</f>
        <v>14502.236580516899</v>
      </c>
      <c r="AK26" s="194">
        <f t="shared" si="7"/>
        <v>15.4</v>
      </c>
      <c r="AL26" s="310">
        <f>AL25/AL24*1000</f>
        <v>11496.67557748989</v>
      </c>
      <c r="AM26" s="310">
        <f>AM25/AM24*1000</f>
        <v>11901.506578016691</v>
      </c>
      <c r="AN26" s="194">
        <f t="shared" si="8"/>
        <v>3.5</v>
      </c>
      <c r="AO26" s="626">
        <f>AO25/AO24*1000</f>
        <v>12443.078069685112</v>
      </c>
      <c r="AP26" s="626">
        <f>AP25/AP24*1000</f>
        <v>13654.841997961263</v>
      </c>
      <c r="AQ26" s="616">
        <f t="shared" si="9"/>
        <v>9.6999999999999993</v>
      </c>
      <c r="AR26" s="626">
        <f>AR25/AR24*1000</f>
        <v>11643.71110146186</v>
      </c>
      <c r="AS26" s="626">
        <f>AS25/AS24*1000</f>
        <v>12160.694373285916</v>
      </c>
      <c r="AT26" s="616">
        <f t="shared" si="10"/>
        <v>4.4000000000000004</v>
      </c>
      <c r="AU26" s="626">
        <f>AU25/AU24*1000</f>
        <v>13437.627055997042</v>
      </c>
      <c r="AV26" s="626">
        <f>AV25/AV24*1000</f>
        <v>11917.196358014087</v>
      </c>
      <c r="AW26" s="616">
        <f t="shared" si="11"/>
        <v>-11.3</v>
      </c>
      <c r="AX26" s="930">
        <f>AX25/AX24*1000</f>
        <v>11886.650315346882</v>
      </c>
      <c r="AY26" s="930">
        <f>AY25/AY24*1000</f>
        <v>12124.352597302701</v>
      </c>
      <c r="AZ26" s="616">
        <f t="shared" si="12"/>
        <v>2</v>
      </c>
      <c r="BA26" s="626">
        <f>BA25/BA24*1000</f>
        <v>13488.398415393322</v>
      </c>
      <c r="BB26" s="626">
        <f>BB25/BB24*1000</f>
        <v>11773.49141744824</v>
      </c>
      <c r="BC26" s="616">
        <f t="shared" si="13"/>
        <v>-12.7</v>
      </c>
      <c r="BD26" s="626">
        <f>BD25/BD24*1000</f>
        <v>12074.264754623593</v>
      </c>
      <c r="BE26" s="626">
        <f>BE25/BE24*1000</f>
        <v>12079.949835397398</v>
      </c>
      <c r="BF26" s="616">
        <f t="shared" si="14"/>
        <v>0</v>
      </c>
      <c r="BG26" s="626">
        <f>BG25/BG24*1000</f>
        <v>12465.172622652937</v>
      </c>
      <c r="BH26" s="626">
        <f>BH25/BH24*1000</f>
        <v>12335.39748953975</v>
      </c>
      <c r="BI26" s="616">
        <f t="shared" si="15"/>
        <v>-1</v>
      </c>
      <c r="BJ26" s="626">
        <f>BJ25/BJ24*1000</f>
        <v>12112.826130252937</v>
      </c>
      <c r="BK26" s="626">
        <f>BK25/BK24*1000</f>
        <v>12110.097179426404</v>
      </c>
      <c r="BL26" s="616">
        <f t="shared" si="16"/>
        <v>0</v>
      </c>
      <c r="BM26" s="626">
        <f>BM25/BM24*1000</f>
        <v>11911.135693215339</v>
      </c>
      <c r="BN26" s="626">
        <f>BN25/BN24*1000</f>
        <v>11560.684565865913</v>
      </c>
      <c r="BO26" s="616">
        <f t="shared" si="17"/>
        <v>-2.9</v>
      </c>
      <c r="BP26" s="626">
        <f>BP25/BP24*1000</f>
        <v>12093.162454614085</v>
      </c>
      <c r="BQ26" s="626">
        <f>BQ25/BQ24*1000</f>
        <v>12048.704317771111</v>
      </c>
      <c r="BR26" s="616">
        <f t="shared" si="18"/>
        <v>-0.4</v>
      </c>
      <c r="BS26" s="626">
        <f>BS25/BS24*1000</f>
        <v>11917.67955801105</v>
      </c>
      <c r="BT26" s="626">
        <f>BT25/BT24*1000</f>
        <v>11794.485842026825</v>
      </c>
      <c r="BU26" s="616">
        <f t="shared" si="19"/>
        <v>-1</v>
      </c>
      <c r="BV26" s="626">
        <f>BV25/BV24*1000</f>
        <v>12077.557971963841</v>
      </c>
      <c r="BW26" s="626">
        <f>BW25/BW24*1000</f>
        <v>12021.928516489554</v>
      </c>
      <c r="BX26" s="616">
        <f t="shared" si="20"/>
        <v>-0.5</v>
      </c>
    </row>
    <row r="27" spans="1:76" ht="22.5" customHeight="1">
      <c r="A27" s="14"/>
      <c r="B27" s="1099" t="s">
        <v>41</v>
      </c>
      <c r="C27" s="1100">
        <v>7411</v>
      </c>
      <c r="D27" s="365" t="s">
        <v>13</v>
      </c>
      <c r="E27" s="11">
        <v>11945</v>
      </c>
      <c r="F27" s="11">
        <v>8716</v>
      </c>
      <c r="G27" s="11">
        <v>11628</v>
      </c>
      <c r="H27" s="11">
        <v>13976</v>
      </c>
      <c r="I27" s="11">
        <v>12456</v>
      </c>
      <c r="J27" s="11">
        <v>10743</v>
      </c>
      <c r="K27" s="11">
        <v>13555</v>
      </c>
      <c r="L27" s="183">
        <v>15577</v>
      </c>
      <c r="M27" s="312">
        <v>16093</v>
      </c>
      <c r="N27" s="311">
        <v>1289</v>
      </c>
      <c r="O27" s="311">
        <v>1611</v>
      </c>
      <c r="P27" s="195">
        <f t="shared" si="0"/>
        <v>25</v>
      </c>
      <c r="Q27" s="311">
        <f>T27-N27</f>
        <v>1309</v>
      </c>
      <c r="R27" s="311">
        <f>U27-O27</f>
        <v>1161</v>
      </c>
      <c r="S27" s="195">
        <f t="shared" si="1"/>
        <v>-11.3</v>
      </c>
      <c r="T27" s="311">
        <v>2598</v>
      </c>
      <c r="U27" s="311">
        <v>2772</v>
      </c>
      <c r="V27" s="195">
        <f t="shared" si="2"/>
        <v>6.7</v>
      </c>
      <c r="W27" s="311">
        <f>Z27-T27</f>
        <v>1102</v>
      </c>
      <c r="X27" s="311">
        <f>AA27-U27</f>
        <v>1940</v>
      </c>
      <c r="Y27" s="195">
        <f t="shared" si="3"/>
        <v>76</v>
      </c>
      <c r="Z27" s="311">
        <v>3700</v>
      </c>
      <c r="AA27" s="311">
        <v>4712</v>
      </c>
      <c r="AB27" s="195">
        <f t="shared" si="4"/>
        <v>27.4</v>
      </c>
      <c r="AC27" s="311">
        <f>AF27-Z27</f>
        <v>1592</v>
      </c>
      <c r="AD27" s="311">
        <f>AG27-AA27</f>
        <v>1562</v>
      </c>
      <c r="AE27" s="195">
        <f t="shared" si="5"/>
        <v>-1.9</v>
      </c>
      <c r="AF27" s="311">
        <v>5292</v>
      </c>
      <c r="AG27" s="311">
        <v>6274</v>
      </c>
      <c r="AH27" s="195">
        <f t="shared" si="6"/>
        <v>18.600000000000001</v>
      </c>
      <c r="AI27" s="311">
        <f>AL27-AF27</f>
        <v>1562</v>
      </c>
      <c r="AJ27" s="311">
        <f>AM27-AG27</f>
        <v>1509</v>
      </c>
      <c r="AK27" s="195">
        <f t="shared" si="7"/>
        <v>-3.4</v>
      </c>
      <c r="AL27" s="311">
        <v>6854</v>
      </c>
      <c r="AM27" s="311">
        <v>7783</v>
      </c>
      <c r="AN27" s="195">
        <f t="shared" si="8"/>
        <v>13.6</v>
      </c>
      <c r="AO27" s="627">
        <f>AR27-AL27</f>
        <v>1626</v>
      </c>
      <c r="AP27" s="627">
        <f>AS27-AM27</f>
        <v>2083</v>
      </c>
      <c r="AQ27" s="617">
        <f t="shared" si="9"/>
        <v>28.1</v>
      </c>
      <c r="AR27" s="869">
        <v>8480</v>
      </c>
      <c r="AS27" s="869">
        <v>9866</v>
      </c>
      <c r="AT27" s="617">
        <f t="shared" si="10"/>
        <v>16.3</v>
      </c>
      <c r="AU27" s="869">
        <f>AX27-AR27</f>
        <v>1588</v>
      </c>
      <c r="AV27" s="869">
        <f>AY27-AS27</f>
        <v>1890</v>
      </c>
      <c r="AW27" s="617">
        <f t="shared" si="11"/>
        <v>19</v>
      </c>
      <c r="AX27" s="929">
        <v>10068</v>
      </c>
      <c r="AY27" s="929">
        <v>11756</v>
      </c>
      <c r="AZ27" s="617">
        <f t="shared" si="12"/>
        <v>16.8</v>
      </c>
      <c r="BA27" s="869">
        <f>BD27-AX27</f>
        <v>1144</v>
      </c>
      <c r="BB27" s="869">
        <f>BE27-AY27</f>
        <v>1603</v>
      </c>
      <c r="BC27" s="617">
        <f t="shared" si="13"/>
        <v>40.1</v>
      </c>
      <c r="BD27" s="869">
        <v>11212</v>
      </c>
      <c r="BE27" s="869">
        <v>13359</v>
      </c>
      <c r="BF27" s="617">
        <f t="shared" si="14"/>
        <v>19.100000000000001</v>
      </c>
      <c r="BG27" s="869">
        <f>BJ27-BD27</f>
        <v>1189</v>
      </c>
      <c r="BH27" s="869">
        <f>BK27-BE27</f>
        <v>1460</v>
      </c>
      <c r="BI27" s="617">
        <f t="shared" si="15"/>
        <v>22.8</v>
      </c>
      <c r="BJ27" s="869">
        <v>12401</v>
      </c>
      <c r="BK27" s="869">
        <v>14819</v>
      </c>
      <c r="BL27" s="617">
        <f t="shared" si="16"/>
        <v>19.5</v>
      </c>
      <c r="BM27" s="869">
        <f>BP27-BJ27</f>
        <v>1337</v>
      </c>
      <c r="BN27" s="869">
        <f>BQ27-BK27</f>
        <v>1507</v>
      </c>
      <c r="BO27" s="617">
        <f t="shared" si="17"/>
        <v>12.7</v>
      </c>
      <c r="BP27" s="869">
        <v>13738</v>
      </c>
      <c r="BQ27" s="869">
        <v>16326</v>
      </c>
      <c r="BR27" s="617">
        <f t="shared" si="18"/>
        <v>18.8</v>
      </c>
      <c r="BS27" s="869">
        <f>BV27-BP27</f>
        <v>1286</v>
      </c>
      <c r="BT27" s="869">
        <f>BW27-BQ27</f>
        <v>1861</v>
      </c>
      <c r="BU27" s="617">
        <f t="shared" si="19"/>
        <v>44.7</v>
      </c>
      <c r="BV27" s="869">
        <v>15024</v>
      </c>
      <c r="BW27" s="869">
        <v>18187</v>
      </c>
      <c r="BX27" s="617">
        <f t="shared" si="20"/>
        <v>21.1</v>
      </c>
    </row>
    <row r="28" spans="1:76" ht="22.5" customHeight="1">
      <c r="A28" s="14"/>
      <c r="B28" s="1099"/>
      <c r="C28" s="1100"/>
      <c r="D28" s="366" t="s">
        <v>14</v>
      </c>
      <c r="E28" s="6">
        <v>138642</v>
      </c>
      <c r="F28" s="6">
        <v>98441</v>
      </c>
      <c r="G28" s="6">
        <v>128860</v>
      </c>
      <c r="H28" s="6">
        <v>128189</v>
      </c>
      <c r="I28" s="6">
        <v>105956</v>
      </c>
      <c r="J28" s="6">
        <v>90126</v>
      </c>
      <c r="K28" s="6">
        <v>114072</v>
      </c>
      <c r="L28" s="180">
        <v>133041</v>
      </c>
      <c r="M28" s="438">
        <v>137081</v>
      </c>
      <c r="N28" s="309">
        <v>10246</v>
      </c>
      <c r="O28" s="309">
        <v>12202</v>
      </c>
      <c r="P28" s="193">
        <f t="shared" si="0"/>
        <v>19.100000000000001</v>
      </c>
      <c r="Q28" s="309">
        <f>T28-N28</f>
        <v>18652</v>
      </c>
      <c r="R28" s="309">
        <f>U28-O28</f>
        <v>9052</v>
      </c>
      <c r="S28" s="193">
        <f t="shared" si="1"/>
        <v>-51.5</v>
      </c>
      <c r="T28" s="309">
        <v>28898</v>
      </c>
      <c r="U28" s="309">
        <v>21254</v>
      </c>
      <c r="V28" s="193">
        <f t="shared" si="2"/>
        <v>-26.5</v>
      </c>
      <c r="W28" s="309">
        <f>Z28-T28</f>
        <v>8603</v>
      </c>
      <c r="X28" s="309">
        <f>AA28-U28</f>
        <v>14987</v>
      </c>
      <c r="Y28" s="193">
        <f t="shared" si="3"/>
        <v>74.2</v>
      </c>
      <c r="Z28" s="309">
        <v>37501</v>
      </c>
      <c r="AA28" s="309">
        <v>36241</v>
      </c>
      <c r="AB28" s="193">
        <f t="shared" si="4"/>
        <v>-3.4</v>
      </c>
      <c r="AC28" s="309">
        <f>AF28-Z28</f>
        <v>12748</v>
      </c>
      <c r="AD28" s="309">
        <f>AG28-AA28</f>
        <v>11663</v>
      </c>
      <c r="AE28" s="193">
        <f t="shared" si="5"/>
        <v>-8.5</v>
      </c>
      <c r="AF28" s="309">
        <v>50249</v>
      </c>
      <c r="AG28" s="309">
        <v>47904</v>
      </c>
      <c r="AH28" s="193">
        <f t="shared" si="6"/>
        <v>-4.7</v>
      </c>
      <c r="AI28" s="309">
        <f>AL28-AF28</f>
        <v>12427</v>
      </c>
      <c r="AJ28" s="309">
        <f>AM28-AG28</f>
        <v>11506</v>
      </c>
      <c r="AK28" s="193">
        <f t="shared" si="7"/>
        <v>-7.4</v>
      </c>
      <c r="AL28" s="309">
        <v>62676</v>
      </c>
      <c r="AM28" s="309">
        <v>59410</v>
      </c>
      <c r="AN28" s="193">
        <f t="shared" si="8"/>
        <v>-5.2</v>
      </c>
      <c r="AO28" s="625">
        <f>AR28-AL28</f>
        <v>13404</v>
      </c>
      <c r="AP28" s="625">
        <f>AS28-AM28</f>
        <v>15652</v>
      </c>
      <c r="AQ28" s="615">
        <f t="shared" si="9"/>
        <v>16.8</v>
      </c>
      <c r="AR28" s="868">
        <v>76080</v>
      </c>
      <c r="AS28" s="868">
        <v>75062</v>
      </c>
      <c r="AT28" s="615">
        <f t="shared" si="10"/>
        <v>-1.3</v>
      </c>
      <c r="AU28" s="868">
        <f>AX28-AR28</f>
        <v>13151</v>
      </c>
      <c r="AV28" s="868">
        <f>AY28-AS28</f>
        <v>13861</v>
      </c>
      <c r="AW28" s="615">
        <f t="shared" si="11"/>
        <v>5.4</v>
      </c>
      <c r="AX28" s="925">
        <v>89231</v>
      </c>
      <c r="AY28" s="925">
        <v>88923</v>
      </c>
      <c r="AZ28" s="615">
        <f t="shared" si="12"/>
        <v>-0.3</v>
      </c>
      <c r="BA28" s="868">
        <f>BD28-AX28</f>
        <v>9352</v>
      </c>
      <c r="BB28" s="868">
        <f>BE28-AY28</f>
        <v>12081</v>
      </c>
      <c r="BC28" s="615">
        <f t="shared" si="13"/>
        <v>29.2</v>
      </c>
      <c r="BD28" s="868">
        <v>98583</v>
      </c>
      <c r="BE28" s="868">
        <v>101004</v>
      </c>
      <c r="BF28" s="615">
        <f t="shared" si="14"/>
        <v>2.5</v>
      </c>
      <c r="BG28" s="868">
        <f>BJ28-BD28</f>
        <v>9429</v>
      </c>
      <c r="BH28" s="868">
        <f>BK28-BE28</f>
        <v>11285</v>
      </c>
      <c r="BI28" s="615">
        <f t="shared" si="15"/>
        <v>19.7</v>
      </c>
      <c r="BJ28" s="868">
        <v>108012</v>
      </c>
      <c r="BK28" s="868">
        <v>112289</v>
      </c>
      <c r="BL28" s="615">
        <f t="shared" si="16"/>
        <v>4</v>
      </c>
      <c r="BM28" s="868">
        <f>BP28-BJ28</f>
        <v>10659</v>
      </c>
      <c r="BN28" s="868">
        <f>BQ28-BK28</f>
        <v>11665</v>
      </c>
      <c r="BO28" s="615">
        <f t="shared" si="17"/>
        <v>9.4</v>
      </c>
      <c r="BP28" s="868">
        <v>118671</v>
      </c>
      <c r="BQ28" s="868">
        <v>123954</v>
      </c>
      <c r="BR28" s="615">
        <f t="shared" si="18"/>
        <v>4.5</v>
      </c>
      <c r="BS28" s="868">
        <f>BV28-BP28</f>
        <v>9702</v>
      </c>
      <c r="BT28" s="868">
        <f>BW28-BQ28</f>
        <v>14174</v>
      </c>
      <c r="BU28" s="615">
        <f t="shared" si="19"/>
        <v>46.1</v>
      </c>
      <c r="BV28" s="868">
        <v>128373</v>
      </c>
      <c r="BW28" s="868">
        <v>138128</v>
      </c>
      <c r="BX28" s="615">
        <f t="shared" si="20"/>
        <v>7.6</v>
      </c>
    </row>
    <row r="29" spans="1:76" ht="22.5" customHeight="1">
      <c r="A29" s="14"/>
      <c r="B29" s="1099"/>
      <c r="C29" s="1100"/>
      <c r="D29" s="370" t="s">
        <v>15</v>
      </c>
      <c r="E29" s="12">
        <f t="shared" ref="E29:O29" si="28">E28/E27*1000</f>
        <v>11606.697362913354</v>
      </c>
      <c r="F29" s="12">
        <f t="shared" si="28"/>
        <v>11294.286369894447</v>
      </c>
      <c r="G29" s="12">
        <f t="shared" si="28"/>
        <v>11081.87134502924</v>
      </c>
      <c r="H29" s="12">
        <f t="shared" si="28"/>
        <v>9172.080709788208</v>
      </c>
      <c r="I29" s="12">
        <f t="shared" si="28"/>
        <v>8506.4226075786773</v>
      </c>
      <c r="J29" s="12">
        <f t="shared" si="28"/>
        <v>8389.2767383412447</v>
      </c>
      <c r="K29" s="12">
        <f t="shared" si="28"/>
        <v>8415.4924382146801</v>
      </c>
      <c r="L29" s="184">
        <f t="shared" si="28"/>
        <v>8540.8615266097459</v>
      </c>
      <c r="M29" s="442">
        <f>M28/M27*1000</f>
        <v>8518.0513266637663</v>
      </c>
      <c r="N29" s="310">
        <f t="shared" si="28"/>
        <v>7948.7975174553922</v>
      </c>
      <c r="O29" s="310">
        <f t="shared" si="28"/>
        <v>7574.1775294847921</v>
      </c>
      <c r="P29" s="194">
        <f t="shared" si="0"/>
        <v>-4.7</v>
      </c>
      <c r="Q29" s="310">
        <f>Q28/Q27*1000</f>
        <v>14249.045072574483</v>
      </c>
      <c r="R29" s="310">
        <f>R28/R27*1000</f>
        <v>7796.7269595176567</v>
      </c>
      <c r="S29" s="194">
        <f t="shared" si="1"/>
        <v>-45.3</v>
      </c>
      <c r="T29" s="310">
        <f>T28/T27*1000</f>
        <v>11123.171670515781</v>
      </c>
      <c r="U29" s="310">
        <f>U28/U27*1000</f>
        <v>7667.3881673881669</v>
      </c>
      <c r="V29" s="194">
        <f t="shared" si="2"/>
        <v>-31.1</v>
      </c>
      <c r="W29" s="310">
        <f>W28/W27*1000</f>
        <v>7806.7150635208709</v>
      </c>
      <c r="X29" s="310">
        <f>X28/X27*1000</f>
        <v>7725.2577319587626</v>
      </c>
      <c r="Y29" s="194">
        <f t="shared" si="3"/>
        <v>-1</v>
      </c>
      <c r="Z29" s="310">
        <f>Z28/Z27*1000</f>
        <v>10135.405405405405</v>
      </c>
      <c r="AA29" s="310">
        <f>AA28/AA27*1000</f>
        <v>7691.213921901528</v>
      </c>
      <c r="AB29" s="194">
        <f t="shared" si="4"/>
        <v>-24.1</v>
      </c>
      <c r="AC29" s="310">
        <f>AC28/AC27*1000</f>
        <v>8007.5376884422112</v>
      </c>
      <c r="AD29" s="310">
        <f>AD28/AD27*1000</f>
        <v>7466.7093469910378</v>
      </c>
      <c r="AE29" s="194">
        <f t="shared" si="5"/>
        <v>-6.8</v>
      </c>
      <c r="AF29" s="310">
        <f>AF28/AF27*1000</f>
        <v>9495.2758881330319</v>
      </c>
      <c r="AG29" s="310">
        <f>AG28/AG27*1000</f>
        <v>7635.3203697800445</v>
      </c>
      <c r="AH29" s="194">
        <f t="shared" si="6"/>
        <v>-19.600000000000001</v>
      </c>
      <c r="AI29" s="310">
        <f>AI28/AI27*1000</f>
        <v>7955.8258642765686</v>
      </c>
      <c r="AJ29" s="310">
        <f>AJ28/AJ27*1000</f>
        <v>7624.9171636845595</v>
      </c>
      <c r="AK29" s="194">
        <f t="shared" si="7"/>
        <v>-4.2</v>
      </c>
      <c r="AL29" s="310">
        <f>AL28/AL27*1000</f>
        <v>9144.4412022176839</v>
      </c>
      <c r="AM29" s="310">
        <f>AM28/AM27*1000</f>
        <v>7633.3033534626747</v>
      </c>
      <c r="AN29" s="194">
        <f t="shared" si="8"/>
        <v>-16.5</v>
      </c>
      <c r="AO29" s="626">
        <f>AO28/AO27*1000</f>
        <v>8243.5424354243532</v>
      </c>
      <c r="AP29" s="626">
        <f>AP28/AP27*1000</f>
        <v>7514.1622659625536</v>
      </c>
      <c r="AQ29" s="616">
        <f t="shared" si="9"/>
        <v>-8.8000000000000007</v>
      </c>
      <c r="AR29" s="626">
        <f>AR28/AR27*1000</f>
        <v>8971.6981132075471</v>
      </c>
      <c r="AS29" s="626">
        <f>AS28/AS27*1000</f>
        <v>7608.1491992702204</v>
      </c>
      <c r="AT29" s="616">
        <f t="shared" si="10"/>
        <v>-15.2</v>
      </c>
      <c r="AU29" s="626">
        <f>AU28/AU27*1000</f>
        <v>8281.4861460957181</v>
      </c>
      <c r="AV29" s="626">
        <f>AV28/AV27*1000</f>
        <v>7333.862433862434</v>
      </c>
      <c r="AW29" s="616">
        <f t="shared" si="11"/>
        <v>-11.4</v>
      </c>
      <c r="AX29" s="930">
        <f>AX28/AX27*1000</f>
        <v>8862.8327373857774</v>
      </c>
      <c r="AY29" s="930">
        <f>AY28/AY27*1000</f>
        <v>7564.052398775093</v>
      </c>
      <c r="AZ29" s="616">
        <f t="shared" si="12"/>
        <v>-14.7</v>
      </c>
      <c r="BA29" s="626">
        <f>BA28/BA27*1000</f>
        <v>8174.8251748251751</v>
      </c>
      <c r="BB29" s="626">
        <f>BB28/BB27*1000</f>
        <v>7536.494073611977</v>
      </c>
      <c r="BC29" s="616">
        <f t="shared" si="13"/>
        <v>-7.8</v>
      </c>
      <c r="BD29" s="626">
        <f>BD28/BD27*1000</f>
        <v>8792.6328933285768</v>
      </c>
      <c r="BE29" s="626">
        <f>BE28/BE27*1000</f>
        <v>7560.7455647877832</v>
      </c>
      <c r="BF29" s="616">
        <f t="shared" si="14"/>
        <v>-14</v>
      </c>
      <c r="BG29" s="626">
        <f>BG28/BG27*1000</f>
        <v>7930.193439865433</v>
      </c>
      <c r="BH29" s="626">
        <f>BH28/BH27*1000</f>
        <v>7729.4520547945203</v>
      </c>
      <c r="BI29" s="616">
        <f t="shared" si="15"/>
        <v>-2.5</v>
      </c>
      <c r="BJ29" s="626">
        <f>BJ28/BJ27*1000</f>
        <v>8709.9427465526969</v>
      </c>
      <c r="BK29" s="626">
        <f>BK28/BK27*1000</f>
        <v>7577.366893852487</v>
      </c>
      <c r="BL29" s="616">
        <f t="shared" si="16"/>
        <v>-13</v>
      </c>
      <c r="BM29" s="626">
        <f>BM28/BM27*1000</f>
        <v>7972.3261032161554</v>
      </c>
      <c r="BN29" s="626">
        <f>BN28/BN27*1000</f>
        <v>7740.5441274054419</v>
      </c>
      <c r="BO29" s="616">
        <f t="shared" si="17"/>
        <v>-2.9</v>
      </c>
      <c r="BP29" s="626">
        <f>BP28/BP27*1000</f>
        <v>8638.156936963167</v>
      </c>
      <c r="BQ29" s="626">
        <f>BQ28/BQ27*1000</f>
        <v>7592.4292539507533</v>
      </c>
      <c r="BR29" s="616">
        <f t="shared" si="18"/>
        <v>-12.1</v>
      </c>
      <c r="BS29" s="626">
        <f>BS28/BS27*1000</f>
        <v>7544.323483670295</v>
      </c>
      <c r="BT29" s="626">
        <f>BT28/BT27*1000</f>
        <v>7616.3353036002145</v>
      </c>
      <c r="BU29" s="616">
        <f t="shared" si="19"/>
        <v>1</v>
      </c>
      <c r="BV29" s="626">
        <f>BV28/BV27*1000</f>
        <v>8544.5287539936107</v>
      </c>
      <c r="BW29" s="626">
        <f>BW28/BW27*1000</f>
        <v>7594.8754604937594</v>
      </c>
      <c r="BX29" s="616">
        <f t="shared" si="20"/>
        <v>-11.1</v>
      </c>
    </row>
    <row r="30" spans="1:76" ht="22.5" customHeight="1">
      <c r="A30" s="14"/>
      <c r="B30" s="1099" t="s">
        <v>24</v>
      </c>
      <c r="C30" s="1100"/>
      <c r="D30" s="365" t="s">
        <v>13</v>
      </c>
      <c r="E30" s="11">
        <f t="shared" ref="E30:K31" si="29">E33-SUM(E6+E9+E12+E15+E18+E21+E24+E27)</f>
        <v>83639</v>
      </c>
      <c r="F30" s="11">
        <f t="shared" si="29"/>
        <v>83054</v>
      </c>
      <c r="G30" s="11">
        <f t="shared" si="29"/>
        <v>92617</v>
      </c>
      <c r="H30" s="11">
        <f t="shared" si="29"/>
        <v>117437</v>
      </c>
      <c r="I30" s="11">
        <f t="shared" si="29"/>
        <v>126277</v>
      </c>
      <c r="J30" s="11">
        <f t="shared" si="29"/>
        <v>203828</v>
      </c>
      <c r="K30" s="11">
        <f t="shared" si="29"/>
        <v>140704</v>
      </c>
      <c r="L30" s="183">
        <f t="shared" ref="L30:O31" si="30">L33-SUM(L6+L9+L12+L15+L18+L21+L24+L27)</f>
        <v>125031</v>
      </c>
      <c r="M30" s="312">
        <f>M33-SUM(M6+M9+M12+M15+M18+M21+M24+M27)</f>
        <v>144175</v>
      </c>
      <c r="N30" s="311">
        <f t="shared" si="30"/>
        <v>14229</v>
      </c>
      <c r="O30" s="311">
        <f t="shared" si="30"/>
        <v>13427</v>
      </c>
      <c r="P30" s="195">
        <f t="shared" si="0"/>
        <v>-5.6</v>
      </c>
      <c r="Q30" s="311">
        <f>Q33-SUM(Q6+Q9+Q12+Q15+Q18+Q21+Q24+Q27)</f>
        <v>8489</v>
      </c>
      <c r="R30" s="311">
        <f>R33-SUM(R6+R9+R12+R15+R18+R21+R24+R27)</f>
        <v>10842</v>
      </c>
      <c r="S30" s="195">
        <f t="shared" si="1"/>
        <v>27.7</v>
      </c>
      <c r="T30" s="311">
        <f>T33-SUM(T6+T9+T12+T15+T18+T21+T24+T27)</f>
        <v>22718</v>
      </c>
      <c r="U30" s="311">
        <f>U33-SUM(U6+U9+U12+U15+U18+U21+U24+U27)</f>
        <v>24269</v>
      </c>
      <c r="V30" s="195">
        <f t="shared" si="2"/>
        <v>6.8</v>
      </c>
      <c r="W30" s="311">
        <f>W33-SUM(W6+W9+W12+W15+W18+W21+W24+W27)</f>
        <v>19362</v>
      </c>
      <c r="X30" s="311">
        <f>X33-SUM(X6+X9+X12+X15+X18+X21+X24+X27)</f>
        <v>17084</v>
      </c>
      <c r="Y30" s="195">
        <f t="shared" si="3"/>
        <v>-11.8</v>
      </c>
      <c r="Z30" s="311">
        <f>Z33-SUM(Z6+Z9+Z12+Z15+Z18+Z21+Z24+Z27)</f>
        <v>42080</v>
      </c>
      <c r="AA30" s="311">
        <f>AA33-SUM(AA6+AA9+AA12+AA15+AA18+AA21+AA24+AA27)</f>
        <v>41353</v>
      </c>
      <c r="AB30" s="195">
        <f t="shared" si="4"/>
        <v>-1.7</v>
      </c>
      <c r="AC30" s="311">
        <f>AC33-SUM(AC6+AC9+AC12+AC15+AC18+AC21+AC24+AC27)</f>
        <v>16351</v>
      </c>
      <c r="AD30" s="311">
        <f>AD33-SUM(AD6+AD9+AD12+AD15+AD18+AD21+AD24+AD27)</f>
        <v>10163</v>
      </c>
      <c r="AE30" s="195">
        <f t="shared" si="5"/>
        <v>-37.799999999999997</v>
      </c>
      <c r="AF30" s="311">
        <f>AF33-SUM(AF6+AF9+AF12+AF15+AF18+AF21+AF24+AF27)</f>
        <v>58431</v>
      </c>
      <c r="AG30" s="311">
        <f>AG33-SUM(AG6+AG9+AG12+AG15+AG18+AG21+AG24+AG27)</f>
        <v>51516</v>
      </c>
      <c r="AH30" s="195">
        <f t="shared" si="6"/>
        <v>-11.8</v>
      </c>
      <c r="AI30" s="311">
        <f>AI33-SUM(AI6+AI9+AI12+AI15+AI18+AI21+AI24+AI27)</f>
        <v>14156</v>
      </c>
      <c r="AJ30" s="311">
        <f>AJ33-SUM(AJ6+AJ9+AJ12+AJ15+AJ18+AJ21+AJ24+AJ27)</f>
        <v>9304</v>
      </c>
      <c r="AK30" s="195">
        <f t="shared" si="7"/>
        <v>-34.299999999999997</v>
      </c>
      <c r="AL30" s="311">
        <f>AL33-SUM(AL6+AL9+AL12+AL15+AL18+AL21+AL24+AL27)</f>
        <v>72587</v>
      </c>
      <c r="AM30" s="311">
        <f>AM33-SUM(AM6+AM9+AM12+AM15+AM18+AM21+AM24+AM27)</f>
        <v>60820</v>
      </c>
      <c r="AN30" s="195">
        <f t="shared" si="8"/>
        <v>-16.2</v>
      </c>
      <c r="AO30" s="627">
        <f>AO33-SUM(AO6+AO9+AO12+AO15+AO18+AO21+AO24+AO27)</f>
        <v>9176</v>
      </c>
      <c r="AP30" s="627">
        <f>AP33-SUM(AP6+AP9+AP12+AP15+AP18+AP21+AP24+AP27)</f>
        <v>7183</v>
      </c>
      <c r="AQ30" s="617">
        <f t="shared" si="9"/>
        <v>-21.7</v>
      </c>
      <c r="AR30" s="869">
        <f>AR33-SUM(AR6+AR9+AR12+AR15+AR18+AR21+AR24+AR27)</f>
        <v>81763</v>
      </c>
      <c r="AS30" s="869">
        <f>AS33-SUM(AS6+AS9+AS12+AS15+AS18+AS21+AS24+AS27)</f>
        <v>68003</v>
      </c>
      <c r="AT30" s="617">
        <f t="shared" si="10"/>
        <v>-16.8</v>
      </c>
      <c r="AU30" s="869">
        <f>AU33-SUM(AU6+AU9+AU12+AU15+AU18+AU21+AU24+AU27)</f>
        <v>10224</v>
      </c>
      <c r="AV30" s="869">
        <f>AV33-SUM(AV6+AV9+AV12+AV15+AV18+AV21+AV24+AV27)</f>
        <v>10604</v>
      </c>
      <c r="AW30" s="617">
        <f t="shared" si="11"/>
        <v>3.7</v>
      </c>
      <c r="AX30" s="929">
        <f>AX33-SUM(AX6+AX9+AX12+AX15+AX18+AX21+AX24+AX27)</f>
        <v>91987</v>
      </c>
      <c r="AY30" s="929">
        <f>AY33-SUM(AY6+AY9+AY12+AY15+AY18+AY21+AY24+AY27)</f>
        <v>78607</v>
      </c>
      <c r="AZ30" s="617">
        <f t="shared" si="12"/>
        <v>-14.5</v>
      </c>
      <c r="BA30" s="869">
        <f>BA33-SUM(BA6+BA9+BA12+BA15+BA18+BA21+BA24+BA27)</f>
        <v>10990</v>
      </c>
      <c r="BB30" s="869">
        <f>BB33-SUM(BB6+BB9+BB12+BB15+BB18+BB21+BB24+BB27)</f>
        <v>11000</v>
      </c>
      <c r="BC30" s="617">
        <f t="shared" si="13"/>
        <v>0.1</v>
      </c>
      <c r="BD30" s="869">
        <f>BD33-SUM(BD6+BD9+BD12+BD15+BD18+BD21+BD24+BD27)</f>
        <v>102977</v>
      </c>
      <c r="BE30" s="869">
        <f>BE33-SUM(BE6+BE9+BE12+BE15+BE18+BE21+BE24+BE27)</f>
        <v>89607</v>
      </c>
      <c r="BF30" s="617">
        <f t="shared" si="14"/>
        <v>-13</v>
      </c>
      <c r="BG30" s="869">
        <f>BG33-SUM(BG6+BG9+BG12+BG15+BG18+BG21+BG24+BG27)</f>
        <v>11136</v>
      </c>
      <c r="BH30" s="869">
        <f>BH33-SUM(BH6+BH9+BH12+BH15+BH18+BH21+BH24+BH27)</f>
        <v>9602</v>
      </c>
      <c r="BI30" s="617">
        <f t="shared" si="15"/>
        <v>-13.8</v>
      </c>
      <c r="BJ30" s="869">
        <f>BJ33-SUM(BJ6+BJ9+BJ12+BJ15+BJ18+BJ21+BJ24+BJ27)</f>
        <v>114113</v>
      </c>
      <c r="BK30" s="869">
        <f>BK33-SUM(BK6+BK9+BK12+BK15+BK18+BK21+BK24+BK27)</f>
        <v>99209</v>
      </c>
      <c r="BL30" s="617">
        <f t="shared" si="16"/>
        <v>-13.1</v>
      </c>
      <c r="BM30" s="869">
        <f>BM33-SUM(BM6+BM9+BM12+BM15+BM18+BM21+BM24+BM27)</f>
        <v>12608</v>
      </c>
      <c r="BN30" s="869">
        <f>BN33-SUM(BN6+BN9+BN12+BN15+BN18+BN21+BN24+BN27)</f>
        <v>8479</v>
      </c>
      <c r="BO30" s="617">
        <f t="shared" si="17"/>
        <v>-32.700000000000003</v>
      </c>
      <c r="BP30" s="869">
        <f>BP33-SUM(BP6+BP9+BP12+BP15+BP18+BP21+BP24+BP27)</f>
        <v>126721</v>
      </c>
      <c r="BQ30" s="869">
        <f>BQ33-SUM(BQ6+BQ9+BQ12+BQ15+BQ18+BQ21+BQ24+BQ27)</f>
        <v>107688</v>
      </c>
      <c r="BR30" s="617">
        <f t="shared" si="18"/>
        <v>-15</v>
      </c>
      <c r="BS30" s="869">
        <f>BS33-SUM(BS6+BS9+BS12+BS15+BS18+BS21+BS24+BS27)</f>
        <v>7986</v>
      </c>
      <c r="BT30" s="869">
        <f>BT33-SUM(BT6+BT9+BT12+BT15+BT18+BT21+BT24+BT27)</f>
        <v>11974</v>
      </c>
      <c r="BU30" s="617">
        <f t="shared" si="19"/>
        <v>49.9</v>
      </c>
      <c r="BV30" s="869">
        <f>BV33-SUM(BV6+BV9+BV12+BV15+BV18+BV21+BV24+BV27)</f>
        <v>134707</v>
      </c>
      <c r="BW30" s="869">
        <f>BW33-SUM(BW6+BW9+BW12+BW15+BW18+BW21+BW24+BW27)</f>
        <v>119662</v>
      </c>
      <c r="BX30" s="617">
        <f t="shared" si="20"/>
        <v>-11.2</v>
      </c>
    </row>
    <row r="31" spans="1:76" ht="22.5" customHeight="1">
      <c r="A31" s="14"/>
      <c r="B31" s="1099"/>
      <c r="C31" s="1100"/>
      <c r="D31" s="366" t="s">
        <v>14</v>
      </c>
      <c r="E31" s="6">
        <f t="shared" si="29"/>
        <v>871204</v>
      </c>
      <c r="F31" s="6">
        <f t="shared" si="29"/>
        <v>819844</v>
      </c>
      <c r="G31" s="6">
        <f t="shared" si="29"/>
        <v>786013</v>
      </c>
      <c r="H31" s="6">
        <f t="shared" si="29"/>
        <v>847008</v>
      </c>
      <c r="I31" s="6">
        <f t="shared" si="29"/>
        <v>703955</v>
      </c>
      <c r="J31" s="6">
        <f t="shared" si="29"/>
        <v>972112</v>
      </c>
      <c r="K31" s="6">
        <f t="shared" si="29"/>
        <v>792224</v>
      </c>
      <c r="L31" s="180">
        <f t="shared" si="30"/>
        <v>695614</v>
      </c>
      <c r="M31" s="438">
        <f>M34-SUM(M7+M10+M13+M16+M19+M22+M25+M28)</f>
        <v>761732</v>
      </c>
      <c r="N31" s="309">
        <f t="shared" si="30"/>
        <v>82999</v>
      </c>
      <c r="O31" s="309">
        <f t="shared" si="30"/>
        <v>67236</v>
      </c>
      <c r="P31" s="193">
        <f t="shared" si="0"/>
        <v>-19</v>
      </c>
      <c r="Q31" s="309">
        <f>Q34-SUM(Q7+Q10+Q13+Q16+Q19+Q22+Q25+Q28)</f>
        <v>41965</v>
      </c>
      <c r="R31" s="309">
        <f>R34-SUM(R7+R10+R13+R16+R19+R22+R25+R28)</f>
        <v>56978</v>
      </c>
      <c r="S31" s="193">
        <f t="shared" si="1"/>
        <v>35.799999999999997</v>
      </c>
      <c r="T31" s="309">
        <f>T34-SUM(T7+T10+T13+T16+T19+T22+T25+T28)</f>
        <v>124964</v>
      </c>
      <c r="U31" s="309">
        <f>U34-SUM(U7+U10+U13+U16+U19+U22+U25+U28)</f>
        <v>124214</v>
      </c>
      <c r="V31" s="193">
        <f t="shared" si="2"/>
        <v>-0.6</v>
      </c>
      <c r="W31" s="309">
        <f>W34-SUM(W7+W10+W13+W16+W19+W22+W25+W28)</f>
        <v>102699</v>
      </c>
      <c r="X31" s="309">
        <f>X34-SUM(X7+X10+X13+X16+X19+X22+X25+X28)</f>
        <v>85141</v>
      </c>
      <c r="Y31" s="193">
        <f t="shared" si="3"/>
        <v>-17.100000000000001</v>
      </c>
      <c r="Z31" s="309">
        <f>Z34-SUM(Z7+Z10+Z13+Z16+Z19+Z22+Z25+Z28)</f>
        <v>227663</v>
      </c>
      <c r="AA31" s="309">
        <f>AA34-SUM(AA7+AA10+AA13+AA16+AA19+AA22+AA25+AA28)</f>
        <v>209355</v>
      </c>
      <c r="AB31" s="193">
        <f t="shared" si="4"/>
        <v>-8</v>
      </c>
      <c r="AC31" s="309">
        <f>AC34-SUM(AC7+AC10+AC13+AC16+AC19+AC22+AC25+AC28)</f>
        <v>95209</v>
      </c>
      <c r="AD31" s="309">
        <f>AD34-SUM(AD7+AD10+AD13+AD16+AD19+AD22+AD25+AD28)</f>
        <v>40278</v>
      </c>
      <c r="AE31" s="193">
        <f t="shared" si="5"/>
        <v>-57.7</v>
      </c>
      <c r="AF31" s="309">
        <f>AF34-SUM(AF7+AF10+AF13+AF16+AF19+AF22+AF25+AF28)</f>
        <v>322872</v>
      </c>
      <c r="AG31" s="309">
        <f>AG34-SUM(AG7+AG10+AG13+AG16+AG19+AG22+AG25+AG28)</f>
        <v>249633</v>
      </c>
      <c r="AH31" s="193">
        <f t="shared" si="6"/>
        <v>-22.7</v>
      </c>
      <c r="AI31" s="309">
        <f>AI34-SUM(AI7+AI10+AI13+AI16+AI19+AI22+AI25+AI28)</f>
        <v>82870</v>
      </c>
      <c r="AJ31" s="309">
        <f>AJ34-SUM(AJ7+AJ10+AJ13+AJ16+AJ19+AJ22+AJ25+AJ28)</f>
        <v>48442</v>
      </c>
      <c r="AK31" s="193">
        <f t="shared" si="7"/>
        <v>-41.5</v>
      </c>
      <c r="AL31" s="309">
        <f>AL34-SUM(AL7+AL10+AL13+AL16+AL19+AL22+AL25+AL28)</f>
        <v>405742</v>
      </c>
      <c r="AM31" s="309">
        <f>AM34-SUM(AM7+AM10+AM13+AM16+AM19+AM22+AM25+AM28)</f>
        <v>298075</v>
      </c>
      <c r="AN31" s="193">
        <f t="shared" si="8"/>
        <v>-26.5</v>
      </c>
      <c r="AO31" s="625">
        <f>AO34-SUM(AO7+AO10+AO13+AO16+AO19+AO22+AO25+AO28)</f>
        <v>49432</v>
      </c>
      <c r="AP31" s="625">
        <f>AP34-SUM(AP7+AP10+AP13+AP16+AP19+AP22+AP25+AP28)</f>
        <v>32124</v>
      </c>
      <c r="AQ31" s="615">
        <f t="shared" si="9"/>
        <v>-35</v>
      </c>
      <c r="AR31" s="868">
        <f>AR34-SUM(AR7+AR10+AR13+AR16+AR19+AR22+AR25+AR28)</f>
        <v>455174</v>
      </c>
      <c r="AS31" s="868">
        <f>AS34-SUM(AS7+AS10+AS13+AS16+AS19+AS22+AS25+AS28)</f>
        <v>330199</v>
      </c>
      <c r="AT31" s="615">
        <f t="shared" si="10"/>
        <v>-27.5</v>
      </c>
      <c r="AU31" s="868">
        <f>AU34-SUM(AU7+AU10+AU13+AU16+AU19+AU22+AU25+AU28)</f>
        <v>48054</v>
      </c>
      <c r="AV31" s="868">
        <f>AV34-SUM(AV7+AV10+AV13+AV16+AV19+AV22+AV25+AV28)</f>
        <v>49544</v>
      </c>
      <c r="AW31" s="615">
        <f t="shared" si="11"/>
        <v>3.1</v>
      </c>
      <c r="AX31" s="925">
        <f>AX34-SUM(AX7+AX10+AX13+AX16+AX19+AX22+AX25+AX28)</f>
        <v>503228</v>
      </c>
      <c r="AY31" s="925">
        <f>AY34-SUM(AY7+AY10+AY13+AY16+AY19+AY22+AY25+AY28)</f>
        <v>379743</v>
      </c>
      <c r="AZ31" s="615">
        <f t="shared" si="12"/>
        <v>-24.5</v>
      </c>
      <c r="BA31" s="868">
        <f>BA34-SUM(BA7+BA10+BA13+BA16+BA19+BA22+BA25+BA28)</f>
        <v>51893</v>
      </c>
      <c r="BB31" s="868">
        <f>BB34-SUM(BB7+BB10+BB13+BB16+BB19+BB22+BB25+BB28)</f>
        <v>63026</v>
      </c>
      <c r="BC31" s="615">
        <f t="shared" si="13"/>
        <v>21.5</v>
      </c>
      <c r="BD31" s="868">
        <f>BD34-SUM(BD7+BD10+BD13+BD16+BD19+BD22+BD25+BD28)</f>
        <v>555121</v>
      </c>
      <c r="BE31" s="868">
        <f>BE34-SUM(BE7+BE10+BE13+BE16+BE19+BE22+BE25+BE28)</f>
        <v>442769</v>
      </c>
      <c r="BF31" s="615">
        <f t="shared" si="14"/>
        <v>-20.2</v>
      </c>
      <c r="BG31" s="868">
        <f>BG34-SUM(BG7+BG10+BG13+BG16+BG19+BG22+BG25+BG28)</f>
        <v>64378</v>
      </c>
      <c r="BH31" s="868">
        <f>BH34-SUM(BH7+BH10+BH13+BH16+BH19+BH22+BH25+BH28)</f>
        <v>61538</v>
      </c>
      <c r="BI31" s="615">
        <f t="shared" si="15"/>
        <v>-4.4000000000000004</v>
      </c>
      <c r="BJ31" s="868">
        <f>BJ34-SUM(BJ7+BJ10+BJ13+BJ16+BJ19+BJ22+BJ25+BJ28)</f>
        <v>619499</v>
      </c>
      <c r="BK31" s="868">
        <f>BK34-SUM(BK7+BK10+BK13+BK16+BK19+BK22+BK25+BK28)</f>
        <v>504307</v>
      </c>
      <c r="BL31" s="615">
        <f t="shared" si="16"/>
        <v>-18.600000000000001</v>
      </c>
      <c r="BM31" s="868">
        <f>BM34-SUM(BM7+BM10+BM13+BM16+BM19+BM22+BM25+BM28)</f>
        <v>64709</v>
      </c>
      <c r="BN31" s="868">
        <f>BN34-SUM(BN7+BN10+BN13+BN16+BN19+BN22+BN25+BN28)</f>
        <v>41265</v>
      </c>
      <c r="BO31" s="615">
        <f t="shared" si="17"/>
        <v>-36.200000000000003</v>
      </c>
      <c r="BP31" s="868">
        <f>BP34-SUM(BP7+BP10+BP13+BP16+BP19+BP22+BP25+BP28)</f>
        <v>684208</v>
      </c>
      <c r="BQ31" s="868">
        <f>BQ34-SUM(BQ7+BQ10+BQ13+BQ16+BQ19+BQ22+BQ25+BQ28)</f>
        <v>545572</v>
      </c>
      <c r="BR31" s="615">
        <f t="shared" si="18"/>
        <v>-20.3</v>
      </c>
      <c r="BS31" s="868">
        <f>BS34-SUM(BS7+BS10+BS13+BS16+BS19+BS22+BS25+BS28)</f>
        <v>33127</v>
      </c>
      <c r="BT31" s="868">
        <f>BT34-SUM(BT7+BT10+BT13+BT16+BT19+BT22+BT25+BT28)</f>
        <v>62570</v>
      </c>
      <c r="BU31" s="615">
        <f t="shared" si="19"/>
        <v>88.9</v>
      </c>
      <c r="BV31" s="868">
        <f>BV34-SUM(BV7+BV10+BV13+BV16+BV19+BV22+BV25+BV28)</f>
        <v>717335</v>
      </c>
      <c r="BW31" s="868">
        <f>BW34-SUM(BW7+BW10+BW13+BW16+BW19+BW22+BW25+BW28)</f>
        <v>608142</v>
      </c>
      <c r="BX31" s="615">
        <f t="shared" si="20"/>
        <v>-15.2</v>
      </c>
    </row>
    <row r="32" spans="1:76" ht="22.5" customHeight="1">
      <c r="A32" s="14"/>
      <c r="B32" s="1099"/>
      <c r="C32" s="1100"/>
      <c r="D32" s="370" t="s">
        <v>15</v>
      </c>
      <c r="E32" s="12">
        <f t="shared" ref="E32:O32" si="31">E31/E30*1000</f>
        <v>10416.241227178709</v>
      </c>
      <c r="F32" s="12">
        <f t="shared" si="31"/>
        <v>9871.2163170949025</v>
      </c>
      <c r="G32" s="12">
        <f t="shared" si="31"/>
        <v>8486.7033050087994</v>
      </c>
      <c r="H32" s="12">
        <f t="shared" si="31"/>
        <v>7212.4458220152083</v>
      </c>
      <c r="I32" s="12">
        <f t="shared" si="31"/>
        <v>5574.6889774068113</v>
      </c>
      <c r="J32" s="12">
        <f t="shared" si="31"/>
        <v>4769.276056282748</v>
      </c>
      <c r="K32" s="12">
        <f t="shared" si="31"/>
        <v>5630.4298385262682</v>
      </c>
      <c r="L32" s="184">
        <f t="shared" si="31"/>
        <v>5563.532244003487</v>
      </c>
      <c r="M32" s="442">
        <f>M31/M30*1000</f>
        <v>5283.384775446506</v>
      </c>
      <c r="N32" s="310">
        <f t="shared" si="31"/>
        <v>5833.0873568065217</v>
      </c>
      <c r="O32" s="310">
        <f t="shared" si="31"/>
        <v>5007.5221568481411</v>
      </c>
      <c r="P32" s="194">
        <f t="shared" si="0"/>
        <v>-14.2</v>
      </c>
      <c r="Q32" s="310">
        <f>Q31/Q30*1000</f>
        <v>4943.4562374838024</v>
      </c>
      <c r="R32" s="310">
        <f>R31/R30*1000</f>
        <v>5255.3034495480533</v>
      </c>
      <c r="S32" s="194">
        <f t="shared" si="1"/>
        <v>6.3</v>
      </c>
      <c r="T32" s="310">
        <f>T31/T30*1000</f>
        <v>5500.6602693899113</v>
      </c>
      <c r="U32" s="310">
        <f>U31/U30*1000</f>
        <v>5118.2166549919648</v>
      </c>
      <c r="V32" s="194">
        <f t="shared" si="2"/>
        <v>-7</v>
      </c>
      <c r="W32" s="310">
        <f>W31/W30*1000</f>
        <v>5304.1524635884725</v>
      </c>
      <c r="X32" s="310">
        <f>X31/X30*1000</f>
        <v>4983.6689299929758</v>
      </c>
      <c r="Y32" s="194">
        <f t="shared" si="3"/>
        <v>-6</v>
      </c>
      <c r="Z32" s="310">
        <f>Z31/Z30*1000</f>
        <v>5410.2423954372625</v>
      </c>
      <c r="AA32" s="310">
        <f>AA31/AA30*1000</f>
        <v>5062.6314898556329</v>
      </c>
      <c r="AB32" s="194">
        <f t="shared" si="4"/>
        <v>-6.4</v>
      </c>
      <c r="AC32" s="310">
        <f>AC31/AC30*1000</f>
        <v>5822.8242920922266</v>
      </c>
      <c r="AD32" s="310">
        <f>AD31/AD30*1000</f>
        <v>3963.1998425661714</v>
      </c>
      <c r="AE32" s="194">
        <f t="shared" si="5"/>
        <v>-31.9</v>
      </c>
      <c r="AF32" s="310">
        <f>AF31/AF30*1000</f>
        <v>5525.6969759203157</v>
      </c>
      <c r="AG32" s="310">
        <f>AG31/AG30*1000</f>
        <v>4845.7372466806428</v>
      </c>
      <c r="AH32" s="194">
        <f t="shared" si="6"/>
        <v>-12.3</v>
      </c>
      <c r="AI32" s="310">
        <f>AI31/AI30*1000</f>
        <v>5854.0548177451255</v>
      </c>
      <c r="AJ32" s="310">
        <f>AJ31/AJ30*1000</f>
        <v>5206.5778159931215</v>
      </c>
      <c r="AK32" s="194">
        <f t="shared" si="7"/>
        <v>-11.1</v>
      </c>
      <c r="AL32" s="310">
        <f>AL31/AL30*1000</f>
        <v>5589.7336988716988</v>
      </c>
      <c r="AM32" s="310">
        <f>AM31/AM30*1000</f>
        <v>4900.9371917132521</v>
      </c>
      <c r="AN32" s="194">
        <f t="shared" si="8"/>
        <v>-12.3</v>
      </c>
      <c r="AO32" s="626">
        <f>AO31/AO30*1000</f>
        <v>5387.0967741935483</v>
      </c>
      <c r="AP32" s="626">
        <f>AP31/AP30*1000</f>
        <v>4472.2260893776975</v>
      </c>
      <c r="AQ32" s="616">
        <f t="shared" si="9"/>
        <v>-17</v>
      </c>
      <c r="AR32" s="626">
        <f>AR31/AR30*1000</f>
        <v>5566.9924048775119</v>
      </c>
      <c r="AS32" s="626">
        <f>AS31/AS30*1000</f>
        <v>4855.653427054689</v>
      </c>
      <c r="AT32" s="616">
        <f t="shared" si="10"/>
        <v>-12.8</v>
      </c>
      <c r="AU32" s="626">
        <f>AU31/AU30*1000</f>
        <v>4700.1173708920187</v>
      </c>
      <c r="AV32" s="626">
        <f>AV31/AV30*1000</f>
        <v>4672.1991701244815</v>
      </c>
      <c r="AW32" s="616">
        <f t="shared" si="11"/>
        <v>-0.6</v>
      </c>
      <c r="AX32" s="930">
        <f>AX31/AX30*1000</f>
        <v>5470.6425908008741</v>
      </c>
      <c r="AY32" s="930">
        <f>AY31/AY30*1000</f>
        <v>4830.9056445354745</v>
      </c>
      <c r="AZ32" s="616">
        <f t="shared" si="12"/>
        <v>-11.7</v>
      </c>
      <c r="BA32" s="626">
        <f>BA31/BA30*1000</f>
        <v>4721.8380345768883</v>
      </c>
      <c r="BB32" s="626">
        <f>BB31/BB30*1000</f>
        <v>5729.636363636364</v>
      </c>
      <c r="BC32" s="616">
        <f t="shared" si="13"/>
        <v>21.3</v>
      </c>
      <c r="BD32" s="626">
        <f>BD31/BD30*1000</f>
        <v>5390.7280266467269</v>
      </c>
      <c r="BE32" s="626">
        <f>BE31/BE30*1000</f>
        <v>4941.23226980035</v>
      </c>
      <c r="BF32" s="616">
        <f t="shared" si="14"/>
        <v>-8.3000000000000007</v>
      </c>
      <c r="BG32" s="626">
        <f>BG31/BG30*1000</f>
        <v>5781.0704022988511</v>
      </c>
      <c r="BH32" s="626">
        <f>BH31/BH30*1000</f>
        <v>6408.8731514267865</v>
      </c>
      <c r="BI32" s="616">
        <f t="shared" si="15"/>
        <v>10.9</v>
      </c>
      <c r="BJ32" s="626">
        <f>BJ31/BJ30*1000</f>
        <v>5428.8205550638404</v>
      </c>
      <c r="BK32" s="626">
        <f>BK31/BK30*1000</f>
        <v>5083.2787347922067</v>
      </c>
      <c r="BL32" s="616">
        <f t="shared" si="16"/>
        <v>-6.4</v>
      </c>
      <c r="BM32" s="626">
        <f>BM31/BM30*1000</f>
        <v>5132.3762690355334</v>
      </c>
      <c r="BN32" s="626">
        <f>BN31/BN30*1000</f>
        <v>4866.7295671659394</v>
      </c>
      <c r="BO32" s="616">
        <f t="shared" si="17"/>
        <v>-5.2</v>
      </c>
      <c r="BP32" s="626">
        <f>BP31/BP30*1000</f>
        <v>5399.3260785505163</v>
      </c>
      <c r="BQ32" s="626">
        <f>BQ31/BQ30*1000</f>
        <v>5066.2283634202513</v>
      </c>
      <c r="BR32" s="616">
        <f t="shared" si="18"/>
        <v>-6.2</v>
      </c>
      <c r="BS32" s="626">
        <f>BS31/BS30*1000</f>
        <v>4148.1342349110946</v>
      </c>
      <c r="BT32" s="626">
        <f>BT31/BT30*1000</f>
        <v>5225.4885585435113</v>
      </c>
      <c r="BU32" s="616">
        <f t="shared" si="19"/>
        <v>26</v>
      </c>
      <c r="BV32" s="626">
        <f>BV31/BV30*1000</f>
        <v>5325.1501406756888</v>
      </c>
      <c r="BW32" s="626">
        <f>BW31/BW30*1000</f>
        <v>5082.1647640855072</v>
      </c>
      <c r="BX32" s="616">
        <f t="shared" si="20"/>
        <v>-4.5999999999999996</v>
      </c>
    </row>
    <row r="33" spans="1:76" ht="22.5" customHeight="1">
      <c r="A33" s="14"/>
      <c r="B33" s="1104" t="s">
        <v>25</v>
      </c>
      <c r="C33" s="1105"/>
      <c r="D33" s="15" t="s">
        <v>319</v>
      </c>
      <c r="E33" s="16">
        <v>794054</v>
      </c>
      <c r="F33" s="16">
        <v>790500</v>
      </c>
      <c r="G33" s="16">
        <v>797944</v>
      </c>
      <c r="H33" s="16">
        <v>883283</v>
      </c>
      <c r="I33" s="16">
        <v>908875</v>
      </c>
      <c r="J33" s="16">
        <v>986611</v>
      </c>
      <c r="K33" s="16">
        <v>908736</v>
      </c>
      <c r="L33" s="185">
        <v>855547</v>
      </c>
      <c r="M33" s="443">
        <v>851617</v>
      </c>
      <c r="N33" s="313">
        <v>86878</v>
      </c>
      <c r="O33" s="313">
        <v>73411</v>
      </c>
      <c r="P33" s="197">
        <f t="shared" si="0"/>
        <v>-15.5</v>
      </c>
      <c r="Q33" s="313">
        <f>T33-N33</f>
        <v>65889</v>
      </c>
      <c r="R33" s="313">
        <f>U33-O33</f>
        <v>67483</v>
      </c>
      <c r="S33" s="197">
        <f t="shared" si="1"/>
        <v>2.4</v>
      </c>
      <c r="T33" s="313">
        <v>152767</v>
      </c>
      <c r="U33" s="313">
        <v>140894</v>
      </c>
      <c r="V33" s="197">
        <f t="shared" si="2"/>
        <v>-7.8</v>
      </c>
      <c r="W33" s="313">
        <f>Z33-T33</f>
        <v>81882</v>
      </c>
      <c r="X33" s="313">
        <f>AA33-U33</f>
        <v>83349</v>
      </c>
      <c r="Y33" s="197">
        <f t="shared" si="3"/>
        <v>1.8</v>
      </c>
      <c r="Z33" s="313">
        <v>234649</v>
      </c>
      <c r="AA33" s="313">
        <v>224243</v>
      </c>
      <c r="AB33" s="197">
        <f t="shared" si="4"/>
        <v>-4.4000000000000004</v>
      </c>
      <c r="AC33" s="313">
        <f>AF33-Z33</f>
        <v>77012</v>
      </c>
      <c r="AD33" s="313">
        <f>AG33-AA33</f>
        <v>69845</v>
      </c>
      <c r="AE33" s="197">
        <f t="shared" si="5"/>
        <v>-9.3000000000000007</v>
      </c>
      <c r="AF33" s="313">
        <v>311661</v>
      </c>
      <c r="AG33" s="313">
        <v>294088</v>
      </c>
      <c r="AH33" s="197">
        <f t="shared" si="6"/>
        <v>-5.6</v>
      </c>
      <c r="AI33" s="313">
        <f>AL33-AF33</f>
        <v>68765</v>
      </c>
      <c r="AJ33" s="313">
        <f>AM33-AG33</f>
        <v>58209</v>
      </c>
      <c r="AK33" s="197">
        <f t="shared" si="7"/>
        <v>-15.4</v>
      </c>
      <c r="AL33" s="313">
        <v>380426</v>
      </c>
      <c r="AM33" s="313">
        <v>352297</v>
      </c>
      <c r="AN33" s="197">
        <f t="shared" si="8"/>
        <v>-7.4</v>
      </c>
      <c r="AO33" s="628">
        <f>AR33-AL33</f>
        <v>64788</v>
      </c>
      <c r="AP33" s="628">
        <f>AS33-AM33</f>
        <v>60611</v>
      </c>
      <c r="AQ33" s="618">
        <f t="shared" si="9"/>
        <v>-6.4</v>
      </c>
      <c r="AR33" s="640">
        <v>445214</v>
      </c>
      <c r="AS33" s="640">
        <v>412908</v>
      </c>
      <c r="AT33" s="618">
        <f t="shared" si="10"/>
        <v>-7.3</v>
      </c>
      <c r="AU33" s="640">
        <f>AX33-AR33</f>
        <v>67287</v>
      </c>
      <c r="AV33" s="640">
        <f>AY33-AS33</f>
        <v>64082</v>
      </c>
      <c r="AW33" s="618">
        <f t="shared" si="11"/>
        <v>-4.8</v>
      </c>
      <c r="AX33" s="931">
        <v>512501</v>
      </c>
      <c r="AY33" s="931">
        <v>476990</v>
      </c>
      <c r="AZ33" s="618">
        <f t="shared" si="12"/>
        <v>-6.9</v>
      </c>
      <c r="BA33" s="640">
        <f>BD33-AX33</f>
        <v>62100</v>
      </c>
      <c r="BB33" s="640">
        <f>BE33-AY33</f>
        <v>66572</v>
      </c>
      <c r="BC33" s="618">
        <f t="shared" si="13"/>
        <v>7.2</v>
      </c>
      <c r="BD33" s="640">
        <v>574601</v>
      </c>
      <c r="BE33" s="640">
        <v>543562</v>
      </c>
      <c r="BF33" s="618">
        <f t="shared" si="14"/>
        <v>-5.4</v>
      </c>
      <c r="BG33" s="640">
        <f>BJ33-BD33</f>
        <v>67103</v>
      </c>
      <c r="BH33" s="640">
        <f>BK33-BE33</f>
        <v>66080</v>
      </c>
      <c r="BI33" s="618">
        <f t="shared" si="15"/>
        <v>-1.5</v>
      </c>
      <c r="BJ33" s="640">
        <v>641704</v>
      </c>
      <c r="BK33" s="640">
        <v>609642</v>
      </c>
      <c r="BL33" s="618">
        <f t="shared" si="16"/>
        <v>-5</v>
      </c>
      <c r="BM33" s="640">
        <f>BP33-BJ33</f>
        <v>71705</v>
      </c>
      <c r="BN33" s="640">
        <f>BQ33-BK33</f>
        <v>70683</v>
      </c>
      <c r="BO33" s="618">
        <f t="shared" si="17"/>
        <v>-1.4</v>
      </c>
      <c r="BP33" s="640">
        <v>713409</v>
      </c>
      <c r="BQ33" s="640">
        <v>680325</v>
      </c>
      <c r="BR33" s="618">
        <f t="shared" si="18"/>
        <v>-4.5999999999999996</v>
      </c>
      <c r="BS33" s="640">
        <f>BV33-BP33</f>
        <v>68443</v>
      </c>
      <c r="BT33" s="640">
        <f>BW33-BQ33</f>
        <v>70905</v>
      </c>
      <c r="BU33" s="618">
        <f t="shared" si="19"/>
        <v>3.6</v>
      </c>
      <c r="BV33" s="640">
        <v>781852</v>
      </c>
      <c r="BW33" s="640">
        <v>751230</v>
      </c>
      <c r="BX33" s="618">
        <f t="shared" si="20"/>
        <v>-3.9</v>
      </c>
    </row>
    <row r="34" spans="1:76" ht="22.5" customHeight="1">
      <c r="A34" s="14"/>
      <c r="B34" s="1104"/>
      <c r="C34" s="1105"/>
      <c r="D34" s="367" t="s">
        <v>320</v>
      </c>
      <c r="E34" s="18">
        <v>7412689</v>
      </c>
      <c r="F34" s="18">
        <v>6627485</v>
      </c>
      <c r="G34" s="18">
        <v>6245237</v>
      </c>
      <c r="H34" s="18">
        <v>6423507</v>
      </c>
      <c r="I34" s="18">
        <v>5480118</v>
      </c>
      <c r="J34" s="18">
        <v>5098171</v>
      </c>
      <c r="K34" s="18">
        <v>5680329</v>
      </c>
      <c r="L34" s="186">
        <v>5791947</v>
      </c>
      <c r="M34" s="444">
        <v>5318770</v>
      </c>
      <c r="N34" s="314">
        <v>553697</v>
      </c>
      <c r="O34" s="314">
        <v>438251</v>
      </c>
      <c r="P34" s="198">
        <f t="shared" si="0"/>
        <v>-20.9</v>
      </c>
      <c r="Q34" s="314">
        <f>T34-N34</f>
        <v>420880</v>
      </c>
      <c r="R34" s="314">
        <f>U34-O34</f>
        <v>414017</v>
      </c>
      <c r="S34" s="198">
        <f t="shared" si="1"/>
        <v>-1.6</v>
      </c>
      <c r="T34" s="314">
        <v>974577</v>
      </c>
      <c r="U34" s="314">
        <v>852268</v>
      </c>
      <c r="V34" s="198">
        <f t="shared" si="2"/>
        <v>-12.5</v>
      </c>
      <c r="W34" s="314">
        <f>Z34-T34</f>
        <v>512859</v>
      </c>
      <c r="X34" s="314">
        <f>AA34-U34</f>
        <v>495823</v>
      </c>
      <c r="Y34" s="198">
        <f t="shared" si="3"/>
        <v>-3.3</v>
      </c>
      <c r="Z34" s="314">
        <v>1487436</v>
      </c>
      <c r="AA34" s="314">
        <v>1348091</v>
      </c>
      <c r="AB34" s="198">
        <f t="shared" si="4"/>
        <v>-9.4</v>
      </c>
      <c r="AC34" s="314">
        <f>AF34-Z34</f>
        <v>501819</v>
      </c>
      <c r="AD34" s="314">
        <f>AG34-AA34</f>
        <v>393272</v>
      </c>
      <c r="AE34" s="198">
        <f t="shared" si="5"/>
        <v>-21.6</v>
      </c>
      <c r="AF34" s="314">
        <v>1989255</v>
      </c>
      <c r="AG34" s="314">
        <v>1741363</v>
      </c>
      <c r="AH34" s="198">
        <f t="shared" si="6"/>
        <v>-12.5</v>
      </c>
      <c r="AI34" s="314">
        <f>AL34-AF34</f>
        <v>448345</v>
      </c>
      <c r="AJ34" s="314">
        <f>AM34-AG34</f>
        <v>329062</v>
      </c>
      <c r="AK34" s="198">
        <f t="shared" si="7"/>
        <v>-26.6</v>
      </c>
      <c r="AL34" s="314">
        <v>2437600</v>
      </c>
      <c r="AM34" s="314">
        <v>2070425</v>
      </c>
      <c r="AN34" s="198">
        <f t="shared" si="8"/>
        <v>-15.1</v>
      </c>
      <c r="AO34" s="629">
        <f>AR34-AL34</f>
        <v>417572</v>
      </c>
      <c r="AP34" s="629">
        <f>AS34-AM34</f>
        <v>343704</v>
      </c>
      <c r="AQ34" s="619">
        <f t="shared" si="9"/>
        <v>-17.7</v>
      </c>
      <c r="AR34" s="641">
        <v>2855172</v>
      </c>
      <c r="AS34" s="641">
        <v>2414129</v>
      </c>
      <c r="AT34" s="619">
        <f t="shared" si="10"/>
        <v>-15.4</v>
      </c>
      <c r="AU34" s="641">
        <f>AX34-AR34</f>
        <v>427114</v>
      </c>
      <c r="AV34" s="641">
        <f>AY34-AS34</f>
        <v>378480</v>
      </c>
      <c r="AW34" s="619">
        <f t="shared" si="11"/>
        <v>-11.4</v>
      </c>
      <c r="AX34" s="932">
        <v>3282286</v>
      </c>
      <c r="AY34" s="932">
        <v>2792609</v>
      </c>
      <c r="AZ34" s="619">
        <f t="shared" si="12"/>
        <v>-14.9</v>
      </c>
      <c r="BA34" s="641">
        <f>BD34-AX34</f>
        <v>387728</v>
      </c>
      <c r="BB34" s="641">
        <f>BE34-AY34</f>
        <v>409399</v>
      </c>
      <c r="BC34" s="619">
        <f t="shared" si="13"/>
        <v>5.6</v>
      </c>
      <c r="BD34" s="641">
        <v>3670014</v>
      </c>
      <c r="BE34" s="641">
        <v>3202008</v>
      </c>
      <c r="BF34" s="619">
        <f t="shared" si="14"/>
        <v>-12.8</v>
      </c>
      <c r="BG34" s="641">
        <f>BJ34-BD34</f>
        <v>414034</v>
      </c>
      <c r="BH34" s="641">
        <f>BK34-BE34</f>
        <v>442023</v>
      </c>
      <c r="BI34" s="619">
        <f t="shared" si="15"/>
        <v>6.8</v>
      </c>
      <c r="BJ34" s="641">
        <v>4084048</v>
      </c>
      <c r="BK34" s="641">
        <v>3644031</v>
      </c>
      <c r="BL34" s="619">
        <f t="shared" si="16"/>
        <v>-10.8</v>
      </c>
      <c r="BM34" s="641">
        <f>BP34-BJ34</f>
        <v>427419</v>
      </c>
      <c r="BN34" s="641">
        <f>BQ34-BK34</f>
        <v>465290</v>
      </c>
      <c r="BO34" s="619">
        <f t="shared" si="17"/>
        <v>8.9</v>
      </c>
      <c r="BP34" s="641">
        <v>4511467</v>
      </c>
      <c r="BQ34" s="641">
        <v>4109321</v>
      </c>
      <c r="BR34" s="619">
        <f t="shared" si="18"/>
        <v>-8.9</v>
      </c>
      <c r="BS34" s="641">
        <f>BV34-BP34</f>
        <v>399428</v>
      </c>
      <c r="BT34" s="641">
        <f>BW34-BQ34</f>
        <v>486090</v>
      </c>
      <c r="BU34" s="619">
        <f t="shared" si="19"/>
        <v>21.7</v>
      </c>
      <c r="BV34" s="641">
        <v>4910895</v>
      </c>
      <c r="BW34" s="641">
        <v>4595411</v>
      </c>
      <c r="BX34" s="619">
        <f t="shared" si="20"/>
        <v>-6.4</v>
      </c>
    </row>
    <row r="35" spans="1:76" ht="22.5" customHeight="1">
      <c r="A35" s="14"/>
      <c r="B35" s="1104"/>
      <c r="C35" s="1105"/>
      <c r="D35" s="371" t="s">
        <v>321</v>
      </c>
      <c r="E35" s="20">
        <f t="shared" ref="E35:O35" si="32">E34/E33*1000</f>
        <v>9335.2454618955398</v>
      </c>
      <c r="F35" s="20">
        <f t="shared" si="32"/>
        <v>8383.9152435167616</v>
      </c>
      <c r="G35" s="20">
        <f t="shared" si="32"/>
        <v>7826.6607681742071</v>
      </c>
      <c r="H35" s="20">
        <f t="shared" si="32"/>
        <v>7272.3091013865323</v>
      </c>
      <c r="I35" s="20">
        <f t="shared" si="32"/>
        <v>6029.5618209324712</v>
      </c>
      <c r="J35" s="20">
        <f t="shared" si="32"/>
        <v>5167.3567393836074</v>
      </c>
      <c r="K35" s="20">
        <f t="shared" si="32"/>
        <v>6250.8022131840271</v>
      </c>
      <c r="L35" s="187">
        <f t="shared" si="32"/>
        <v>6769.8758805769876</v>
      </c>
      <c r="M35" s="445">
        <f>M34/M33*1000</f>
        <v>6245.4953341701721</v>
      </c>
      <c r="N35" s="315">
        <f t="shared" si="32"/>
        <v>6373.270563318677</v>
      </c>
      <c r="O35" s="315">
        <f t="shared" si="32"/>
        <v>5969.8274100611625</v>
      </c>
      <c r="P35" s="199">
        <f t="shared" si="0"/>
        <v>-6.3</v>
      </c>
      <c r="Q35" s="315">
        <f>Q34/Q33*1000</f>
        <v>6387.7126682754324</v>
      </c>
      <c r="R35" s="315">
        <f>R34/R33*1000</f>
        <v>6135.1303291199265</v>
      </c>
      <c r="S35" s="199">
        <f t="shared" si="1"/>
        <v>-4</v>
      </c>
      <c r="T35" s="315">
        <f>T34/T33*1000</f>
        <v>6379.4994992374004</v>
      </c>
      <c r="U35" s="315">
        <f>U34/U33*1000</f>
        <v>6049.0013769216566</v>
      </c>
      <c r="V35" s="199">
        <f t="shared" si="2"/>
        <v>-5.2</v>
      </c>
      <c r="W35" s="315">
        <f>W34/W33*1000</f>
        <v>6263.3912215138862</v>
      </c>
      <c r="X35" s="315">
        <f>X34/X33*1000</f>
        <v>5948.7576335648901</v>
      </c>
      <c r="Y35" s="199">
        <f t="shared" si="3"/>
        <v>-5</v>
      </c>
      <c r="Z35" s="315">
        <f>Z34/Z33*1000</f>
        <v>6338.9829063835768</v>
      </c>
      <c r="AA35" s="315">
        <f>AA34/AA33*1000</f>
        <v>6011.7417266090806</v>
      </c>
      <c r="AB35" s="199">
        <f t="shared" si="4"/>
        <v>-5.2</v>
      </c>
      <c r="AC35" s="315">
        <f>AC34/AC33*1000</f>
        <v>6516.1143717862151</v>
      </c>
      <c r="AD35" s="315">
        <f>AD34/AD33*1000</f>
        <v>5630.6392726752092</v>
      </c>
      <c r="AE35" s="199">
        <f t="shared" si="5"/>
        <v>-13.6</v>
      </c>
      <c r="AF35" s="315">
        <f>AF34/AF33*1000</f>
        <v>6382.7524136802494</v>
      </c>
      <c r="AG35" s="315">
        <f>AG34/AG33*1000</f>
        <v>5921.2310600908577</v>
      </c>
      <c r="AH35" s="199">
        <f t="shared" si="6"/>
        <v>-7.2</v>
      </c>
      <c r="AI35" s="315">
        <f>AI34/AI33*1000</f>
        <v>6519.9592816112845</v>
      </c>
      <c r="AJ35" s="315">
        <f>AJ34/AJ33*1000</f>
        <v>5653.1120617086699</v>
      </c>
      <c r="AK35" s="199">
        <f t="shared" si="7"/>
        <v>-13.3</v>
      </c>
      <c r="AL35" s="315">
        <f>AL34/AL33*1000</f>
        <v>6407.5536372382539</v>
      </c>
      <c r="AM35" s="315">
        <f>AM34/AM33*1000</f>
        <v>5876.9305443986186</v>
      </c>
      <c r="AN35" s="199">
        <f t="shared" si="8"/>
        <v>-8.3000000000000007</v>
      </c>
      <c r="AO35" s="630">
        <f>AO34/AO33*1000</f>
        <v>6445.2059023275915</v>
      </c>
      <c r="AP35" s="630">
        <f>AP34/AP33*1000</f>
        <v>5670.6538417119009</v>
      </c>
      <c r="AQ35" s="620">
        <f t="shared" si="9"/>
        <v>-12</v>
      </c>
      <c r="AR35" s="630">
        <f>AR34/AR33*1000</f>
        <v>6413.0328336485372</v>
      </c>
      <c r="AS35" s="630">
        <f>AS34/AS33*1000</f>
        <v>5846.6510699720038</v>
      </c>
      <c r="AT35" s="620">
        <f t="shared" si="10"/>
        <v>-8.8000000000000007</v>
      </c>
      <c r="AU35" s="630">
        <f>AU34/AU33*1000</f>
        <v>6347.645161769733</v>
      </c>
      <c r="AV35" s="630">
        <f>AV34/AV33*1000</f>
        <v>5906.1827034112539</v>
      </c>
      <c r="AW35" s="620">
        <f t="shared" si="11"/>
        <v>-7</v>
      </c>
      <c r="AX35" s="933">
        <f>AX34/AX33*1000</f>
        <v>6404.4479913209925</v>
      </c>
      <c r="AY35" s="933">
        <f>AY34/AY33*1000</f>
        <v>5854.6489444223143</v>
      </c>
      <c r="AZ35" s="620">
        <f t="shared" si="12"/>
        <v>-8.6</v>
      </c>
      <c r="BA35" s="630">
        <f>BA34/BA33*1000</f>
        <v>6243.6070853462161</v>
      </c>
      <c r="BB35" s="630">
        <f>BB34/BB33*1000</f>
        <v>6149.7175989905663</v>
      </c>
      <c r="BC35" s="620">
        <f t="shared" si="13"/>
        <v>-1.5</v>
      </c>
      <c r="BD35" s="630">
        <f>BD34/BD33*1000</f>
        <v>6387.0651112685155</v>
      </c>
      <c r="BE35" s="630">
        <f>BE34/BE33*1000</f>
        <v>5890.7870675286358</v>
      </c>
      <c r="BF35" s="620">
        <f t="shared" si="14"/>
        <v>-7.8</v>
      </c>
      <c r="BG35" s="630">
        <f>BG34/BG33*1000</f>
        <v>6170.1265219140723</v>
      </c>
      <c r="BH35" s="630">
        <f>BH34/BH33*1000</f>
        <v>6689.21004842615</v>
      </c>
      <c r="BI35" s="620">
        <f t="shared" si="15"/>
        <v>8.4</v>
      </c>
      <c r="BJ35" s="630">
        <f>BJ34/BJ33*1000</f>
        <v>6364.3798386795161</v>
      </c>
      <c r="BK35" s="630">
        <f>BK34/BK33*1000</f>
        <v>5977.3293178619579</v>
      </c>
      <c r="BL35" s="620">
        <f t="shared" si="16"/>
        <v>-6.1</v>
      </c>
      <c r="BM35" s="630">
        <f>BM34/BM33*1000</f>
        <v>5960.7977128512657</v>
      </c>
      <c r="BN35" s="630">
        <f>BN34/BN33*1000</f>
        <v>6582.7709633150826</v>
      </c>
      <c r="BO35" s="620">
        <f t="shared" si="17"/>
        <v>10.4</v>
      </c>
      <c r="BP35" s="630">
        <f>BP34/BP33*1000</f>
        <v>6323.815651330443</v>
      </c>
      <c r="BQ35" s="630">
        <f>BQ34/BQ33*1000</f>
        <v>6040.2322419431885</v>
      </c>
      <c r="BR35" s="620">
        <f t="shared" si="18"/>
        <v>-4.5</v>
      </c>
      <c r="BS35" s="630">
        <f>BS34/BS33*1000</f>
        <v>5835.9218619873473</v>
      </c>
      <c r="BT35" s="630">
        <f>BT34/BT33*1000</f>
        <v>6855.5108948593188</v>
      </c>
      <c r="BU35" s="620">
        <f t="shared" si="19"/>
        <v>17.5</v>
      </c>
      <c r="BV35" s="630">
        <f>BV34/BV33*1000</f>
        <v>6281.1056312447881</v>
      </c>
      <c r="BW35" s="630">
        <f>BW34/BW33*1000</f>
        <v>6117.1824873873511</v>
      </c>
      <c r="BX35" s="620">
        <f t="shared" si="20"/>
        <v>-2.6</v>
      </c>
    </row>
    <row r="36" spans="1:76" ht="22.5" customHeight="1">
      <c r="A36" s="1106" t="s">
        <v>26</v>
      </c>
      <c r="B36" s="1099" t="s">
        <v>27</v>
      </c>
      <c r="C36" s="1103" t="s">
        <v>300</v>
      </c>
      <c r="D36" s="365" t="s">
        <v>13</v>
      </c>
      <c r="E36" s="11">
        <v>887709</v>
      </c>
      <c r="F36" s="11">
        <v>958277</v>
      </c>
      <c r="G36" s="11">
        <v>1011239</v>
      </c>
      <c r="H36" s="11">
        <v>1016561</v>
      </c>
      <c r="I36" s="11">
        <v>1052173</v>
      </c>
      <c r="J36" s="11">
        <v>1197763</v>
      </c>
      <c r="K36" s="11">
        <v>1141922</v>
      </c>
      <c r="L36" s="183">
        <v>1008873</v>
      </c>
      <c r="M36" s="312">
        <v>1069289</v>
      </c>
      <c r="N36" s="311">
        <v>84267</v>
      </c>
      <c r="O36" s="311">
        <v>95098</v>
      </c>
      <c r="P36" s="195">
        <f t="shared" si="0"/>
        <v>12.9</v>
      </c>
      <c r="Q36" s="311">
        <f>T36-N36</f>
        <v>68706</v>
      </c>
      <c r="R36" s="311">
        <f>U36-O36</f>
        <v>76801</v>
      </c>
      <c r="S36" s="195">
        <f t="shared" si="1"/>
        <v>11.8</v>
      </c>
      <c r="T36" s="311">
        <v>152973</v>
      </c>
      <c r="U36" s="311">
        <v>171899</v>
      </c>
      <c r="V36" s="195">
        <f t="shared" si="2"/>
        <v>12.4</v>
      </c>
      <c r="W36" s="311">
        <f>Z36-T36</f>
        <v>80619</v>
      </c>
      <c r="X36" s="311">
        <f>AA36-U36</f>
        <v>87570</v>
      </c>
      <c r="Y36" s="195">
        <f t="shared" si="3"/>
        <v>8.6</v>
      </c>
      <c r="Z36" s="311">
        <v>233592</v>
      </c>
      <c r="AA36" s="311">
        <v>259469</v>
      </c>
      <c r="AB36" s="195">
        <f t="shared" si="4"/>
        <v>11.1</v>
      </c>
      <c r="AC36" s="311">
        <f>AF36-Z36</f>
        <v>88124</v>
      </c>
      <c r="AD36" s="311">
        <f>AG36-AA36</f>
        <v>90449</v>
      </c>
      <c r="AE36" s="195">
        <f t="shared" si="5"/>
        <v>2.6</v>
      </c>
      <c r="AF36" s="311">
        <v>321716</v>
      </c>
      <c r="AG36" s="311">
        <v>349918</v>
      </c>
      <c r="AH36" s="195">
        <f t="shared" si="6"/>
        <v>8.8000000000000007</v>
      </c>
      <c r="AI36" s="311">
        <f>AL36-AF36</f>
        <v>101374</v>
      </c>
      <c r="AJ36" s="311">
        <f>AM36-AG36</f>
        <v>85277</v>
      </c>
      <c r="AK36" s="195">
        <f t="shared" si="7"/>
        <v>-15.9</v>
      </c>
      <c r="AL36" s="311">
        <v>423090</v>
      </c>
      <c r="AM36" s="311">
        <v>435195</v>
      </c>
      <c r="AN36" s="195">
        <f t="shared" si="8"/>
        <v>2.9</v>
      </c>
      <c r="AO36" s="627">
        <f>AR36-AL36</f>
        <v>90490</v>
      </c>
      <c r="AP36" s="627">
        <f>AS36-AM36</f>
        <v>89749</v>
      </c>
      <c r="AQ36" s="617">
        <f t="shared" si="9"/>
        <v>-0.8</v>
      </c>
      <c r="AR36" s="869">
        <v>513580</v>
      </c>
      <c r="AS36" s="869">
        <v>524944</v>
      </c>
      <c r="AT36" s="617">
        <f t="shared" si="10"/>
        <v>2.2000000000000002</v>
      </c>
      <c r="AU36" s="869">
        <f>AX36-AR36</f>
        <v>87247</v>
      </c>
      <c r="AV36" s="869">
        <f>AY36-AS36</f>
        <v>74173</v>
      </c>
      <c r="AW36" s="617">
        <f t="shared" si="11"/>
        <v>-15</v>
      </c>
      <c r="AX36" s="929">
        <v>600827</v>
      </c>
      <c r="AY36" s="929">
        <v>599117</v>
      </c>
      <c r="AZ36" s="617">
        <f t="shared" si="12"/>
        <v>-0.3</v>
      </c>
      <c r="BA36" s="869">
        <f>BD36-AX36</f>
        <v>92915</v>
      </c>
      <c r="BB36" s="869">
        <f>BE36-AY36</f>
        <v>77521</v>
      </c>
      <c r="BC36" s="617">
        <f t="shared" si="13"/>
        <v>-16.600000000000001</v>
      </c>
      <c r="BD36" s="869">
        <v>693742</v>
      </c>
      <c r="BE36" s="869">
        <v>676638</v>
      </c>
      <c r="BF36" s="617">
        <f t="shared" si="14"/>
        <v>-2.5</v>
      </c>
      <c r="BG36" s="869">
        <f>BJ36-BD36</f>
        <v>86481</v>
      </c>
      <c r="BH36" s="869">
        <f>BK36-BE36</f>
        <v>88497</v>
      </c>
      <c r="BI36" s="617">
        <f t="shared" si="15"/>
        <v>2.2999999999999998</v>
      </c>
      <c r="BJ36" s="869">
        <v>780223</v>
      </c>
      <c r="BK36" s="869">
        <v>765135</v>
      </c>
      <c r="BL36" s="617">
        <f t="shared" si="16"/>
        <v>-1.9</v>
      </c>
      <c r="BM36" s="869">
        <f>BP36-BJ36</f>
        <v>99735</v>
      </c>
      <c r="BN36" s="869">
        <f>BQ36-BK36</f>
        <v>86138</v>
      </c>
      <c r="BO36" s="617">
        <f t="shared" si="17"/>
        <v>-13.6</v>
      </c>
      <c r="BP36" s="869">
        <v>879958</v>
      </c>
      <c r="BQ36" s="869">
        <v>851273</v>
      </c>
      <c r="BR36" s="617">
        <f t="shared" si="18"/>
        <v>-3.3</v>
      </c>
      <c r="BS36" s="869">
        <f>BV36-BP36</f>
        <v>97312</v>
      </c>
      <c r="BT36" s="869">
        <f>BW36-BQ36</f>
        <v>84784</v>
      </c>
      <c r="BU36" s="617">
        <f t="shared" si="19"/>
        <v>-12.9</v>
      </c>
      <c r="BV36" s="869">
        <v>977270</v>
      </c>
      <c r="BW36" s="869">
        <v>936057</v>
      </c>
      <c r="BX36" s="617">
        <f t="shared" si="20"/>
        <v>-4.2</v>
      </c>
    </row>
    <row r="37" spans="1:76" ht="22.5" customHeight="1">
      <c r="A37" s="1102"/>
      <c r="B37" s="1099"/>
      <c r="C37" s="1100"/>
      <c r="D37" s="366" t="s">
        <v>14</v>
      </c>
      <c r="E37" s="6">
        <v>2259824</v>
      </c>
      <c r="F37" s="6">
        <v>2098234</v>
      </c>
      <c r="G37" s="6">
        <v>2146129</v>
      </c>
      <c r="H37" s="6">
        <v>2215111</v>
      </c>
      <c r="I37" s="6">
        <v>2061388</v>
      </c>
      <c r="J37" s="6">
        <v>2037637</v>
      </c>
      <c r="K37" s="6">
        <v>2342589</v>
      </c>
      <c r="L37" s="180">
        <v>2261832</v>
      </c>
      <c r="M37" s="438">
        <v>2047854</v>
      </c>
      <c r="N37" s="309">
        <v>168796</v>
      </c>
      <c r="O37" s="309">
        <v>178908</v>
      </c>
      <c r="P37" s="193">
        <f t="shared" si="0"/>
        <v>6</v>
      </c>
      <c r="Q37" s="309">
        <f>T37-N37</f>
        <v>135949</v>
      </c>
      <c r="R37" s="309">
        <f>U37-O37</f>
        <v>142345</v>
      </c>
      <c r="S37" s="193">
        <f t="shared" si="1"/>
        <v>4.7</v>
      </c>
      <c r="T37" s="309">
        <v>304745</v>
      </c>
      <c r="U37" s="309">
        <v>321253</v>
      </c>
      <c r="V37" s="193">
        <f t="shared" si="2"/>
        <v>5.4</v>
      </c>
      <c r="W37" s="309">
        <f>Z37-T37</f>
        <v>159606</v>
      </c>
      <c r="X37" s="309">
        <f>AA37-U37</f>
        <v>158814</v>
      </c>
      <c r="Y37" s="193">
        <f t="shared" si="3"/>
        <v>-0.5</v>
      </c>
      <c r="Z37" s="309">
        <v>464351</v>
      </c>
      <c r="AA37" s="309">
        <v>480067</v>
      </c>
      <c r="AB37" s="193">
        <f t="shared" si="4"/>
        <v>3.4</v>
      </c>
      <c r="AC37" s="309">
        <f>AF37-Z37</f>
        <v>173515</v>
      </c>
      <c r="AD37" s="309">
        <f>AG37-AA37</f>
        <v>152685</v>
      </c>
      <c r="AE37" s="193">
        <f t="shared" si="5"/>
        <v>-12</v>
      </c>
      <c r="AF37" s="309">
        <v>637866</v>
      </c>
      <c r="AG37" s="309">
        <v>632752</v>
      </c>
      <c r="AH37" s="193">
        <f t="shared" si="6"/>
        <v>-0.8</v>
      </c>
      <c r="AI37" s="309">
        <f>AL37-AF37</f>
        <v>195521</v>
      </c>
      <c r="AJ37" s="309">
        <f>AM37-AG37</f>
        <v>138989</v>
      </c>
      <c r="AK37" s="193">
        <f t="shared" si="7"/>
        <v>-28.9</v>
      </c>
      <c r="AL37" s="309">
        <v>833387</v>
      </c>
      <c r="AM37" s="309">
        <v>771741</v>
      </c>
      <c r="AN37" s="193">
        <f t="shared" si="8"/>
        <v>-7.4</v>
      </c>
      <c r="AO37" s="625">
        <f>AR37-AL37</f>
        <v>171589</v>
      </c>
      <c r="AP37" s="625">
        <f>AS37-AM37</f>
        <v>141505</v>
      </c>
      <c r="AQ37" s="615">
        <f t="shared" si="9"/>
        <v>-17.5</v>
      </c>
      <c r="AR37" s="868">
        <v>1004976</v>
      </c>
      <c r="AS37" s="868">
        <v>913246</v>
      </c>
      <c r="AT37" s="615">
        <f t="shared" si="10"/>
        <v>-9.1</v>
      </c>
      <c r="AU37" s="868">
        <f>AX37-AR37</f>
        <v>165662</v>
      </c>
      <c r="AV37" s="868">
        <f>AY37-AS37</f>
        <v>122192</v>
      </c>
      <c r="AW37" s="615">
        <f t="shared" si="11"/>
        <v>-26.2</v>
      </c>
      <c r="AX37" s="925">
        <v>1170638</v>
      </c>
      <c r="AY37" s="925">
        <v>1035438</v>
      </c>
      <c r="AZ37" s="615">
        <f t="shared" si="12"/>
        <v>-11.5</v>
      </c>
      <c r="BA37" s="868">
        <f>BD37-AX37</f>
        <v>175878</v>
      </c>
      <c r="BB37" s="868">
        <f>BE37-AY37</f>
        <v>134585</v>
      </c>
      <c r="BC37" s="615">
        <f t="shared" si="13"/>
        <v>-23.5</v>
      </c>
      <c r="BD37" s="868">
        <v>1346516</v>
      </c>
      <c r="BE37" s="868">
        <v>1170023</v>
      </c>
      <c r="BF37" s="615">
        <f t="shared" si="14"/>
        <v>-13.1</v>
      </c>
      <c r="BG37" s="868">
        <f>BJ37-BD37</f>
        <v>162326</v>
      </c>
      <c r="BH37" s="868">
        <f>BK37-BE37</f>
        <v>161194</v>
      </c>
      <c r="BI37" s="615">
        <f t="shared" si="15"/>
        <v>-0.7</v>
      </c>
      <c r="BJ37" s="868">
        <v>1508842</v>
      </c>
      <c r="BK37" s="868">
        <v>1331217</v>
      </c>
      <c r="BL37" s="615">
        <f t="shared" si="16"/>
        <v>-11.8</v>
      </c>
      <c r="BM37" s="868">
        <f>BP37-BJ37</f>
        <v>185126</v>
      </c>
      <c r="BN37" s="868">
        <f>BQ37-BK37</f>
        <v>157767</v>
      </c>
      <c r="BO37" s="615">
        <f t="shared" si="17"/>
        <v>-14.8</v>
      </c>
      <c r="BP37" s="868">
        <v>1693968</v>
      </c>
      <c r="BQ37" s="868">
        <v>1488984</v>
      </c>
      <c r="BR37" s="615">
        <f t="shared" si="18"/>
        <v>-12.1</v>
      </c>
      <c r="BS37" s="868">
        <f>BV37-BP37</f>
        <v>181983</v>
      </c>
      <c r="BT37" s="868">
        <f>BW37-BQ37</f>
        <v>165560</v>
      </c>
      <c r="BU37" s="615">
        <f t="shared" si="19"/>
        <v>-9</v>
      </c>
      <c r="BV37" s="868">
        <v>1875951</v>
      </c>
      <c r="BW37" s="868">
        <v>1654544</v>
      </c>
      <c r="BX37" s="615">
        <f t="shared" si="20"/>
        <v>-11.8</v>
      </c>
    </row>
    <row r="38" spans="1:76" ht="22.5" customHeight="1">
      <c r="A38" s="14"/>
      <c r="B38" s="1099"/>
      <c r="C38" s="1100"/>
      <c r="D38" s="370" t="s">
        <v>15</v>
      </c>
      <c r="E38" s="12">
        <f t="shared" ref="E38:O38" si="33">E37/E36*1000</f>
        <v>2545.6810734148239</v>
      </c>
      <c r="F38" s="12">
        <f t="shared" si="33"/>
        <v>2189.5902750457331</v>
      </c>
      <c r="G38" s="12">
        <f t="shared" si="33"/>
        <v>2122.2767318111742</v>
      </c>
      <c r="H38" s="12">
        <f t="shared" si="33"/>
        <v>2179.0241805459782</v>
      </c>
      <c r="I38" s="12">
        <f t="shared" si="33"/>
        <v>1959.1721133311728</v>
      </c>
      <c r="J38" s="12">
        <f t="shared" si="33"/>
        <v>1701.2021576889586</v>
      </c>
      <c r="K38" s="12">
        <f t="shared" si="33"/>
        <v>2051.4439690276567</v>
      </c>
      <c r="L38" s="184">
        <f t="shared" si="33"/>
        <v>2241.9392728321604</v>
      </c>
      <c r="M38" s="442">
        <f>M37/M36*1000</f>
        <v>1915.1548365315646</v>
      </c>
      <c r="N38" s="310">
        <f t="shared" si="33"/>
        <v>2003.1091649162781</v>
      </c>
      <c r="O38" s="310">
        <f t="shared" si="33"/>
        <v>1881.3013943510905</v>
      </c>
      <c r="P38" s="194">
        <f t="shared" si="0"/>
        <v>-6.1</v>
      </c>
      <c r="Q38" s="310">
        <f>Q37/Q36*1000</f>
        <v>1978.70637207813</v>
      </c>
      <c r="R38" s="310">
        <f>R37/R36*1000</f>
        <v>1853.4263876772438</v>
      </c>
      <c r="S38" s="194">
        <f t="shared" si="1"/>
        <v>-6.3</v>
      </c>
      <c r="T38" s="310">
        <f>T37/T36*1000</f>
        <v>1992.1489413164416</v>
      </c>
      <c r="U38" s="310">
        <f>U37/U36*1000</f>
        <v>1868.8474045805967</v>
      </c>
      <c r="V38" s="194">
        <f t="shared" si="2"/>
        <v>-6.2</v>
      </c>
      <c r="W38" s="310">
        <f>W37/W36*1000</f>
        <v>1979.756633051762</v>
      </c>
      <c r="X38" s="310">
        <f>X37/X36*1000</f>
        <v>1813.5662898252826</v>
      </c>
      <c r="Y38" s="194">
        <f t="shared" si="3"/>
        <v>-8.4</v>
      </c>
      <c r="Z38" s="310">
        <f>Z37/Z36*1000</f>
        <v>1987.8720161649373</v>
      </c>
      <c r="AA38" s="310">
        <f>AA37/AA36*1000</f>
        <v>1850.1901961313299</v>
      </c>
      <c r="AB38" s="194">
        <f t="shared" si="4"/>
        <v>-6.9</v>
      </c>
      <c r="AC38" s="310">
        <f>AC37/AC36*1000</f>
        <v>1968.9868821206483</v>
      </c>
      <c r="AD38" s="310">
        <f>AD37/AD36*1000</f>
        <v>1688.0783646032571</v>
      </c>
      <c r="AE38" s="194">
        <f t="shared" si="5"/>
        <v>-14.3</v>
      </c>
      <c r="AF38" s="310">
        <f>AF37/AF36*1000</f>
        <v>1982.6990264705516</v>
      </c>
      <c r="AG38" s="310">
        <f>AG37/AG36*1000</f>
        <v>1808.2865128401511</v>
      </c>
      <c r="AH38" s="194">
        <f t="shared" si="6"/>
        <v>-8.8000000000000007</v>
      </c>
      <c r="AI38" s="310">
        <f>AI37/AI36*1000</f>
        <v>1928.7095310434627</v>
      </c>
      <c r="AJ38" s="310">
        <f>AJ37/AJ36*1000</f>
        <v>1629.85330159363</v>
      </c>
      <c r="AK38" s="194">
        <f t="shared" si="7"/>
        <v>-15.5</v>
      </c>
      <c r="AL38" s="310">
        <f>AL37/AL36*1000</f>
        <v>1969.7629346002032</v>
      </c>
      <c r="AM38" s="310">
        <f>AM37/AM36*1000</f>
        <v>1773.3223037948508</v>
      </c>
      <c r="AN38" s="194">
        <f t="shared" si="8"/>
        <v>-10</v>
      </c>
      <c r="AO38" s="626">
        <f>AO37/AO36*1000</f>
        <v>1896.2205768593215</v>
      </c>
      <c r="AP38" s="626">
        <f>AP37/AP36*1000</f>
        <v>1576.6749490245015</v>
      </c>
      <c r="AQ38" s="616">
        <f t="shared" si="9"/>
        <v>-16.899999999999999</v>
      </c>
      <c r="AR38" s="626">
        <f>AR37/AR36*1000</f>
        <v>1956.8051715409479</v>
      </c>
      <c r="AS38" s="626">
        <f>AS37/AS36*1000</f>
        <v>1739.7017586637812</v>
      </c>
      <c r="AT38" s="616">
        <f t="shared" si="10"/>
        <v>-11.1</v>
      </c>
      <c r="AU38" s="626">
        <f>AU37/AU36*1000</f>
        <v>1898.7701582862449</v>
      </c>
      <c r="AV38" s="626">
        <f>AV37/AV36*1000</f>
        <v>1647.3919081067233</v>
      </c>
      <c r="AW38" s="616">
        <f t="shared" si="11"/>
        <v>-13.2</v>
      </c>
      <c r="AX38" s="930">
        <f>AX37/AX36*1000</f>
        <v>1948.3778192391487</v>
      </c>
      <c r="AY38" s="930">
        <f>AY37/AY36*1000</f>
        <v>1728.273442416089</v>
      </c>
      <c r="AZ38" s="616">
        <f t="shared" si="12"/>
        <v>-11.3</v>
      </c>
      <c r="BA38" s="626">
        <f>BA37/BA36*1000</f>
        <v>1892.8913523112524</v>
      </c>
      <c r="BB38" s="626">
        <f>BB37/BB36*1000</f>
        <v>1736.1102152965002</v>
      </c>
      <c r="BC38" s="616">
        <f t="shared" si="13"/>
        <v>-8.3000000000000007</v>
      </c>
      <c r="BD38" s="626">
        <f>BD37/BD36*1000</f>
        <v>1940.9463460479544</v>
      </c>
      <c r="BE38" s="626">
        <f>BE37/BE36*1000</f>
        <v>1729.1712850889248</v>
      </c>
      <c r="BF38" s="616">
        <f t="shared" si="14"/>
        <v>-10.9</v>
      </c>
      <c r="BG38" s="626">
        <f>BG37/BG36*1000</f>
        <v>1877.01344804061</v>
      </c>
      <c r="BH38" s="626">
        <f>BH37/BH36*1000</f>
        <v>1821.4628744477216</v>
      </c>
      <c r="BI38" s="616">
        <f t="shared" si="15"/>
        <v>-3</v>
      </c>
      <c r="BJ38" s="626">
        <f>BJ37/BJ36*1000</f>
        <v>1933.8599349160431</v>
      </c>
      <c r="BK38" s="626">
        <f>BK37/BK36*1000</f>
        <v>1739.8459095453745</v>
      </c>
      <c r="BL38" s="616">
        <f t="shared" si="16"/>
        <v>-10</v>
      </c>
      <c r="BM38" s="626">
        <f>BM37/BM36*1000</f>
        <v>1856.1788740161426</v>
      </c>
      <c r="BN38" s="626">
        <f>BN37/BN36*1000</f>
        <v>1831.5609835380435</v>
      </c>
      <c r="BO38" s="616">
        <f t="shared" si="17"/>
        <v>-1.3</v>
      </c>
      <c r="BP38" s="626">
        <f>BP37/BP36*1000</f>
        <v>1925.0555140131689</v>
      </c>
      <c r="BQ38" s="626">
        <f>BQ37/BQ36*1000</f>
        <v>1749.126308481533</v>
      </c>
      <c r="BR38" s="616">
        <f t="shared" si="18"/>
        <v>-9.1</v>
      </c>
      <c r="BS38" s="626">
        <f>BS37/BS36*1000</f>
        <v>1870.0982407102927</v>
      </c>
      <c r="BT38" s="626">
        <f>BT37/BT36*1000</f>
        <v>1952.7269296093602</v>
      </c>
      <c r="BU38" s="616">
        <f t="shared" si="19"/>
        <v>4.4000000000000004</v>
      </c>
      <c r="BV38" s="626">
        <f>BV37/BV36*1000</f>
        <v>1919.5831244180217</v>
      </c>
      <c r="BW38" s="626">
        <f>BW37/BW36*1000</f>
        <v>1767.5675733422215</v>
      </c>
      <c r="BX38" s="616">
        <f t="shared" si="20"/>
        <v>-7.9</v>
      </c>
    </row>
    <row r="39" spans="1:76" ht="22.5" customHeight="1">
      <c r="A39" s="14"/>
      <c r="B39" s="1099" t="s">
        <v>42</v>
      </c>
      <c r="C39" s="1103" t="s">
        <v>301</v>
      </c>
      <c r="D39" s="365" t="s">
        <v>13</v>
      </c>
      <c r="E39" s="11">
        <f>1318094-E36</f>
        <v>430385</v>
      </c>
      <c r="F39" s="11">
        <f>1429118-F36</f>
        <v>470841</v>
      </c>
      <c r="G39" s="11">
        <f>1430115-G36</f>
        <v>418876</v>
      </c>
      <c r="H39" s="11">
        <f>1490516-H36</f>
        <v>473955</v>
      </c>
      <c r="I39" s="11">
        <f>1512360-I36</f>
        <v>460187</v>
      </c>
      <c r="J39" s="11">
        <f>1655344-J36</f>
        <v>457581</v>
      </c>
      <c r="K39" s="11">
        <f>1621431-K36</f>
        <v>479509</v>
      </c>
      <c r="L39" s="183">
        <f>1446299-L36</f>
        <v>437426</v>
      </c>
      <c r="M39" s="312">
        <f>1508451-M36</f>
        <v>439162</v>
      </c>
      <c r="N39" s="311">
        <f>128191-N36</f>
        <v>43924</v>
      </c>
      <c r="O39" s="311">
        <f>123442-O36</f>
        <v>28344</v>
      </c>
      <c r="P39" s="195">
        <f t="shared" si="0"/>
        <v>-35.5</v>
      </c>
      <c r="Q39" s="311">
        <f>T39-N39</f>
        <v>29222</v>
      </c>
      <c r="R39" s="311">
        <f>U39-O39</f>
        <v>33683</v>
      </c>
      <c r="S39" s="195">
        <f t="shared" si="1"/>
        <v>15.3</v>
      </c>
      <c r="T39" s="311">
        <f>226119-T36</f>
        <v>73146</v>
      </c>
      <c r="U39" s="311">
        <f>233926-U36</f>
        <v>62027</v>
      </c>
      <c r="V39" s="195">
        <f t="shared" si="2"/>
        <v>-15.2</v>
      </c>
      <c r="W39" s="311">
        <f>Z39-T39</f>
        <v>35336</v>
      </c>
      <c r="X39" s="311">
        <f>AA39-U39</f>
        <v>29812</v>
      </c>
      <c r="Y39" s="195">
        <f t="shared" si="3"/>
        <v>-15.6</v>
      </c>
      <c r="Z39" s="311">
        <f>342074-Z36</f>
        <v>108482</v>
      </c>
      <c r="AA39" s="311">
        <f>351308-AA36</f>
        <v>91839</v>
      </c>
      <c r="AB39" s="195">
        <f t="shared" si="4"/>
        <v>-15.3</v>
      </c>
      <c r="AC39" s="311">
        <f>AF39-Z39</f>
        <v>41867</v>
      </c>
      <c r="AD39" s="311">
        <f>AG39-AA39</f>
        <v>30651</v>
      </c>
      <c r="AE39" s="195">
        <f t="shared" si="5"/>
        <v>-26.8</v>
      </c>
      <c r="AF39" s="311">
        <f>472065-AF36</f>
        <v>150349</v>
      </c>
      <c r="AG39" s="311">
        <f>472408-AG36</f>
        <v>122490</v>
      </c>
      <c r="AH39" s="195">
        <f t="shared" si="6"/>
        <v>-18.5</v>
      </c>
      <c r="AI39" s="311">
        <f>AL39-AF39</f>
        <v>37106</v>
      </c>
      <c r="AJ39" s="311">
        <f>AM39-AG39</f>
        <v>28322</v>
      </c>
      <c r="AK39" s="195">
        <f t="shared" si="7"/>
        <v>-23.7</v>
      </c>
      <c r="AL39" s="311">
        <f>610545-AL36</f>
        <v>187455</v>
      </c>
      <c r="AM39" s="311">
        <f>586007-AM36</f>
        <v>150812</v>
      </c>
      <c r="AN39" s="195">
        <f t="shared" si="8"/>
        <v>-19.5</v>
      </c>
      <c r="AO39" s="627">
        <f>AR39-AL39</f>
        <v>39988</v>
      </c>
      <c r="AP39" s="627">
        <f>AS39-AM39</f>
        <v>26646</v>
      </c>
      <c r="AQ39" s="617">
        <f t="shared" si="9"/>
        <v>-33.4</v>
      </c>
      <c r="AR39" s="869">
        <f>741023-AR36</f>
        <v>227443</v>
      </c>
      <c r="AS39" s="869">
        <f>702402-AS36</f>
        <v>177458</v>
      </c>
      <c r="AT39" s="617">
        <f t="shared" si="10"/>
        <v>-22</v>
      </c>
      <c r="AU39" s="869">
        <f>AX39-AR39</f>
        <v>35675</v>
      </c>
      <c r="AV39" s="869">
        <f>AY39-AS39</f>
        <v>32484</v>
      </c>
      <c r="AW39" s="617">
        <f t="shared" si="11"/>
        <v>-8.9</v>
      </c>
      <c r="AX39" s="929">
        <f>863945-AX36</f>
        <v>263118</v>
      </c>
      <c r="AY39" s="929">
        <f>809059-AY36</f>
        <v>209942</v>
      </c>
      <c r="AZ39" s="617">
        <f t="shared" si="12"/>
        <v>-20.2</v>
      </c>
      <c r="BA39" s="869">
        <f>BD39-AX39</f>
        <v>38421</v>
      </c>
      <c r="BB39" s="869">
        <f>BE39-AY39</f>
        <v>21998</v>
      </c>
      <c r="BC39" s="617">
        <f t="shared" si="13"/>
        <v>-42.7</v>
      </c>
      <c r="BD39" s="869">
        <f>995281-BD36</f>
        <v>301539</v>
      </c>
      <c r="BE39" s="869">
        <f>908578-BE36</f>
        <v>231940</v>
      </c>
      <c r="BF39" s="617">
        <f t="shared" si="14"/>
        <v>-23.1</v>
      </c>
      <c r="BG39" s="869">
        <f>BJ39-BD39</f>
        <v>34982</v>
      </c>
      <c r="BH39" s="869">
        <f>BK39-BE39</f>
        <v>30310</v>
      </c>
      <c r="BI39" s="617">
        <f t="shared" si="15"/>
        <v>-13.4</v>
      </c>
      <c r="BJ39" s="869">
        <f>1116744-BJ36</f>
        <v>336521</v>
      </c>
      <c r="BK39" s="869">
        <f>1027385-BK36</f>
        <v>262250</v>
      </c>
      <c r="BL39" s="617">
        <f t="shared" si="16"/>
        <v>-22.1</v>
      </c>
      <c r="BM39" s="869">
        <f>BP39-BJ39</f>
        <v>30288</v>
      </c>
      <c r="BN39" s="869">
        <f>BQ39-BK39</f>
        <v>25601</v>
      </c>
      <c r="BO39" s="617">
        <f t="shared" si="17"/>
        <v>-15.5</v>
      </c>
      <c r="BP39" s="869">
        <f>1246767-BP36</f>
        <v>366809</v>
      </c>
      <c r="BQ39" s="869">
        <f>1139124-BQ36</f>
        <v>287851</v>
      </c>
      <c r="BR39" s="617">
        <f t="shared" si="18"/>
        <v>-21.5</v>
      </c>
      <c r="BS39" s="869">
        <f>BV39-BP39</f>
        <v>34018</v>
      </c>
      <c r="BT39" s="869">
        <f>BW39-BQ39</f>
        <v>31903</v>
      </c>
      <c r="BU39" s="617">
        <f t="shared" si="19"/>
        <v>-6.2</v>
      </c>
      <c r="BV39" s="869">
        <f>1378097-BV36</f>
        <v>400827</v>
      </c>
      <c r="BW39" s="869">
        <f>1255811-BW36</f>
        <v>319754</v>
      </c>
      <c r="BX39" s="617">
        <f t="shared" si="20"/>
        <v>-20.2</v>
      </c>
    </row>
    <row r="40" spans="1:76" ht="22.5" customHeight="1">
      <c r="A40" s="14"/>
      <c r="B40" s="1099"/>
      <c r="C40" s="1100"/>
      <c r="D40" s="366" t="s">
        <v>14</v>
      </c>
      <c r="E40" s="6">
        <f>3395279-E37</f>
        <v>1135455</v>
      </c>
      <c r="F40" s="6">
        <f>3165118-F37</f>
        <v>1066884</v>
      </c>
      <c r="G40" s="6">
        <f>3086838-G37</f>
        <v>940709</v>
      </c>
      <c r="H40" s="6">
        <f>3309563-H37</f>
        <v>1094452</v>
      </c>
      <c r="I40" s="6">
        <f>3045686-I37</f>
        <v>984298</v>
      </c>
      <c r="J40" s="6">
        <f>2861003-J37</f>
        <v>823366</v>
      </c>
      <c r="K40" s="6">
        <f>3356874-K37</f>
        <v>1014285</v>
      </c>
      <c r="L40" s="180">
        <f>3280302-L37</f>
        <v>1018470</v>
      </c>
      <c r="M40" s="438">
        <f>2944236-M37</f>
        <v>896382</v>
      </c>
      <c r="N40" s="309">
        <f>264008-N37</f>
        <v>95212</v>
      </c>
      <c r="O40" s="309">
        <f>234911-O37</f>
        <v>56003</v>
      </c>
      <c r="P40" s="193">
        <f t="shared" si="0"/>
        <v>-41.2</v>
      </c>
      <c r="Q40" s="309">
        <f>T40-N40</f>
        <v>60970</v>
      </c>
      <c r="R40" s="309">
        <f>U40-O40</f>
        <v>67133</v>
      </c>
      <c r="S40" s="193">
        <f t="shared" si="1"/>
        <v>10.1</v>
      </c>
      <c r="T40" s="309">
        <f>460927-T37</f>
        <v>156182</v>
      </c>
      <c r="U40" s="309">
        <f>444389-U37</f>
        <v>123136</v>
      </c>
      <c r="V40" s="193">
        <f t="shared" si="2"/>
        <v>-21.2</v>
      </c>
      <c r="W40" s="309">
        <f>Z40-T40</f>
        <v>71449</v>
      </c>
      <c r="X40" s="309">
        <f>AA40-U40</f>
        <v>58236</v>
      </c>
      <c r="Y40" s="193">
        <f t="shared" si="3"/>
        <v>-18.5</v>
      </c>
      <c r="Z40" s="309">
        <f>691982-Z37</f>
        <v>227631</v>
      </c>
      <c r="AA40" s="309">
        <f>661439-AA37</f>
        <v>181372</v>
      </c>
      <c r="AB40" s="193">
        <f t="shared" si="4"/>
        <v>-20.3</v>
      </c>
      <c r="AC40" s="309">
        <f>AF40-Z40</f>
        <v>84971</v>
      </c>
      <c r="AD40" s="309">
        <f>AG40-AA40</f>
        <v>58454</v>
      </c>
      <c r="AE40" s="193">
        <f t="shared" si="5"/>
        <v>-31.2</v>
      </c>
      <c r="AF40" s="309">
        <f>950468-AF37</f>
        <v>312602</v>
      </c>
      <c r="AG40" s="309">
        <f>872578-AG37</f>
        <v>239826</v>
      </c>
      <c r="AH40" s="193">
        <f t="shared" si="6"/>
        <v>-23.3</v>
      </c>
      <c r="AI40" s="309">
        <f>AL40-AF40</f>
        <v>75152</v>
      </c>
      <c r="AJ40" s="309">
        <f>AM40-AG40</f>
        <v>51434</v>
      </c>
      <c r="AK40" s="193">
        <f t="shared" si="7"/>
        <v>-31.6</v>
      </c>
      <c r="AL40" s="309">
        <f>1221141-AL37</f>
        <v>387754</v>
      </c>
      <c r="AM40" s="309">
        <f>1063001-AM37</f>
        <v>291260</v>
      </c>
      <c r="AN40" s="193">
        <f t="shared" si="8"/>
        <v>-24.9</v>
      </c>
      <c r="AO40" s="625">
        <f>AR40-AL40</f>
        <v>85692</v>
      </c>
      <c r="AP40" s="625">
        <f>AS40-AM40</f>
        <v>46899</v>
      </c>
      <c r="AQ40" s="615">
        <f t="shared" si="9"/>
        <v>-45.3</v>
      </c>
      <c r="AR40" s="868">
        <f>1478422-AR37</f>
        <v>473446</v>
      </c>
      <c r="AS40" s="868">
        <f>1251405-AS37</f>
        <v>338159</v>
      </c>
      <c r="AT40" s="615">
        <f t="shared" si="10"/>
        <v>-28.6</v>
      </c>
      <c r="AU40" s="868">
        <f>AX40-AR40</f>
        <v>73741</v>
      </c>
      <c r="AV40" s="868">
        <f>AY40-AS40</f>
        <v>56015</v>
      </c>
      <c r="AW40" s="615">
        <f t="shared" si="11"/>
        <v>-24</v>
      </c>
      <c r="AX40" s="925">
        <f>1717825-AX37</f>
        <v>547187</v>
      </c>
      <c r="AY40" s="925">
        <f>1429612-AY37</f>
        <v>394174</v>
      </c>
      <c r="AZ40" s="615">
        <f t="shared" si="12"/>
        <v>-28</v>
      </c>
      <c r="BA40" s="868">
        <f>BD40-AX40</f>
        <v>76866</v>
      </c>
      <c r="BB40" s="868">
        <f>BE40-AY40</f>
        <v>38856</v>
      </c>
      <c r="BC40" s="615">
        <f t="shared" si="13"/>
        <v>-49.4</v>
      </c>
      <c r="BD40" s="868">
        <f>1970569-BD37</f>
        <v>624053</v>
      </c>
      <c r="BE40" s="868">
        <f>1603053-BE37</f>
        <v>433030</v>
      </c>
      <c r="BF40" s="615">
        <f t="shared" si="14"/>
        <v>-30.6</v>
      </c>
      <c r="BG40" s="868">
        <f>BJ40-BD40</f>
        <v>70530</v>
      </c>
      <c r="BH40" s="868">
        <f>BK40-BE40</f>
        <v>56206</v>
      </c>
      <c r="BI40" s="615">
        <f t="shared" si="15"/>
        <v>-20.3</v>
      </c>
      <c r="BJ40" s="868">
        <f>2203425-BJ37</f>
        <v>694583</v>
      </c>
      <c r="BK40" s="868">
        <f>1820453-BK37</f>
        <v>489236</v>
      </c>
      <c r="BL40" s="615">
        <f t="shared" si="16"/>
        <v>-29.6</v>
      </c>
      <c r="BM40" s="868">
        <f>BP40-BJ40</f>
        <v>59427</v>
      </c>
      <c r="BN40" s="868">
        <f>BQ40-BK40</f>
        <v>48017</v>
      </c>
      <c r="BO40" s="615">
        <f t="shared" si="17"/>
        <v>-19.2</v>
      </c>
      <c r="BP40" s="868">
        <f>2447978-BP37</f>
        <v>754010</v>
      </c>
      <c r="BQ40" s="868">
        <f>2026237-BQ37</f>
        <v>537253</v>
      </c>
      <c r="BR40" s="615">
        <f t="shared" si="18"/>
        <v>-28.7</v>
      </c>
      <c r="BS40" s="868">
        <f>BV40-BP40</f>
        <v>67233</v>
      </c>
      <c r="BT40" s="868">
        <f>BW40-BQ40</f>
        <v>62300</v>
      </c>
      <c r="BU40" s="615">
        <f t="shared" si="19"/>
        <v>-7.3</v>
      </c>
      <c r="BV40" s="868">
        <f>2697194-BV37</f>
        <v>821243</v>
      </c>
      <c r="BW40" s="868">
        <f>2254097-BW37</f>
        <v>599553</v>
      </c>
      <c r="BX40" s="615">
        <f t="shared" si="20"/>
        <v>-27</v>
      </c>
    </row>
    <row r="41" spans="1:76" ht="22.5" customHeight="1">
      <c r="A41" s="14"/>
      <c r="B41" s="1099"/>
      <c r="C41" s="1100"/>
      <c r="D41" s="370" t="s">
        <v>15</v>
      </c>
      <c r="E41" s="12">
        <f t="shared" ref="E41:O41" si="34">E40/E39*1000</f>
        <v>2638.230886299476</v>
      </c>
      <c r="F41" s="12">
        <f t="shared" si="34"/>
        <v>2265.9114223272827</v>
      </c>
      <c r="G41" s="12">
        <f t="shared" si="34"/>
        <v>2245.7935045216245</v>
      </c>
      <c r="H41" s="12">
        <f t="shared" si="34"/>
        <v>2309.1896910044202</v>
      </c>
      <c r="I41" s="12">
        <f t="shared" si="34"/>
        <v>2138.9087479655009</v>
      </c>
      <c r="J41" s="12">
        <f t="shared" si="34"/>
        <v>1799.3885235619487</v>
      </c>
      <c r="K41" s="12">
        <f t="shared" si="34"/>
        <v>2115.2574821327648</v>
      </c>
      <c r="L41" s="184">
        <f t="shared" si="34"/>
        <v>2328.3252481562595</v>
      </c>
      <c r="M41" s="442">
        <f>M40/M39*1000</f>
        <v>2041.1192225192524</v>
      </c>
      <c r="N41" s="310">
        <f t="shared" si="34"/>
        <v>2167.6532191967945</v>
      </c>
      <c r="O41" s="310">
        <f t="shared" si="34"/>
        <v>1975.8326277166243</v>
      </c>
      <c r="P41" s="194">
        <f t="shared" si="0"/>
        <v>-8.8000000000000007</v>
      </c>
      <c r="Q41" s="310">
        <f>Q40/Q39*1000</f>
        <v>2086.4417219902812</v>
      </c>
      <c r="R41" s="310">
        <f>R40/R39*1000</f>
        <v>1993.0825639046404</v>
      </c>
      <c r="S41" s="194">
        <f t="shared" si="1"/>
        <v>-4.5</v>
      </c>
      <c r="T41" s="310">
        <f>T40/T39*1000</f>
        <v>2135.2090339868209</v>
      </c>
      <c r="U41" s="310">
        <f>U40/U39*1000</f>
        <v>1985.1999935511956</v>
      </c>
      <c r="V41" s="194">
        <f t="shared" si="2"/>
        <v>-7</v>
      </c>
      <c r="W41" s="310">
        <f>W40/W39*1000</f>
        <v>2021.9889064976226</v>
      </c>
      <c r="X41" s="310">
        <f>X40/X39*1000</f>
        <v>1953.441567154166</v>
      </c>
      <c r="Y41" s="194">
        <f t="shared" si="3"/>
        <v>-3.4</v>
      </c>
      <c r="Z41" s="310">
        <f>Z40/Z39*1000</f>
        <v>2098.3296768127434</v>
      </c>
      <c r="AA41" s="310">
        <f>AA40/AA39*1000</f>
        <v>1974.8908415814633</v>
      </c>
      <c r="AB41" s="194">
        <f t="shared" si="4"/>
        <v>-5.9</v>
      </c>
      <c r="AC41" s="310">
        <f>AC40/AC39*1000</f>
        <v>2029.5459431055485</v>
      </c>
      <c r="AD41" s="310">
        <f>AD40/AD39*1000</f>
        <v>1907.082966298</v>
      </c>
      <c r="AE41" s="194">
        <f t="shared" si="5"/>
        <v>-6</v>
      </c>
      <c r="AF41" s="310">
        <f>AF40/AF39*1000</f>
        <v>2079.1757843417645</v>
      </c>
      <c r="AG41" s="310">
        <f>AG40/AG39*1000</f>
        <v>1957.9230957629195</v>
      </c>
      <c r="AH41" s="194">
        <f t="shared" si="6"/>
        <v>-5.8</v>
      </c>
      <c r="AI41" s="310">
        <f>AI40/AI39*1000</f>
        <v>2025.3328302700372</v>
      </c>
      <c r="AJ41" s="310">
        <f>AJ40/AJ39*1000</f>
        <v>1816.0440646846973</v>
      </c>
      <c r="AK41" s="194">
        <f t="shared" si="7"/>
        <v>-10.3</v>
      </c>
      <c r="AL41" s="310">
        <f>AL40/AL39*1000</f>
        <v>2068.5177775999573</v>
      </c>
      <c r="AM41" s="310">
        <f>AM40/AM39*1000</f>
        <v>1931.2786780892768</v>
      </c>
      <c r="AN41" s="194">
        <f t="shared" si="8"/>
        <v>-6.6</v>
      </c>
      <c r="AO41" s="626">
        <f>AO40/AO39*1000</f>
        <v>2142.9428828648597</v>
      </c>
      <c r="AP41" s="626">
        <f>AP40/AP39*1000</f>
        <v>1760.0765593334836</v>
      </c>
      <c r="AQ41" s="616">
        <f t="shared" si="9"/>
        <v>-17.899999999999999</v>
      </c>
      <c r="AR41" s="626">
        <f>AR40/AR39*1000</f>
        <v>2081.6028631349391</v>
      </c>
      <c r="AS41" s="626">
        <f>AS40/AS39*1000</f>
        <v>1905.5720226757883</v>
      </c>
      <c r="AT41" s="616">
        <f t="shared" si="10"/>
        <v>-8.5</v>
      </c>
      <c r="AU41" s="626">
        <f>AU40/AU39*1000</f>
        <v>2067.0217238962859</v>
      </c>
      <c r="AV41" s="626">
        <f>AV40/AV39*1000</f>
        <v>1724.3873907154293</v>
      </c>
      <c r="AW41" s="616">
        <f t="shared" si="11"/>
        <v>-16.600000000000001</v>
      </c>
      <c r="AX41" s="930">
        <f>AX40/AX39*1000</f>
        <v>2079.6258712820863</v>
      </c>
      <c r="AY41" s="930">
        <f>AY40/AY39*1000</f>
        <v>1877.5376056244106</v>
      </c>
      <c r="AZ41" s="616">
        <f t="shared" si="12"/>
        <v>-9.6999999999999993</v>
      </c>
      <c r="BA41" s="626">
        <f>BA40/BA39*1000</f>
        <v>2000.6246583899431</v>
      </c>
      <c r="BB41" s="626">
        <f>BB40/BB39*1000</f>
        <v>1766.3423947631602</v>
      </c>
      <c r="BC41" s="616">
        <f t="shared" si="13"/>
        <v>-11.7</v>
      </c>
      <c r="BD41" s="626">
        <f>BD40/BD39*1000</f>
        <v>2069.5598247656189</v>
      </c>
      <c r="BE41" s="626">
        <f>BE40/BE39*1000</f>
        <v>1866.9914633094766</v>
      </c>
      <c r="BF41" s="616">
        <f t="shared" si="14"/>
        <v>-9.8000000000000007</v>
      </c>
      <c r="BG41" s="626">
        <f>BG40/BG39*1000</f>
        <v>2016.179749585501</v>
      </c>
      <c r="BH41" s="626">
        <f>BH40/BH39*1000</f>
        <v>1854.3714945562522</v>
      </c>
      <c r="BI41" s="616">
        <f t="shared" si="15"/>
        <v>-8</v>
      </c>
      <c r="BJ41" s="626">
        <f>BJ40/BJ39*1000</f>
        <v>2064.010864106549</v>
      </c>
      <c r="BK41" s="626">
        <f>BK40/BK39*1000</f>
        <v>1865.5328884652049</v>
      </c>
      <c r="BL41" s="616">
        <f t="shared" si="16"/>
        <v>-9.6</v>
      </c>
      <c r="BM41" s="626">
        <f>BM40/BM39*1000</f>
        <v>1962.0641838351821</v>
      </c>
      <c r="BN41" s="626">
        <f>BN40/BN39*1000</f>
        <v>1875.590797234483</v>
      </c>
      <c r="BO41" s="616">
        <f t="shared" si="17"/>
        <v>-4.4000000000000004</v>
      </c>
      <c r="BP41" s="626">
        <f>BP40/BP39*1000</f>
        <v>2055.5929652762065</v>
      </c>
      <c r="BQ41" s="626">
        <v>3</v>
      </c>
      <c r="BR41" s="616">
        <f t="shared" si="18"/>
        <v>-99.9</v>
      </c>
      <c r="BS41" s="626">
        <f>BS40/BS39*1000</f>
        <v>1976.3948497854078</v>
      </c>
      <c r="BT41" s="626">
        <f>BT40/BT39*1000</f>
        <v>1952.7944080493996</v>
      </c>
      <c r="BU41" s="616">
        <f t="shared" si="19"/>
        <v>-1.2</v>
      </c>
      <c r="BV41" s="626">
        <f>BV40/BV39*1000</f>
        <v>2048.8714582600473</v>
      </c>
      <c r="BW41" s="626">
        <f>BW40/BW39*1000</f>
        <v>1875.0445655097355</v>
      </c>
      <c r="BX41" s="616">
        <f t="shared" si="20"/>
        <v>-8.5</v>
      </c>
    </row>
    <row r="42" spans="1:76" ht="22.5" customHeight="1">
      <c r="A42" s="14"/>
      <c r="B42" s="1099" t="s">
        <v>19</v>
      </c>
      <c r="C42" s="1100">
        <v>7604</v>
      </c>
      <c r="D42" s="365" t="s">
        <v>13</v>
      </c>
      <c r="E42" s="11">
        <v>10725</v>
      </c>
      <c r="F42" s="11">
        <v>12490</v>
      </c>
      <c r="G42" s="11">
        <v>11949</v>
      </c>
      <c r="H42" s="11">
        <v>13320</v>
      </c>
      <c r="I42" s="11">
        <v>12539</v>
      </c>
      <c r="J42" s="11">
        <v>11946</v>
      </c>
      <c r="K42" s="11">
        <v>17913</v>
      </c>
      <c r="L42" s="183">
        <v>25260</v>
      </c>
      <c r="M42" s="312">
        <v>28129</v>
      </c>
      <c r="N42" s="311">
        <v>2702</v>
      </c>
      <c r="O42" s="311">
        <v>2221</v>
      </c>
      <c r="P42" s="195">
        <f t="shared" si="0"/>
        <v>-17.8</v>
      </c>
      <c r="Q42" s="311">
        <f>T42-N42</f>
        <v>1768</v>
      </c>
      <c r="R42" s="311">
        <f>U42-O42</f>
        <v>1500</v>
      </c>
      <c r="S42" s="195">
        <f t="shared" si="1"/>
        <v>-15.2</v>
      </c>
      <c r="T42" s="311">
        <v>4470</v>
      </c>
      <c r="U42" s="311">
        <v>3721</v>
      </c>
      <c r="V42" s="195">
        <f t="shared" si="2"/>
        <v>-16.8</v>
      </c>
      <c r="W42" s="311">
        <f>Z42-T42</f>
        <v>2442</v>
      </c>
      <c r="X42" s="311">
        <f>AA42-U42</f>
        <v>2299</v>
      </c>
      <c r="Y42" s="195">
        <f t="shared" si="3"/>
        <v>-5.9</v>
      </c>
      <c r="Z42" s="311">
        <v>6912</v>
      </c>
      <c r="AA42" s="311">
        <v>6020</v>
      </c>
      <c r="AB42" s="195">
        <f t="shared" si="4"/>
        <v>-12.9</v>
      </c>
      <c r="AC42" s="311">
        <f>AF42-Z42</f>
        <v>2378</v>
      </c>
      <c r="AD42" s="311">
        <f>AG42-AA42</f>
        <v>2375</v>
      </c>
      <c r="AE42" s="195">
        <f t="shared" si="5"/>
        <v>-0.1</v>
      </c>
      <c r="AF42" s="311">
        <v>9290</v>
      </c>
      <c r="AG42" s="311">
        <v>8395</v>
      </c>
      <c r="AH42" s="195">
        <f t="shared" si="6"/>
        <v>-9.6</v>
      </c>
      <c r="AI42" s="311">
        <f>AL42-AF42</f>
        <v>2504</v>
      </c>
      <c r="AJ42" s="311">
        <f>AM42-AG42</f>
        <v>1971</v>
      </c>
      <c r="AK42" s="195">
        <f t="shared" si="7"/>
        <v>-21.3</v>
      </c>
      <c r="AL42" s="311">
        <v>11794</v>
      </c>
      <c r="AM42" s="311">
        <v>10366</v>
      </c>
      <c r="AN42" s="195">
        <f t="shared" si="8"/>
        <v>-12.1</v>
      </c>
      <c r="AO42" s="627">
        <f>AR42-AL42</f>
        <v>2734</v>
      </c>
      <c r="AP42" s="627">
        <f>AS42-AM42</f>
        <v>2188</v>
      </c>
      <c r="AQ42" s="617">
        <f t="shared" si="9"/>
        <v>-20</v>
      </c>
      <c r="AR42" s="869">
        <v>14528</v>
      </c>
      <c r="AS42" s="869">
        <v>12554</v>
      </c>
      <c r="AT42" s="617">
        <f t="shared" si="10"/>
        <v>-13.6</v>
      </c>
      <c r="AU42" s="869">
        <f>AX42-AR42</f>
        <v>2686</v>
      </c>
      <c r="AV42" s="869">
        <f>AY42-AS42</f>
        <v>1960</v>
      </c>
      <c r="AW42" s="617">
        <f t="shared" si="11"/>
        <v>-27</v>
      </c>
      <c r="AX42" s="929">
        <v>17214</v>
      </c>
      <c r="AY42" s="929">
        <v>14514</v>
      </c>
      <c r="AZ42" s="617">
        <f t="shared" si="12"/>
        <v>-15.7</v>
      </c>
      <c r="BA42" s="869">
        <f>BD42-AX42</f>
        <v>2351</v>
      </c>
      <c r="BB42" s="869">
        <f>BE42-AY42</f>
        <v>1597</v>
      </c>
      <c r="BC42" s="617">
        <f t="shared" si="13"/>
        <v>-32.1</v>
      </c>
      <c r="BD42" s="869">
        <v>19565</v>
      </c>
      <c r="BE42" s="869">
        <v>16111</v>
      </c>
      <c r="BF42" s="617">
        <f t="shared" si="14"/>
        <v>-17.7</v>
      </c>
      <c r="BG42" s="869">
        <f>BJ42-BD42</f>
        <v>1986</v>
      </c>
      <c r="BH42" s="869">
        <f>BK42-BE42</f>
        <v>1922</v>
      </c>
      <c r="BI42" s="617">
        <f t="shared" si="15"/>
        <v>-3.2</v>
      </c>
      <c r="BJ42" s="869">
        <v>21551</v>
      </c>
      <c r="BK42" s="869">
        <v>18033</v>
      </c>
      <c r="BL42" s="617">
        <f t="shared" si="16"/>
        <v>-16.3</v>
      </c>
      <c r="BM42" s="869">
        <f>BP42-BJ42</f>
        <v>2063</v>
      </c>
      <c r="BN42" s="869">
        <f>BQ42-BK42</f>
        <v>1506</v>
      </c>
      <c r="BO42" s="617">
        <f t="shared" si="17"/>
        <v>-27</v>
      </c>
      <c r="BP42" s="869">
        <v>23614</v>
      </c>
      <c r="BQ42" s="869">
        <v>19539</v>
      </c>
      <c r="BR42" s="617">
        <f t="shared" si="18"/>
        <v>-17.3</v>
      </c>
      <c r="BS42" s="869">
        <f>BV42-BP42</f>
        <v>2410</v>
      </c>
      <c r="BT42" s="869">
        <f>BW42-BQ42</f>
        <v>1802</v>
      </c>
      <c r="BU42" s="617">
        <f t="shared" si="19"/>
        <v>-25.2</v>
      </c>
      <c r="BV42" s="869">
        <v>26024</v>
      </c>
      <c r="BW42" s="869">
        <v>21341</v>
      </c>
      <c r="BX42" s="617">
        <f t="shared" si="20"/>
        <v>-18</v>
      </c>
    </row>
    <row r="43" spans="1:76" ht="22.5" customHeight="1">
      <c r="A43" s="14"/>
      <c r="B43" s="1099"/>
      <c r="C43" s="1100"/>
      <c r="D43" s="366" t="s">
        <v>14</v>
      </c>
      <c r="E43" s="6">
        <v>60371</v>
      </c>
      <c r="F43" s="6">
        <v>80259</v>
      </c>
      <c r="G43" s="6">
        <v>80354</v>
      </c>
      <c r="H43" s="6">
        <v>79666</v>
      </c>
      <c r="I43" s="6">
        <v>87978</v>
      </c>
      <c r="J43" s="6">
        <v>86228</v>
      </c>
      <c r="K43" s="6">
        <v>103661</v>
      </c>
      <c r="L43" s="180">
        <v>128283</v>
      </c>
      <c r="M43" s="438">
        <v>141800</v>
      </c>
      <c r="N43" s="309">
        <v>13591</v>
      </c>
      <c r="O43" s="309">
        <v>10362</v>
      </c>
      <c r="P43" s="193">
        <f t="shared" si="0"/>
        <v>-23.8</v>
      </c>
      <c r="Q43" s="309">
        <f>T43-N43</f>
        <v>9655</v>
      </c>
      <c r="R43" s="309">
        <f>U43-O43</f>
        <v>8712</v>
      </c>
      <c r="S43" s="193">
        <f t="shared" si="1"/>
        <v>-9.8000000000000007</v>
      </c>
      <c r="T43" s="309">
        <v>23246</v>
      </c>
      <c r="U43" s="309">
        <v>19074</v>
      </c>
      <c r="V43" s="193">
        <f t="shared" si="2"/>
        <v>-17.899999999999999</v>
      </c>
      <c r="W43" s="309">
        <f>Z43-T43</f>
        <v>12058</v>
      </c>
      <c r="X43" s="309">
        <f>AA43-U43</f>
        <v>13054</v>
      </c>
      <c r="Y43" s="193">
        <f t="shared" si="3"/>
        <v>8.3000000000000007</v>
      </c>
      <c r="Z43" s="309">
        <v>35304</v>
      </c>
      <c r="AA43" s="309">
        <v>32128</v>
      </c>
      <c r="AB43" s="193">
        <f t="shared" si="4"/>
        <v>-9</v>
      </c>
      <c r="AC43" s="309">
        <f>AF43-Z43</f>
        <v>12964</v>
      </c>
      <c r="AD43" s="309">
        <f>AG43-AA43</f>
        <v>10791</v>
      </c>
      <c r="AE43" s="193">
        <f t="shared" si="5"/>
        <v>-16.8</v>
      </c>
      <c r="AF43" s="309">
        <v>48268</v>
      </c>
      <c r="AG43" s="309">
        <v>42919</v>
      </c>
      <c r="AH43" s="193">
        <f t="shared" si="6"/>
        <v>-11.1</v>
      </c>
      <c r="AI43" s="309">
        <f>AL43-AF43</f>
        <v>12663</v>
      </c>
      <c r="AJ43" s="309">
        <f>AM43-AG43</f>
        <v>10539</v>
      </c>
      <c r="AK43" s="193">
        <f t="shared" si="7"/>
        <v>-16.8</v>
      </c>
      <c r="AL43" s="309">
        <v>60931</v>
      </c>
      <c r="AM43" s="309">
        <v>53458</v>
      </c>
      <c r="AN43" s="193">
        <f t="shared" si="8"/>
        <v>-12.3</v>
      </c>
      <c r="AO43" s="625">
        <f>AR43-AL43</f>
        <v>13188</v>
      </c>
      <c r="AP43" s="625">
        <f>AS43-AM43</f>
        <v>9991</v>
      </c>
      <c r="AQ43" s="615">
        <f t="shared" si="9"/>
        <v>-24.2</v>
      </c>
      <c r="AR43" s="868">
        <v>74119</v>
      </c>
      <c r="AS43" s="868">
        <v>63449</v>
      </c>
      <c r="AT43" s="615">
        <f t="shared" si="10"/>
        <v>-14.4</v>
      </c>
      <c r="AU43" s="868">
        <f>AX43-AR43</f>
        <v>13614</v>
      </c>
      <c r="AV43" s="868">
        <f>AY43-AS43</f>
        <v>10147</v>
      </c>
      <c r="AW43" s="615">
        <f t="shared" si="11"/>
        <v>-25.5</v>
      </c>
      <c r="AX43" s="925">
        <v>87733</v>
      </c>
      <c r="AY43" s="925">
        <v>73596</v>
      </c>
      <c r="AZ43" s="615">
        <f t="shared" si="12"/>
        <v>-16.100000000000001</v>
      </c>
      <c r="BA43" s="868">
        <f>BD43-AX43</f>
        <v>12530</v>
      </c>
      <c r="BB43" s="868">
        <f>BE43-AY43</f>
        <v>7759</v>
      </c>
      <c r="BC43" s="615">
        <f t="shared" si="13"/>
        <v>-38.1</v>
      </c>
      <c r="BD43" s="868">
        <v>100263</v>
      </c>
      <c r="BE43" s="868">
        <v>81355</v>
      </c>
      <c r="BF43" s="615">
        <f t="shared" si="14"/>
        <v>-18.899999999999999</v>
      </c>
      <c r="BG43" s="868">
        <f>BJ43-BD43</f>
        <v>9806</v>
      </c>
      <c r="BH43" s="868">
        <f>BK43-BE43</f>
        <v>11300</v>
      </c>
      <c r="BI43" s="615">
        <f t="shared" si="15"/>
        <v>15.2</v>
      </c>
      <c r="BJ43" s="868">
        <v>110069</v>
      </c>
      <c r="BK43" s="868">
        <v>92655</v>
      </c>
      <c r="BL43" s="615">
        <f t="shared" si="16"/>
        <v>-15.8</v>
      </c>
      <c r="BM43" s="868">
        <f>BP43-BJ43</f>
        <v>9624</v>
      </c>
      <c r="BN43" s="868">
        <f>BQ43-BK43</f>
        <v>8028</v>
      </c>
      <c r="BO43" s="615">
        <f t="shared" si="17"/>
        <v>-16.600000000000001</v>
      </c>
      <c r="BP43" s="868">
        <v>119693</v>
      </c>
      <c r="BQ43" s="868">
        <v>100683</v>
      </c>
      <c r="BR43" s="615">
        <f t="shared" si="18"/>
        <v>-15.9</v>
      </c>
      <c r="BS43" s="868">
        <f>BV43-BP43</f>
        <v>11933</v>
      </c>
      <c r="BT43" s="868">
        <f>BW43-BQ43</f>
        <v>9321</v>
      </c>
      <c r="BU43" s="615">
        <f t="shared" si="19"/>
        <v>-21.9</v>
      </c>
      <c r="BV43" s="868">
        <v>131626</v>
      </c>
      <c r="BW43" s="868">
        <v>110004</v>
      </c>
      <c r="BX43" s="615">
        <f t="shared" si="20"/>
        <v>-16.399999999999999</v>
      </c>
    </row>
    <row r="44" spans="1:76" ht="22.5" customHeight="1">
      <c r="A44" s="14"/>
      <c r="B44" s="1099"/>
      <c r="C44" s="1100"/>
      <c r="D44" s="370" t="s">
        <v>15</v>
      </c>
      <c r="E44" s="12">
        <f t="shared" ref="E44:O44" si="35">E43/E42*1000</f>
        <v>5628.9976689976693</v>
      </c>
      <c r="F44" s="12">
        <f t="shared" si="35"/>
        <v>6425.8606885508407</v>
      </c>
      <c r="G44" s="12">
        <f t="shared" si="35"/>
        <v>6724.746840739811</v>
      </c>
      <c r="H44" s="12">
        <f t="shared" si="35"/>
        <v>5980.930930930931</v>
      </c>
      <c r="I44" s="12">
        <f t="shared" si="35"/>
        <v>7016.3489911476199</v>
      </c>
      <c r="J44" s="12">
        <f t="shared" si="35"/>
        <v>7218.1483341704334</v>
      </c>
      <c r="K44" s="12">
        <f t="shared" si="35"/>
        <v>5786.9145313459494</v>
      </c>
      <c r="L44" s="184">
        <f t="shared" si="35"/>
        <v>5078.5035629453678</v>
      </c>
      <c r="M44" s="442">
        <f>M43/M42*1000</f>
        <v>5041.0608269046188</v>
      </c>
      <c r="N44" s="310">
        <f t="shared" si="35"/>
        <v>5029.9777942264982</v>
      </c>
      <c r="O44" s="310">
        <f t="shared" si="35"/>
        <v>4665.4660063034662</v>
      </c>
      <c r="P44" s="194">
        <f t="shared" si="0"/>
        <v>-7.2</v>
      </c>
      <c r="Q44" s="310">
        <f>Q43/Q42*1000</f>
        <v>5460.9728506787324</v>
      </c>
      <c r="R44" s="310">
        <f>R43/R42*1000</f>
        <v>5808</v>
      </c>
      <c r="S44" s="194">
        <f t="shared" si="1"/>
        <v>6.4</v>
      </c>
      <c r="T44" s="310">
        <f>T43/T42*1000</f>
        <v>5200.4474272930647</v>
      </c>
      <c r="U44" s="310">
        <f>U43/U42*1000</f>
        <v>5126.0413867239995</v>
      </c>
      <c r="V44" s="194">
        <f t="shared" si="2"/>
        <v>-1.4</v>
      </c>
      <c r="W44" s="310">
        <f>W43/W42*1000</f>
        <v>4937.7559377559382</v>
      </c>
      <c r="X44" s="310">
        <f>X43/X42*1000</f>
        <v>5678.1209221400613</v>
      </c>
      <c r="Y44" s="194">
        <f t="shared" si="3"/>
        <v>15</v>
      </c>
      <c r="Z44" s="310">
        <f>Z43/Z42*1000</f>
        <v>5107.6388888888896</v>
      </c>
      <c r="AA44" s="310">
        <f>AA43/AA42*1000</f>
        <v>5336.8770764119599</v>
      </c>
      <c r="AB44" s="194">
        <f t="shared" si="4"/>
        <v>4.5</v>
      </c>
      <c r="AC44" s="310">
        <f>AC43/AC42*1000</f>
        <v>5451.6400336417155</v>
      </c>
      <c r="AD44" s="310">
        <f>AD43/AD42*1000</f>
        <v>4543.5789473684208</v>
      </c>
      <c r="AE44" s="194">
        <f t="shared" si="5"/>
        <v>-16.7</v>
      </c>
      <c r="AF44" s="310">
        <f>AF43/AF42*1000</f>
        <v>5195.6942949407967</v>
      </c>
      <c r="AG44" s="310">
        <f>AG43/AG42*1000</f>
        <v>5112.4478856462183</v>
      </c>
      <c r="AH44" s="194">
        <f t="shared" si="6"/>
        <v>-1.6</v>
      </c>
      <c r="AI44" s="310">
        <f>AI43/AI42*1000</f>
        <v>5057.1086261980827</v>
      </c>
      <c r="AJ44" s="310">
        <f>AJ43/AJ42*1000</f>
        <v>5347.0319634703201</v>
      </c>
      <c r="AK44" s="194">
        <f t="shared" si="7"/>
        <v>5.7</v>
      </c>
      <c r="AL44" s="310">
        <f>AL43/AL42*1000</f>
        <v>5166.270985246736</v>
      </c>
      <c r="AM44" s="310">
        <f>AM43/AM42*1000</f>
        <v>5157.0519004437583</v>
      </c>
      <c r="AN44" s="194">
        <f t="shared" si="8"/>
        <v>-0.2</v>
      </c>
      <c r="AO44" s="626">
        <f>AO43/AO42*1000</f>
        <v>4823.7015362106804</v>
      </c>
      <c r="AP44" s="626">
        <f>AP43/AP42*1000</f>
        <v>4566.2705667276059</v>
      </c>
      <c r="AQ44" s="616">
        <f t="shared" si="9"/>
        <v>-5.3</v>
      </c>
      <c r="AR44" s="626">
        <f>AR43/AR42*1000</f>
        <v>5101.8034140969157</v>
      </c>
      <c r="AS44" s="626">
        <f>AS43/AS42*1000</f>
        <v>5054.086346981042</v>
      </c>
      <c r="AT44" s="616">
        <f t="shared" si="10"/>
        <v>-0.9</v>
      </c>
      <c r="AU44" s="626">
        <f>AU43/AU42*1000</f>
        <v>5068.5033507073713</v>
      </c>
      <c r="AV44" s="626">
        <f>AV43/AV42*1000</f>
        <v>5177.0408163265311</v>
      </c>
      <c r="AW44" s="616">
        <f t="shared" si="11"/>
        <v>2.1</v>
      </c>
      <c r="AX44" s="930">
        <f>AX43/AX42*1000</f>
        <v>5096.607412571163</v>
      </c>
      <c r="AY44" s="930">
        <f>AY43/AY42*1000</f>
        <v>5070.690367920628</v>
      </c>
      <c r="AZ44" s="616">
        <f t="shared" si="12"/>
        <v>-0.5</v>
      </c>
      <c r="BA44" s="626">
        <f>BA43/BA42*1000</f>
        <v>5329.646958740962</v>
      </c>
      <c r="BB44" s="626">
        <f>BB43/BB42*1000</f>
        <v>4858.4846587351285</v>
      </c>
      <c r="BC44" s="616">
        <f t="shared" si="13"/>
        <v>-8.8000000000000007</v>
      </c>
      <c r="BD44" s="626">
        <f>BD43/BD42*1000</f>
        <v>5124.6102734474825</v>
      </c>
      <c r="BE44" s="626">
        <f>BE43/BE42*1000</f>
        <v>5049.6555148656198</v>
      </c>
      <c r="BF44" s="616">
        <f t="shared" si="14"/>
        <v>-1.5</v>
      </c>
      <c r="BG44" s="626">
        <f>BG43/BG42*1000</f>
        <v>4937.5629405840882</v>
      </c>
      <c r="BH44" s="626">
        <f>BH43/BH42*1000</f>
        <v>5879.2924037460971</v>
      </c>
      <c r="BI44" s="616">
        <f t="shared" si="15"/>
        <v>19.100000000000001</v>
      </c>
      <c r="BJ44" s="626">
        <f>BJ43/BJ42*1000</f>
        <v>5107.3732077397799</v>
      </c>
      <c r="BK44" s="626">
        <f>BK43/BK42*1000</f>
        <v>5138.0801863250708</v>
      </c>
      <c r="BL44" s="616">
        <f t="shared" si="16"/>
        <v>0.6</v>
      </c>
      <c r="BM44" s="626">
        <f>BM43/BM42*1000</f>
        <v>4665.0508967523028</v>
      </c>
      <c r="BN44" s="626">
        <f>BN43/BN42*1000</f>
        <v>5330.6772908366529</v>
      </c>
      <c r="BO44" s="616">
        <f t="shared" si="17"/>
        <v>14.3</v>
      </c>
      <c r="BP44" s="626">
        <f>BP43/BP42*1000</f>
        <v>5068.7304141610903</v>
      </c>
      <c r="BQ44" s="626">
        <f>BQ43/BQ42*1000</f>
        <v>5152.924919391985</v>
      </c>
      <c r="BR44" s="616">
        <f t="shared" si="18"/>
        <v>1.7</v>
      </c>
      <c r="BS44" s="626">
        <f>BS43/BS42*1000</f>
        <v>4951.4522821576766</v>
      </c>
      <c r="BT44" s="626">
        <f>BT43/BT42*1000</f>
        <v>5172.5860155382907</v>
      </c>
      <c r="BU44" s="616">
        <f t="shared" si="19"/>
        <v>4.5</v>
      </c>
      <c r="BV44" s="626">
        <f>BV43/BV42*1000</f>
        <v>5057.8696587765144</v>
      </c>
      <c r="BW44" s="626">
        <f>BW43/BW42*1000</f>
        <v>5154.5850709901133</v>
      </c>
      <c r="BX44" s="616">
        <f t="shared" si="20"/>
        <v>1.9</v>
      </c>
    </row>
    <row r="45" spans="1:76" ht="22.5" customHeight="1">
      <c r="A45" s="14"/>
      <c r="B45" s="1099" t="s">
        <v>20</v>
      </c>
      <c r="C45" s="1100">
        <v>7605</v>
      </c>
      <c r="D45" s="365" t="s">
        <v>13</v>
      </c>
      <c r="E45" s="11">
        <v>5430</v>
      </c>
      <c r="F45" s="11">
        <v>4999</v>
      </c>
      <c r="G45" s="11">
        <v>5397</v>
      </c>
      <c r="H45" s="11">
        <v>5993</v>
      </c>
      <c r="I45" s="11">
        <v>6819</v>
      </c>
      <c r="J45" s="11">
        <v>6670</v>
      </c>
      <c r="K45" s="11">
        <v>15871</v>
      </c>
      <c r="L45" s="183">
        <v>16060</v>
      </c>
      <c r="M45" s="312">
        <v>10513</v>
      </c>
      <c r="N45" s="311">
        <v>1291</v>
      </c>
      <c r="O45" s="311">
        <v>1021</v>
      </c>
      <c r="P45" s="195">
        <f t="shared" si="0"/>
        <v>-20.9</v>
      </c>
      <c r="Q45" s="311">
        <f>T45-N45</f>
        <v>608</v>
      </c>
      <c r="R45" s="311">
        <f>U45-O45</f>
        <v>945</v>
      </c>
      <c r="S45" s="195">
        <f t="shared" si="1"/>
        <v>55.4</v>
      </c>
      <c r="T45" s="311">
        <v>1899</v>
      </c>
      <c r="U45" s="311">
        <v>1966</v>
      </c>
      <c r="V45" s="195">
        <f t="shared" si="2"/>
        <v>3.5</v>
      </c>
      <c r="W45" s="311">
        <f>Z45-T45</f>
        <v>1055</v>
      </c>
      <c r="X45" s="311">
        <f>AA45-U45</f>
        <v>1367</v>
      </c>
      <c r="Y45" s="195">
        <f t="shared" si="3"/>
        <v>29.6</v>
      </c>
      <c r="Z45" s="311">
        <v>2954</v>
      </c>
      <c r="AA45" s="311">
        <v>3333</v>
      </c>
      <c r="AB45" s="195">
        <f t="shared" si="4"/>
        <v>12.8</v>
      </c>
      <c r="AC45" s="311">
        <f>AF45-Z45</f>
        <v>975</v>
      </c>
      <c r="AD45" s="311">
        <f>AG45-AA45</f>
        <v>867</v>
      </c>
      <c r="AE45" s="195">
        <f t="shared" si="5"/>
        <v>-11.1</v>
      </c>
      <c r="AF45" s="311">
        <v>3929</v>
      </c>
      <c r="AG45" s="311">
        <v>4200</v>
      </c>
      <c r="AH45" s="195">
        <f t="shared" si="6"/>
        <v>6.9</v>
      </c>
      <c r="AI45" s="311">
        <f>AL45-AF45</f>
        <v>796</v>
      </c>
      <c r="AJ45" s="311">
        <f>AM45-AG45</f>
        <v>909</v>
      </c>
      <c r="AK45" s="195">
        <f t="shared" si="7"/>
        <v>14.2</v>
      </c>
      <c r="AL45" s="311">
        <v>4725</v>
      </c>
      <c r="AM45" s="311">
        <v>5109</v>
      </c>
      <c r="AN45" s="195">
        <f t="shared" si="8"/>
        <v>8.1</v>
      </c>
      <c r="AO45" s="627">
        <f>AR45-AL45</f>
        <v>539</v>
      </c>
      <c r="AP45" s="627">
        <f>AS45-AM45</f>
        <v>1018</v>
      </c>
      <c r="AQ45" s="617">
        <f t="shared" si="9"/>
        <v>88.9</v>
      </c>
      <c r="AR45" s="869">
        <v>5264</v>
      </c>
      <c r="AS45" s="869">
        <v>6127</v>
      </c>
      <c r="AT45" s="617">
        <f t="shared" si="10"/>
        <v>16.399999999999999</v>
      </c>
      <c r="AU45" s="869">
        <f>AX45-AR45</f>
        <v>1011</v>
      </c>
      <c r="AV45" s="869">
        <f>AY45-AS45</f>
        <v>1107</v>
      </c>
      <c r="AW45" s="617">
        <f t="shared" si="11"/>
        <v>9.5</v>
      </c>
      <c r="AX45" s="929">
        <v>6275</v>
      </c>
      <c r="AY45" s="929">
        <v>7234</v>
      </c>
      <c r="AZ45" s="617">
        <f t="shared" si="12"/>
        <v>15.3</v>
      </c>
      <c r="BA45" s="869">
        <f>BD45-AX45</f>
        <v>676</v>
      </c>
      <c r="BB45" s="869">
        <f>BE45-AY45</f>
        <v>1160</v>
      </c>
      <c r="BC45" s="617">
        <f t="shared" si="13"/>
        <v>71.599999999999994</v>
      </c>
      <c r="BD45" s="869">
        <v>6951</v>
      </c>
      <c r="BE45" s="869">
        <v>8394</v>
      </c>
      <c r="BF45" s="617">
        <f t="shared" si="14"/>
        <v>20.8</v>
      </c>
      <c r="BG45" s="869">
        <f>BJ45-BD45</f>
        <v>707</v>
      </c>
      <c r="BH45" s="869">
        <f>BK45-BE45</f>
        <v>996</v>
      </c>
      <c r="BI45" s="617">
        <f t="shared" si="15"/>
        <v>40.9</v>
      </c>
      <c r="BJ45" s="869">
        <v>7658</v>
      </c>
      <c r="BK45" s="869">
        <v>9390</v>
      </c>
      <c r="BL45" s="617">
        <f t="shared" si="16"/>
        <v>22.6</v>
      </c>
      <c r="BM45" s="869">
        <f>BP45-BJ45</f>
        <v>724</v>
      </c>
      <c r="BN45" s="869">
        <f>BQ45-BK45</f>
        <v>1106</v>
      </c>
      <c r="BO45" s="617">
        <f t="shared" si="17"/>
        <v>52.8</v>
      </c>
      <c r="BP45" s="869">
        <v>8382</v>
      </c>
      <c r="BQ45" s="869">
        <v>10496</v>
      </c>
      <c r="BR45" s="617">
        <f t="shared" si="18"/>
        <v>25.2</v>
      </c>
      <c r="BS45" s="869">
        <f>BV45-BP45</f>
        <v>668</v>
      </c>
      <c r="BT45" s="869">
        <f>BW45-BQ45</f>
        <v>723</v>
      </c>
      <c r="BU45" s="617">
        <f t="shared" si="19"/>
        <v>8.1999999999999993</v>
      </c>
      <c r="BV45" s="869">
        <v>9050</v>
      </c>
      <c r="BW45" s="869">
        <v>11219</v>
      </c>
      <c r="BX45" s="617">
        <f t="shared" si="20"/>
        <v>24</v>
      </c>
    </row>
    <row r="46" spans="1:76" ht="22.5" customHeight="1">
      <c r="A46" s="14"/>
      <c r="B46" s="1099"/>
      <c r="C46" s="1100"/>
      <c r="D46" s="366" t="s">
        <v>14</v>
      </c>
      <c r="E46" s="6">
        <v>24156</v>
      </c>
      <c r="F46" s="6">
        <v>22264</v>
      </c>
      <c r="G46" s="6">
        <v>23671</v>
      </c>
      <c r="H46" s="6">
        <v>24776</v>
      </c>
      <c r="I46" s="6">
        <v>27365</v>
      </c>
      <c r="J46" s="6">
        <v>25122</v>
      </c>
      <c r="K46" s="6">
        <v>47731</v>
      </c>
      <c r="L46" s="180">
        <v>50435</v>
      </c>
      <c r="M46" s="438">
        <v>33589</v>
      </c>
      <c r="N46" s="309">
        <v>4255</v>
      </c>
      <c r="O46" s="309">
        <v>3038</v>
      </c>
      <c r="P46" s="193">
        <f t="shared" si="0"/>
        <v>-28.6</v>
      </c>
      <c r="Q46" s="309">
        <f>T46-N46</f>
        <v>1993</v>
      </c>
      <c r="R46" s="309">
        <f>U46-O46</f>
        <v>2755</v>
      </c>
      <c r="S46" s="193">
        <f t="shared" si="1"/>
        <v>38.200000000000003</v>
      </c>
      <c r="T46" s="309">
        <v>6248</v>
      </c>
      <c r="U46" s="309">
        <v>5793</v>
      </c>
      <c r="V46" s="193">
        <f t="shared" si="2"/>
        <v>-7.3</v>
      </c>
      <c r="W46" s="309">
        <f>Z46-T46</f>
        <v>3388</v>
      </c>
      <c r="X46" s="309">
        <f>AA46-U46</f>
        <v>3687</v>
      </c>
      <c r="Y46" s="193">
        <f t="shared" si="3"/>
        <v>8.8000000000000007</v>
      </c>
      <c r="Z46" s="309">
        <v>9636</v>
      </c>
      <c r="AA46" s="309">
        <v>9480</v>
      </c>
      <c r="AB46" s="193">
        <f t="shared" si="4"/>
        <v>-1.6</v>
      </c>
      <c r="AC46" s="309">
        <f>AF46-Z46</f>
        <v>3058</v>
      </c>
      <c r="AD46" s="309">
        <f>AG46-AA46</f>
        <v>2742</v>
      </c>
      <c r="AE46" s="193">
        <f t="shared" si="5"/>
        <v>-10.3</v>
      </c>
      <c r="AF46" s="309">
        <v>12694</v>
      </c>
      <c r="AG46" s="309">
        <v>12222</v>
      </c>
      <c r="AH46" s="193">
        <f t="shared" si="6"/>
        <v>-3.7</v>
      </c>
      <c r="AI46" s="309">
        <f>AL46-AF46</f>
        <v>2637</v>
      </c>
      <c r="AJ46" s="309">
        <f>AM46-AG46</f>
        <v>2621</v>
      </c>
      <c r="AK46" s="193">
        <f t="shared" si="7"/>
        <v>-0.6</v>
      </c>
      <c r="AL46" s="309">
        <v>15331</v>
      </c>
      <c r="AM46" s="309">
        <v>14843</v>
      </c>
      <c r="AN46" s="193">
        <f t="shared" si="8"/>
        <v>-3.2</v>
      </c>
      <c r="AO46" s="625">
        <f>AR46-AL46</f>
        <v>2017</v>
      </c>
      <c r="AP46" s="625">
        <f>AS46-AM46</f>
        <v>2930</v>
      </c>
      <c r="AQ46" s="615">
        <f t="shared" si="9"/>
        <v>45.3</v>
      </c>
      <c r="AR46" s="868">
        <v>17348</v>
      </c>
      <c r="AS46" s="868">
        <v>17773</v>
      </c>
      <c r="AT46" s="615">
        <f t="shared" si="10"/>
        <v>2.4</v>
      </c>
      <c r="AU46" s="868">
        <f>AX46-AR46</f>
        <v>3054</v>
      </c>
      <c r="AV46" s="868">
        <f>AY46-AS46</f>
        <v>2953</v>
      </c>
      <c r="AW46" s="615">
        <f t="shared" si="11"/>
        <v>-3.3</v>
      </c>
      <c r="AX46" s="925">
        <v>20402</v>
      </c>
      <c r="AY46" s="925">
        <v>20726</v>
      </c>
      <c r="AZ46" s="615">
        <f t="shared" si="12"/>
        <v>1.6</v>
      </c>
      <c r="BA46" s="868">
        <f>BD46-AX46</f>
        <v>2411</v>
      </c>
      <c r="BB46" s="868">
        <f>BE46-AY46</f>
        <v>3152</v>
      </c>
      <c r="BC46" s="615">
        <f t="shared" si="13"/>
        <v>30.7</v>
      </c>
      <c r="BD46" s="868">
        <v>22813</v>
      </c>
      <c r="BE46" s="868">
        <v>23878</v>
      </c>
      <c r="BF46" s="615">
        <f t="shared" si="14"/>
        <v>4.7</v>
      </c>
      <c r="BG46" s="868">
        <f>BJ46-BD46</f>
        <v>2234</v>
      </c>
      <c r="BH46" s="868">
        <f>BK46-BE46</f>
        <v>2642</v>
      </c>
      <c r="BI46" s="615">
        <f t="shared" si="15"/>
        <v>18.3</v>
      </c>
      <c r="BJ46" s="868">
        <v>25047</v>
      </c>
      <c r="BK46" s="868">
        <v>26520</v>
      </c>
      <c r="BL46" s="615">
        <f t="shared" si="16"/>
        <v>5.9</v>
      </c>
      <c r="BM46" s="868">
        <f>BP46-BJ46</f>
        <v>2342</v>
      </c>
      <c r="BN46" s="868">
        <f>BQ46-BK46</f>
        <v>3244</v>
      </c>
      <c r="BO46" s="615">
        <f t="shared" si="17"/>
        <v>38.5</v>
      </c>
      <c r="BP46" s="868">
        <v>27389</v>
      </c>
      <c r="BQ46" s="868">
        <v>29764</v>
      </c>
      <c r="BR46" s="615">
        <f t="shared" si="18"/>
        <v>8.6999999999999993</v>
      </c>
      <c r="BS46" s="868">
        <f>BV46-BP46</f>
        <v>2084</v>
      </c>
      <c r="BT46" s="868">
        <f>BW46-BQ46</f>
        <v>2573</v>
      </c>
      <c r="BU46" s="615">
        <f t="shared" si="19"/>
        <v>23.5</v>
      </c>
      <c r="BV46" s="868">
        <v>29473</v>
      </c>
      <c r="BW46" s="868">
        <v>32337</v>
      </c>
      <c r="BX46" s="615">
        <f t="shared" si="20"/>
        <v>9.6999999999999993</v>
      </c>
    </row>
    <row r="47" spans="1:76" ht="22.5" customHeight="1">
      <c r="A47" s="14"/>
      <c r="B47" s="1099"/>
      <c r="C47" s="1100"/>
      <c r="D47" s="370" t="s">
        <v>15</v>
      </c>
      <c r="E47" s="12">
        <f t="shared" ref="E47:O47" si="36">E46/E45*1000</f>
        <v>4448.6187845303866</v>
      </c>
      <c r="F47" s="12">
        <f t="shared" si="36"/>
        <v>4453.6907381476294</v>
      </c>
      <c r="G47" s="12">
        <f t="shared" si="36"/>
        <v>4385.9551602742267</v>
      </c>
      <c r="H47" s="12">
        <f t="shared" si="36"/>
        <v>4134.1565159352576</v>
      </c>
      <c r="I47" s="12">
        <f t="shared" si="36"/>
        <v>4013.0517671212783</v>
      </c>
      <c r="J47" s="12">
        <f t="shared" si="36"/>
        <v>3766.4167916041979</v>
      </c>
      <c r="K47" s="12">
        <f t="shared" si="36"/>
        <v>3007.434944237918</v>
      </c>
      <c r="L47" s="184">
        <f t="shared" si="36"/>
        <v>3140.4109589041095</v>
      </c>
      <c r="M47" s="442">
        <f>M46/M45*1000</f>
        <v>3194.9966707885474</v>
      </c>
      <c r="N47" s="310">
        <f t="shared" si="36"/>
        <v>3295.8946553059641</v>
      </c>
      <c r="O47" s="310">
        <f t="shared" si="36"/>
        <v>2975.5142017629773</v>
      </c>
      <c r="P47" s="194">
        <f t="shared" si="0"/>
        <v>-9.6999999999999993</v>
      </c>
      <c r="Q47" s="310">
        <f>Q46/Q45*1000</f>
        <v>3277.9605263157896</v>
      </c>
      <c r="R47" s="310">
        <f>R46/R45*1000</f>
        <v>2915.3439153439153</v>
      </c>
      <c r="S47" s="194">
        <f t="shared" si="1"/>
        <v>-11.1</v>
      </c>
      <c r="T47" s="310">
        <f>T46/T45*1000</f>
        <v>3290.1527119536599</v>
      </c>
      <c r="U47" s="310">
        <f>U46/U45*1000</f>
        <v>2946.5920651068159</v>
      </c>
      <c r="V47" s="194">
        <f t="shared" si="2"/>
        <v>-10.4</v>
      </c>
      <c r="W47" s="310">
        <f>W46/W45*1000</f>
        <v>3211.3744075829381</v>
      </c>
      <c r="X47" s="310">
        <f>X46/X45*1000</f>
        <v>2697.1470373079737</v>
      </c>
      <c r="Y47" s="194">
        <f t="shared" si="3"/>
        <v>-16</v>
      </c>
      <c r="Z47" s="310">
        <f>Z46/Z45*1000</f>
        <v>3262.0176032498307</v>
      </c>
      <c r="AA47" s="310">
        <f>AA46/AA45*1000</f>
        <v>2844.2844284428443</v>
      </c>
      <c r="AB47" s="194">
        <f t="shared" si="4"/>
        <v>-12.8</v>
      </c>
      <c r="AC47" s="310">
        <f>AC46/AC45*1000</f>
        <v>3136.4102564102564</v>
      </c>
      <c r="AD47" s="310">
        <f>AD46/AD45*1000</f>
        <v>3162.6297577854671</v>
      </c>
      <c r="AE47" s="194">
        <f t="shared" si="5"/>
        <v>0.8</v>
      </c>
      <c r="AF47" s="310">
        <f>AF46/AF45*1000</f>
        <v>3230.8475439043013</v>
      </c>
      <c r="AG47" s="310">
        <f>AG46/AG45*1000</f>
        <v>2910</v>
      </c>
      <c r="AH47" s="194">
        <f t="shared" si="6"/>
        <v>-9.9</v>
      </c>
      <c r="AI47" s="310">
        <f>AI46/AI45*1000</f>
        <v>3312.8140703517588</v>
      </c>
      <c r="AJ47" s="310">
        <f>AJ46/AJ45*1000</f>
        <v>2883.3883388338832</v>
      </c>
      <c r="AK47" s="194">
        <f t="shared" si="7"/>
        <v>-13</v>
      </c>
      <c r="AL47" s="310">
        <f>AL46/AL45*1000</f>
        <v>3244.6560846560847</v>
      </c>
      <c r="AM47" s="310">
        <f>AM46/AM45*1000</f>
        <v>2905.2652182423176</v>
      </c>
      <c r="AN47" s="194">
        <f t="shared" si="8"/>
        <v>-10.5</v>
      </c>
      <c r="AO47" s="626">
        <f>AO46/AO45*1000</f>
        <v>3742.1150278293135</v>
      </c>
      <c r="AP47" s="626">
        <f>AP46/AP45*1000</f>
        <v>2878.1925343811395</v>
      </c>
      <c r="AQ47" s="616">
        <f t="shared" si="9"/>
        <v>-23.1</v>
      </c>
      <c r="AR47" s="626">
        <f>AR46/AR45*1000</f>
        <v>3295.5927051671733</v>
      </c>
      <c r="AS47" s="626">
        <f>AS46/AS45*1000</f>
        <v>2900.7670964582994</v>
      </c>
      <c r="AT47" s="616">
        <f t="shared" si="10"/>
        <v>-12</v>
      </c>
      <c r="AU47" s="626">
        <f>AU46/AU45*1000</f>
        <v>3020.771513353116</v>
      </c>
      <c r="AV47" s="626">
        <f>AV46/AV45*1000</f>
        <v>2667.570009033424</v>
      </c>
      <c r="AW47" s="616">
        <f t="shared" si="11"/>
        <v>-11.7</v>
      </c>
      <c r="AX47" s="930">
        <f>AX46/AX45*1000</f>
        <v>3251.3147410358565</v>
      </c>
      <c r="AY47" s="930">
        <f>AY46/AY45*1000</f>
        <v>2865.0815593032899</v>
      </c>
      <c r="AZ47" s="616">
        <f t="shared" si="12"/>
        <v>-11.9</v>
      </c>
      <c r="BA47" s="626">
        <f>BA46/BA45*1000</f>
        <v>3566.5680473372781</v>
      </c>
      <c r="BB47" s="626">
        <f>BB46/BB45*1000</f>
        <v>2717.2413793103451</v>
      </c>
      <c r="BC47" s="616">
        <f t="shared" si="13"/>
        <v>-23.8</v>
      </c>
      <c r="BD47" s="626">
        <f>BD46/BD45*1000</f>
        <v>3281.973816717019</v>
      </c>
      <c r="BE47" s="626">
        <f>BE46/BE45*1000</f>
        <v>2844.6509411484394</v>
      </c>
      <c r="BF47" s="616">
        <f t="shared" si="14"/>
        <v>-13.3</v>
      </c>
      <c r="BG47" s="626">
        <f>BG46/BG45*1000</f>
        <v>3159.8302687411601</v>
      </c>
      <c r="BH47" s="626">
        <f>BH46/BH45*1000</f>
        <v>2652.6104417670686</v>
      </c>
      <c r="BI47" s="616">
        <f t="shared" si="15"/>
        <v>-16.100000000000001</v>
      </c>
      <c r="BJ47" s="626">
        <f>BJ46/BJ45*1000</f>
        <v>3270.6973100026116</v>
      </c>
      <c r="BK47" s="626">
        <f>BK46/BK45*1000</f>
        <v>2824.2811501597444</v>
      </c>
      <c r="BL47" s="616">
        <f t="shared" si="16"/>
        <v>-13.6</v>
      </c>
      <c r="BM47" s="626">
        <f>BM46/BM45*1000</f>
        <v>3234.8066298342537</v>
      </c>
      <c r="BN47" s="626">
        <f>BN46/BN45*1000</f>
        <v>2933.0922242314646</v>
      </c>
      <c r="BO47" s="616">
        <f t="shared" si="17"/>
        <v>-9.3000000000000007</v>
      </c>
      <c r="BP47" s="626">
        <f>BP46/BP45*1000</f>
        <v>3267.5972321641611</v>
      </c>
      <c r="BQ47" s="626">
        <f>BQ46/BQ45*1000</f>
        <v>2835.7469512195125</v>
      </c>
      <c r="BR47" s="616">
        <f t="shared" si="18"/>
        <v>-13.2</v>
      </c>
      <c r="BS47" s="626">
        <f>BS46/BS45*1000</f>
        <v>3119.7604790419164</v>
      </c>
      <c r="BT47" s="626">
        <f>BT46/BT45*1000</f>
        <v>3558.7828492392805</v>
      </c>
      <c r="BU47" s="616">
        <f t="shared" si="19"/>
        <v>14.1</v>
      </c>
      <c r="BV47" s="626">
        <f>BV46/BV45*1000</f>
        <v>3256.685082872928</v>
      </c>
      <c r="BW47" s="626">
        <f>BW46/BW45*1000</f>
        <v>2882.3424547642389</v>
      </c>
      <c r="BX47" s="616">
        <f t="shared" si="20"/>
        <v>-11.5</v>
      </c>
    </row>
    <row r="48" spans="1:76" ht="22.5" customHeight="1">
      <c r="A48" s="14"/>
      <c r="B48" s="1099" t="s">
        <v>21</v>
      </c>
      <c r="C48" s="1100">
        <v>7606</v>
      </c>
      <c r="D48" s="365" t="s">
        <v>13</v>
      </c>
      <c r="E48" s="11">
        <v>234711</v>
      </c>
      <c r="F48" s="11">
        <v>148755</v>
      </c>
      <c r="G48" s="11">
        <v>237566</v>
      </c>
      <c r="H48" s="11">
        <v>230952</v>
      </c>
      <c r="I48" s="11">
        <v>309593</v>
      </c>
      <c r="J48" s="11">
        <v>211496</v>
      </c>
      <c r="K48" s="11">
        <v>274711</v>
      </c>
      <c r="L48" s="183">
        <v>407148</v>
      </c>
      <c r="M48" s="312">
        <v>346574</v>
      </c>
      <c r="N48" s="311">
        <v>40461</v>
      </c>
      <c r="O48" s="311">
        <v>25138</v>
      </c>
      <c r="P48" s="195">
        <f t="shared" si="0"/>
        <v>-37.9</v>
      </c>
      <c r="Q48" s="311">
        <f>T48-N48</f>
        <v>27422</v>
      </c>
      <c r="R48" s="311">
        <f>U48-O48</f>
        <v>16959</v>
      </c>
      <c r="S48" s="195">
        <f t="shared" si="1"/>
        <v>-38.200000000000003</v>
      </c>
      <c r="T48" s="311">
        <v>67883</v>
      </c>
      <c r="U48" s="311">
        <v>42097</v>
      </c>
      <c r="V48" s="195">
        <f t="shared" si="2"/>
        <v>-38</v>
      </c>
      <c r="W48" s="311">
        <f>Z48-T48</f>
        <v>36696</v>
      </c>
      <c r="X48" s="311">
        <f>AA48-U48</f>
        <v>27496</v>
      </c>
      <c r="Y48" s="195">
        <f t="shared" si="3"/>
        <v>-25.1</v>
      </c>
      <c r="Z48" s="311">
        <v>104579</v>
      </c>
      <c r="AA48" s="311">
        <v>69593</v>
      </c>
      <c r="AB48" s="195">
        <f t="shared" si="4"/>
        <v>-33.5</v>
      </c>
      <c r="AC48" s="311">
        <f>AF48-Z48</f>
        <v>38463</v>
      </c>
      <c r="AD48" s="311">
        <f>AG48-AA48</f>
        <v>32272</v>
      </c>
      <c r="AE48" s="195">
        <f t="shared" si="5"/>
        <v>-16.100000000000001</v>
      </c>
      <c r="AF48" s="311">
        <v>143042</v>
      </c>
      <c r="AG48" s="311">
        <v>101865</v>
      </c>
      <c r="AH48" s="195">
        <f t="shared" si="6"/>
        <v>-28.8</v>
      </c>
      <c r="AI48" s="311">
        <f>AL48-AF48</f>
        <v>30648</v>
      </c>
      <c r="AJ48" s="311">
        <f>AM48-AG48</f>
        <v>29693</v>
      </c>
      <c r="AK48" s="195">
        <f t="shared" si="7"/>
        <v>-3.1</v>
      </c>
      <c r="AL48" s="311">
        <v>173690</v>
      </c>
      <c r="AM48" s="311">
        <v>131558</v>
      </c>
      <c r="AN48" s="195">
        <f t="shared" si="8"/>
        <v>-24.3</v>
      </c>
      <c r="AO48" s="627">
        <f>AR48-AL48</f>
        <v>27298</v>
      </c>
      <c r="AP48" s="627">
        <f>AS48-AM48</f>
        <v>25962</v>
      </c>
      <c r="AQ48" s="617">
        <f t="shared" si="9"/>
        <v>-4.9000000000000004</v>
      </c>
      <c r="AR48" s="869">
        <v>200988</v>
      </c>
      <c r="AS48" s="869">
        <v>157520</v>
      </c>
      <c r="AT48" s="617">
        <f t="shared" si="10"/>
        <v>-21.6</v>
      </c>
      <c r="AU48" s="869">
        <f>AX48-AR48</f>
        <v>27130</v>
      </c>
      <c r="AV48" s="869">
        <f>AY48-AS48</f>
        <v>26595</v>
      </c>
      <c r="AW48" s="617">
        <f t="shared" si="11"/>
        <v>-2</v>
      </c>
      <c r="AX48" s="929">
        <v>228118</v>
      </c>
      <c r="AY48" s="929">
        <v>184115</v>
      </c>
      <c r="AZ48" s="617">
        <f t="shared" si="12"/>
        <v>-19.3</v>
      </c>
      <c r="BA48" s="869">
        <f>BD48-AX48</f>
        <v>26732</v>
      </c>
      <c r="BB48" s="869">
        <f>BE48-AY48</f>
        <v>20477</v>
      </c>
      <c r="BC48" s="617">
        <f t="shared" si="13"/>
        <v>-23.4</v>
      </c>
      <c r="BD48" s="869">
        <v>254850</v>
      </c>
      <c r="BE48" s="869">
        <v>204592</v>
      </c>
      <c r="BF48" s="617">
        <f t="shared" si="14"/>
        <v>-19.7</v>
      </c>
      <c r="BG48" s="869">
        <f>BJ48-BD48</f>
        <v>21123</v>
      </c>
      <c r="BH48" s="869">
        <f>BK48-BE48</f>
        <v>22719</v>
      </c>
      <c r="BI48" s="617">
        <f t="shared" si="15"/>
        <v>7.6</v>
      </c>
      <c r="BJ48" s="869">
        <v>275973</v>
      </c>
      <c r="BK48" s="869">
        <v>227311</v>
      </c>
      <c r="BL48" s="617">
        <f t="shared" si="16"/>
        <v>-17.600000000000001</v>
      </c>
      <c r="BM48" s="869">
        <f>BP48-BJ48</f>
        <v>23392</v>
      </c>
      <c r="BN48" s="869">
        <f>BQ48-BK48</f>
        <v>23904</v>
      </c>
      <c r="BO48" s="617">
        <f t="shared" si="17"/>
        <v>2.2000000000000002</v>
      </c>
      <c r="BP48" s="869">
        <v>299365</v>
      </c>
      <c r="BQ48" s="869">
        <v>251215</v>
      </c>
      <c r="BR48" s="617">
        <f t="shared" si="18"/>
        <v>-16.100000000000001</v>
      </c>
      <c r="BS48" s="869">
        <f>BV48-BP48</f>
        <v>23048</v>
      </c>
      <c r="BT48" s="869">
        <f>BW48-BQ48</f>
        <v>23525</v>
      </c>
      <c r="BU48" s="617">
        <f t="shared" si="19"/>
        <v>2.1</v>
      </c>
      <c r="BV48" s="869">
        <v>322413</v>
      </c>
      <c r="BW48" s="869">
        <v>274740</v>
      </c>
      <c r="BX48" s="617">
        <f t="shared" si="20"/>
        <v>-14.8</v>
      </c>
    </row>
    <row r="49" spans="1:76" ht="22.5" customHeight="1">
      <c r="A49" s="14"/>
      <c r="B49" s="1099"/>
      <c r="C49" s="1100"/>
      <c r="D49" s="366" t="s">
        <v>14</v>
      </c>
      <c r="E49" s="6">
        <v>852929</v>
      </c>
      <c r="F49" s="6">
        <v>583019</v>
      </c>
      <c r="G49" s="6">
        <v>762372</v>
      </c>
      <c r="H49" s="6">
        <v>830692</v>
      </c>
      <c r="I49" s="6">
        <v>1025429</v>
      </c>
      <c r="J49" s="6">
        <v>799870</v>
      </c>
      <c r="K49" s="6">
        <v>978265</v>
      </c>
      <c r="L49" s="180">
        <v>1336262</v>
      </c>
      <c r="M49" s="438">
        <v>1134922</v>
      </c>
      <c r="N49" s="309">
        <v>122464</v>
      </c>
      <c r="O49" s="309">
        <v>90379</v>
      </c>
      <c r="P49" s="193">
        <f t="shared" si="0"/>
        <v>-26.2</v>
      </c>
      <c r="Q49" s="309">
        <f>T49-N49</f>
        <v>85106</v>
      </c>
      <c r="R49" s="309">
        <f>U49-O49</f>
        <v>63339</v>
      </c>
      <c r="S49" s="193">
        <f t="shared" si="1"/>
        <v>-25.6</v>
      </c>
      <c r="T49" s="309">
        <v>207570</v>
      </c>
      <c r="U49" s="309">
        <v>153718</v>
      </c>
      <c r="V49" s="193">
        <f t="shared" si="2"/>
        <v>-25.9</v>
      </c>
      <c r="W49" s="309">
        <f>Z49-T49</f>
        <v>109484</v>
      </c>
      <c r="X49" s="309">
        <f>AA49-U49</f>
        <v>92840</v>
      </c>
      <c r="Y49" s="193">
        <f t="shared" si="3"/>
        <v>-15.2</v>
      </c>
      <c r="Z49" s="309">
        <v>317054</v>
      </c>
      <c r="AA49" s="309">
        <v>246558</v>
      </c>
      <c r="AB49" s="193">
        <f t="shared" si="4"/>
        <v>-22.2</v>
      </c>
      <c r="AC49" s="309">
        <f>AF49-Z49</f>
        <v>117906</v>
      </c>
      <c r="AD49" s="309">
        <f>AG49-AA49</f>
        <v>97324</v>
      </c>
      <c r="AE49" s="193">
        <f t="shared" si="5"/>
        <v>-17.5</v>
      </c>
      <c r="AF49" s="309">
        <v>434960</v>
      </c>
      <c r="AG49" s="309">
        <v>343882</v>
      </c>
      <c r="AH49" s="193">
        <f t="shared" si="6"/>
        <v>-20.9</v>
      </c>
      <c r="AI49" s="309">
        <f>AL49-AF49</f>
        <v>102481</v>
      </c>
      <c r="AJ49" s="309">
        <f>AM49-AG49</f>
        <v>87658</v>
      </c>
      <c r="AK49" s="193">
        <f t="shared" si="7"/>
        <v>-14.5</v>
      </c>
      <c r="AL49" s="309">
        <v>537441</v>
      </c>
      <c r="AM49" s="309">
        <v>431540</v>
      </c>
      <c r="AN49" s="193">
        <f t="shared" si="8"/>
        <v>-19.7</v>
      </c>
      <c r="AO49" s="625">
        <f>AR49-AL49</f>
        <v>88010</v>
      </c>
      <c r="AP49" s="625">
        <f>AS49-AM49</f>
        <v>77421</v>
      </c>
      <c r="AQ49" s="615">
        <f t="shared" si="9"/>
        <v>-12</v>
      </c>
      <c r="AR49" s="868">
        <v>625451</v>
      </c>
      <c r="AS49" s="868">
        <v>508961</v>
      </c>
      <c r="AT49" s="615">
        <f t="shared" si="10"/>
        <v>-18.600000000000001</v>
      </c>
      <c r="AU49" s="868">
        <f>AX49-AR49</f>
        <v>95875</v>
      </c>
      <c r="AV49" s="868">
        <f>AY49-AS49</f>
        <v>83730</v>
      </c>
      <c r="AW49" s="615">
        <f t="shared" si="11"/>
        <v>-12.7</v>
      </c>
      <c r="AX49" s="925">
        <v>721326</v>
      </c>
      <c r="AY49" s="925">
        <v>592691</v>
      </c>
      <c r="AZ49" s="615">
        <f t="shared" si="12"/>
        <v>-17.8</v>
      </c>
      <c r="BA49" s="868">
        <f>BD49-AX49</f>
        <v>89389</v>
      </c>
      <c r="BB49" s="868">
        <f>BE49-AY49</f>
        <v>64367</v>
      </c>
      <c r="BC49" s="615">
        <f t="shared" si="13"/>
        <v>-28</v>
      </c>
      <c r="BD49" s="868">
        <v>810715</v>
      </c>
      <c r="BE49" s="868">
        <v>657058</v>
      </c>
      <c r="BF49" s="615">
        <f t="shared" si="14"/>
        <v>-19</v>
      </c>
      <c r="BG49" s="868">
        <f>BJ49-BD49</f>
        <v>77751</v>
      </c>
      <c r="BH49" s="868">
        <f>BK49-BE49</f>
        <v>76081</v>
      </c>
      <c r="BI49" s="615">
        <f t="shared" si="15"/>
        <v>-2.1</v>
      </c>
      <c r="BJ49" s="868">
        <v>888466</v>
      </c>
      <c r="BK49" s="495">
        <v>733139</v>
      </c>
      <c r="BL49" s="615">
        <f t="shared" si="16"/>
        <v>-17.5</v>
      </c>
      <c r="BM49" s="868">
        <f>BP49-BJ49</f>
        <v>78872</v>
      </c>
      <c r="BN49" s="868">
        <f>BQ49-BK49</f>
        <v>73858</v>
      </c>
      <c r="BO49" s="615">
        <f t="shared" si="17"/>
        <v>-6.4</v>
      </c>
      <c r="BP49" s="868">
        <v>967338</v>
      </c>
      <c r="BQ49" s="495">
        <v>806997</v>
      </c>
      <c r="BR49" s="615">
        <f t="shared" si="18"/>
        <v>-16.600000000000001</v>
      </c>
      <c r="BS49" s="868">
        <f>BV49-BP49</f>
        <v>86600</v>
      </c>
      <c r="BT49" s="868">
        <f>BW49-BQ49</f>
        <v>75084</v>
      </c>
      <c r="BU49" s="615">
        <f t="shared" si="19"/>
        <v>-13.3</v>
      </c>
      <c r="BV49" s="868">
        <v>1053938</v>
      </c>
      <c r="BW49" s="495">
        <v>882081</v>
      </c>
      <c r="BX49" s="615">
        <f t="shared" si="20"/>
        <v>-16.3</v>
      </c>
    </row>
    <row r="50" spans="1:76" ht="22.5" customHeight="1">
      <c r="A50" s="14"/>
      <c r="B50" s="1099"/>
      <c r="C50" s="1100"/>
      <c r="D50" s="370" t="s">
        <v>15</v>
      </c>
      <c r="E50" s="12">
        <f t="shared" ref="E50:O50" si="37">E49/E48*1000</f>
        <v>3633.9540967402468</v>
      </c>
      <c r="F50" s="12">
        <f t="shared" si="37"/>
        <v>3919.3237202110854</v>
      </c>
      <c r="G50" s="12">
        <f t="shared" si="37"/>
        <v>3209.0955776500005</v>
      </c>
      <c r="H50" s="12">
        <f t="shared" si="37"/>
        <v>3596.8166545429353</v>
      </c>
      <c r="I50" s="12">
        <f t="shared" si="37"/>
        <v>3312.1840610091313</v>
      </c>
      <c r="J50" s="12">
        <f t="shared" si="37"/>
        <v>3781.9627794379089</v>
      </c>
      <c r="K50" s="12">
        <f t="shared" si="37"/>
        <v>3561.0696331781401</v>
      </c>
      <c r="L50" s="184">
        <f t="shared" si="37"/>
        <v>3282.005560631515</v>
      </c>
      <c r="M50" s="442">
        <f>M49/M48*1000</f>
        <v>3274.6888110475684</v>
      </c>
      <c r="N50" s="310">
        <f t="shared" si="37"/>
        <v>3026.7170855885915</v>
      </c>
      <c r="O50" s="310">
        <f t="shared" si="37"/>
        <v>3595.3138674516667</v>
      </c>
      <c r="P50" s="194">
        <f t="shared" si="0"/>
        <v>18.8</v>
      </c>
      <c r="Q50" s="310">
        <f>Q49/Q48*1000</f>
        <v>3103.5664794690392</v>
      </c>
      <c r="R50" s="310">
        <f>R49/R48*1000</f>
        <v>3734.8310631523086</v>
      </c>
      <c r="S50" s="194">
        <f t="shared" si="1"/>
        <v>20.3</v>
      </c>
      <c r="T50" s="310">
        <f>T49/T48*1000</f>
        <v>3057.7611478573431</v>
      </c>
      <c r="U50" s="310">
        <f>U49/U48*1000</f>
        <v>3651.5191106254601</v>
      </c>
      <c r="V50" s="194">
        <f t="shared" si="2"/>
        <v>19.399999999999999</v>
      </c>
      <c r="W50" s="310">
        <f>W49/W48*1000</f>
        <v>2983.5404403749726</v>
      </c>
      <c r="X50" s="310">
        <f>X49/X48*1000</f>
        <v>3376.491125981961</v>
      </c>
      <c r="Y50" s="194">
        <f t="shared" si="3"/>
        <v>13.2</v>
      </c>
      <c r="Z50" s="310">
        <f>Z49/Z48*1000</f>
        <v>3031.7176488587575</v>
      </c>
      <c r="AA50" s="310">
        <f>AA49/AA48*1000</f>
        <v>3542.8563217564983</v>
      </c>
      <c r="AB50" s="194">
        <f t="shared" si="4"/>
        <v>16.899999999999999</v>
      </c>
      <c r="AC50" s="310">
        <f>AC49/AC48*1000</f>
        <v>3065.4395132984951</v>
      </c>
      <c r="AD50" s="310">
        <f>AD49/AD48*1000</f>
        <v>3015.7411998016855</v>
      </c>
      <c r="AE50" s="194">
        <f t="shared" si="5"/>
        <v>-1.6</v>
      </c>
      <c r="AF50" s="310">
        <f>AF49/AF48*1000</f>
        <v>3040.7852239202475</v>
      </c>
      <c r="AG50" s="310">
        <f>AG49/AG48*1000</f>
        <v>3375.8602071368969</v>
      </c>
      <c r="AH50" s="194">
        <f t="shared" si="6"/>
        <v>11</v>
      </c>
      <c r="AI50" s="310">
        <f>AI49/AI48*1000</f>
        <v>3343.807099973897</v>
      </c>
      <c r="AJ50" s="310">
        <f>AJ49/AJ48*1000</f>
        <v>2952.1436028693633</v>
      </c>
      <c r="AK50" s="194">
        <f t="shared" si="7"/>
        <v>-11.7</v>
      </c>
      <c r="AL50" s="310">
        <f>AL49/AL48*1000</f>
        <v>3094.2541309229086</v>
      </c>
      <c r="AM50" s="310">
        <f>AM49/AM48*1000</f>
        <v>3280.2262120129526</v>
      </c>
      <c r="AN50" s="194">
        <f t="shared" si="8"/>
        <v>6</v>
      </c>
      <c r="AO50" s="626">
        <f>AO49/AO48*1000</f>
        <v>3224.0457176349919</v>
      </c>
      <c r="AP50" s="626">
        <f>AP49/AP48*1000</f>
        <v>2982.0892073029813</v>
      </c>
      <c r="AQ50" s="616">
        <f t="shared" si="9"/>
        <v>-7.5</v>
      </c>
      <c r="AR50" s="626">
        <f>AR49/AR48*1000</f>
        <v>3111.8823014309314</v>
      </c>
      <c r="AS50" s="626">
        <f>AS49/AS48*1000</f>
        <v>3231.0881157948197</v>
      </c>
      <c r="AT50" s="616">
        <f t="shared" si="10"/>
        <v>3.8</v>
      </c>
      <c r="AU50" s="626">
        <f>AU49/AU48*1000</f>
        <v>3533.9107998525615</v>
      </c>
      <c r="AV50" s="626">
        <f>AV49/AV48*1000</f>
        <v>3148.3361534122955</v>
      </c>
      <c r="AW50" s="616">
        <f t="shared" si="11"/>
        <v>-10.9</v>
      </c>
      <c r="AX50" s="930">
        <f>AX49/AX48*1000</f>
        <v>3162.0740143259191</v>
      </c>
      <c r="AY50" s="930">
        <f>AY49/AY48*1000</f>
        <v>3219.1347798930015</v>
      </c>
      <c r="AZ50" s="616">
        <f t="shared" si="12"/>
        <v>1.8</v>
      </c>
      <c r="BA50" s="626">
        <f>BA49/BA48*1000</f>
        <v>3343.8949573544814</v>
      </c>
      <c r="BB50" s="626">
        <f>BB49/BB48*1000</f>
        <v>3143.3803779850564</v>
      </c>
      <c r="BC50" s="616">
        <f t="shared" si="13"/>
        <v>-6</v>
      </c>
      <c r="BD50" s="626">
        <f>BD49/BD48*1000</f>
        <v>3181.1457720227586</v>
      </c>
      <c r="BE50" s="626">
        <f>BE49/BE48*1000</f>
        <v>3211.5527488855869</v>
      </c>
      <c r="BF50" s="616">
        <f t="shared" si="14"/>
        <v>1</v>
      </c>
      <c r="BG50" s="626">
        <f>BG49/BG48*1000</f>
        <v>3680.8691947166594</v>
      </c>
      <c r="BH50" s="626">
        <f>BH49/BH48*1000</f>
        <v>3348.7829569963465</v>
      </c>
      <c r="BI50" s="616">
        <f t="shared" si="15"/>
        <v>-9</v>
      </c>
      <c r="BJ50" s="626">
        <f>BJ49/BJ48*1000</f>
        <v>3219.3946509259963</v>
      </c>
      <c r="BK50" s="626">
        <f>BK49/BK48*1000</f>
        <v>3225.2684647905294</v>
      </c>
      <c r="BL50" s="616">
        <f t="shared" si="16"/>
        <v>0.2</v>
      </c>
      <c r="BM50" s="626">
        <f>BM49/BM48*1000</f>
        <v>3371.7510259917922</v>
      </c>
      <c r="BN50" s="626">
        <f>BN49/BN48*1000</f>
        <v>3089.7757697456495</v>
      </c>
      <c r="BO50" s="616">
        <f t="shared" si="17"/>
        <v>-8.4</v>
      </c>
      <c r="BP50" s="626">
        <f>BP49/BP48*1000</f>
        <v>3231.2995841197203</v>
      </c>
      <c r="BQ50" s="626">
        <f>BQ49/BQ48*1000</f>
        <v>3212.3758533527061</v>
      </c>
      <c r="BR50" s="616">
        <f t="shared" si="18"/>
        <v>-0.6</v>
      </c>
      <c r="BS50" s="626">
        <f>BS49/BS48*1000</f>
        <v>3757.3759111419645</v>
      </c>
      <c r="BT50" s="626">
        <f>BT49/BT48*1000</f>
        <v>3191.6684378320938</v>
      </c>
      <c r="BU50" s="616">
        <f t="shared" si="19"/>
        <v>-15.1</v>
      </c>
      <c r="BV50" s="626">
        <f>BV49/BV48*1000</f>
        <v>3268.9066507864136</v>
      </c>
      <c r="BW50" s="626">
        <f>BW49/BW48*1000</f>
        <v>3210.6027516925092</v>
      </c>
      <c r="BX50" s="616">
        <f t="shared" si="20"/>
        <v>-1.8</v>
      </c>
    </row>
    <row r="51" spans="1:76" ht="22.5" customHeight="1">
      <c r="A51" s="14" t="s">
        <v>18</v>
      </c>
      <c r="B51" s="1099" t="s">
        <v>22</v>
      </c>
      <c r="C51" s="1100">
        <v>7607</v>
      </c>
      <c r="D51" s="365" t="s">
        <v>13</v>
      </c>
      <c r="E51" s="11">
        <v>25782</v>
      </c>
      <c r="F51" s="11">
        <v>25214</v>
      </c>
      <c r="G51" s="11">
        <v>31043</v>
      </c>
      <c r="H51" s="11">
        <v>36133</v>
      </c>
      <c r="I51" s="11">
        <v>37971</v>
      </c>
      <c r="J51" s="11">
        <v>46650</v>
      </c>
      <c r="K51" s="11">
        <v>56025</v>
      </c>
      <c r="L51" s="183">
        <v>70476</v>
      </c>
      <c r="M51" s="312">
        <v>70000</v>
      </c>
      <c r="N51" s="311">
        <v>6213</v>
      </c>
      <c r="O51" s="311">
        <v>5992</v>
      </c>
      <c r="P51" s="195">
        <f t="shared" si="0"/>
        <v>-3.6</v>
      </c>
      <c r="Q51" s="311">
        <f>T51-N51</f>
        <v>4727</v>
      </c>
      <c r="R51" s="311">
        <f>U51-O51</f>
        <v>4555</v>
      </c>
      <c r="S51" s="195">
        <f t="shared" si="1"/>
        <v>-3.6</v>
      </c>
      <c r="T51" s="311">
        <v>10940</v>
      </c>
      <c r="U51" s="311">
        <v>10547</v>
      </c>
      <c r="V51" s="195">
        <f t="shared" si="2"/>
        <v>-3.6</v>
      </c>
      <c r="W51" s="311">
        <f>Z51-T51</f>
        <v>6430</v>
      </c>
      <c r="X51" s="311">
        <f>AA51-U51</f>
        <v>7225</v>
      </c>
      <c r="Y51" s="195">
        <f t="shared" si="3"/>
        <v>12.4</v>
      </c>
      <c r="Z51" s="311">
        <v>17370</v>
      </c>
      <c r="AA51" s="311">
        <v>17772</v>
      </c>
      <c r="AB51" s="195">
        <f t="shared" si="4"/>
        <v>2.2999999999999998</v>
      </c>
      <c r="AC51" s="311">
        <f>AF51-Z51</f>
        <v>6317</v>
      </c>
      <c r="AD51" s="311">
        <f>AG51-AA51</f>
        <v>5828</v>
      </c>
      <c r="AE51" s="195">
        <f t="shared" si="5"/>
        <v>-7.7</v>
      </c>
      <c r="AF51" s="311">
        <v>23687</v>
      </c>
      <c r="AG51" s="311">
        <v>23600</v>
      </c>
      <c r="AH51" s="195">
        <f t="shared" si="6"/>
        <v>-0.4</v>
      </c>
      <c r="AI51" s="311">
        <f>AL51-AF51</f>
        <v>6715</v>
      </c>
      <c r="AJ51" s="311">
        <f>AM51-AG51</f>
        <v>5236</v>
      </c>
      <c r="AK51" s="195">
        <f t="shared" si="7"/>
        <v>-22</v>
      </c>
      <c r="AL51" s="311">
        <v>30402</v>
      </c>
      <c r="AM51" s="311">
        <v>28836</v>
      </c>
      <c r="AN51" s="195">
        <f t="shared" si="8"/>
        <v>-5.2</v>
      </c>
      <c r="AO51" s="627">
        <f>AR51-AL51</f>
        <v>5352</v>
      </c>
      <c r="AP51" s="627">
        <f>AS51-AM51</f>
        <v>6293</v>
      </c>
      <c r="AQ51" s="617">
        <f t="shared" si="9"/>
        <v>17.600000000000001</v>
      </c>
      <c r="AR51" s="869">
        <v>35754</v>
      </c>
      <c r="AS51" s="869">
        <v>35129</v>
      </c>
      <c r="AT51" s="617">
        <f t="shared" si="10"/>
        <v>-1.7</v>
      </c>
      <c r="AU51" s="869">
        <f>AX51-AR51</f>
        <v>6562</v>
      </c>
      <c r="AV51" s="869">
        <f>AY51-AS51</f>
        <v>6190</v>
      </c>
      <c r="AW51" s="617">
        <f t="shared" si="11"/>
        <v>-5.7</v>
      </c>
      <c r="AX51" s="929">
        <v>42316</v>
      </c>
      <c r="AY51" s="929">
        <v>41319</v>
      </c>
      <c r="AZ51" s="617">
        <f t="shared" si="12"/>
        <v>-2.4</v>
      </c>
      <c r="BA51" s="869">
        <f>BD51-AX51</f>
        <v>5421</v>
      </c>
      <c r="BB51" s="869">
        <f>BE51-AY51</f>
        <v>5202</v>
      </c>
      <c r="BC51" s="617">
        <f t="shared" si="13"/>
        <v>-4</v>
      </c>
      <c r="BD51" s="869">
        <v>47737</v>
      </c>
      <c r="BE51" s="869">
        <v>46521</v>
      </c>
      <c r="BF51" s="617">
        <f t="shared" si="14"/>
        <v>-2.5</v>
      </c>
      <c r="BG51" s="869">
        <f>BJ51-BD51</f>
        <v>5357</v>
      </c>
      <c r="BH51" s="869">
        <f>BK51-BE51</f>
        <v>6178</v>
      </c>
      <c r="BI51" s="617">
        <f t="shared" si="15"/>
        <v>15.3</v>
      </c>
      <c r="BJ51" s="869">
        <v>53094</v>
      </c>
      <c r="BK51" s="869">
        <v>52699</v>
      </c>
      <c r="BL51" s="617">
        <f t="shared" si="16"/>
        <v>-0.7</v>
      </c>
      <c r="BM51" s="869">
        <f>BP51-BJ51</f>
        <v>5242</v>
      </c>
      <c r="BN51" s="869">
        <f>BQ51-BK51</f>
        <v>6115</v>
      </c>
      <c r="BO51" s="617">
        <f t="shared" si="17"/>
        <v>16.7</v>
      </c>
      <c r="BP51" s="869">
        <v>58336</v>
      </c>
      <c r="BQ51" s="869">
        <v>58814</v>
      </c>
      <c r="BR51" s="617">
        <f t="shared" si="18"/>
        <v>0.8</v>
      </c>
      <c r="BS51" s="869">
        <f>BV51-BP51</f>
        <v>6102</v>
      </c>
      <c r="BT51" s="869">
        <f>BW51-BQ51</f>
        <v>6946</v>
      </c>
      <c r="BU51" s="617">
        <f t="shared" si="19"/>
        <v>13.8</v>
      </c>
      <c r="BV51" s="869">
        <v>64438</v>
      </c>
      <c r="BW51" s="869">
        <v>65760</v>
      </c>
      <c r="BX51" s="617">
        <f t="shared" si="20"/>
        <v>2.1</v>
      </c>
    </row>
    <row r="52" spans="1:76" ht="22.5" customHeight="1">
      <c r="A52" s="14"/>
      <c r="B52" s="1099"/>
      <c r="C52" s="1100"/>
      <c r="D52" s="366" t="s">
        <v>14</v>
      </c>
      <c r="E52" s="6">
        <v>199348</v>
      </c>
      <c r="F52" s="6">
        <v>188714</v>
      </c>
      <c r="G52" s="6">
        <v>204553</v>
      </c>
      <c r="H52" s="6">
        <v>207837</v>
      </c>
      <c r="I52" s="6">
        <v>201093</v>
      </c>
      <c r="J52" s="6">
        <v>217666</v>
      </c>
      <c r="K52" s="6">
        <v>263811</v>
      </c>
      <c r="L52" s="180">
        <v>326532</v>
      </c>
      <c r="M52" s="438">
        <v>293395</v>
      </c>
      <c r="N52" s="309">
        <v>28597</v>
      </c>
      <c r="O52" s="309">
        <v>23179</v>
      </c>
      <c r="P52" s="193">
        <f t="shared" si="0"/>
        <v>-18.899999999999999</v>
      </c>
      <c r="Q52" s="309">
        <f>T52-N52</f>
        <v>22026</v>
      </c>
      <c r="R52" s="309">
        <f>U52-O52</f>
        <v>20972</v>
      </c>
      <c r="S52" s="193">
        <f t="shared" si="1"/>
        <v>-4.8</v>
      </c>
      <c r="T52" s="309">
        <v>50623</v>
      </c>
      <c r="U52" s="309">
        <v>44151</v>
      </c>
      <c r="V52" s="193">
        <f t="shared" si="2"/>
        <v>-12.8</v>
      </c>
      <c r="W52" s="309">
        <f>Z52-T52</f>
        <v>27025</v>
      </c>
      <c r="X52" s="309">
        <f>AA52-U52</f>
        <v>29398</v>
      </c>
      <c r="Y52" s="193">
        <f t="shared" si="3"/>
        <v>8.8000000000000007</v>
      </c>
      <c r="Z52" s="309">
        <v>77648</v>
      </c>
      <c r="AA52" s="309">
        <v>73549</v>
      </c>
      <c r="AB52" s="193">
        <f t="shared" si="4"/>
        <v>-5.3</v>
      </c>
      <c r="AC52" s="309">
        <f>AF52-Z52</f>
        <v>27188</v>
      </c>
      <c r="AD52" s="309">
        <f>AG52-AA52</f>
        <v>24860</v>
      </c>
      <c r="AE52" s="193">
        <f t="shared" si="5"/>
        <v>-8.6</v>
      </c>
      <c r="AF52" s="309">
        <v>104836</v>
      </c>
      <c r="AG52" s="309">
        <v>98409</v>
      </c>
      <c r="AH52" s="193">
        <f t="shared" si="6"/>
        <v>-6.1</v>
      </c>
      <c r="AI52" s="309">
        <f>AL52-AF52</f>
        <v>26041</v>
      </c>
      <c r="AJ52" s="309">
        <f>AM52-AG52</f>
        <v>21253</v>
      </c>
      <c r="AK52" s="193">
        <f t="shared" si="7"/>
        <v>-18.399999999999999</v>
      </c>
      <c r="AL52" s="309">
        <v>130877</v>
      </c>
      <c r="AM52" s="309">
        <v>119662</v>
      </c>
      <c r="AN52" s="193">
        <f t="shared" si="8"/>
        <v>-8.6</v>
      </c>
      <c r="AO52" s="625">
        <f>AR52-AL52</f>
        <v>22046</v>
      </c>
      <c r="AP52" s="625">
        <f>AS52-AM52</f>
        <v>23679</v>
      </c>
      <c r="AQ52" s="615">
        <f t="shared" si="9"/>
        <v>7.4</v>
      </c>
      <c r="AR52" s="868">
        <v>152923</v>
      </c>
      <c r="AS52" s="868">
        <v>143341</v>
      </c>
      <c r="AT52" s="615">
        <f t="shared" si="10"/>
        <v>-6.3</v>
      </c>
      <c r="AU52" s="868">
        <f>AX52-AR52</f>
        <v>26214</v>
      </c>
      <c r="AV52" s="868">
        <f>AY52-AS52</f>
        <v>24136</v>
      </c>
      <c r="AW52" s="615">
        <f t="shared" si="11"/>
        <v>-7.9</v>
      </c>
      <c r="AX52" s="925">
        <v>179137</v>
      </c>
      <c r="AY52" s="925">
        <v>167477</v>
      </c>
      <c r="AZ52" s="615">
        <f t="shared" si="12"/>
        <v>-6.5</v>
      </c>
      <c r="BA52" s="868">
        <f>BD52-AX52</f>
        <v>23612</v>
      </c>
      <c r="BB52" s="868">
        <f>BE52-AY52</f>
        <v>19772</v>
      </c>
      <c r="BC52" s="615">
        <f t="shared" si="13"/>
        <v>-16.3</v>
      </c>
      <c r="BD52" s="868">
        <v>202749</v>
      </c>
      <c r="BE52" s="868">
        <v>187249</v>
      </c>
      <c r="BF52" s="615">
        <f t="shared" si="14"/>
        <v>-7.6</v>
      </c>
      <c r="BG52" s="868">
        <f>BJ52-BD52</f>
        <v>21595</v>
      </c>
      <c r="BH52" s="868">
        <f>BK52-BE52</f>
        <v>23405</v>
      </c>
      <c r="BI52" s="615">
        <f t="shared" si="15"/>
        <v>8.4</v>
      </c>
      <c r="BJ52" s="868">
        <v>224344</v>
      </c>
      <c r="BK52" s="868">
        <v>210654</v>
      </c>
      <c r="BL52" s="615">
        <f t="shared" si="16"/>
        <v>-6.1</v>
      </c>
      <c r="BM52" s="868">
        <f>BP52-BJ52</f>
        <v>21919</v>
      </c>
      <c r="BN52" s="868">
        <f>BQ52-BK52</f>
        <v>24097</v>
      </c>
      <c r="BO52" s="615">
        <f t="shared" si="17"/>
        <v>9.9</v>
      </c>
      <c r="BP52" s="868">
        <v>246263</v>
      </c>
      <c r="BQ52" s="868">
        <v>234751</v>
      </c>
      <c r="BR52" s="615">
        <f t="shared" si="18"/>
        <v>-4.7</v>
      </c>
      <c r="BS52" s="868">
        <f>BV52-BP52</f>
        <v>23505</v>
      </c>
      <c r="BT52" s="868">
        <f>BW52-BQ52</f>
        <v>25752</v>
      </c>
      <c r="BU52" s="615">
        <f t="shared" si="19"/>
        <v>9.6</v>
      </c>
      <c r="BV52" s="868">
        <v>269768</v>
      </c>
      <c r="BW52" s="868">
        <v>260503</v>
      </c>
      <c r="BX52" s="615">
        <f t="shared" si="20"/>
        <v>-3.4</v>
      </c>
    </row>
    <row r="53" spans="1:76" ht="22.5" customHeight="1">
      <c r="A53" s="14"/>
      <c r="B53" s="1099"/>
      <c r="C53" s="1100"/>
      <c r="D53" s="370" t="s">
        <v>15</v>
      </c>
      <c r="E53" s="12">
        <f t="shared" ref="E53:O53" si="38">E52/E51*1000</f>
        <v>7732.0611279187033</v>
      </c>
      <c r="F53" s="12">
        <f t="shared" si="38"/>
        <v>7484.4927421273896</v>
      </c>
      <c r="G53" s="12">
        <f t="shared" si="38"/>
        <v>6589.3438134200942</v>
      </c>
      <c r="H53" s="12">
        <f t="shared" si="38"/>
        <v>5751.9995571914869</v>
      </c>
      <c r="I53" s="12">
        <f t="shared" si="38"/>
        <v>5295.9627083827127</v>
      </c>
      <c r="J53" s="12">
        <f t="shared" si="38"/>
        <v>4665.9378349410499</v>
      </c>
      <c r="K53" s="12">
        <f t="shared" si="38"/>
        <v>4708.8085676037481</v>
      </c>
      <c r="L53" s="184">
        <f t="shared" si="38"/>
        <v>4633.2368465860718</v>
      </c>
      <c r="M53" s="442">
        <f>M52/M51*1000</f>
        <v>4191.3571428571431</v>
      </c>
      <c r="N53" s="310">
        <f t="shared" si="38"/>
        <v>4602.7683888620641</v>
      </c>
      <c r="O53" s="310">
        <f t="shared" si="38"/>
        <v>3868.3244325767691</v>
      </c>
      <c r="P53" s="194">
        <f t="shared" si="0"/>
        <v>-16</v>
      </c>
      <c r="Q53" s="310">
        <f>Q52/Q51*1000</f>
        <v>4659.6149777871797</v>
      </c>
      <c r="R53" s="310">
        <f>R52/R51*1000</f>
        <v>4604.1712403951706</v>
      </c>
      <c r="S53" s="194">
        <f t="shared" si="1"/>
        <v>-1.2</v>
      </c>
      <c r="T53" s="310">
        <f>T52/T51*1000</f>
        <v>4627.3308957952468</v>
      </c>
      <c r="U53" s="310">
        <f>U52/U51*1000</f>
        <v>4186.1192756234004</v>
      </c>
      <c r="V53" s="194">
        <f t="shared" si="2"/>
        <v>-9.5</v>
      </c>
      <c r="W53" s="310">
        <f>W52/W51*1000</f>
        <v>4202.9548989113537</v>
      </c>
      <c r="X53" s="310">
        <f>X52/X51*1000</f>
        <v>4068.9273356401382</v>
      </c>
      <c r="Y53" s="194">
        <f t="shared" si="3"/>
        <v>-3.2</v>
      </c>
      <c r="Z53" s="310">
        <f>Z52/Z51*1000</f>
        <v>4470.236039147956</v>
      </c>
      <c r="AA53" s="310">
        <f>AA52/AA51*1000</f>
        <v>4138.4762547828041</v>
      </c>
      <c r="AB53" s="194">
        <f t="shared" si="4"/>
        <v>-7.4</v>
      </c>
      <c r="AC53" s="310">
        <f>AC52/AC51*1000</f>
        <v>4303.9417444989713</v>
      </c>
      <c r="AD53" s="310">
        <f>AD52/AD51*1000</f>
        <v>4265.6142759094027</v>
      </c>
      <c r="AE53" s="194">
        <f t="shared" si="5"/>
        <v>-0.9</v>
      </c>
      <c r="AF53" s="310">
        <f>AF52/AF51*1000</f>
        <v>4425.8876176805843</v>
      </c>
      <c r="AG53" s="310">
        <f>AG52/AG51*1000</f>
        <v>4169.8728813559319</v>
      </c>
      <c r="AH53" s="194">
        <f t="shared" si="6"/>
        <v>-5.8</v>
      </c>
      <c r="AI53" s="310">
        <f>AI52/AI51*1000</f>
        <v>3878.034251675354</v>
      </c>
      <c r="AJ53" s="310">
        <f>AJ52/AJ51*1000</f>
        <v>4059.0145148968677</v>
      </c>
      <c r="AK53" s="194">
        <f t="shared" si="7"/>
        <v>4.7</v>
      </c>
      <c r="AL53" s="310">
        <f>AL52/AL51*1000</f>
        <v>4304.881257811986</v>
      </c>
      <c r="AM53" s="310">
        <f>AM52/AM51*1000</f>
        <v>4149.7433763351364</v>
      </c>
      <c r="AN53" s="194">
        <f t="shared" si="8"/>
        <v>-3.6</v>
      </c>
      <c r="AO53" s="626">
        <f>AO52/AO51*1000</f>
        <v>4119.2077727952164</v>
      </c>
      <c r="AP53" s="626">
        <f>AP52/AP51*1000</f>
        <v>3762.7522644207852</v>
      </c>
      <c r="AQ53" s="616">
        <f t="shared" si="9"/>
        <v>-8.6999999999999993</v>
      </c>
      <c r="AR53" s="626">
        <f>AR52/AR51*1000</f>
        <v>4277.0878782793534</v>
      </c>
      <c r="AS53" s="626">
        <f>AS52/AS51*1000</f>
        <v>4080.4178883543509</v>
      </c>
      <c r="AT53" s="616">
        <f t="shared" si="10"/>
        <v>-4.5999999999999996</v>
      </c>
      <c r="AU53" s="626">
        <f>AU52/AU51*1000</f>
        <v>3994.8186528497408</v>
      </c>
      <c r="AV53" s="626">
        <f>AV52/AV51*1000</f>
        <v>3899.1922455573508</v>
      </c>
      <c r="AW53" s="616">
        <f t="shared" si="11"/>
        <v>-2.4</v>
      </c>
      <c r="AX53" s="930">
        <f>AX52/AX51*1000</f>
        <v>4233.3160034029679</v>
      </c>
      <c r="AY53" s="930">
        <f>AY52/AY51*1000</f>
        <v>4053.2684721314645</v>
      </c>
      <c r="AZ53" s="616">
        <f t="shared" si="12"/>
        <v>-4.3</v>
      </c>
      <c r="BA53" s="626">
        <f>BA52/BA51*1000</f>
        <v>4355.6539383877516</v>
      </c>
      <c r="BB53" s="626">
        <f>BB52/BB51*1000</f>
        <v>3800.8458285274896</v>
      </c>
      <c r="BC53" s="616">
        <f t="shared" si="13"/>
        <v>-12.7</v>
      </c>
      <c r="BD53" s="626">
        <f>BD52/BD51*1000</f>
        <v>4247.2086641389278</v>
      </c>
      <c r="BE53" s="626">
        <f>BE52/BE51*1000</f>
        <v>4025.0424539455303</v>
      </c>
      <c r="BF53" s="616">
        <f t="shared" si="14"/>
        <v>-5.2</v>
      </c>
      <c r="BG53" s="626">
        <f>BG52/BG51*1000</f>
        <v>4031.1741646443907</v>
      </c>
      <c r="BH53" s="626">
        <f>BH52/BH51*1000</f>
        <v>3788.4428617675626</v>
      </c>
      <c r="BI53" s="616">
        <f t="shared" si="15"/>
        <v>-6</v>
      </c>
      <c r="BJ53" s="626">
        <f>BJ52/BJ51*1000</f>
        <v>4225.4115342599916</v>
      </c>
      <c r="BK53" s="626">
        <f>BK52/BK51*1000</f>
        <v>3997.3054517163514</v>
      </c>
      <c r="BL53" s="616">
        <f t="shared" si="16"/>
        <v>-5.4</v>
      </c>
      <c r="BM53" s="626">
        <f>BM52/BM51*1000</f>
        <v>4181.4193056085469</v>
      </c>
      <c r="BN53" s="626">
        <f>BN52/BN51*1000</f>
        <v>3940.6377759607522</v>
      </c>
      <c r="BO53" s="616">
        <f t="shared" si="17"/>
        <v>-5.8</v>
      </c>
      <c r="BP53" s="626">
        <f>BP52/BP51*1000</f>
        <v>4221.4584476138234</v>
      </c>
      <c r="BQ53" s="626">
        <f>BQ52/BQ51*1000</f>
        <v>3991.4136090046586</v>
      </c>
      <c r="BR53" s="616">
        <f t="shared" si="18"/>
        <v>-5.4</v>
      </c>
      <c r="BS53" s="626">
        <f>BS52/BS51*1000</f>
        <v>3852.0157325467062</v>
      </c>
      <c r="BT53" s="626">
        <f>BT52/BT51*1000</f>
        <v>3707.4575295133891</v>
      </c>
      <c r="BU53" s="616">
        <f t="shared" si="19"/>
        <v>-3.8</v>
      </c>
      <c r="BV53" s="626">
        <f>BV52/BV51*1000</f>
        <v>4186.4738197957731</v>
      </c>
      <c r="BW53" s="626">
        <f>BW52/BW51*1000</f>
        <v>3961.4203163017028</v>
      </c>
      <c r="BX53" s="616">
        <f t="shared" si="20"/>
        <v>-5.4</v>
      </c>
    </row>
    <row r="54" spans="1:76" ht="22.5" customHeight="1">
      <c r="A54" s="14"/>
      <c r="B54" s="1099" t="s">
        <v>29</v>
      </c>
      <c r="C54" s="1100">
        <v>7610</v>
      </c>
      <c r="D54" s="365" t="s">
        <v>13</v>
      </c>
      <c r="E54" s="11">
        <v>2369</v>
      </c>
      <c r="F54" s="11">
        <v>3534</v>
      </c>
      <c r="G54" s="11">
        <v>4313</v>
      </c>
      <c r="H54" s="11">
        <v>6562</v>
      </c>
      <c r="I54" s="11">
        <v>8331</v>
      </c>
      <c r="J54" s="11">
        <v>8741</v>
      </c>
      <c r="K54" s="11">
        <v>8837</v>
      </c>
      <c r="L54" s="183">
        <v>7823</v>
      </c>
      <c r="M54" s="312">
        <v>11317</v>
      </c>
      <c r="N54" s="311">
        <v>840</v>
      </c>
      <c r="O54" s="311">
        <v>1134</v>
      </c>
      <c r="P54" s="195">
        <f t="shared" si="0"/>
        <v>35</v>
      </c>
      <c r="Q54" s="311">
        <f>T54-N54</f>
        <v>532</v>
      </c>
      <c r="R54" s="311">
        <f>U54-O54</f>
        <v>1004</v>
      </c>
      <c r="S54" s="195">
        <f t="shared" si="1"/>
        <v>88.7</v>
      </c>
      <c r="T54" s="311">
        <v>1372</v>
      </c>
      <c r="U54" s="311">
        <v>2138</v>
      </c>
      <c r="V54" s="195">
        <f t="shared" si="2"/>
        <v>55.8</v>
      </c>
      <c r="W54" s="311">
        <f>Z54-T54</f>
        <v>1074</v>
      </c>
      <c r="X54" s="311">
        <f>AA54-U54</f>
        <v>1325</v>
      </c>
      <c r="Y54" s="195">
        <f t="shared" si="3"/>
        <v>23.4</v>
      </c>
      <c r="Z54" s="311">
        <v>2446</v>
      </c>
      <c r="AA54" s="311">
        <v>3463</v>
      </c>
      <c r="AB54" s="195">
        <f t="shared" si="4"/>
        <v>41.6</v>
      </c>
      <c r="AC54" s="311">
        <f>AF54-Z54</f>
        <v>907</v>
      </c>
      <c r="AD54" s="311">
        <f>AG54-AA54</f>
        <v>1172</v>
      </c>
      <c r="AE54" s="195">
        <f t="shared" si="5"/>
        <v>29.2</v>
      </c>
      <c r="AF54" s="311">
        <v>3353</v>
      </c>
      <c r="AG54" s="311">
        <v>4635</v>
      </c>
      <c r="AH54" s="195">
        <f t="shared" si="6"/>
        <v>38.200000000000003</v>
      </c>
      <c r="AI54" s="311">
        <f>AL54-AF54</f>
        <v>1114</v>
      </c>
      <c r="AJ54" s="311">
        <f>AM54-AG54</f>
        <v>1414</v>
      </c>
      <c r="AK54" s="195">
        <f t="shared" si="7"/>
        <v>26.9</v>
      </c>
      <c r="AL54" s="311">
        <v>4467</v>
      </c>
      <c r="AM54" s="311">
        <v>6049</v>
      </c>
      <c r="AN54" s="195">
        <f t="shared" si="8"/>
        <v>35.4</v>
      </c>
      <c r="AO54" s="627">
        <f>AR54-AL54</f>
        <v>933</v>
      </c>
      <c r="AP54" s="627">
        <f>AS54-AM54</f>
        <v>1576</v>
      </c>
      <c r="AQ54" s="617">
        <f t="shared" si="9"/>
        <v>68.900000000000006</v>
      </c>
      <c r="AR54" s="869">
        <v>5400</v>
      </c>
      <c r="AS54" s="869">
        <v>7625</v>
      </c>
      <c r="AT54" s="617">
        <f t="shared" si="10"/>
        <v>41.2</v>
      </c>
      <c r="AU54" s="869">
        <f>AX54-AR54</f>
        <v>1065</v>
      </c>
      <c r="AV54" s="869">
        <f>AY54-AS54</f>
        <v>1279</v>
      </c>
      <c r="AW54" s="617">
        <f t="shared" si="11"/>
        <v>20.100000000000001</v>
      </c>
      <c r="AX54" s="929">
        <v>6465</v>
      </c>
      <c r="AY54" s="929">
        <v>8904</v>
      </c>
      <c r="AZ54" s="617">
        <f t="shared" si="12"/>
        <v>37.700000000000003</v>
      </c>
      <c r="BA54" s="869">
        <f>BD54-AX54</f>
        <v>1219</v>
      </c>
      <c r="BB54" s="869">
        <f>BE54-AY54</f>
        <v>1429</v>
      </c>
      <c r="BC54" s="617">
        <f t="shared" si="13"/>
        <v>17.2</v>
      </c>
      <c r="BD54" s="869">
        <v>7684</v>
      </c>
      <c r="BE54" s="869">
        <v>10333</v>
      </c>
      <c r="BF54" s="617">
        <f t="shared" si="14"/>
        <v>34.5</v>
      </c>
      <c r="BG54" s="869">
        <f>BJ54-BD54</f>
        <v>1194</v>
      </c>
      <c r="BH54" s="869">
        <f>BK54-BE54</f>
        <v>1524</v>
      </c>
      <c r="BI54" s="617">
        <f t="shared" si="15"/>
        <v>27.6</v>
      </c>
      <c r="BJ54" s="869">
        <v>8878</v>
      </c>
      <c r="BK54" s="869">
        <v>11857</v>
      </c>
      <c r="BL54" s="617">
        <f t="shared" si="16"/>
        <v>33.6</v>
      </c>
      <c r="BM54" s="869">
        <f>BP54-BJ54</f>
        <v>949</v>
      </c>
      <c r="BN54" s="869">
        <f>BQ54-BK54</f>
        <v>1368</v>
      </c>
      <c r="BO54" s="617">
        <f t="shared" si="17"/>
        <v>44.2</v>
      </c>
      <c r="BP54" s="869">
        <v>9827</v>
      </c>
      <c r="BQ54" s="869">
        <v>13225</v>
      </c>
      <c r="BR54" s="617">
        <f t="shared" si="18"/>
        <v>34.6</v>
      </c>
      <c r="BS54" s="869">
        <f>BV54-BP54</f>
        <v>719</v>
      </c>
      <c r="BT54" s="869">
        <f>BW54-BQ54</f>
        <v>1494</v>
      </c>
      <c r="BU54" s="617">
        <f t="shared" si="19"/>
        <v>107.8</v>
      </c>
      <c r="BV54" s="869">
        <v>10546</v>
      </c>
      <c r="BW54" s="869">
        <v>14719</v>
      </c>
      <c r="BX54" s="617">
        <f t="shared" si="20"/>
        <v>39.6</v>
      </c>
    </row>
    <row r="55" spans="1:76" ht="22.5" customHeight="1">
      <c r="A55" s="14"/>
      <c r="B55" s="1099"/>
      <c r="C55" s="1100"/>
      <c r="D55" s="366" t="s">
        <v>14</v>
      </c>
      <c r="E55" s="6">
        <v>28088</v>
      </c>
      <c r="F55" s="6">
        <v>47804</v>
      </c>
      <c r="G55" s="6">
        <v>40030</v>
      </c>
      <c r="H55" s="6">
        <v>73354</v>
      </c>
      <c r="I55" s="6">
        <v>84036</v>
      </c>
      <c r="J55" s="6">
        <v>85992</v>
      </c>
      <c r="K55" s="6">
        <v>61408</v>
      </c>
      <c r="L55" s="180">
        <v>55949</v>
      </c>
      <c r="M55" s="438">
        <v>65120</v>
      </c>
      <c r="N55" s="309">
        <v>4313</v>
      </c>
      <c r="O55" s="309">
        <v>4984</v>
      </c>
      <c r="P55" s="193">
        <f t="shared" si="0"/>
        <v>15.6</v>
      </c>
      <c r="Q55" s="308">
        <f>T55-N55</f>
        <v>3115</v>
      </c>
      <c r="R55" s="308">
        <f>U55-O55</f>
        <v>5186</v>
      </c>
      <c r="S55" s="192">
        <f t="shared" si="1"/>
        <v>66.5</v>
      </c>
      <c r="T55" s="309">
        <v>7428</v>
      </c>
      <c r="U55" s="309">
        <v>10170</v>
      </c>
      <c r="V55" s="193">
        <f t="shared" si="2"/>
        <v>36.9</v>
      </c>
      <c r="W55" s="308">
        <f>Z55-T55</f>
        <v>5138</v>
      </c>
      <c r="X55" s="308">
        <f>AA55-U55</f>
        <v>5911</v>
      </c>
      <c r="Y55" s="192">
        <f t="shared" si="3"/>
        <v>15</v>
      </c>
      <c r="Z55" s="309">
        <v>12566</v>
      </c>
      <c r="AA55" s="309">
        <v>16081</v>
      </c>
      <c r="AB55" s="193">
        <f t="shared" si="4"/>
        <v>28</v>
      </c>
      <c r="AC55" s="308">
        <f>AF55-Z55</f>
        <v>6535</v>
      </c>
      <c r="AD55" s="308">
        <f>AG55-AA55</f>
        <v>5752</v>
      </c>
      <c r="AE55" s="192">
        <f t="shared" si="5"/>
        <v>-12</v>
      </c>
      <c r="AF55" s="309">
        <v>19101</v>
      </c>
      <c r="AG55" s="309">
        <v>21833</v>
      </c>
      <c r="AH55" s="193">
        <f t="shared" si="6"/>
        <v>14.3</v>
      </c>
      <c r="AI55" s="308">
        <f>AL55-AF55</f>
        <v>4999</v>
      </c>
      <c r="AJ55" s="308">
        <f>AM55-AG55</f>
        <v>5799</v>
      </c>
      <c r="AK55" s="192">
        <f t="shared" si="7"/>
        <v>16</v>
      </c>
      <c r="AL55" s="309">
        <v>24100</v>
      </c>
      <c r="AM55" s="309">
        <v>27632</v>
      </c>
      <c r="AN55" s="193">
        <f t="shared" si="8"/>
        <v>14.7</v>
      </c>
      <c r="AO55" s="624">
        <f>AR55-AL55</f>
        <v>5072</v>
      </c>
      <c r="AP55" s="624">
        <f>AS55-AM55</f>
        <v>7030</v>
      </c>
      <c r="AQ55" s="614">
        <f t="shared" si="9"/>
        <v>38.6</v>
      </c>
      <c r="AR55" s="868">
        <v>29172</v>
      </c>
      <c r="AS55" s="868">
        <v>34662</v>
      </c>
      <c r="AT55" s="615">
        <f t="shared" si="10"/>
        <v>18.8</v>
      </c>
      <c r="AU55" s="638">
        <f>AX55-AR55</f>
        <v>7764</v>
      </c>
      <c r="AV55" s="638">
        <f>AY55-AS55</f>
        <v>7719</v>
      </c>
      <c r="AW55" s="614">
        <f t="shared" si="11"/>
        <v>-0.6</v>
      </c>
      <c r="AX55" s="925">
        <v>36936</v>
      </c>
      <c r="AY55" s="925">
        <v>42381</v>
      </c>
      <c r="AZ55" s="615">
        <f t="shared" si="12"/>
        <v>14.7</v>
      </c>
      <c r="BA55" s="638">
        <f>BD55-AX55</f>
        <v>7205</v>
      </c>
      <c r="BB55" s="638">
        <f>BE55-AY55</f>
        <v>5979</v>
      </c>
      <c r="BC55" s="614">
        <f t="shared" si="13"/>
        <v>-17</v>
      </c>
      <c r="BD55" s="868">
        <v>44141</v>
      </c>
      <c r="BE55" s="868">
        <v>48360</v>
      </c>
      <c r="BF55" s="615">
        <f t="shared" si="14"/>
        <v>9.6</v>
      </c>
      <c r="BG55" s="638">
        <f>BJ55-BD55</f>
        <v>5995</v>
      </c>
      <c r="BH55" s="638">
        <f>BK55-BE55</f>
        <v>7628</v>
      </c>
      <c r="BI55" s="614">
        <f t="shared" si="15"/>
        <v>27.2</v>
      </c>
      <c r="BJ55" s="868">
        <v>50136</v>
      </c>
      <c r="BK55" s="868">
        <v>55988</v>
      </c>
      <c r="BL55" s="615">
        <f t="shared" si="16"/>
        <v>11.7</v>
      </c>
      <c r="BM55" s="638">
        <f>BP55-BJ55</f>
        <v>5845</v>
      </c>
      <c r="BN55" s="638">
        <f>BQ55-BK55</f>
        <v>6601</v>
      </c>
      <c r="BO55" s="614">
        <f t="shared" si="17"/>
        <v>12.9</v>
      </c>
      <c r="BP55" s="868">
        <v>55981</v>
      </c>
      <c r="BQ55" s="868">
        <v>62589</v>
      </c>
      <c r="BR55" s="615">
        <f t="shared" si="18"/>
        <v>11.8</v>
      </c>
      <c r="BS55" s="638">
        <f>BV55-BP55</f>
        <v>4179</v>
      </c>
      <c r="BT55" s="638">
        <f>BW55-BQ55</f>
        <v>6838</v>
      </c>
      <c r="BU55" s="614">
        <f t="shared" si="19"/>
        <v>63.6</v>
      </c>
      <c r="BV55" s="868">
        <v>60160</v>
      </c>
      <c r="BW55" s="868">
        <v>69427</v>
      </c>
      <c r="BX55" s="615">
        <f t="shared" si="20"/>
        <v>15.4</v>
      </c>
    </row>
    <row r="56" spans="1:76" ht="22.5" customHeight="1">
      <c r="A56" s="14"/>
      <c r="B56" s="1099"/>
      <c r="C56" s="1100"/>
      <c r="D56" s="370" t="s">
        <v>15</v>
      </c>
      <c r="E56" s="12">
        <f t="shared" ref="E56:O56" si="39">E55/E54*1000</f>
        <v>11856.479527226678</v>
      </c>
      <c r="F56" s="12">
        <f t="shared" si="39"/>
        <v>13526.881720430109</v>
      </c>
      <c r="G56" s="12">
        <f t="shared" si="39"/>
        <v>9281.2427544632501</v>
      </c>
      <c r="H56" s="12">
        <f t="shared" si="39"/>
        <v>11178.604084120694</v>
      </c>
      <c r="I56" s="12">
        <f t="shared" si="39"/>
        <v>10087.144400432122</v>
      </c>
      <c r="J56" s="12">
        <f t="shared" si="39"/>
        <v>9837.7759981695453</v>
      </c>
      <c r="K56" s="12">
        <f t="shared" si="39"/>
        <v>6948.9645807400702</v>
      </c>
      <c r="L56" s="184">
        <f t="shared" si="39"/>
        <v>7151.8599002940045</v>
      </c>
      <c r="M56" s="442">
        <f>M55/M54*1000</f>
        <v>5754.1751347530262</v>
      </c>
      <c r="N56" s="310">
        <f t="shared" si="39"/>
        <v>5134.5238095238092</v>
      </c>
      <c r="O56" s="310">
        <f t="shared" si="39"/>
        <v>4395.0617283950614</v>
      </c>
      <c r="P56" s="194">
        <f t="shared" si="0"/>
        <v>-14.4</v>
      </c>
      <c r="Q56" s="310">
        <f>Q55/Q54*1000</f>
        <v>5855.2631578947376</v>
      </c>
      <c r="R56" s="310">
        <f>R55/R54*1000</f>
        <v>5165.3386454183274</v>
      </c>
      <c r="S56" s="194">
        <f t="shared" si="1"/>
        <v>-11.8</v>
      </c>
      <c r="T56" s="310">
        <f>T55/T54*1000</f>
        <v>5413.9941690962096</v>
      </c>
      <c r="U56" s="310">
        <f>U55/U54*1000</f>
        <v>4756.7820392890553</v>
      </c>
      <c r="V56" s="194">
        <f t="shared" si="2"/>
        <v>-12.1</v>
      </c>
      <c r="W56" s="310">
        <f>W55/W54*1000</f>
        <v>4783.9851024208565</v>
      </c>
      <c r="X56" s="310">
        <f>X55/X54*1000</f>
        <v>4461.132075471698</v>
      </c>
      <c r="Y56" s="194">
        <f t="shared" si="3"/>
        <v>-6.7</v>
      </c>
      <c r="Z56" s="310">
        <f>Z55/Z54*1000</f>
        <v>5137.3671300081769</v>
      </c>
      <c r="AA56" s="310">
        <f>AA55/AA54*1000</f>
        <v>4643.6615651169504</v>
      </c>
      <c r="AB56" s="194">
        <f t="shared" si="4"/>
        <v>-9.6</v>
      </c>
      <c r="AC56" s="310">
        <f>AC55/AC54*1000</f>
        <v>7205.0716648291063</v>
      </c>
      <c r="AD56" s="310">
        <f>AD55/AD54*1000</f>
        <v>4907.8498293515358</v>
      </c>
      <c r="AE56" s="194">
        <f t="shared" si="5"/>
        <v>-31.9</v>
      </c>
      <c r="AF56" s="310">
        <f>AF55/AF54*1000</f>
        <v>5696.6895317626004</v>
      </c>
      <c r="AG56" s="310">
        <f>AG55/AG54*1000</f>
        <v>4710.4638619201723</v>
      </c>
      <c r="AH56" s="194">
        <f t="shared" si="6"/>
        <v>-17.3</v>
      </c>
      <c r="AI56" s="310">
        <f>AI55/AI54*1000</f>
        <v>4487.4326750448836</v>
      </c>
      <c r="AJ56" s="310">
        <f>AJ55/AJ54*1000</f>
        <v>4101.131541725601</v>
      </c>
      <c r="AK56" s="194">
        <f t="shared" si="7"/>
        <v>-8.6</v>
      </c>
      <c r="AL56" s="310">
        <f>AL55/AL54*1000</f>
        <v>5395.1197671815535</v>
      </c>
      <c r="AM56" s="310">
        <f>AM55/AM54*1000</f>
        <v>4568.0277731856504</v>
      </c>
      <c r="AN56" s="194">
        <f t="shared" si="8"/>
        <v>-15.3</v>
      </c>
      <c r="AO56" s="626">
        <f>AO55/AO54*1000</f>
        <v>5436.227224008574</v>
      </c>
      <c r="AP56" s="626">
        <f>AP55/AP54*1000</f>
        <v>4460.6598984771572</v>
      </c>
      <c r="AQ56" s="616">
        <f t="shared" si="9"/>
        <v>-17.899999999999999</v>
      </c>
      <c r="AR56" s="626">
        <f>AR55/AR54*1000</f>
        <v>5402.2222222222217</v>
      </c>
      <c r="AS56" s="626">
        <f>AS55/AS54*1000</f>
        <v>4545.8360655737706</v>
      </c>
      <c r="AT56" s="616">
        <f t="shared" si="10"/>
        <v>-15.9</v>
      </c>
      <c r="AU56" s="626">
        <f>AU55/AU54*1000</f>
        <v>7290.140845070423</v>
      </c>
      <c r="AV56" s="626">
        <f>AV55/AV54*1000</f>
        <v>6035.1837372947612</v>
      </c>
      <c r="AW56" s="616">
        <f t="shared" si="11"/>
        <v>-17.2</v>
      </c>
      <c r="AX56" s="930">
        <f>AX55/AX54*1000</f>
        <v>5713.2250580046402</v>
      </c>
      <c r="AY56" s="930">
        <f>AY55/AY54*1000</f>
        <v>4759.7708894878706</v>
      </c>
      <c r="AZ56" s="616">
        <f t="shared" si="12"/>
        <v>-16.7</v>
      </c>
      <c r="BA56" s="626">
        <f>BA55/BA54*1000</f>
        <v>5910.5824446267434</v>
      </c>
      <c r="BB56" s="626">
        <f>BB55/BB54*1000</f>
        <v>4184.0447865640308</v>
      </c>
      <c r="BC56" s="616">
        <f t="shared" si="13"/>
        <v>-29.2</v>
      </c>
      <c r="BD56" s="626">
        <f>BD55/BD54*1000</f>
        <v>5744.53409682457</v>
      </c>
      <c r="BE56" s="626">
        <f>BE55/BE54*1000</f>
        <v>4680.1509726120194</v>
      </c>
      <c r="BF56" s="616">
        <f t="shared" si="14"/>
        <v>-18.5</v>
      </c>
      <c r="BG56" s="626">
        <f>BG55/BG54*1000</f>
        <v>5020.9380234505861</v>
      </c>
      <c r="BH56" s="626">
        <f>BH55/BH54*1000</f>
        <v>5005.2493438320207</v>
      </c>
      <c r="BI56" s="616">
        <f t="shared" si="15"/>
        <v>-0.3</v>
      </c>
      <c r="BJ56" s="626">
        <f>BJ55/BJ54*1000</f>
        <v>5647.2178418562744</v>
      </c>
      <c r="BK56" s="626">
        <f>BK55/BK54*1000</f>
        <v>4721.936408872396</v>
      </c>
      <c r="BL56" s="616">
        <f t="shared" si="16"/>
        <v>-16.399999999999999</v>
      </c>
      <c r="BM56" s="626">
        <f>BM55/BM54*1000</f>
        <v>6159.1148577449949</v>
      </c>
      <c r="BN56" s="626">
        <f>BN55/BN54*1000</f>
        <v>4825.292397660819</v>
      </c>
      <c r="BO56" s="616">
        <f t="shared" si="17"/>
        <v>-21.7</v>
      </c>
      <c r="BP56" s="626">
        <f>BP55/BP54*1000</f>
        <v>5696.6520810013235</v>
      </c>
      <c r="BQ56" s="626">
        <f>BQ55/BQ54*1000</f>
        <v>4732.6275992438559</v>
      </c>
      <c r="BR56" s="616">
        <f t="shared" si="18"/>
        <v>-16.899999999999999</v>
      </c>
      <c r="BS56" s="626">
        <f>BS55/BS54*1000</f>
        <v>5812.2392211404731</v>
      </c>
      <c r="BT56" s="626">
        <f>BT55/BT54*1000</f>
        <v>4576.9745649263723</v>
      </c>
      <c r="BU56" s="616">
        <f t="shared" si="19"/>
        <v>-21.3</v>
      </c>
      <c r="BV56" s="626">
        <f>BV55/BV54*1000</f>
        <v>5704.5325241797836</v>
      </c>
      <c r="BW56" s="626">
        <f>BW55/BW54*1000</f>
        <v>4716.8285888987029</v>
      </c>
      <c r="BX56" s="616">
        <f t="shared" si="20"/>
        <v>-17.3</v>
      </c>
    </row>
    <row r="57" spans="1:76" ht="22.5" customHeight="1">
      <c r="A57" s="14"/>
      <c r="B57" s="1114" t="s">
        <v>30</v>
      </c>
      <c r="C57" s="1100">
        <v>7615</v>
      </c>
      <c r="D57" s="365" t="s">
        <v>13</v>
      </c>
      <c r="E57" s="11">
        <v>4996</v>
      </c>
      <c r="F57" s="11">
        <v>4978</v>
      </c>
      <c r="G57" s="11">
        <v>5139</v>
      </c>
      <c r="H57" s="11">
        <v>5059</v>
      </c>
      <c r="I57" s="11">
        <v>6718</v>
      </c>
      <c r="J57" s="11">
        <v>7575</v>
      </c>
      <c r="K57" s="11">
        <v>9539</v>
      </c>
      <c r="L57" s="183">
        <v>11388</v>
      </c>
      <c r="M57" s="312">
        <v>12132</v>
      </c>
      <c r="N57" s="311">
        <v>1442</v>
      </c>
      <c r="O57" s="311">
        <v>1308</v>
      </c>
      <c r="P57" s="195">
        <f t="shared" si="0"/>
        <v>-9.3000000000000007</v>
      </c>
      <c r="Q57" s="311">
        <f>T57-N57</f>
        <v>552</v>
      </c>
      <c r="R57" s="311">
        <f>U57-O57</f>
        <v>647</v>
      </c>
      <c r="S57" s="195">
        <f t="shared" si="1"/>
        <v>17.2</v>
      </c>
      <c r="T57" s="311">
        <v>1994</v>
      </c>
      <c r="U57" s="311">
        <v>1955</v>
      </c>
      <c r="V57" s="195">
        <f t="shared" si="2"/>
        <v>-2</v>
      </c>
      <c r="W57" s="311">
        <f>Z57-T57</f>
        <v>796</v>
      </c>
      <c r="X57" s="311">
        <f>AA57-U57</f>
        <v>914</v>
      </c>
      <c r="Y57" s="195">
        <f t="shared" si="3"/>
        <v>14.8</v>
      </c>
      <c r="Z57" s="311">
        <v>2790</v>
      </c>
      <c r="AA57" s="311">
        <v>2869</v>
      </c>
      <c r="AB57" s="195">
        <f t="shared" si="4"/>
        <v>2.8</v>
      </c>
      <c r="AC57" s="311">
        <f>AF57-Z57</f>
        <v>983</v>
      </c>
      <c r="AD57" s="311">
        <f>AG57-AA57</f>
        <v>1153</v>
      </c>
      <c r="AE57" s="195">
        <f t="shared" si="5"/>
        <v>17.3</v>
      </c>
      <c r="AF57" s="311">
        <v>3773</v>
      </c>
      <c r="AG57" s="311">
        <v>4022</v>
      </c>
      <c r="AH57" s="195">
        <f t="shared" si="6"/>
        <v>6.6</v>
      </c>
      <c r="AI57" s="311">
        <f>AL57-AF57</f>
        <v>1076</v>
      </c>
      <c r="AJ57" s="311">
        <f>AM57-AG57</f>
        <v>1209</v>
      </c>
      <c r="AK57" s="195">
        <f t="shared" si="7"/>
        <v>12.4</v>
      </c>
      <c r="AL57" s="311">
        <v>4849</v>
      </c>
      <c r="AM57" s="311">
        <v>5231</v>
      </c>
      <c r="AN57" s="195">
        <f t="shared" si="8"/>
        <v>7.9</v>
      </c>
      <c r="AO57" s="627">
        <f>AR57-AL57</f>
        <v>862</v>
      </c>
      <c r="AP57" s="627">
        <f>AS57-AM57</f>
        <v>1216</v>
      </c>
      <c r="AQ57" s="617">
        <f t="shared" si="9"/>
        <v>41.1</v>
      </c>
      <c r="AR57" s="869">
        <v>5711</v>
      </c>
      <c r="AS57" s="869">
        <v>6447</v>
      </c>
      <c r="AT57" s="617">
        <f t="shared" si="10"/>
        <v>12.9</v>
      </c>
      <c r="AU57" s="869">
        <f>AX57-AR57</f>
        <v>1135</v>
      </c>
      <c r="AV57" s="869">
        <f>AY57-AS57</f>
        <v>1380</v>
      </c>
      <c r="AW57" s="617">
        <f t="shared" si="11"/>
        <v>21.6</v>
      </c>
      <c r="AX57" s="929">
        <v>6846</v>
      </c>
      <c r="AY57" s="929">
        <v>7827</v>
      </c>
      <c r="AZ57" s="617">
        <f t="shared" si="12"/>
        <v>14.3</v>
      </c>
      <c r="BA57" s="869">
        <f>BD57-AX57</f>
        <v>1141</v>
      </c>
      <c r="BB57" s="869">
        <f>BE57-AY57</f>
        <v>1235</v>
      </c>
      <c r="BC57" s="617">
        <f t="shared" si="13"/>
        <v>8.1999999999999993</v>
      </c>
      <c r="BD57" s="869">
        <v>7987</v>
      </c>
      <c r="BE57" s="869">
        <v>9062</v>
      </c>
      <c r="BF57" s="617">
        <f t="shared" si="14"/>
        <v>13.5</v>
      </c>
      <c r="BG57" s="869">
        <f>BJ57-BD57</f>
        <v>832</v>
      </c>
      <c r="BH57" s="869">
        <f>BK57-BE57</f>
        <v>1330</v>
      </c>
      <c r="BI57" s="617">
        <f t="shared" si="15"/>
        <v>59.9</v>
      </c>
      <c r="BJ57" s="869">
        <v>8819</v>
      </c>
      <c r="BK57" s="869">
        <v>10392</v>
      </c>
      <c r="BL57" s="617">
        <f t="shared" si="16"/>
        <v>17.8</v>
      </c>
      <c r="BM57" s="869">
        <f>BP57-BJ57</f>
        <v>1058</v>
      </c>
      <c r="BN57" s="869">
        <f>BQ57-BK57</f>
        <v>1101</v>
      </c>
      <c r="BO57" s="617">
        <f t="shared" si="17"/>
        <v>4.0999999999999996</v>
      </c>
      <c r="BP57" s="869">
        <v>9877</v>
      </c>
      <c r="BQ57" s="869">
        <v>11493</v>
      </c>
      <c r="BR57" s="617">
        <f t="shared" si="18"/>
        <v>16.399999999999999</v>
      </c>
      <c r="BS57" s="869">
        <f>BV57-BP57</f>
        <v>1025</v>
      </c>
      <c r="BT57" s="869">
        <f>BW57-BQ57</f>
        <v>1274</v>
      </c>
      <c r="BU57" s="617">
        <f t="shared" si="19"/>
        <v>24.3</v>
      </c>
      <c r="BV57" s="869">
        <v>10902</v>
      </c>
      <c r="BW57" s="869">
        <v>12767</v>
      </c>
      <c r="BX57" s="617">
        <f t="shared" si="20"/>
        <v>17.100000000000001</v>
      </c>
    </row>
    <row r="58" spans="1:76" ht="22.5" customHeight="1">
      <c r="A58" s="14"/>
      <c r="B58" s="1099"/>
      <c r="C58" s="1100"/>
      <c r="D58" s="366" t="s">
        <v>14</v>
      </c>
      <c r="E58" s="6">
        <v>52111</v>
      </c>
      <c r="F58" s="6">
        <v>49067</v>
      </c>
      <c r="G58" s="6">
        <v>50562</v>
      </c>
      <c r="H58" s="6">
        <v>55077</v>
      </c>
      <c r="I58" s="6">
        <v>63202</v>
      </c>
      <c r="J58" s="6">
        <v>69974</v>
      </c>
      <c r="K58" s="6">
        <v>81900</v>
      </c>
      <c r="L58" s="180">
        <v>103882</v>
      </c>
      <c r="M58" s="438">
        <v>96336</v>
      </c>
      <c r="N58" s="309">
        <v>12743</v>
      </c>
      <c r="O58" s="309">
        <v>9857</v>
      </c>
      <c r="P58" s="193">
        <f t="shared" si="0"/>
        <v>-22.6</v>
      </c>
      <c r="Q58" s="309">
        <f>T58-N58</f>
        <v>4696</v>
      </c>
      <c r="R58" s="309">
        <f>U58-O58</f>
        <v>5033</v>
      </c>
      <c r="S58" s="193">
        <f t="shared" si="1"/>
        <v>7.2</v>
      </c>
      <c r="T58" s="309">
        <v>17439</v>
      </c>
      <c r="U58" s="495">
        <v>14890</v>
      </c>
      <c r="V58" s="193">
        <f t="shared" si="2"/>
        <v>-14.6</v>
      </c>
      <c r="W58" s="309">
        <f>Z58-T58</f>
        <v>6798</v>
      </c>
      <c r="X58" s="309">
        <f>AA58-U58</f>
        <v>7349</v>
      </c>
      <c r="Y58" s="193">
        <f t="shared" si="3"/>
        <v>8.1</v>
      </c>
      <c r="Z58" s="309">
        <v>24237</v>
      </c>
      <c r="AA58" s="495">
        <v>22239</v>
      </c>
      <c r="AB58" s="193">
        <f t="shared" si="4"/>
        <v>-8.1999999999999993</v>
      </c>
      <c r="AC58" s="309">
        <f>AF58-Z58</f>
        <v>8497</v>
      </c>
      <c r="AD58" s="309">
        <f>AG58-AA58</f>
        <v>8622</v>
      </c>
      <c r="AE58" s="193">
        <f t="shared" si="5"/>
        <v>1.5</v>
      </c>
      <c r="AF58" s="309">
        <v>32734</v>
      </c>
      <c r="AG58" s="495">
        <v>30861</v>
      </c>
      <c r="AH58" s="193">
        <f t="shared" si="6"/>
        <v>-5.7</v>
      </c>
      <c r="AI58" s="309">
        <f>AL58-AF58</f>
        <v>8491</v>
      </c>
      <c r="AJ58" s="309">
        <f>AM58-AG58</f>
        <v>8299</v>
      </c>
      <c r="AK58" s="193">
        <f t="shared" si="7"/>
        <v>-2.2999999999999998</v>
      </c>
      <c r="AL58" s="309">
        <v>41225</v>
      </c>
      <c r="AM58" s="495">
        <v>39160</v>
      </c>
      <c r="AN58" s="193">
        <f t="shared" si="8"/>
        <v>-5</v>
      </c>
      <c r="AO58" s="625">
        <f>AR58-AL58</f>
        <v>6802</v>
      </c>
      <c r="AP58" s="625">
        <f>AS58-AM58</f>
        <v>8288</v>
      </c>
      <c r="AQ58" s="615">
        <f t="shared" si="9"/>
        <v>21.8</v>
      </c>
      <c r="AR58" s="868">
        <v>48027</v>
      </c>
      <c r="AS58" s="495">
        <v>47448</v>
      </c>
      <c r="AT58" s="615">
        <f t="shared" si="10"/>
        <v>-1.2</v>
      </c>
      <c r="AU58" s="868">
        <f>AX58-AR58</f>
        <v>8057</v>
      </c>
      <c r="AV58" s="868">
        <f>AY58-AS58</f>
        <v>9919</v>
      </c>
      <c r="AW58" s="615">
        <f t="shared" si="11"/>
        <v>23.1</v>
      </c>
      <c r="AX58" s="925">
        <v>56084</v>
      </c>
      <c r="AY58" s="937">
        <v>57367</v>
      </c>
      <c r="AZ58" s="615">
        <f t="shared" si="12"/>
        <v>2.2999999999999998</v>
      </c>
      <c r="BA58" s="868">
        <f>BD58-AX58</f>
        <v>8771</v>
      </c>
      <c r="BB58" s="868">
        <f>BE58-AY58</f>
        <v>10081</v>
      </c>
      <c r="BC58" s="615">
        <f t="shared" si="13"/>
        <v>14.9</v>
      </c>
      <c r="BD58" s="868">
        <v>64855</v>
      </c>
      <c r="BE58" s="495">
        <v>67448</v>
      </c>
      <c r="BF58" s="615">
        <f t="shared" si="14"/>
        <v>4</v>
      </c>
      <c r="BG58" s="868">
        <f>BJ58-BD58</f>
        <v>6370</v>
      </c>
      <c r="BH58" s="868">
        <f>BK58-BE58</f>
        <v>9263</v>
      </c>
      <c r="BI58" s="615">
        <f t="shared" si="15"/>
        <v>45.4</v>
      </c>
      <c r="BJ58" s="868">
        <v>71225</v>
      </c>
      <c r="BK58" s="495">
        <v>76711</v>
      </c>
      <c r="BL58" s="615">
        <f t="shared" si="16"/>
        <v>7.7</v>
      </c>
      <c r="BM58" s="868">
        <f>BP58-BJ58</f>
        <v>8455</v>
      </c>
      <c r="BN58" s="868">
        <f>BQ58-BK58</f>
        <v>8226</v>
      </c>
      <c r="BO58" s="615">
        <f t="shared" si="17"/>
        <v>-2.7</v>
      </c>
      <c r="BP58" s="868">
        <v>79680</v>
      </c>
      <c r="BQ58" s="495">
        <v>84937</v>
      </c>
      <c r="BR58" s="615">
        <f t="shared" si="18"/>
        <v>6.6</v>
      </c>
      <c r="BS58" s="868">
        <f>BV58-BP58</f>
        <v>7337</v>
      </c>
      <c r="BT58" s="868">
        <f>BW58-BQ58</f>
        <v>10197</v>
      </c>
      <c r="BU58" s="615">
        <f t="shared" si="19"/>
        <v>39</v>
      </c>
      <c r="BV58" s="868">
        <v>87017</v>
      </c>
      <c r="BW58" s="495">
        <v>95134</v>
      </c>
      <c r="BX58" s="615">
        <f t="shared" si="20"/>
        <v>9.3000000000000007</v>
      </c>
    </row>
    <row r="59" spans="1:76" ht="22.5" customHeight="1">
      <c r="A59" s="14"/>
      <c r="B59" s="1099"/>
      <c r="C59" s="1100"/>
      <c r="D59" s="370" t="s">
        <v>15</v>
      </c>
      <c r="E59" s="12">
        <f t="shared" ref="E59:O59" si="40">E58/E57*1000</f>
        <v>10430.54443554844</v>
      </c>
      <c r="F59" s="12">
        <f t="shared" si="40"/>
        <v>9856.7697870630782</v>
      </c>
      <c r="G59" s="12">
        <f t="shared" si="40"/>
        <v>9838.8791593695278</v>
      </c>
      <c r="H59" s="12">
        <f t="shared" si="40"/>
        <v>10886.934176714765</v>
      </c>
      <c r="I59" s="12">
        <f t="shared" si="40"/>
        <v>9407.8594819886875</v>
      </c>
      <c r="J59" s="12">
        <f t="shared" si="40"/>
        <v>9237.4917491749184</v>
      </c>
      <c r="K59" s="12">
        <f t="shared" si="40"/>
        <v>8585.8056400041933</v>
      </c>
      <c r="L59" s="184">
        <f t="shared" si="40"/>
        <v>9122.0583069898148</v>
      </c>
      <c r="M59" s="442">
        <f>M58/M57*1000</f>
        <v>7940.6528189910978</v>
      </c>
      <c r="N59" s="310">
        <f t="shared" si="40"/>
        <v>8837.0319001386961</v>
      </c>
      <c r="O59" s="310">
        <f t="shared" si="40"/>
        <v>7535.9327217125383</v>
      </c>
      <c r="P59" s="194">
        <f t="shared" si="0"/>
        <v>-14.7</v>
      </c>
      <c r="Q59" s="310">
        <f>Q58/Q57*1000</f>
        <v>8507.246376811594</v>
      </c>
      <c r="R59" s="310">
        <f>R58/R57*1000</f>
        <v>7778.9799072642973</v>
      </c>
      <c r="S59" s="194">
        <f t="shared" si="1"/>
        <v>-8.6</v>
      </c>
      <c r="T59" s="310">
        <f>T58/T57*1000</f>
        <v>8745.7372116349052</v>
      </c>
      <c r="U59" s="310">
        <f>U58/U57*1000</f>
        <v>7616.3682864450129</v>
      </c>
      <c r="V59" s="194">
        <f t="shared" si="2"/>
        <v>-12.9</v>
      </c>
      <c r="W59" s="310">
        <f>W58/W57*1000</f>
        <v>8540.2010050251247</v>
      </c>
      <c r="X59" s="310">
        <f>X58/X57*1000</f>
        <v>8040.4814004376367</v>
      </c>
      <c r="Y59" s="194">
        <f t="shared" si="3"/>
        <v>-5.9</v>
      </c>
      <c r="Z59" s="310">
        <f>Z58/Z57*1000</f>
        <v>8687.0967741935492</v>
      </c>
      <c r="AA59" s="310">
        <f>AA58/AA57*1000</f>
        <v>7751.481352387591</v>
      </c>
      <c r="AB59" s="194">
        <f t="shared" si="4"/>
        <v>-10.8</v>
      </c>
      <c r="AC59" s="310">
        <f>AC58/AC57*1000</f>
        <v>8643.9471007121065</v>
      </c>
      <c r="AD59" s="310">
        <f>AD58/AD57*1000</f>
        <v>7477.883781439722</v>
      </c>
      <c r="AE59" s="194">
        <f t="shared" si="5"/>
        <v>-13.5</v>
      </c>
      <c r="AF59" s="310">
        <f>AF58/AF57*1000</f>
        <v>8675.8547574874101</v>
      </c>
      <c r="AG59" s="310">
        <f>AG58/AG57*1000</f>
        <v>7673.0482347091001</v>
      </c>
      <c r="AH59" s="194">
        <f t="shared" si="6"/>
        <v>-11.6</v>
      </c>
      <c r="AI59" s="310">
        <f>AI58/AI57*1000</f>
        <v>7891.2639405204463</v>
      </c>
      <c r="AJ59" s="310">
        <f>AJ58/AJ57*1000</f>
        <v>6864.3507030603805</v>
      </c>
      <c r="AK59" s="194">
        <f t="shared" si="7"/>
        <v>-13</v>
      </c>
      <c r="AL59" s="310">
        <f>AL58/AL57*1000</f>
        <v>8501.7529387502582</v>
      </c>
      <c r="AM59" s="310">
        <f>AM58/AM57*1000</f>
        <v>7486.1403173389408</v>
      </c>
      <c r="AN59" s="194">
        <f t="shared" si="8"/>
        <v>-11.9</v>
      </c>
      <c r="AO59" s="626">
        <f>AO58/AO57*1000</f>
        <v>7890.9512761020878</v>
      </c>
      <c r="AP59" s="626">
        <f>AP58/AP57*1000</f>
        <v>6815.7894736842109</v>
      </c>
      <c r="AQ59" s="616">
        <f t="shared" si="9"/>
        <v>-13.6</v>
      </c>
      <c r="AR59" s="626">
        <f>AR58/AR57*1000</f>
        <v>8409.5604972859401</v>
      </c>
      <c r="AS59" s="626">
        <f>AS58/AS57*1000</f>
        <v>7359.7021870637509</v>
      </c>
      <c r="AT59" s="616">
        <f t="shared" si="10"/>
        <v>-12.5</v>
      </c>
      <c r="AU59" s="626">
        <f>AU58/AU57*1000</f>
        <v>7098.6784140969166</v>
      </c>
      <c r="AV59" s="626">
        <f>AV58/AV57*1000</f>
        <v>7187.68115942029</v>
      </c>
      <c r="AW59" s="616">
        <f t="shared" si="11"/>
        <v>1.3</v>
      </c>
      <c r="AX59" s="930">
        <f>AX58/AX57*1000</f>
        <v>8192.2290388548045</v>
      </c>
      <c r="AY59" s="930">
        <f>AY58/AY57*1000</f>
        <v>7329.3726842979431</v>
      </c>
      <c r="AZ59" s="616">
        <f t="shared" si="12"/>
        <v>-10.5</v>
      </c>
      <c r="BA59" s="626">
        <f>BA58/BA57*1000</f>
        <v>7687.1165644171779</v>
      </c>
      <c r="BB59" s="626">
        <f>BB58/BB57*1000</f>
        <v>8162.7530364372469</v>
      </c>
      <c r="BC59" s="616">
        <f t="shared" si="13"/>
        <v>6.2</v>
      </c>
      <c r="BD59" s="626">
        <f>BD58/BD57*1000</f>
        <v>8120.070113935144</v>
      </c>
      <c r="BE59" s="626">
        <f>BE58/BE57*1000</f>
        <v>7442.9485764731853</v>
      </c>
      <c r="BF59" s="616">
        <f t="shared" si="14"/>
        <v>-8.3000000000000007</v>
      </c>
      <c r="BG59" s="626">
        <f>BG58/BG57*1000</f>
        <v>7656.25</v>
      </c>
      <c r="BH59" s="626">
        <f>BH58/BH57*1000</f>
        <v>6964.6616541353387</v>
      </c>
      <c r="BI59" s="616">
        <f t="shared" si="15"/>
        <v>-9</v>
      </c>
      <c r="BJ59" s="626">
        <f>BJ58/BJ57*1000</f>
        <v>8076.312507086971</v>
      </c>
      <c r="BK59" s="626">
        <f>BK58/BK57*1000</f>
        <v>7381.7359507313322</v>
      </c>
      <c r="BL59" s="616">
        <f t="shared" si="16"/>
        <v>-8.6</v>
      </c>
      <c r="BM59" s="626">
        <f>BM58/BM57*1000</f>
        <v>7991.4933837429116</v>
      </c>
      <c r="BN59" s="626">
        <f>BN58/BN57*1000</f>
        <v>7471.3896457765668</v>
      </c>
      <c r="BO59" s="616">
        <f t="shared" si="17"/>
        <v>-6.5</v>
      </c>
      <c r="BP59" s="626">
        <f>BP58/BP57*1000</f>
        <v>8067.2268907563021</v>
      </c>
      <c r="BQ59" s="626">
        <f>BQ58/BQ57*1000</f>
        <v>7390.3245453754462</v>
      </c>
      <c r="BR59" s="616">
        <f t="shared" si="18"/>
        <v>-8.4</v>
      </c>
      <c r="BS59" s="626">
        <f>BS58/BS57*1000</f>
        <v>7158.0487804878048</v>
      </c>
      <c r="BT59" s="626">
        <f>BT58/BT57*1000</f>
        <v>8003.9246467817902</v>
      </c>
      <c r="BU59" s="616">
        <f t="shared" si="19"/>
        <v>11.8</v>
      </c>
      <c r="BV59" s="626">
        <f>BV58/BV57*1000</f>
        <v>7981.7464685378836</v>
      </c>
      <c r="BW59" s="626">
        <f>BW58/BW57*1000</f>
        <v>7451.5547896921753</v>
      </c>
      <c r="BX59" s="616">
        <f t="shared" si="20"/>
        <v>-6.6</v>
      </c>
    </row>
    <row r="60" spans="1:76" ht="22.5" customHeight="1">
      <c r="A60" s="14"/>
      <c r="B60" s="1099" t="s">
        <v>24</v>
      </c>
      <c r="C60" s="1100"/>
      <c r="D60" s="365" t="s">
        <v>13</v>
      </c>
      <c r="E60" s="11">
        <f t="shared" ref="E60:K61" si="41">E63-SUM(E36+E39+E42+E45+E48+E51+E54+E57)</f>
        <v>598777</v>
      </c>
      <c r="F60" s="11">
        <f t="shared" si="41"/>
        <v>668346</v>
      </c>
      <c r="G60" s="11">
        <f t="shared" si="41"/>
        <v>739973</v>
      </c>
      <c r="H60" s="11">
        <f t="shared" si="41"/>
        <v>832261</v>
      </c>
      <c r="I60" s="11">
        <f t="shared" si="41"/>
        <v>780558</v>
      </c>
      <c r="J60" s="11">
        <f t="shared" si="41"/>
        <v>761867</v>
      </c>
      <c r="K60" s="11">
        <f t="shared" si="41"/>
        <v>855710</v>
      </c>
      <c r="L60" s="183">
        <f t="shared" ref="L60:O61" si="42">L63-SUM(L36+L39+L42+L45+L48+L51+L54+L57)</f>
        <v>845314</v>
      </c>
      <c r="M60" s="312">
        <f>M63-SUM(M36+M39+M42+M45+M48+M51+M54+M57)</f>
        <v>954520</v>
      </c>
      <c r="N60" s="311">
        <f t="shared" si="42"/>
        <v>75149</v>
      </c>
      <c r="O60" s="311">
        <f t="shared" si="42"/>
        <v>82420</v>
      </c>
      <c r="P60" s="195">
        <f t="shared" si="0"/>
        <v>9.6999999999999993</v>
      </c>
      <c r="Q60" s="311">
        <f>Q63-SUM(Q36+Q39+Q42+Q45+Q48+Q51+Q54+Q57)</f>
        <v>67668</v>
      </c>
      <c r="R60" s="311">
        <f>R63-SUM(R36+R39+R42+R45+R48+R51+R54+R57)</f>
        <v>79896</v>
      </c>
      <c r="S60" s="195">
        <f t="shared" si="1"/>
        <v>18.100000000000001</v>
      </c>
      <c r="T60" s="311">
        <f>T63-SUM(T36+T39+T42+T45+T48+T51+T54+T57)</f>
        <v>142817</v>
      </c>
      <c r="U60" s="311">
        <f>U63-SUM(U36+U39+U42+U45+U48+U51+U54+U57)</f>
        <v>162316</v>
      </c>
      <c r="V60" s="195">
        <f t="shared" si="2"/>
        <v>13.7</v>
      </c>
      <c r="W60" s="311">
        <f>W63-SUM(W36+W39+W42+W45+W48+W51+W54+W57)</f>
        <v>79446</v>
      </c>
      <c r="X60" s="311">
        <f>X63-SUM(X36+X39+X42+X45+X48+X51+X54+X57)</f>
        <v>81068</v>
      </c>
      <c r="Y60" s="195">
        <f t="shared" si="3"/>
        <v>2</v>
      </c>
      <c r="Z60" s="311">
        <f>Z63-SUM(Z36+Z39+Z42+Z45+Z48+Z51+Z54+Z57)</f>
        <v>222263</v>
      </c>
      <c r="AA60" s="311">
        <f>AA63-SUM(AA36+AA39+AA42+AA45+AA48+AA51+AA54+AA57)</f>
        <v>243384</v>
      </c>
      <c r="AB60" s="195">
        <f t="shared" si="4"/>
        <v>9.5</v>
      </c>
      <c r="AC60" s="311">
        <f>AC63-SUM(AC36+AC39+AC42+AC45+AC48+AC51+AC54+AC57)</f>
        <v>87397</v>
      </c>
      <c r="AD60" s="311">
        <f>AD63-SUM(AD36+AD39+AD42+AD45+AD48+AD51+AD54+AD57)</f>
        <v>88914</v>
      </c>
      <c r="AE60" s="195">
        <f t="shared" si="5"/>
        <v>1.7</v>
      </c>
      <c r="AF60" s="311">
        <f>AF63-SUM(AF36+AF39+AF42+AF45+AF48+AF51+AF54+AF57)</f>
        <v>309660</v>
      </c>
      <c r="AG60" s="311">
        <f>AG63-SUM(AG36+AG39+AG42+AG45+AG48+AG51+AG54+AG57)</f>
        <v>332298</v>
      </c>
      <c r="AH60" s="195">
        <f t="shared" si="6"/>
        <v>7.3</v>
      </c>
      <c r="AI60" s="311">
        <f>AI63-SUM(AI36+AI39+AI42+AI45+AI48+AI51+AI54+AI57)</f>
        <v>82117</v>
      </c>
      <c r="AJ60" s="311">
        <f>AJ63-SUM(AJ36+AJ39+AJ42+AJ45+AJ48+AJ51+AJ54+AJ57)</f>
        <v>78719</v>
      </c>
      <c r="AK60" s="195">
        <f t="shared" si="7"/>
        <v>-4.0999999999999996</v>
      </c>
      <c r="AL60" s="311">
        <f>AL63-SUM(AL36+AL39+AL42+AL45+AL48+AL51+AL54+AL57)</f>
        <v>391777</v>
      </c>
      <c r="AM60" s="311">
        <f>AM63-SUM(AM36+AM39+AM42+AM45+AM48+AM51+AM54+AM57)</f>
        <v>411017</v>
      </c>
      <c r="AN60" s="195">
        <f t="shared" si="8"/>
        <v>4.9000000000000004</v>
      </c>
      <c r="AO60" s="627">
        <f>AO63-SUM(AO36+AO39+AO42+AO45+AO48+AO51+AO54+AO57)</f>
        <v>71621</v>
      </c>
      <c r="AP60" s="627">
        <f>AP63-SUM(AP36+AP39+AP42+AP45+AP48+AP51+AP54+AP57)</f>
        <v>90248</v>
      </c>
      <c r="AQ60" s="617">
        <f t="shared" si="9"/>
        <v>26</v>
      </c>
      <c r="AR60" s="869">
        <f>AR63-SUM(AR36+AR39+AR42+AR45+AR48+AR51+AR54+AR57)</f>
        <v>463398</v>
      </c>
      <c r="AS60" s="869">
        <f>AS63-SUM(AS36+AS39+AS42+AS45+AS48+AS51+AS54+AS57)</f>
        <v>501265</v>
      </c>
      <c r="AT60" s="617">
        <f t="shared" si="10"/>
        <v>8.1999999999999993</v>
      </c>
      <c r="AU60" s="869">
        <f>AU63-SUM(AU36+AU39+AU42+AU45+AU48+AU51+AU54+AU57)</f>
        <v>79133</v>
      </c>
      <c r="AV60" s="869">
        <f>AV63-SUM(AV36+AV39+AV42+AV45+AV48+AV51+AV54+AV57)</f>
        <v>89778</v>
      </c>
      <c r="AW60" s="617">
        <f t="shared" si="11"/>
        <v>13.5</v>
      </c>
      <c r="AX60" s="929">
        <f>AX63-SUM(AX36+AX39+AX42+AX45+AX48+AX51+AX54+AX57)</f>
        <v>542531</v>
      </c>
      <c r="AY60" s="929">
        <f>AY63-SUM(AY36+AY39+AY42+AY45+AY48+AY51+AY54+AY57)</f>
        <v>591043</v>
      </c>
      <c r="AZ60" s="617">
        <f t="shared" si="12"/>
        <v>8.9</v>
      </c>
      <c r="BA60" s="869">
        <f>BA63-SUM(BA36+BA39+BA42+BA45+BA48+BA51+BA54+BA57)</f>
        <v>74855</v>
      </c>
      <c r="BB60" s="869">
        <f>BB63-SUM(BB36+BB39+BB42+BB45+BB48+BB51+BB54+BB57)</f>
        <v>78786</v>
      </c>
      <c r="BC60" s="617">
        <f t="shared" si="13"/>
        <v>5.3</v>
      </c>
      <c r="BD60" s="869">
        <f>BD63-SUM(BD36+BD39+BD42+BD45+BD48+BD51+BD54+BD57)</f>
        <v>617386</v>
      </c>
      <c r="BE60" s="869">
        <f>BE63-SUM(BE36+BE39+BE42+BE45+BE48+BE51+BE54+BE57)</f>
        <v>669829</v>
      </c>
      <c r="BF60" s="617">
        <f t="shared" si="14"/>
        <v>8.5</v>
      </c>
      <c r="BG60" s="869">
        <f>BG63-SUM(BG36+BG39+BG42+BG45+BG48+BG51+BG54+BG57)</f>
        <v>70051</v>
      </c>
      <c r="BH60" s="869">
        <f>BH63-SUM(BH36+BH39+BH42+BH45+BH48+BH51+BH54+BH57)</f>
        <v>83000</v>
      </c>
      <c r="BI60" s="617">
        <f t="shared" si="15"/>
        <v>18.5</v>
      </c>
      <c r="BJ60" s="869">
        <f>BJ63-SUM(BJ36+BJ39+BJ42+BJ45+BJ48+BJ51+BJ54+BJ57)</f>
        <v>687437</v>
      </c>
      <c r="BK60" s="869">
        <f>BK63-SUM(BK36+BK39+BK42+BK45+BK48+BK51+BK54+BK57)</f>
        <v>752829</v>
      </c>
      <c r="BL60" s="617">
        <f t="shared" si="16"/>
        <v>9.5</v>
      </c>
      <c r="BM60" s="869">
        <f>BM63-SUM(BM36+BM39+BM42+BM45+BM48+BM51+BM54+BM57)</f>
        <v>89511</v>
      </c>
      <c r="BN60" s="869">
        <f>BN63-SUM(BN36+BN39+BN42+BN45+BN48+BN51+BN54+BN57)</f>
        <v>85184</v>
      </c>
      <c r="BO60" s="617">
        <f t="shared" si="17"/>
        <v>-4.8</v>
      </c>
      <c r="BP60" s="869">
        <f>BP63-SUM(BP36+BP39+BP42+BP45+BP48+BP51+BP54+BP57)</f>
        <v>776948</v>
      </c>
      <c r="BQ60" s="869">
        <f>BQ63-SUM(BQ36+BQ39+BQ42+BQ45+BQ48+BQ51+BQ54+BQ57)</f>
        <v>838013</v>
      </c>
      <c r="BR60" s="617">
        <f t="shared" si="18"/>
        <v>7.9</v>
      </c>
      <c r="BS60" s="869">
        <f>BS63-SUM(BS36+BS39+BS42+BS45+BS48+BS51+BS54+BS57)</f>
        <v>87795</v>
      </c>
      <c r="BT60" s="869">
        <f>BT63-SUM(BT36+BT39+BT42+BT45+BT48+BT51+BT54+BT57)</f>
        <v>88736</v>
      </c>
      <c r="BU60" s="617">
        <f t="shared" si="19"/>
        <v>1.1000000000000001</v>
      </c>
      <c r="BV60" s="869">
        <f>BV63-SUM(BV36+BV39+BV42+BV45+BV48+BV51+BV54+BV57)</f>
        <v>864743</v>
      </c>
      <c r="BW60" s="869">
        <f>BW63-SUM(BW36+BW39+BW42+BW45+BW48+BW51+BW54+BW57)</f>
        <v>926749</v>
      </c>
      <c r="BX60" s="617">
        <f t="shared" si="20"/>
        <v>7.2</v>
      </c>
    </row>
    <row r="61" spans="1:76" ht="22.5" customHeight="1">
      <c r="A61" s="14"/>
      <c r="B61" s="1099"/>
      <c r="C61" s="1100"/>
      <c r="D61" s="366" t="s">
        <v>14</v>
      </c>
      <c r="E61" s="6">
        <f t="shared" si="41"/>
        <v>1447010</v>
      </c>
      <c r="F61" s="6">
        <f t="shared" si="41"/>
        <v>1415465</v>
      </c>
      <c r="G61" s="6">
        <f t="shared" si="41"/>
        <v>1477042</v>
      </c>
      <c r="H61" s="6">
        <f t="shared" si="41"/>
        <v>1650352</v>
      </c>
      <c r="I61" s="6">
        <f t="shared" si="41"/>
        <v>1457356</v>
      </c>
      <c r="J61" s="6">
        <f t="shared" si="41"/>
        <v>1275843</v>
      </c>
      <c r="K61" s="6">
        <f t="shared" si="41"/>
        <v>1568627</v>
      </c>
      <c r="L61" s="180">
        <f t="shared" si="42"/>
        <v>1675236</v>
      </c>
      <c r="M61" s="438">
        <f>M64-SUM(M37+M40+M43+M46+M49+M52+M55+M58)</f>
        <v>1586588</v>
      </c>
      <c r="N61" s="309">
        <f t="shared" si="42"/>
        <v>132589</v>
      </c>
      <c r="O61" s="309">
        <f t="shared" si="42"/>
        <v>124509</v>
      </c>
      <c r="P61" s="193">
        <f t="shared" si="0"/>
        <v>-6.1</v>
      </c>
      <c r="Q61" s="309">
        <f>Q64-SUM(Q37+Q40+Q43+Q46+Q49+Q52+Q55+Q58)</f>
        <v>113525</v>
      </c>
      <c r="R61" s="309">
        <f>R64-SUM(R37+R40+R43+R46+R49+R52+R55+R58)</f>
        <v>121213</v>
      </c>
      <c r="S61" s="193">
        <f t="shared" si="1"/>
        <v>6.8</v>
      </c>
      <c r="T61" s="309">
        <f>T64-SUM(T37+T40+T43+T46+T49+T52+T55+T58)</f>
        <v>246114</v>
      </c>
      <c r="U61" s="309">
        <f>U64-SUM(U37+U40+U43+U46+U49+U52+U55+U58)</f>
        <v>245722</v>
      </c>
      <c r="V61" s="193">
        <f t="shared" si="2"/>
        <v>-0.2</v>
      </c>
      <c r="W61" s="309">
        <f>W64-SUM(W37+W40+W43+W46+W49+W52+W55+W58)</f>
        <v>138709</v>
      </c>
      <c r="X61" s="309">
        <f>X64-SUM(X37+X40+X43+X46+X49+X52+X55+X58)</f>
        <v>135481</v>
      </c>
      <c r="Y61" s="193">
        <f t="shared" si="3"/>
        <v>-2.2999999999999998</v>
      </c>
      <c r="Z61" s="309">
        <f>Z64-SUM(Z37+Z40+Z43+Z46+Z49+Z52+Z55+Z58)</f>
        <v>384823</v>
      </c>
      <c r="AA61" s="309">
        <f>AA64-SUM(AA37+AA40+AA43+AA46+AA49+AA52+AA55+AA58)</f>
        <v>381203</v>
      </c>
      <c r="AB61" s="193">
        <f t="shared" si="4"/>
        <v>-0.9</v>
      </c>
      <c r="AC61" s="309">
        <f>AC64-SUM(AC37+AC40+AC43+AC46+AC49+AC52+AC55+AC58)</f>
        <v>152903</v>
      </c>
      <c r="AD61" s="309">
        <f>AD64-SUM(AD37+AD40+AD43+AD46+AD49+AD52+AD55+AD58)</f>
        <v>138890</v>
      </c>
      <c r="AE61" s="193">
        <f t="shared" si="5"/>
        <v>-9.1999999999999993</v>
      </c>
      <c r="AF61" s="309">
        <f>AF64-SUM(AF37+AF40+AF43+AF46+AF49+AF52+AF55+AF58)</f>
        <v>537726</v>
      </c>
      <c r="AG61" s="309">
        <f>AG64-SUM(AG37+AG40+AG43+AG46+AG49+AG52+AG55+AG58)</f>
        <v>520093</v>
      </c>
      <c r="AH61" s="193">
        <f t="shared" si="6"/>
        <v>-3.3</v>
      </c>
      <c r="AI61" s="309">
        <f>AI64-SUM(AI37+AI40+AI43+AI46+AI49+AI52+AI55+AI58)</f>
        <v>137665</v>
      </c>
      <c r="AJ61" s="309">
        <f>AJ64-SUM(AJ37+AJ40+AJ43+AJ46+AJ49+AJ52+AJ55+AJ58)</f>
        <v>124909</v>
      </c>
      <c r="AK61" s="193">
        <f t="shared" si="7"/>
        <v>-9.3000000000000007</v>
      </c>
      <c r="AL61" s="309">
        <f>AL64-SUM(AL37+AL40+AL43+AL46+AL49+AL52+AL55+AL58)</f>
        <v>675391</v>
      </c>
      <c r="AM61" s="309">
        <f>AM64-SUM(AM37+AM40+AM43+AM46+AM49+AM52+AM55+AM58)</f>
        <v>645002</v>
      </c>
      <c r="AN61" s="193">
        <f t="shared" si="8"/>
        <v>-4.5</v>
      </c>
      <c r="AO61" s="625">
        <f>AO64-SUM(AO37+AO40+AO43+AO46+AO49+AO52+AO55+AO58)</f>
        <v>122662</v>
      </c>
      <c r="AP61" s="625">
        <f>AP64-SUM(AP37+AP40+AP43+AP46+AP49+AP52+AP55+AP58)</f>
        <v>140258</v>
      </c>
      <c r="AQ61" s="615">
        <f t="shared" si="9"/>
        <v>14.3</v>
      </c>
      <c r="AR61" s="868">
        <f>AR64-SUM(AR37+AR40+AR43+AR46+AR49+AR52+AR55+AR58)</f>
        <v>798053</v>
      </c>
      <c r="AS61" s="868">
        <f>AS64-SUM(AS37+AS40+AS43+AS46+AS49+AS52+AS55+AS58)</f>
        <v>785260</v>
      </c>
      <c r="AT61" s="615">
        <f t="shared" si="10"/>
        <v>-1.6</v>
      </c>
      <c r="AU61" s="868">
        <f>AU64-SUM(AU37+AU40+AU43+AU46+AU49+AU52+AU55+AU58)</f>
        <v>130773</v>
      </c>
      <c r="AV61" s="868">
        <f>AV64-SUM(AV37+AV40+AV43+AV46+AV49+AV52+AV55+AV58)</f>
        <v>138661</v>
      </c>
      <c r="AW61" s="615">
        <f t="shared" si="11"/>
        <v>6</v>
      </c>
      <c r="AX61" s="925">
        <f>AX64-SUM(AX37+AX40+AX43+AX46+AX49+AX52+AX55+AX58)</f>
        <v>928826</v>
      </c>
      <c r="AY61" s="925">
        <f>AY64-SUM(AY37+AY40+AY43+AY46+AY49+AY52+AY55+AY58)</f>
        <v>923921</v>
      </c>
      <c r="AZ61" s="615">
        <f t="shared" si="12"/>
        <v>-0.5</v>
      </c>
      <c r="BA61" s="868">
        <f>BA64-SUM(BA37+BA40+BA43+BA46+BA49+BA52+BA55+BA58)</f>
        <v>123521</v>
      </c>
      <c r="BB61" s="868">
        <f>BB64-SUM(BB37+BB40+BB43+BB46+BB49+BB52+BB55+BB58)</f>
        <v>126649</v>
      </c>
      <c r="BC61" s="615">
        <f t="shared" si="13"/>
        <v>2.5</v>
      </c>
      <c r="BD61" s="868">
        <f>BD64-SUM(BD37+BD40+BD43+BD46+BD49+BD52+BD55+BD58)</f>
        <v>1052347</v>
      </c>
      <c r="BE61" s="868">
        <f>BE64-SUM(BE37+BE40+BE43+BE46+BE49+BE52+BE55+BE58)</f>
        <v>1050570</v>
      </c>
      <c r="BF61" s="615">
        <f t="shared" si="14"/>
        <v>-0.2</v>
      </c>
      <c r="BG61" s="868">
        <f>BG64-SUM(BG37+BG40+BG43+BG46+BG49+BG52+BG55+BG58)</f>
        <v>116928</v>
      </c>
      <c r="BH61" s="868">
        <f>BH64-SUM(BH37+BH40+BH43+BH46+BH49+BH52+BH55+BH58)</f>
        <v>133051</v>
      </c>
      <c r="BI61" s="615">
        <f t="shared" si="15"/>
        <v>13.8</v>
      </c>
      <c r="BJ61" s="868">
        <f>BJ64-SUM(BJ37+BJ40+BJ43+BJ46+BJ49+BJ52+BJ55+BJ58)</f>
        <v>1169275</v>
      </c>
      <c r="BK61" s="868">
        <f>BK64-SUM(BK37+BK40+BK43+BK46+BK49+BK52+BK55+BK58)</f>
        <v>1183621</v>
      </c>
      <c r="BL61" s="615">
        <f t="shared" si="16"/>
        <v>1.2</v>
      </c>
      <c r="BM61" s="868">
        <f>BM64-SUM(BM37+BM40+BM43+BM46+BM49+BM52+BM55+BM58)</f>
        <v>138293</v>
      </c>
      <c r="BN61" s="868">
        <f>BN64-SUM(BN37+BN40+BN43+BN46+BN49+BN52+BN55+BN58)</f>
        <v>137383</v>
      </c>
      <c r="BO61" s="615">
        <f t="shared" si="17"/>
        <v>-0.7</v>
      </c>
      <c r="BP61" s="868">
        <f>BP64-SUM(BP37+BP40+BP43+BP46+BP49+BP52+BP55+BP58)</f>
        <v>1307568</v>
      </c>
      <c r="BQ61" s="868">
        <f>BQ64-SUM(BQ37+BQ40+BQ43+BQ46+BQ49+BQ52+BQ55+BQ58)</f>
        <v>1321004</v>
      </c>
      <c r="BR61" s="615">
        <f t="shared" si="18"/>
        <v>1</v>
      </c>
      <c r="BS61" s="868">
        <f>BS64-SUM(BS37+BS40+BS43+BS46+BS49+BS52+BS55+BS58)</f>
        <v>140247</v>
      </c>
      <c r="BT61" s="868">
        <f>BT64-SUM(BT37+BT40+BT43+BT46+BT49+BT52+BT55+BT58)</f>
        <v>149516</v>
      </c>
      <c r="BU61" s="615">
        <f t="shared" si="19"/>
        <v>6.6</v>
      </c>
      <c r="BV61" s="868">
        <f>BV64-SUM(BV37+BV40+BV43+BV46+BV49+BV52+BV55+BV58)</f>
        <v>1447815</v>
      </c>
      <c r="BW61" s="868">
        <f>BW64-SUM(BW37+BW40+BW43+BW46+BW49+BW52+BW55+BW58)</f>
        <v>1470520</v>
      </c>
      <c r="BX61" s="615">
        <f t="shared" si="20"/>
        <v>1.6</v>
      </c>
    </row>
    <row r="62" spans="1:76" ht="22.5" customHeight="1">
      <c r="A62" s="14"/>
      <c r="B62" s="1099"/>
      <c r="C62" s="1100"/>
      <c r="D62" s="370" t="s">
        <v>15</v>
      </c>
      <c r="E62" s="12">
        <f t="shared" ref="E62:O62" si="43">E61/E60*1000</f>
        <v>2416.6091883956797</v>
      </c>
      <c r="F62" s="12">
        <f t="shared" si="43"/>
        <v>2117.8626041002713</v>
      </c>
      <c r="G62" s="12">
        <f t="shared" si="43"/>
        <v>1996.0755324856448</v>
      </c>
      <c r="H62" s="12">
        <f t="shared" si="43"/>
        <v>1982.9740910603766</v>
      </c>
      <c r="I62" s="12">
        <f t="shared" si="43"/>
        <v>1867.0694554408512</v>
      </c>
      <c r="J62" s="12">
        <f t="shared" si="43"/>
        <v>1674.6269361975253</v>
      </c>
      <c r="K62" s="12">
        <f t="shared" si="43"/>
        <v>1833.1292143366327</v>
      </c>
      <c r="L62" s="184">
        <f t="shared" si="43"/>
        <v>1981.7913816640917</v>
      </c>
      <c r="M62" s="442">
        <f>M61/M60*1000</f>
        <v>1662.1841344340612</v>
      </c>
      <c r="N62" s="310">
        <f t="shared" si="43"/>
        <v>1764.3481616521844</v>
      </c>
      <c r="O62" s="310">
        <f t="shared" si="43"/>
        <v>1510.6648871633099</v>
      </c>
      <c r="P62" s="194">
        <f t="shared" si="0"/>
        <v>-14.4</v>
      </c>
      <c r="Q62" s="310">
        <f>Q61/Q60*1000</f>
        <v>1677.6763019447894</v>
      </c>
      <c r="R62" s="310">
        <f>R61/R60*1000</f>
        <v>1517.1347752077702</v>
      </c>
      <c r="S62" s="194">
        <f t="shared" si="1"/>
        <v>-9.6</v>
      </c>
      <c r="T62" s="310">
        <f>T61/T60*1000</f>
        <v>1723.282242310089</v>
      </c>
      <c r="U62" s="310">
        <f>U61/U60*1000</f>
        <v>1513.8495280810271</v>
      </c>
      <c r="V62" s="194">
        <f t="shared" si="2"/>
        <v>-12.2</v>
      </c>
      <c r="W62" s="310">
        <f>W61/W60*1000</f>
        <v>1745.9532260906781</v>
      </c>
      <c r="X62" s="310">
        <f>X61/X60*1000</f>
        <v>1671.2019539152316</v>
      </c>
      <c r="Y62" s="194">
        <f t="shared" si="3"/>
        <v>-4.3</v>
      </c>
      <c r="Z62" s="310">
        <f>Z61/Z60*1000</f>
        <v>1731.3857907074052</v>
      </c>
      <c r="AA62" s="310">
        <f>AA61/AA60*1000</f>
        <v>1566.2615455412024</v>
      </c>
      <c r="AB62" s="194">
        <f t="shared" si="4"/>
        <v>-9.5</v>
      </c>
      <c r="AC62" s="310">
        <f>AC61/AC60*1000</f>
        <v>1749.5222948156115</v>
      </c>
      <c r="AD62" s="310">
        <f>AD61/AD60*1000</f>
        <v>1562.0712148817959</v>
      </c>
      <c r="AE62" s="194">
        <f t="shared" si="5"/>
        <v>-10.7</v>
      </c>
      <c r="AF62" s="310">
        <f>AF61/AF60*1000</f>
        <v>1736.5045533811276</v>
      </c>
      <c r="AG62" s="310">
        <f>AG61/AG60*1000</f>
        <v>1565.1403258520966</v>
      </c>
      <c r="AH62" s="194">
        <f t="shared" si="6"/>
        <v>-9.9</v>
      </c>
      <c r="AI62" s="310">
        <f>AI61/AI60*1000</f>
        <v>1676.4494562636239</v>
      </c>
      <c r="AJ62" s="310">
        <f>AJ61/AJ60*1000</f>
        <v>1586.7706652777601</v>
      </c>
      <c r="AK62" s="194">
        <f t="shared" si="7"/>
        <v>-5.3</v>
      </c>
      <c r="AL62" s="310">
        <f>AL61/AL60*1000</f>
        <v>1723.9169221266179</v>
      </c>
      <c r="AM62" s="310">
        <f>AM61/AM60*1000</f>
        <v>1569.2830223567396</v>
      </c>
      <c r="AN62" s="194">
        <f t="shared" si="8"/>
        <v>-9</v>
      </c>
      <c r="AO62" s="626">
        <f>AO61/AO60*1000</f>
        <v>1712.654109828123</v>
      </c>
      <c r="AP62" s="626">
        <f>AP61/AP60*1000</f>
        <v>1554.1397039269568</v>
      </c>
      <c r="AQ62" s="616">
        <f t="shared" si="9"/>
        <v>-9.3000000000000007</v>
      </c>
      <c r="AR62" s="626">
        <f>AR61/AR60*1000</f>
        <v>1722.1761854820263</v>
      </c>
      <c r="AS62" s="626">
        <f>AS61/AS60*1000</f>
        <v>1566.5566117722162</v>
      </c>
      <c r="AT62" s="616">
        <f t="shared" si="10"/>
        <v>-9</v>
      </c>
      <c r="AU62" s="626">
        <f>AU61/AU60*1000</f>
        <v>1652.5722517786512</v>
      </c>
      <c r="AV62" s="626">
        <f>AV61/AV60*1000</f>
        <v>1544.4875136447681</v>
      </c>
      <c r="AW62" s="616">
        <f t="shared" si="11"/>
        <v>-6.5</v>
      </c>
      <c r="AX62" s="930">
        <f>AX61/AX60*1000</f>
        <v>1712.0238290530865</v>
      </c>
      <c r="AY62" s="930">
        <f>AY61/AY60*1000</f>
        <v>1563.204369225251</v>
      </c>
      <c r="AZ62" s="616">
        <f t="shared" si="12"/>
        <v>-8.6999999999999993</v>
      </c>
      <c r="BA62" s="626">
        <f>BA61/BA60*1000</f>
        <v>1650.1369314007079</v>
      </c>
      <c r="BB62" s="626">
        <f>BB61/BB60*1000</f>
        <v>1607.506409768233</v>
      </c>
      <c r="BC62" s="616">
        <f t="shared" si="13"/>
        <v>-2.6</v>
      </c>
      <c r="BD62" s="626">
        <f>BD61/BD60*1000</f>
        <v>1704.5203486959535</v>
      </c>
      <c r="BE62" s="626">
        <f>BE61/BE60*1000</f>
        <v>1568.4152223925807</v>
      </c>
      <c r="BF62" s="616">
        <f t="shared" si="14"/>
        <v>-8</v>
      </c>
      <c r="BG62" s="626">
        <f>BG61/BG60*1000</f>
        <v>1669.18388031577</v>
      </c>
      <c r="BH62" s="626">
        <f>BH61/BH60*1000</f>
        <v>1603.0240963855422</v>
      </c>
      <c r="BI62" s="616">
        <f t="shared" si="15"/>
        <v>-4</v>
      </c>
      <c r="BJ62" s="626">
        <f>BJ61/BJ60*1000</f>
        <v>1700.9195024416783</v>
      </c>
      <c r="BK62" s="626">
        <f>BK61/BK60*1000</f>
        <v>1572.2308784597828</v>
      </c>
      <c r="BL62" s="616">
        <f t="shared" si="16"/>
        <v>-7.6</v>
      </c>
      <c r="BM62" s="626">
        <f>BM61/BM60*1000</f>
        <v>1544.983298142128</v>
      </c>
      <c r="BN62" s="626">
        <f>BN61/BN60*1000</f>
        <v>1612.7793951915853</v>
      </c>
      <c r="BO62" s="616">
        <f t="shared" si="17"/>
        <v>4.4000000000000004</v>
      </c>
      <c r="BP62" s="626">
        <f>BP61/BP60*1000</f>
        <v>1682.9543289898422</v>
      </c>
      <c r="BQ62" s="626">
        <f>BQ61/BQ60*1000</f>
        <v>1576.3526341476804</v>
      </c>
      <c r="BR62" s="616">
        <f t="shared" si="18"/>
        <v>-6.3</v>
      </c>
      <c r="BS62" s="626">
        <f>BS61/BS60*1000</f>
        <v>1597.4372116863146</v>
      </c>
      <c r="BT62" s="626">
        <f>BT61/BT60*1000</f>
        <v>1684.9531193653083</v>
      </c>
      <c r="BU62" s="616">
        <f t="shared" si="19"/>
        <v>5.5</v>
      </c>
      <c r="BV62" s="626">
        <f>BV61/BV60*1000</f>
        <v>1674.2720091402878</v>
      </c>
      <c r="BW62" s="626">
        <f>BW61/BW60*1000</f>
        <v>1586.751105207559</v>
      </c>
      <c r="BX62" s="616">
        <f t="shared" si="20"/>
        <v>-5.2</v>
      </c>
    </row>
    <row r="63" spans="1:76" ht="22.5" customHeight="1">
      <c r="A63" s="14"/>
      <c r="B63" s="1104" t="s">
        <v>25</v>
      </c>
      <c r="C63" s="1105"/>
      <c r="D63" s="15" t="s">
        <v>319</v>
      </c>
      <c r="E63" s="16">
        <v>2200884</v>
      </c>
      <c r="F63" s="16">
        <v>2297434</v>
      </c>
      <c r="G63" s="16">
        <v>2465495</v>
      </c>
      <c r="H63" s="16">
        <v>2620796</v>
      </c>
      <c r="I63" s="16">
        <v>2674889</v>
      </c>
      <c r="J63" s="16">
        <v>2710289</v>
      </c>
      <c r="K63" s="16">
        <v>2860037</v>
      </c>
      <c r="L63" s="185">
        <v>2829768</v>
      </c>
      <c r="M63" s="443">
        <v>2941636</v>
      </c>
      <c r="N63" s="313">
        <v>256289</v>
      </c>
      <c r="O63" s="313">
        <v>242676</v>
      </c>
      <c r="P63" s="197">
        <f t="shared" si="0"/>
        <v>-5.3</v>
      </c>
      <c r="Q63" s="313">
        <f>T63-N63</f>
        <v>201205</v>
      </c>
      <c r="R63" s="313">
        <f>U63-O63</f>
        <v>215990</v>
      </c>
      <c r="S63" s="197">
        <f t="shared" si="1"/>
        <v>7.3</v>
      </c>
      <c r="T63" s="313">
        <v>457494</v>
      </c>
      <c r="U63" s="313">
        <v>458666</v>
      </c>
      <c r="V63" s="197">
        <f t="shared" si="2"/>
        <v>0.3</v>
      </c>
      <c r="W63" s="313">
        <f>Z63-T63</f>
        <v>243894</v>
      </c>
      <c r="X63" s="313">
        <f>AA63-U63</f>
        <v>239076</v>
      </c>
      <c r="Y63" s="197">
        <f t="shared" si="3"/>
        <v>-2</v>
      </c>
      <c r="Z63" s="313">
        <v>701388</v>
      </c>
      <c r="AA63" s="313">
        <v>697742</v>
      </c>
      <c r="AB63" s="197">
        <f t="shared" si="4"/>
        <v>-0.5</v>
      </c>
      <c r="AC63" s="313">
        <f>AF63-Z63</f>
        <v>267411</v>
      </c>
      <c r="AD63" s="313">
        <f>AG63-AA63</f>
        <v>253681</v>
      </c>
      <c r="AE63" s="197">
        <f t="shared" si="5"/>
        <v>-5.0999999999999996</v>
      </c>
      <c r="AF63" s="313">
        <v>968799</v>
      </c>
      <c r="AG63" s="313">
        <v>951423</v>
      </c>
      <c r="AH63" s="197">
        <f t="shared" si="6"/>
        <v>-1.8</v>
      </c>
      <c r="AI63" s="313">
        <f>AL63-AF63</f>
        <v>263450</v>
      </c>
      <c r="AJ63" s="313">
        <f>AM63-AG63</f>
        <v>232750</v>
      </c>
      <c r="AK63" s="197">
        <f t="shared" si="7"/>
        <v>-11.7</v>
      </c>
      <c r="AL63" s="313">
        <v>1232249</v>
      </c>
      <c r="AM63" s="313">
        <v>1184173</v>
      </c>
      <c r="AN63" s="197">
        <f t="shared" si="8"/>
        <v>-3.9</v>
      </c>
      <c r="AO63" s="628">
        <f>AR63-AL63</f>
        <v>239817</v>
      </c>
      <c r="AP63" s="628">
        <f>AS63-AM63</f>
        <v>244896</v>
      </c>
      <c r="AQ63" s="618">
        <f t="shared" si="9"/>
        <v>2.1</v>
      </c>
      <c r="AR63" s="640">
        <v>1472066</v>
      </c>
      <c r="AS63" s="640">
        <v>1429069</v>
      </c>
      <c r="AT63" s="618">
        <f t="shared" si="10"/>
        <v>-2.9</v>
      </c>
      <c r="AU63" s="640">
        <f>AX63-AR63</f>
        <v>241644</v>
      </c>
      <c r="AV63" s="640">
        <f>AY63-AS63</f>
        <v>234946</v>
      </c>
      <c r="AW63" s="618">
        <f t="shared" si="11"/>
        <v>-2.8</v>
      </c>
      <c r="AX63" s="931">
        <v>1713710</v>
      </c>
      <c r="AY63" s="931">
        <v>1664015</v>
      </c>
      <c r="AZ63" s="618">
        <f t="shared" si="12"/>
        <v>-2.9</v>
      </c>
      <c r="BA63" s="640">
        <f>BD63-AX63</f>
        <v>243731</v>
      </c>
      <c r="BB63" s="640">
        <f>BE63-AY63</f>
        <v>209405</v>
      </c>
      <c r="BC63" s="618">
        <f t="shared" si="13"/>
        <v>-14.1</v>
      </c>
      <c r="BD63" s="640">
        <v>1957441</v>
      </c>
      <c r="BE63" s="640">
        <v>1873420</v>
      </c>
      <c r="BF63" s="618">
        <f t="shared" si="14"/>
        <v>-4.3</v>
      </c>
      <c r="BG63" s="640">
        <f>BJ63-BD63</f>
        <v>222713</v>
      </c>
      <c r="BH63" s="640">
        <f>BK63-BE63</f>
        <v>236476</v>
      </c>
      <c r="BI63" s="618">
        <f t="shared" si="15"/>
        <v>6.2</v>
      </c>
      <c r="BJ63" s="640">
        <v>2180154</v>
      </c>
      <c r="BK63" s="640">
        <v>2109896</v>
      </c>
      <c r="BL63" s="618">
        <f t="shared" si="16"/>
        <v>-3.2</v>
      </c>
      <c r="BM63" s="640">
        <f>BP63-BJ63</f>
        <v>252962</v>
      </c>
      <c r="BN63" s="640">
        <f>BQ63-BK63</f>
        <v>232023</v>
      </c>
      <c r="BO63" s="618">
        <f t="shared" si="17"/>
        <v>-8.3000000000000007</v>
      </c>
      <c r="BP63" s="640">
        <v>2433116</v>
      </c>
      <c r="BQ63" s="640">
        <v>2341919</v>
      </c>
      <c r="BR63" s="618">
        <f t="shared" si="18"/>
        <v>-3.7</v>
      </c>
      <c r="BS63" s="640">
        <f>BV63-BP63</f>
        <v>253097</v>
      </c>
      <c r="BT63" s="640">
        <f>BW63-BQ63</f>
        <v>241187</v>
      </c>
      <c r="BU63" s="618">
        <f t="shared" si="19"/>
        <v>-4.7</v>
      </c>
      <c r="BV63" s="640">
        <v>2686213</v>
      </c>
      <c r="BW63" s="640">
        <v>2583106</v>
      </c>
      <c r="BX63" s="618">
        <f t="shared" si="20"/>
        <v>-3.8</v>
      </c>
    </row>
    <row r="64" spans="1:76" ht="22.5" customHeight="1">
      <c r="A64" s="14"/>
      <c r="B64" s="1104"/>
      <c r="C64" s="1105"/>
      <c r="D64" s="367" t="s">
        <v>320</v>
      </c>
      <c r="E64" s="18">
        <v>6059292</v>
      </c>
      <c r="F64" s="18">
        <v>5551710</v>
      </c>
      <c r="G64" s="18">
        <v>5725422</v>
      </c>
      <c r="H64" s="18">
        <v>6231317</v>
      </c>
      <c r="I64" s="18">
        <v>5992145</v>
      </c>
      <c r="J64" s="18">
        <v>5421698</v>
      </c>
      <c r="K64" s="18">
        <v>6462277</v>
      </c>
      <c r="L64" s="186">
        <v>6956881</v>
      </c>
      <c r="M64" s="444">
        <v>6295986</v>
      </c>
      <c r="N64" s="314">
        <v>582560</v>
      </c>
      <c r="O64" s="314">
        <v>501219</v>
      </c>
      <c r="P64" s="198">
        <f t="shared" si="0"/>
        <v>-14</v>
      </c>
      <c r="Q64" s="314">
        <f>T64-N64</f>
        <v>437035</v>
      </c>
      <c r="R64" s="314">
        <f>U64-O64</f>
        <v>436688</v>
      </c>
      <c r="S64" s="198">
        <f t="shared" si="1"/>
        <v>-0.1</v>
      </c>
      <c r="T64" s="314">
        <v>1019595</v>
      </c>
      <c r="U64" s="314">
        <v>937907</v>
      </c>
      <c r="V64" s="198">
        <f t="shared" si="2"/>
        <v>-8</v>
      </c>
      <c r="W64" s="314">
        <f>Z64-T64</f>
        <v>533655</v>
      </c>
      <c r="X64" s="314">
        <f>AA64-U64</f>
        <v>504770</v>
      </c>
      <c r="Y64" s="198">
        <f t="shared" si="3"/>
        <v>-5.4</v>
      </c>
      <c r="Z64" s="314">
        <v>1553250</v>
      </c>
      <c r="AA64" s="314">
        <v>1442677</v>
      </c>
      <c r="AB64" s="198">
        <f t="shared" si="4"/>
        <v>-7.1</v>
      </c>
      <c r="AC64" s="314">
        <f>AF64-Z64</f>
        <v>587537</v>
      </c>
      <c r="AD64" s="314">
        <f>AG64-AA64</f>
        <v>500120</v>
      </c>
      <c r="AE64" s="198">
        <f t="shared" si="5"/>
        <v>-14.9</v>
      </c>
      <c r="AF64" s="314">
        <v>2140787</v>
      </c>
      <c r="AG64" s="314">
        <v>1942797</v>
      </c>
      <c r="AH64" s="198">
        <f t="shared" si="6"/>
        <v>-9.1999999999999993</v>
      </c>
      <c r="AI64" s="314">
        <f>AL64-AF64</f>
        <v>565650</v>
      </c>
      <c r="AJ64" s="314">
        <f>AM64-AG64</f>
        <v>451501</v>
      </c>
      <c r="AK64" s="198">
        <f t="shared" si="7"/>
        <v>-20.2</v>
      </c>
      <c r="AL64" s="314">
        <v>2706437</v>
      </c>
      <c r="AM64" s="314">
        <v>2394298</v>
      </c>
      <c r="AN64" s="198">
        <f t="shared" si="8"/>
        <v>-11.5</v>
      </c>
      <c r="AO64" s="629">
        <f>AR64-AL64</f>
        <v>517078</v>
      </c>
      <c r="AP64" s="629">
        <f>AS64-AM64</f>
        <v>458001</v>
      </c>
      <c r="AQ64" s="619">
        <f t="shared" si="9"/>
        <v>-11.4</v>
      </c>
      <c r="AR64" s="641">
        <v>3223515</v>
      </c>
      <c r="AS64" s="641">
        <v>2852299</v>
      </c>
      <c r="AT64" s="619">
        <f t="shared" si="10"/>
        <v>-11.5</v>
      </c>
      <c r="AU64" s="641">
        <f>AX64-AR64</f>
        <v>524754</v>
      </c>
      <c r="AV64" s="641">
        <f>AY64-AS64</f>
        <v>455472</v>
      </c>
      <c r="AW64" s="619">
        <f t="shared" si="11"/>
        <v>-13.2</v>
      </c>
      <c r="AX64" s="932">
        <v>3748269</v>
      </c>
      <c r="AY64" s="932">
        <v>3307771</v>
      </c>
      <c r="AZ64" s="619">
        <f t="shared" si="12"/>
        <v>-11.8</v>
      </c>
      <c r="BA64" s="641">
        <f>BD64-AX64</f>
        <v>520183</v>
      </c>
      <c r="BB64" s="641">
        <f>BE64-AY64</f>
        <v>411200</v>
      </c>
      <c r="BC64" s="619">
        <f t="shared" si="13"/>
        <v>-21</v>
      </c>
      <c r="BD64" s="641">
        <v>4268452</v>
      </c>
      <c r="BE64" s="641">
        <v>3718971</v>
      </c>
      <c r="BF64" s="619">
        <f t="shared" si="14"/>
        <v>-12.9</v>
      </c>
      <c r="BG64" s="641">
        <f>BJ64-BD64</f>
        <v>473535</v>
      </c>
      <c r="BH64" s="641">
        <f>BK64-BE64</f>
        <v>480770</v>
      </c>
      <c r="BI64" s="619">
        <f t="shared" si="15"/>
        <v>1.5</v>
      </c>
      <c r="BJ64" s="641">
        <v>4741987</v>
      </c>
      <c r="BK64" s="641">
        <v>4199741</v>
      </c>
      <c r="BL64" s="619">
        <f t="shared" si="16"/>
        <v>-11.4</v>
      </c>
      <c r="BM64" s="641">
        <f>BP64-BJ64</f>
        <v>509903</v>
      </c>
      <c r="BN64" s="641">
        <f>BQ64-BK64</f>
        <v>467221</v>
      </c>
      <c r="BO64" s="619">
        <f t="shared" si="17"/>
        <v>-8.4</v>
      </c>
      <c r="BP64" s="641">
        <v>5251890</v>
      </c>
      <c r="BQ64" s="641">
        <v>4666962</v>
      </c>
      <c r="BR64" s="619">
        <f t="shared" si="18"/>
        <v>-11.1</v>
      </c>
      <c r="BS64" s="641">
        <f>BV64-BP64</f>
        <v>525101</v>
      </c>
      <c r="BT64" s="641">
        <f>BW64-BQ64</f>
        <v>507141</v>
      </c>
      <c r="BU64" s="619">
        <f t="shared" si="19"/>
        <v>-3.4</v>
      </c>
      <c r="BV64" s="641">
        <v>5776991</v>
      </c>
      <c r="BW64" s="641">
        <v>5174103</v>
      </c>
      <c r="BX64" s="619">
        <f t="shared" si="20"/>
        <v>-10.4</v>
      </c>
    </row>
    <row r="65" spans="1:76" ht="22.5" customHeight="1">
      <c r="A65" s="14"/>
      <c r="B65" s="1104"/>
      <c r="C65" s="1105"/>
      <c r="D65" s="371" t="s">
        <v>321</v>
      </c>
      <c r="E65" s="20">
        <f t="shared" ref="E65:O65" si="44">E64/E63*1000</f>
        <v>2753.1173837421693</v>
      </c>
      <c r="F65" s="20">
        <f t="shared" si="44"/>
        <v>2416.4829109345474</v>
      </c>
      <c r="G65" s="20">
        <f t="shared" si="44"/>
        <v>2322.2200815657707</v>
      </c>
      <c r="H65" s="20">
        <f t="shared" si="44"/>
        <v>2377.6428993328745</v>
      </c>
      <c r="I65" s="20">
        <f t="shared" si="44"/>
        <v>2240.1471612466912</v>
      </c>
      <c r="J65" s="20">
        <f t="shared" si="44"/>
        <v>2000.4132400640669</v>
      </c>
      <c r="K65" s="20">
        <f t="shared" si="44"/>
        <v>2259.5081811878658</v>
      </c>
      <c r="L65" s="187">
        <f t="shared" si="44"/>
        <v>2458.4633793300368</v>
      </c>
      <c r="M65" s="445">
        <f>M64/M63*1000</f>
        <v>2140.300839396853</v>
      </c>
      <c r="N65" s="315">
        <f t="shared" si="44"/>
        <v>2273.0589295677928</v>
      </c>
      <c r="O65" s="315">
        <f t="shared" si="44"/>
        <v>2065.3834742619788</v>
      </c>
      <c r="P65" s="199">
        <f t="shared" si="0"/>
        <v>-9.1</v>
      </c>
      <c r="Q65" s="315">
        <f>Q64/Q63*1000</f>
        <v>2172.0881687830815</v>
      </c>
      <c r="R65" s="315">
        <f>R64/R63*1000</f>
        <v>2021.7973054308072</v>
      </c>
      <c r="S65" s="199">
        <f t="shared" si="1"/>
        <v>-6.9</v>
      </c>
      <c r="T65" s="315">
        <f>T64/T63*1000</f>
        <v>2228.652179044971</v>
      </c>
      <c r="U65" s="315">
        <f>U64/U63*1000</f>
        <v>2044.858350084811</v>
      </c>
      <c r="V65" s="199">
        <f t="shared" si="2"/>
        <v>-8.1999999999999993</v>
      </c>
      <c r="W65" s="315">
        <f>W64/W63*1000</f>
        <v>2188.0612069177591</v>
      </c>
      <c r="X65" s="315">
        <f>X64/X63*1000</f>
        <v>2111.3369807090635</v>
      </c>
      <c r="Y65" s="199">
        <f t="shared" si="3"/>
        <v>-3.5</v>
      </c>
      <c r="Z65" s="315">
        <f>Z64/Z63*1000</f>
        <v>2214.5374600078699</v>
      </c>
      <c r="AA65" s="315">
        <f>AA64/AA63*1000</f>
        <v>2067.6367482536525</v>
      </c>
      <c r="AB65" s="199">
        <f t="shared" si="4"/>
        <v>-6.6</v>
      </c>
      <c r="AC65" s="315">
        <f>AC64/AC63*1000</f>
        <v>2197.1310080737144</v>
      </c>
      <c r="AD65" s="315">
        <f>AD64/AD63*1000</f>
        <v>1971.4523358075694</v>
      </c>
      <c r="AE65" s="199">
        <f t="shared" si="5"/>
        <v>-10.3</v>
      </c>
      <c r="AF65" s="315">
        <f>AF64/AF63*1000</f>
        <v>2209.7328754468163</v>
      </c>
      <c r="AG65" s="315">
        <f>AG64/AG63*1000</f>
        <v>2041.990786432533</v>
      </c>
      <c r="AH65" s="199">
        <f t="shared" si="6"/>
        <v>-7.6</v>
      </c>
      <c r="AI65" s="315">
        <f>AI64/AI63*1000</f>
        <v>2147.0867337255645</v>
      </c>
      <c r="AJ65" s="315">
        <f>AJ64/AJ63*1000</f>
        <v>1939.8539205155746</v>
      </c>
      <c r="AK65" s="199">
        <f t="shared" si="7"/>
        <v>-9.6999999999999993</v>
      </c>
      <c r="AL65" s="315">
        <f>AL64/AL63*1000</f>
        <v>2196.3393762137362</v>
      </c>
      <c r="AM65" s="315">
        <f>AM64/AM63*1000</f>
        <v>2021.9157167069336</v>
      </c>
      <c r="AN65" s="199">
        <f t="shared" si="8"/>
        <v>-7.9</v>
      </c>
      <c r="AO65" s="630">
        <f>AO64/AO63*1000</f>
        <v>2156.1357201532837</v>
      </c>
      <c r="AP65" s="630">
        <f>AP64/AP63*1000</f>
        <v>1870.1857114856919</v>
      </c>
      <c r="AQ65" s="620">
        <f t="shared" si="9"/>
        <v>-13.3</v>
      </c>
      <c r="AR65" s="630">
        <f>AR64/AR63*1000</f>
        <v>2189.7897241020441</v>
      </c>
      <c r="AS65" s="630">
        <f>AS64/AS63*1000</f>
        <v>1995.9141231109206</v>
      </c>
      <c r="AT65" s="620">
        <f t="shared" si="10"/>
        <v>-8.9</v>
      </c>
      <c r="AU65" s="630">
        <f>AU64/AU63*1000</f>
        <v>2171.5995431295628</v>
      </c>
      <c r="AV65" s="630">
        <f>AV64/AV63*1000</f>
        <v>1938.6241944957565</v>
      </c>
      <c r="AW65" s="620">
        <f t="shared" si="11"/>
        <v>-10.7</v>
      </c>
      <c r="AX65" s="933">
        <f>AX64/AX63*1000</f>
        <v>2187.2247929929804</v>
      </c>
      <c r="AY65" s="933">
        <f>AY64/AY63*1000</f>
        <v>1987.8252299408359</v>
      </c>
      <c r="AZ65" s="620">
        <f t="shared" si="12"/>
        <v>-9.1</v>
      </c>
      <c r="BA65" s="630">
        <f>BA64/BA63*1000</f>
        <v>2134.2504646516036</v>
      </c>
      <c r="BB65" s="630">
        <f>BB64/BB63*1000</f>
        <v>1963.6589384207637</v>
      </c>
      <c r="BC65" s="620">
        <f t="shared" si="13"/>
        <v>-8</v>
      </c>
      <c r="BD65" s="630">
        <f>BD64/BD63*1000</f>
        <v>2180.6286881699116</v>
      </c>
      <c r="BE65" s="630">
        <f>BE64/BE63*1000</f>
        <v>1985.1239978221649</v>
      </c>
      <c r="BF65" s="620">
        <f t="shared" si="14"/>
        <v>-9</v>
      </c>
      <c r="BG65" s="630">
        <f>BG64/BG63*1000</f>
        <v>2126.2117613251139</v>
      </c>
      <c r="BH65" s="630">
        <f>BH64/BH63*1000</f>
        <v>2033.0604374228249</v>
      </c>
      <c r="BI65" s="620">
        <f t="shared" si="15"/>
        <v>-4.4000000000000004</v>
      </c>
      <c r="BJ65" s="630">
        <f>BJ64/BJ63*1000</f>
        <v>2175.0697427796385</v>
      </c>
      <c r="BK65" s="630">
        <f>BK64/BK63*1000</f>
        <v>1990.4966879884128</v>
      </c>
      <c r="BL65" s="620">
        <f t="shared" si="16"/>
        <v>-8.5</v>
      </c>
      <c r="BM65" s="630">
        <f>BM64/BM63*1000</f>
        <v>2015.7296352811884</v>
      </c>
      <c r="BN65" s="630">
        <f>BN64/BN63*1000</f>
        <v>2013.683988225305</v>
      </c>
      <c r="BO65" s="620">
        <f t="shared" si="17"/>
        <v>-0.1</v>
      </c>
      <c r="BP65" s="630">
        <f>BP64/BP63*1000</f>
        <v>2158.5037458140096</v>
      </c>
      <c r="BQ65" s="630">
        <f>BQ64/BQ63*1000</f>
        <v>1992.793943770045</v>
      </c>
      <c r="BR65" s="620">
        <f t="shared" si="18"/>
        <v>-7.7</v>
      </c>
      <c r="BS65" s="630">
        <f>BS64/BS63*1000</f>
        <v>2074.7025843846432</v>
      </c>
      <c r="BT65" s="630">
        <f>BT64/BT63*1000</f>
        <v>2102.6879558185142</v>
      </c>
      <c r="BU65" s="620">
        <f t="shared" si="19"/>
        <v>1.3</v>
      </c>
      <c r="BV65" s="630">
        <f>BV64/BV63*1000</f>
        <v>2150.6079376430685</v>
      </c>
      <c r="BW65" s="630">
        <f>BW64/BW63*1000</f>
        <v>2003.0548494719146</v>
      </c>
      <c r="BX65" s="620">
        <f t="shared" si="20"/>
        <v>-6.9</v>
      </c>
    </row>
    <row r="66" spans="1:76" ht="22.5" customHeight="1">
      <c r="A66" s="1106" t="s">
        <v>31</v>
      </c>
      <c r="B66" s="1099" t="s">
        <v>32</v>
      </c>
      <c r="C66" s="1103" t="s">
        <v>342</v>
      </c>
      <c r="D66" s="365" t="s">
        <v>13</v>
      </c>
      <c r="E66" s="11">
        <v>92148</v>
      </c>
      <c r="F66" s="11">
        <v>86213</v>
      </c>
      <c r="G66" s="11">
        <v>77481</v>
      </c>
      <c r="H66" s="11">
        <v>62565</v>
      </c>
      <c r="I66" s="11">
        <v>68711</v>
      </c>
      <c r="J66" s="11">
        <v>59139</v>
      </c>
      <c r="K66" s="11">
        <v>63550</v>
      </c>
      <c r="L66" s="183">
        <v>60914</v>
      </c>
      <c r="M66" s="312">
        <v>47837</v>
      </c>
      <c r="N66" s="311">
        <v>5377</v>
      </c>
      <c r="O66" s="311">
        <v>3791</v>
      </c>
      <c r="P66" s="195">
        <f t="shared" si="0"/>
        <v>-29.5</v>
      </c>
      <c r="Q66" s="311">
        <f>T66-N66</f>
        <v>2369</v>
      </c>
      <c r="R66" s="311">
        <f>U66-O66</f>
        <v>3742</v>
      </c>
      <c r="S66" s="195">
        <f t="shared" si="1"/>
        <v>58</v>
      </c>
      <c r="T66" s="311">
        <v>7746</v>
      </c>
      <c r="U66" s="311">
        <v>7533</v>
      </c>
      <c r="V66" s="195">
        <f t="shared" si="2"/>
        <v>-2.7</v>
      </c>
      <c r="W66" s="311">
        <f>Z66-T66</f>
        <v>4651</v>
      </c>
      <c r="X66" s="311">
        <f>AA66-U66</f>
        <v>6518</v>
      </c>
      <c r="Y66" s="195">
        <f t="shared" si="3"/>
        <v>40.1</v>
      </c>
      <c r="Z66" s="311">
        <v>12397</v>
      </c>
      <c r="AA66" s="311">
        <v>14051</v>
      </c>
      <c r="AB66" s="195">
        <f t="shared" si="4"/>
        <v>13.3</v>
      </c>
      <c r="AC66" s="311">
        <f>AF66-Z66</f>
        <v>4826</v>
      </c>
      <c r="AD66" s="311">
        <f>AG66-AA66</f>
        <v>2527</v>
      </c>
      <c r="AE66" s="195">
        <f t="shared" si="5"/>
        <v>-47.6</v>
      </c>
      <c r="AF66" s="311">
        <v>17223</v>
      </c>
      <c r="AG66" s="311">
        <v>16578</v>
      </c>
      <c r="AH66" s="195">
        <f t="shared" si="6"/>
        <v>-3.7</v>
      </c>
      <c r="AI66" s="311">
        <f>AL66-AF66</f>
        <v>4667</v>
      </c>
      <c r="AJ66" s="311">
        <f>AM66-AG66</f>
        <v>2947</v>
      </c>
      <c r="AK66" s="195">
        <f t="shared" si="7"/>
        <v>-36.9</v>
      </c>
      <c r="AL66" s="311">
        <v>21890</v>
      </c>
      <c r="AM66" s="311">
        <v>19525</v>
      </c>
      <c r="AN66" s="195">
        <f t="shared" si="8"/>
        <v>-10.8</v>
      </c>
      <c r="AO66" s="627">
        <f>AR66-AL66</f>
        <v>3835</v>
      </c>
      <c r="AP66" s="627">
        <f>AS66-AM66</f>
        <v>1833</v>
      </c>
      <c r="AQ66" s="617">
        <f t="shared" si="9"/>
        <v>-52.2</v>
      </c>
      <c r="AR66" s="869">
        <v>25725</v>
      </c>
      <c r="AS66" s="869">
        <v>21358</v>
      </c>
      <c r="AT66" s="617">
        <f t="shared" si="10"/>
        <v>-17</v>
      </c>
      <c r="AU66" s="869">
        <f>AX66-AR66</f>
        <v>4290</v>
      </c>
      <c r="AV66" s="869">
        <f>AY66-AS66</f>
        <v>2817</v>
      </c>
      <c r="AW66" s="617">
        <f t="shared" si="11"/>
        <v>-34.299999999999997</v>
      </c>
      <c r="AX66" s="929">
        <v>30015</v>
      </c>
      <c r="AY66" s="929">
        <v>24175</v>
      </c>
      <c r="AZ66" s="617">
        <f t="shared" si="12"/>
        <v>-19.5</v>
      </c>
      <c r="BA66" s="869">
        <f>BD66-AX66</f>
        <v>3785</v>
      </c>
      <c r="BB66" s="869">
        <f>BE66-AY66</f>
        <v>2342</v>
      </c>
      <c r="BC66" s="617">
        <f t="shared" si="13"/>
        <v>-38.1</v>
      </c>
      <c r="BD66" s="869">
        <v>33800</v>
      </c>
      <c r="BE66" s="869">
        <v>26517</v>
      </c>
      <c r="BF66" s="617">
        <f t="shared" si="14"/>
        <v>-21.5</v>
      </c>
      <c r="BG66" s="869">
        <f>BJ66-BD66</f>
        <v>3121</v>
      </c>
      <c r="BH66" s="869">
        <f>BK66-BE66</f>
        <v>3407</v>
      </c>
      <c r="BI66" s="617">
        <f t="shared" si="15"/>
        <v>9.1999999999999993</v>
      </c>
      <c r="BJ66" s="869">
        <v>36921</v>
      </c>
      <c r="BK66" s="869">
        <v>29924</v>
      </c>
      <c r="BL66" s="617">
        <f t="shared" si="16"/>
        <v>-19</v>
      </c>
      <c r="BM66" s="869">
        <f>BP66-BJ66</f>
        <v>3542</v>
      </c>
      <c r="BN66" s="869">
        <f>BQ66-BK66</f>
        <v>2964</v>
      </c>
      <c r="BO66" s="617">
        <f t="shared" si="17"/>
        <v>-16.3</v>
      </c>
      <c r="BP66" s="869">
        <v>40463</v>
      </c>
      <c r="BQ66" s="869">
        <v>32888</v>
      </c>
      <c r="BR66" s="617">
        <f t="shared" si="18"/>
        <v>-18.7</v>
      </c>
      <c r="BS66" s="869">
        <f>BV66-BP66</f>
        <v>3058</v>
      </c>
      <c r="BT66" s="869">
        <f>BW66-BQ66</f>
        <v>3184</v>
      </c>
      <c r="BU66" s="617">
        <f t="shared" si="19"/>
        <v>4.0999999999999996</v>
      </c>
      <c r="BV66" s="869">
        <v>43521</v>
      </c>
      <c r="BW66" s="869">
        <v>36072</v>
      </c>
      <c r="BX66" s="617">
        <f t="shared" si="20"/>
        <v>-17.100000000000001</v>
      </c>
    </row>
    <row r="67" spans="1:76" ht="22.5" customHeight="1">
      <c r="A67" s="1102"/>
      <c r="B67" s="1099"/>
      <c r="C67" s="1100"/>
      <c r="D67" s="366" t="s">
        <v>14</v>
      </c>
      <c r="E67" s="6">
        <v>212705</v>
      </c>
      <c r="F67" s="6">
        <v>172063</v>
      </c>
      <c r="G67" s="6">
        <v>157871</v>
      </c>
      <c r="H67" s="6">
        <v>145183</v>
      </c>
      <c r="I67" s="6">
        <v>147438</v>
      </c>
      <c r="J67" s="6">
        <v>129584</v>
      </c>
      <c r="K67" s="6">
        <v>188448</v>
      </c>
      <c r="L67" s="180">
        <v>191919</v>
      </c>
      <c r="M67" s="438">
        <v>131267</v>
      </c>
      <c r="N67" s="309">
        <v>14947</v>
      </c>
      <c r="O67" s="309">
        <v>9556</v>
      </c>
      <c r="P67" s="193">
        <f t="shared" si="0"/>
        <v>-36.1</v>
      </c>
      <c r="Q67" s="309">
        <f>T67-N67</f>
        <v>6778</v>
      </c>
      <c r="R67" s="309">
        <f>U67-O67</f>
        <v>9421</v>
      </c>
      <c r="S67" s="193">
        <f t="shared" si="1"/>
        <v>39</v>
      </c>
      <c r="T67" s="309">
        <v>21725</v>
      </c>
      <c r="U67" s="309">
        <v>18977</v>
      </c>
      <c r="V67" s="193">
        <f t="shared" si="2"/>
        <v>-12.6</v>
      </c>
      <c r="W67" s="309">
        <f>Z67-T67</f>
        <v>13050</v>
      </c>
      <c r="X67" s="309">
        <f>AA67-U67</f>
        <v>15029</v>
      </c>
      <c r="Y67" s="193">
        <f t="shared" si="3"/>
        <v>15.2</v>
      </c>
      <c r="Z67" s="309">
        <v>34775</v>
      </c>
      <c r="AA67" s="309">
        <v>34006</v>
      </c>
      <c r="AB67" s="193">
        <f t="shared" si="4"/>
        <v>-2.2000000000000002</v>
      </c>
      <c r="AC67" s="309">
        <f>AF67-Z67</f>
        <v>14201</v>
      </c>
      <c r="AD67" s="309">
        <f>AG67-AA67</f>
        <v>5768</v>
      </c>
      <c r="AE67" s="193">
        <f t="shared" si="5"/>
        <v>-59.4</v>
      </c>
      <c r="AF67" s="309">
        <v>48976</v>
      </c>
      <c r="AG67" s="309">
        <v>39774</v>
      </c>
      <c r="AH67" s="193">
        <f t="shared" si="6"/>
        <v>-18.8</v>
      </c>
      <c r="AI67" s="309">
        <f>AL67-AF67</f>
        <v>13870</v>
      </c>
      <c r="AJ67" s="309">
        <f>AM67-AG67</f>
        <v>6419</v>
      </c>
      <c r="AK67" s="193">
        <f t="shared" si="7"/>
        <v>-53.7</v>
      </c>
      <c r="AL67" s="309">
        <v>62846</v>
      </c>
      <c r="AM67" s="309">
        <v>46193</v>
      </c>
      <c r="AN67" s="193">
        <f t="shared" si="8"/>
        <v>-26.5</v>
      </c>
      <c r="AO67" s="625">
        <f>AR67-AL67</f>
        <v>11060</v>
      </c>
      <c r="AP67" s="625">
        <f>AS67-AM67</f>
        <v>3504</v>
      </c>
      <c r="AQ67" s="615">
        <f t="shared" si="9"/>
        <v>-68.3</v>
      </c>
      <c r="AR67" s="868">
        <v>73906</v>
      </c>
      <c r="AS67" s="868">
        <v>49697</v>
      </c>
      <c r="AT67" s="615">
        <f t="shared" si="10"/>
        <v>-32.799999999999997</v>
      </c>
      <c r="AU67" s="868">
        <f>AX67-AR67</f>
        <v>11723</v>
      </c>
      <c r="AV67" s="868">
        <f>AY67-AS67</f>
        <v>5985</v>
      </c>
      <c r="AW67" s="615">
        <f t="shared" si="11"/>
        <v>-48.9</v>
      </c>
      <c r="AX67" s="925">
        <v>85629</v>
      </c>
      <c r="AY67" s="925">
        <v>55682</v>
      </c>
      <c r="AZ67" s="615">
        <f t="shared" si="12"/>
        <v>-35</v>
      </c>
      <c r="BA67" s="868">
        <f>BD67-AX67</f>
        <v>9836</v>
      </c>
      <c r="BB67" s="868">
        <f>BE67-AY67</f>
        <v>5223</v>
      </c>
      <c r="BC67" s="615">
        <f t="shared" si="13"/>
        <v>-46.9</v>
      </c>
      <c r="BD67" s="868">
        <v>95465</v>
      </c>
      <c r="BE67" s="868">
        <v>60905</v>
      </c>
      <c r="BF67" s="615">
        <f t="shared" si="14"/>
        <v>-36.200000000000003</v>
      </c>
      <c r="BG67" s="868">
        <f>BJ67-BD67</f>
        <v>7985</v>
      </c>
      <c r="BH67" s="868">
        <f>BK67-BE67</f>
        <v>8924</v>
      </c>
      <c r="BI67" s="615">
        <f t="shared" si="15"/>
        <v>11.8</v>
      </c>
      <c r="BJ67" s="868">
        <v>103450</v>
      </c>
      <c r="BK67" s="868">
        <v>69829</v>
      </c>
      <c r="BL67" s="615">
        <f t="shared" si="16"/>
        <v>-32.5</v>
      </c>
      <c r="BM67" s="868">
        <f>BP67-BJ67</f>
        <v>8960</v>
      </c>
      <c r="BN67" s="868">
        <f>BQ67-BK67</f>
        <v>7420</v>
      </c>
      <c r="BO67" s="615">
        <f t="shared" si="17"/>
        <v>-17.2</v>
      </c>
      <c r="BP67" s="868">
        <v>112410</v>
      </c>
      <c r="BQ67" s="868">
        <v>77249</v>
      </c>
      <c r="BR67" s="615">
        <f t="shared" si="18"/>
        <v>-31.3</v>
      </c>
      <c r="BS67" s="868">
        <f>BV67-BP67</f>
        <v>8084</v>
      </c>
      <c r="BT67" s="868">
        <f>BW67-BQ67</f>
        <v>8110</v>
      </c>
      <c r="BU67" s="615">
        <f t="shared" si="19"/>
        <v>0.3</v>
      </c>
      <c r="BV67" s="868">
        <v>120494</v>
      </c>
      <c r="BW67" s="868">
        <v>85359</v>
      </c>
      <c r="BX67" s="615">
        <f t="shared" si="20"/>
        <v>-29.2</v>
      </c>
    </row>
    <row r="68" spans="1:76" ht="22.5" customHeight="1">
      <c r="A68" s="14"/>
      <c r="B68" s="1099"/>
      <c r="C68" s="1100"/>
      <c r="D68" s="370" t="s">
        <v>15</v>
      </c>
      <c r="E68" s="12">
        <f t="shared" ref="E68:O68" si="45">E67/E66*1000</f>
        <v>2308.2975213786517</v>
      </c>
      <c r="F68" s="12">
        <f t="shared" si="45"/>
        <v>1995.7894981035342</v>
      </c>
      <c r="G68" s="12">
        <f t="shared" si="45"/>
        <v>2037.5446883752147</v>
      </c>
      <c r="H68" s="12">
        <f t="shared" si="45"/>
        <v>2320.5146647486613</v>
      </c>
      <c r="I68" s="12">
        <f t="shared" si="45"/>
        <v>2145.7699640523351</v>
      </c>
      <c r="J68" s="12">
        <f t="shared" si="45"/>
        <v>2191.1767192546372</v>
      </c>
      <c r="K68" s="12">
        <f t="shared" si="45"/>
        <v>2965.3501180173093</v>
      </c>
      <c r="L68" s="184">
        <f t="shared" si="45"/>
        <v>3150.6550218340612</v>
      </c>
      <c r="M68" s="442">
        <f>M67/M66*1000</f>
        <v>2744.0474946171371</v>
      </c>
      <c r="N68" s="310">
        <f t="shared" si="45"/>
        <v>2779.8028640505859</v>
      </c>
      <c r="O68" s="310">
        <f t="shared" si="45"/>
        <v>2520.7069374835137</v>
      </c>
      <c r="P68" s="194">
        <f t="shared" si="0"/>
        <v>-9.3000000000000007</v>
      </c>
      <c r="Q68" s="310">
        <f>Q67/Q66*1000</f>
        <v>2861.1228366399323</v>
      </c>
      <c r="R68" s="310">
        <f>R67/R66*1000</f>
        <v>2517.6376269374664</v>
      </c>
      <c r="S68" s="194">
        <f t="shared" si="1"/>
        <v>-12</v>
      </c>
      <c r="T68" s="310">
        <f>T67/T66*1000</f>
        <v>2804.673379808934</v>
      </c>
      <c r="U68" s="310">
        <f>U67/U66*1000</f>
        <v>2519.1822647019781</v>
      </c>
      <c r="V68" s="194">
        <f t="shared" si="2"/>
        <v>-10.199999999999999</v>
      </c>
      <c r="W68" s="310">
        <f>W67/W66*1000</f>
        <v>2805.8482046871641</v>
      </c>
      <c r="X68" s="310">
        <f>X67/X66*1000</f>
        <v>2305.7686406873272</v>
      </c>
      <c r="Y68" s="194">
        <f t="shared" si="3"/>
        <v>-17.8</v>
      </c>
      <c r="Z68" s="310">
        <f>Z67/Z66*1000</f>
        <v>2805.1141405178673</v>
      </c>
      <c r="AA68" s="310">
        <f>AA67/AA66*1000</f>
        <v>2420.1836168244254</v>
      </c>
      <c r="AB68" s="194">
        <f t="shared" si="4"/>
        <v>-13.7</v>
      </c>
      <c r="AC68" s="310">
        <f>AC67/AC66*1000</f>
        <v>2942.6025694156651</v>
      </c>
      <c r="AD68" s="310">
        <f>AD67/AD66*1000</f>
        <v>2282.5484764542934</v>
      </c>
      <c r="AE68" s="194">
        <f t="shared" si="5"/>
        <v>-22.4</v>
      </c>
      <c r="AF68" s="310">
        <f>AF67/AF66*1000</f>
        <v>2843.6393195146024</v>
      </c>
      <c r="AG68" s="310">
        <f>AG67/AG66*1000</f>
        <v>2399.2037640246112</v>
      </c>
      <c r="AH68" s="194">
        <f t="shared" si="6"/>
        <v>-15.6</v>
      </c>
      <c r="AI68" s="310">
        <f>AI67/AI66*1000</f>
        <v>2971.9305763874008</v>
      </c>
      <c r="AJ68" s="310">
        <f>AJ67/AJ66*1000</f>
        <v>2178.1472684085511</v>
      </c>
      <c r="AK68" s="194">
        <f t="shared" si="7"/>
        <v>-26.7</v>
      </c>
      <c r="AL68" s="310">
        <f>AL67/AL66*1000</f>
        <v>2870.991320237551</v>
      </c>
      <c r="AM68" s="310">
        <f>AM67/AM66*1000</f>
        <v>2365.8386683738795</v>
      </c>
      <c r="AN68" s="194">
        <f t="shared" si="8"/>
        <v>-17.600000000000001</v>
      </c>
      <c r="AO68" s="626">
        <f>AO67/AO66*1000</f>
        <v>2883.9634941329855</v>
      </c>
      <c r="AP68" s="626">
        <f>AP67/AP66*1000</f>
        <v>1911.6202945990181</v>
      </c>
      <c r="AQ68" s="616">
        <f t="shared" si="9"/>
        <v>-33.700000000000003</v>
      </c>
      <c r="AR68" s="626">
        <f>AR67/AR66*1000</f>
        <v>2872.925170068027</v>
      </c>
      <c r="AS68" s="626">
        <f>AS67/AS66*1000</f>
        <v>2326.8564472328871</v>
      </c>
      <c r="AT68" s="616">
        <f t="shared" si="10"/>
        <v>-19</v>
      </c>
      <c r="AU68" s="626">
        <f>AU67/AU66*1000</f>
        <v>2732.6340326340328</v>
      </c>
      <c r="AV68" s="626">
        <f>AV67/AV66*1000</f>
        <v>2124.6006389776358</v>
      </c>
      <c r="AW68" s="616">
        <f t="shared" si="11"/>
        <v>-22.3</v>
      </c>
      <c r="AX68" s="930">
        <f>AX67/AX66*1000</f>
        <v>2852.8735632183907</v>
      </c>
      <c r="AY68" s="930">
        <f>AY67/AY66*1000</f>
        <v>2303.2885211995863</v>
      </c>
      <c r="AZ68" s="616">
        <f t="shared" si="12"/>
        <v>-19.3</v>
      </c>
      <c r="BA68" s="626">
        <f>BA67/BA66*1000</f>
        <v>2598.6789960369879</v>
      </c>
      <c r="BB68" s="626">
        <f>BB67/BB66*1000</f>
        <v>2230.1451750640481</v>
      </c>
      <c r="BC68" s="616">
        <f t="shared" si="13"/>
        <v>-14.2</v>
      </c>
      <c r="BD68" s="626">
        <f>BD67/BD66*1000</f>
        <v>2824.4082840236688</v>
      </c>
      <c r="BE68" s="626">
        <f>BE67/BE66*1000</f>
        <v>2296.8284496737942</v>
      </c>
      <c r="BF68" s="616">
        <f t="shared" si="14"/>
        <v>-18.7</v>
      </c>
      <c r="BG68" s="626">
        <f>BG67/BG66*1000</f>
        <v>2558.4748478051911</v>
      </c>
      <c r="BH68" s="626">
        <f>BH67/BH66*1000</f>
        <v>2619.3131787496332</v>
      </c>
      <c r="BI68" s="616">
        <f t="shared" si="15"/>
        <v>2.4</v>
      </c>
      <c r="BJ68" s="626">
        <f>BJ67/BJ66*1000</f>
        <v>2801.9284418081847</v>
      </c>
      <c r="BK68" s="626">
        <f>BK67/BK66*1000</f>
        <v>2333.5449806175643</v>
      </c>
      <c r="BL68" s="616">
        <f t="shared" si="16"/>
        <v>-16.7</v>
      </c>
      <c r="BM68" s="626">
        <f>BM67/BM66*1000</f>
        <v>2529.6442687747035</v>
      </c>
      <c r="BN68" s="626">
        <f>BN67/BN66*1000</f>
        <v>2503.3738191632929</v>
      </c>
      <c r="BO68" s="616">
        <f t="shared" si="17"/>
        <v>-1</v>
      </c>
      <c r="BP68" s="626">
        <f>BP67/BP66*1000</f>
        <v>2778.09356696241</v>
      </c>
      <c r="BQ68" s="626">
        <f>BQ67/BQ66*1000</f>
        <v>2348.8506446120168</v>
      </c>
      <c r="BR68" s="616">
        <f t="shared" si="18"/>
        <v>-15.5</v>
      </c>
      <c r="BS68" s="626">
        <f>BS67/BS66*1000</f>
        <v>2643.5578809679528</v>
      </c>
      <c r="BT68" s="626">
        <f>BT67/BT66*1000</f>
        <v>2547.1105527638192</v>
      </c>
      <c r="BU68" s="616">
        <f t="shared" si="19"/>
        <v>-3.6</v>
      </c>
      <c r="BV68" s="626">
        <f>BV67/BV66*1000</f>
        <v>2768.6404264607891</v>
      </c>
      <c r="BW68" s="626">
        <f>BW67/BW66*1000</f>
        <v>2366.3506320691949</v>
      </c>
      <c r="BX68" s="616">
        <f t="shared" si="20"/>
        <v>-14.5</v>
      </c>
    </row>
    <row r="69" spans="1:76" ht="22.5" customHeight="1">
      <c r="A69" s="14"/>
      <c r="B69" s="1099" t="s">
        <v>24</v>
      </c>
      <c r="C69" s="1100"/>
      <c r="D69" s="365" t="s">
        <v>13</v>
      </c>
      <c r="E69" s="11">
        <f t="shared" ref="E69:L70" si="46">E72-E66</f>
        <v>9128</v>
      </c>
      <c r="F69" s="11">
        <f t="shared" si="46"/>
        <v>8541</v>
      </c>
      <c r="G69" s="11">
        <f t="shared" si="46"/>
        <v>8019</v>
      </c>
      <c r="H69" s="11">
        <f t="shared" si="46"/>
        <v>9666</v>
      </c>
      <c r="I69" s="11">
        <f t="shared" si="46"/>
        <v>10843</v>
      </c>
      <c r="J69" s="11">
        <f t="shared" si="46"/>
        <v>12189</v>
      </c>
      <c r="K69" s="11">
        <f t="shared" si="46"/>
        <v>10366</v>
      </c>
      <c r="L69" s="183">
        <f t="shared" si="46"/>
        <v>8728</v>
      </c>
      <c r="M69" s="312">
        <f t="shared" ref="M69:O70" si="47">M72-M66</f>
        <v>8085</v>
      </c>
      <c r="N69" s="311">
        <f t="shared" si="47"/>
        <v>1068</v>
      </c>
      <c r="O69" s="311">
        <f t="shared" si="47"/>
        <v>764</v>
      </c>
      <c r="P69" s="195">
        <f t="shared" si="0"/>
        <v>-28.5</v>
      </c>
      <c r="Q69" s="311">
        <f>Q72-Q66</f>
        <v>545</v>
      </c>
      <c r="R69" s="311">
        <f>R72-R66</f>
        <v>618</v>
      </c>
      <c r="S69" s="195">
        <f t="shared" si="1"/>
        <v>13.4</v>
      </c>
      <c r="T69" s="311">
        <f>T72-T66</f>
        <v>1613</v>
      </c>
      <c r="U69" s="311">
        <f>U72-U66</f>
        <v>1382</v>
      </c>
      <c r="V69" s="195">
        <f t="shared" si="2"/>
        <v>-14.3</v>
      </c>
      <c r="W69" s="311">
        <f>W72-W66</f>
        <v>786</v>
      </c>
      <c r="X69" s="311">
        <f>X72-X66</f>
        <v>716</v>
      </c>
      <c r="Y69" s="195">
        <f t="shared" si="3"/>
        <v>-8.9</v>
      </c>
      <c r="Z69" s="311">
        <f>Z72-Z66</f>
        <v>2399</v>
      </c>
      <c r="AA69" s="311">
        <f>AA72-AA66</f>
        <v>2098</v>
      </c>
      <c r="AB69" s="195">
        <f t="shared" si="4"/>
        <v>-12.5</v>
      </c>
      <c r="AC69" s="311">
        <f>AC72-AC66</f>
        <v>691</v>
      </c>
      <c r="AD69" s="311">
        <f>AD72-AD66</f>
        <v>550</v>
      </c>
      <c r="AE69" s="195">
        <f t="shared" si="5"/>
        <v>-20.399999999999999</v>
      </c>
      <c r="AF69" s="311">
        <f>AF72-AF66</f>
        <v>3090</v>
      </c>
      <c r="AG69" s="311">
        <f>AG72-AG66</f>
        <v>2648</v>
      </c>
      <c r="AH69" s="195">
        <f t="shared" si="6"/>
        <v>-14.3</v>
      </c>
      <c r="AI69" s="311">
        <f>AI72-AI66</f>
        <v>619</v>
      </c>
      <c r="AJ69" s="311">
        <f>AJ72-AJ66</f>
        <v>455</v>
      </c>
      <c r="AK69" s="195">
        <f t="shared" si="7"/>
        <v>-26.5</v>
      </c>
      <c r="AL69" s="311">
        <f>AL72-AL66</f>
        <v>3709</v>
      </c>
      <c r="AM69" s="311">
        <f>AM72-AM66</f>
        <v>3103</v>
      </c>
      <c r="AN69" s="195">
        <f t="shared" si="8"/>
        <v>-16.3</v>
      </c>
      <c r="AO69" s="627">
        <f>AO72-AO66</f>
        <v>752</v>
      </c>
      <c r="AP69" s="627">
        <f>AP72-AP66</f>
        <v>482</v>
      </c>
      <c r="AQ69" s="617">
        <f t="shared" si="9"/>
        <v>-35.9</v>
      </c>
      <c r="AR69" s="869">
        <f>AR72-AR66</f>
        <v>4461</v>
      </c>
      <c r="AS69" s="869">
        <f>AS72-AS66</f>
        <v>3585</v>
      </c>
      <c r="AT69" s="617">
        <f t="shared" si="10"/>
        <v>-19.600000000000001</v>
      </c>
      <c r="AU69" s="869">
        <f>AU72-AU66</f>
        <v>670</v>
      </c>
      <c r="AV69" s="869">
        <f>AV72-AV66</f>
        <v>621</v>
      </c>
      <c r="AW69" s="617">
        <f t="shared" si="11"/>
        <v>-7.3</v>
      </c>
      <c r="AX69" s="929">
        <f>AX72-AX66</f>
        <v>5131</v>
      </c>
      <c r="AY69" s="929">
        <f>AY72-AY66</f>
        <v>4206</v>
      </c>
      <c r="AZ69" s="617">
        <f t="shared" si="12"/>
        <v>-18</v>
      </c>
      <c r="BA69" s="869">
        <f>BA72-BA66</f>
        <v>577</v>
      </c>
      <c r="BB69" s="869">
        <f>BB72-BB66</f>
        <v>580</v>
      </c>
      <c r="BC69" s="617">
        <f t="shared" si="13"/>
        <v>0.5</v>
      </c>
      <c r="BD69" s="869">
        <f>BD72-BD66</f>
        <v>5708</v>
      </c>
      <c r="BE69" s="869">
        <f>BE72-BE66</f>
        <v>4786</v>
      </c>
      <c r="BF69" s="617">
        <f t="shared" si="14"/>
        <v>-16.2</v>
      </c>
      <c r="BG69" s="869">
        <f>BG72-BG66</f>
        <v>464</v>
      </c>
      <c r="BH69" s="869">
        <f>BH72-BH66</f>
        <v>477</v>
      </c>
      <c r="BI69" s="617">
        <f t="shared" si="15"/>
        <v>2.8</v>
      </c>
      <c r="BJ69" s="869">
        <f>BJ72-BJ66</f>
        <v>6172</v>
      </c>
      <c r="BK69" s="869">
        <f>BK72-BK66</f>
        <v>5263</v>
      </c>
      <c r="BL69" s="617">
        <f t="shared" si="16"/>
        <v>-14.7</v>
      </c>
      <c r="BM69" s="869">
        <f>BM72-BM66</f>
        <v>605</v>
      </c>
      <c r="BN69" s="869">
        <f>BN72-BN66</f>
        <v>517</v>
      </c>
      <c r="BO69" s="617">
        <f t="shared" si="17"/>
        <v>-14.5</v>
      </c>
      <c r="BP69" s="869">
        <f>BP72-BP66</f>
        <v>6777</v>
      </c>
      <c r="BQ69" s="869">
        <f>BQ72-BQ66</f>
        <v>5780</v>
      </c>
      <c r="BR69" s="617">
        <f t="shared" si="18"/>
        <v>-14.7</v>
      </c>
      <c r="BS69" s="869">
        <f>BS72-BS66</f>
        <v>616</v>
      </c>
      <c r="BT69" s="869">
        <f>BT72-BT66</f>
        <v>582</v>
      </c>
      <c r="BU69" s="617">
        <f t="shared" si="19"/>
        <v>-5.5</v>
      </c>
      <c r="BV69" s="869">
        <f>BV72-BV66</f>
        <v>7393</v>
      </c>
      <c r="BW69" s="869">
        <f>BW72-BW66</f>
        <v>6362</v>
      </c>
      <c r="BX69" s="617">
        <f t="shared" si="20"/>
        <v>-13.9</v>
      </c>
    </row>
    <row r="70" spans="1:76" ht="22.5" customHeight="1">
      <c r="A70" s="14"/>
      <c r="B70" s="1099"/>
      <c r="C70" s="1100"/>
      <c r="D70" s="366" t="s">
        <v>14</v>
      </c>
      <c r="E70" s="6">
        <f t="shared" si="46"/>
        <v>27311</v>
      </c>
      <c r="F70" s="6">
        <f t="shared" si="46"/>
        <v>26481</v>
      </c>
      <c r="G70" s="6">
        <f t="shared" si="46"/>
        <v>25710</v>
      </c>
      <c r="H70" s="6">
        <f t="shared" si="46"/>
        <v>31978</v>
      </c>
      <c r="I70" s="6">
        <f t="shared" si="46"/>
        <v>33135</v>
      </c>
      <c r="J70" s="6">
        <f t="shared" si="46"/>
        <v>34269</v>
      </c>
      <c r="K70" s="6">
        <f t="shared" si="46"/>
        <v>34740</v>
      </c>
      <c r="L70" s="180">
        <f t="shared" si="46"/>
        <v>35388</v>
      </c>
      <c r="M70" s="438">
        <f t="shared" si="47"/>
        <v>29884</v>
      </c>
      <c r="N70" s="309">
        <f t="shared" si="47"/>
        <v>4064</v>
      </c>
      <c r="O70" s="309">
        <f t="shared" si="47"/>
        <v>2750</v>
      </c>
      <c r="P70" s="193">
        <f t="shared" si="0"/>
        <v>-32.299999999999997</v>
      </c>
      <c r="Q70" s="309">
        <f>Q73-Q67</f>
        <v>1850</v>
      </c>
      <c r="R70" s="309">
        <f>R73-R67</f>
        <v>2269</v>
      </c>
      <c r="S70" s="193">
        <f t="shared" si="1"/>
        <v>22.6</v>
      </c>
      <c r="T70" s="309">
        <f>T73-T67</f>
        <v>5914</v>
      </c>
      <c r="U70" s="309">
        <f>U73-U67</f>
        <v>5019</v>
      </c>
      <c r="V70" s="193">
        <f t="shared" si="2"/>
        <v>-15.1</v>
      </c>
      <c r="W70" s="309">
        <f>W73-W67</f>
        <v>2405</v>
      </c>
      <c r="X70" s="309">
        <f>X73-X67</f>
        <v>2177</v>
      </c>
      <c r="Y70" s="193">
        <f t="shared" si="3"/>
        <v>-9.5</v>
      </c>
      <c r="Z70" s="309">
        <f>Z73-Z67</f>
        <v>8319</v>
      </c>
      <c r="AA70" s="309">
        <f>AA73-AA67</f>
        <v>7196</v>
      </c>
      <c r="AB70" s="193">
        <f t="shared" si="4"/>
        <v>-13.5</v>
      </c>
      <c r="AC70" s="309">
        <f>AC73-AC67</f>
        <v>2645</v>
      </c>
      <c r="AD70" s="309">
        <f>AD73-AD67</f>
        <v>2240</v>
      </c>
      <c r="AE70" s="193">
        <f t="shared" si="5"/>
        <v>-15.3</v>
      </c>
      <c r="AF70" s="309">
        <f>AF73-AF67</f>
        <v>10964</v>
      </c>
      <c r="AG70" s="309">
        <f>AG73-AG67</f>
        <v>9436</v>
      </c>
      <c r="AH70" s="193">
        <f t="shared" si="6"/>
        <v>-13.9</v>
      </c>
      <c r="AI70" s="309">
        <f>AI73-AI67</f>
        <v>2836</v>
      </c>
      <c r="AJ70" s="309">
        <f>AJ73-AJ67</f>
        <v>2094</v>
      </c>
      <c r="AK70" s="193">
        <f t="shared" si="7"/>
        <v>-26.2</v>
      </c>
      <c r="AL70" s="309">
        <f>AL73-AL67</f>
        <v>13800</v>
      </c>
      <c r="AM70" s="309">
        <f>AM73-AM67</f>
        <v>11530</v>
      </c>
      <c r="AN70" s="193">
        <f t="shared" si="8"/>
        <v>-16.399999999999999</v>
      </c>
      <c r="AO70" s="625">
        <f>AO73-AO67</f>
        <v>3012</v>
      </c>
      <c r="AP70" s="625">
        <f>AP73-AP67</f>
        <v>2001</v>
      </c>
      <c r="AQ70" s="615">
        <f t="shared" si="9"/>
        <v>-33.6</v>
      </c>
      <c r="AR70" s="868">
        <f>AR73-AR67</f>
        <v>16812</v>
      </c>
      <c r="AS70" s="868">
        <f>AS73-AS67</f>
        <v>13531</v>
      </c>
      <c r="AT70" s="615">
        <f t="shared" si="10"/>
        <v>-19.5</v>
      </c>
      <c r="AU70" s="868">
        <f>AU73-AU67</f>
        <v>2636</v>
      </c>
      <c r="AV70" s="868">
        <f>AV73-AV67</f>
        <v>2094</v>
      </c>
      <c r="AW70" s="615">
        <f t="shared" si="11"/>
        <v>-20.6</v>
      </c>
      <c r="AX70" s="925">
        <f>AX73-AX67</f>
        <v>19448</v>
      </c>
      <c r="AY70" s="925">
        <f>AY73-AY67</f>
        <v>15625</v>
      </c>
      <c r="AZ70" s="615">
        <f t="shared" si="12"/>
        <v>-19.7</v>
      </c>
      <c r="BA70" s="868">
        <f>BA73-BA67</f>
        <v>2170</v>
      </c>
      <c r="BB70" s="868">
        <f>BB73-BB67</f>
        <v>1985</v>
      </c>
      <c r="BC70" s="615">
        <f t="shared" si="13"/>
        <v>-8.5</v>
      </c>
      <c r="BD70" s="868">
        <f>BD73-BD67</f>
        <v>21618</v>
      </c>
      <c r="BE70" s="868">
        <f>BE73-BE67</f>
        <v>17610</v>
      </c>
      <c r="BF70" s="615">
        <f t="shared" si="14"/>
        <v>-18.5</v>
      </c>
      <c r="BG70" s="868">
        <f>BG73-BG67</f>
        <v>1778</v>
      </c>
      <c r="BH70" s="868">
        <f>BH73-BH67</f>
        <v>1719</v>
      </c>
      <c r="BI70" s="615">
        <f t="shared" si="15"/>
        <v>-3.3</v>
      </c>
      <c r="BJ70" s="868">
        <f>BJ73-BJ67</f>
        <v>23396</v>
      </c>
      <c r="BK70" s="868">
        <f>BK73-BK67</f>
        <v>19329</v>
      </c>
      <c r="BL70" s="615">
        <f t="shared" si="16"/>
        <v>-17.399999999999999</v>
      </c>
      <c r="BM70" s="868">
        <f>BM73-BM67</f>
        <v>2151</v>
      </c>
      <c r="BN70" s="868">
        <f>BN73-BN67</f>
        <v>1657</v>
      </c>
      <c r="BO70" s="615">
        <f t="shared" si="17"/>
        <v>-23</v>
      </c>
      <c r="BP70" s="868">
        <f>BP73-BP67</f>
        <v>25547</v>
      </c>
      <c r="BQ70" s="868">
        <f>BQ73-BQ67</f>
        <v>20986</v>
      </c>
      <c r="BR70" s="615">
        <f t="shared" si="18"/>
        <v>-17.899999999999999</v>
      </c>
      <c r="BS70" s="868">
        <f>BS73-BS67</f>
        <v>2038</v>
      </c>
      <c r="BT70" s="868">
        <f>BT73-BT67</f>
        <v>2403</v>
      </c>
      <c r="BU70" s="615">
        <f t="shared" si="19"/>
        <v>17.899999999999999</v>
      </c>
      <c r="BV70" s="868">
        <f>BV73-BV67</f>
        <v>27585</v>
      </c>
      <c r="BW70" s="868">
        <f>BW73-BW67</f>
        <v>23389</v>
      </c>
      <c r="BX70" s="615">
        <f t="shared" si="20"/>
        <v>-15.2</v>
      </c>
    </row>
    <row r="71" spans="1:76" ht="22.5" customHeight="1">
      <c r="A71" s="14"/>
      <c r="B71" s="1099"/>
      <c r="C71" s="1100"/>
      <c r="D71" s="370" t="s">
        <v>15</v>
      </c>
      <c r="E71" s="12">
        <f t="shared" ref="E71:O71" si="48">E70/E69*1000</f>
        <v>2992.0026292725679</v>
      </c>
      <c r="F71" s="12">
        <f t="shared" si="48"/>
        <v>3100.4566210045664</v>
      </c>
      <c r="G71" s="12">
        <f t="shared" si="48"/>
        <v>3206.1354283576502</v>
      </c>
      <c r="H71" s="12">
        <f t="shared" si="48"/>
        <v>3308.297123939582</v>
      </c>
      <c r="I71" s="12">
        <f t="shared" si="48"/>
        <v>3055.8885917181592</v>
      </c>
      <c r="J71" s="12">
        <f t="shared" si="48"/>
        <v>2811.4693576175237</v>
      </c>
      <c r="K71" s="12">
        <f t="shared" si="48"/>
        <v>3351.3409222458035</v>
      </c>
      <c r="L71" s="184">
        <f t="shared" si="48"/>
        <v>4054.5371219065078</v>
      </c>
      <c r="M71" s="442">
        <f>M70/M69*1000</f>
        <v>3696.2275819418674</v>
      </c>
      <c r="N71" s="310">
        <f t="shared" si="48"/>
        <v>3805.2434456928841</v>
      </c>
      <c r="O71" s="310">
        <f t="shared" si="48"/>
        <v>3599.476439790576</v>
      </c>
      <c r="P71" s="194">
        <f t="shared" ref="P71:P107" si="49">ROUND(((O71/N71-1)*100),1)</f>
        <v>-5.4</v>
      </c>
      <c r="Q71" s="310">
        <f>Q70/Q69*1000</f>
        <v>3394.4954128440368</v>
      </c>
      <c r="R71" s="310">
        <f>R70/R69*1000</f>
        <v>3671.5210355987056</v>
      </c>
      <c r="S71" s="194">
        <f t="shared" ref="S71:S107" si="50">ROUND(((R71/Q71-1)*100),1)</f>
        <v>8.1999999999999993</v>
      </c>
      <c r="T71" s="310">
        <f>T70/T69*1000</f>
        <v>3666.4600123992559</v>
      </c>
      <c r="U71" s="310">
        <f>U70/U69*1000</f>
        <v>3631.6931982633864</v>
      </c>
      <c r="V71" s="194">
        <f t="shared" ref="V71:V107" si="51">ROUND(((U71/T71-1)*100),1)</f>
        <v>-0.9</v>
      </c>
      <c r="W71" s="310">
        <f>W70/W69*1000</f>
        <v>3059.796437659033</v>
      </c>
      <c r="X71" s="310">
        <f>X70/X69*1000</f>
        <v>3040.5027932960893</v>
      </c>
      <c r="Y71" s="194">
        <f t="shared" ref="Y71:Y107" si="52">ROUND(((X71/W71-1)*100),1)</f>
        <v>-0.6</v>
      </c>
      <c r="Z71" s="310">
        <f>Z70/Z69*1000</f>
        <v>3467.694872863693</v>
      </c>
      <c r="AA71" s="310">
        <f>AA70/AA69*1000</f>
        <v>3429.9332697807436</v>
      </c>
      <c r="AB71" s="194">
        <f t="shared" ref="AB71:AB107" si="53">ROUND(((AA71/Z71-1)*100),1)</f>
        <v>-1.1000000000000001</v>
      </c>
      <c r="AC71" s="310">
        <f>AC70/AC69*1000</f>
        <v>3827.7858176555715</v>
      </c>
      <c r="AD71" s="310">
        <f>AD70/AD69*1000</f>
        <v>4072.7272727272725</v>
      </c>
      <c r="AE71" s="194">
        <f t="shared" ref="AE71:AE107" si="54">ROUND(((AD71/AC71-1)*100),1)</f>
        <v>6.4</v>
      </c>
      <c r="AF71" s="310">
        <f>AF70/AF69*1000</f>
        <v>3548.2200647249188</v>
      </c>
      <c r="AG71" s="310">
        <f>AG70/AG69*1000</f>
        <v>3563.4441087613295</v>
      </c>
      <c r="AH71" s="194">
        <f t="shared" ref="AH71:AH107" si="55">ROUND(((AG71/AF71-1)*100),1)</f>
        <v>0.4</v>
      </c>
      <c r="AI71" s="310">
        <f>AI70/AI69*1000</f>
        <v>4581.5831987075926</v>
      </c>
      <c r="AJ71" s="310">
        <f>AJ70/AJ69*1000</f>
        <v>4602.197802197802</v>
      </c>
      <c r="AK71" s="194">
        <f t="shared" ref="AK71:AK107" si="56">ROUND(((AJ71/AI71-1)*100),1)</f>
        <v>0.4</v>
      </c>
      <c r="AL71" s="310">
        <f>AL70/AL69*1000</f>
        <v>3720.6794284173629</v>
      </c>
      <c r="AM71" s="310">
        <f>AM70/AM69*1000</f>
        <v>3715.7589429584273</v>
      </c>
      <c r="AN71" s="194">
        <f t="shared" ref="AN71:AN107" si="57">ROUND(((AM71/AL71-1)*100),1)</f>
        <v>-0.1</v>
      </c>
      <c r="AO71" s="626">
        <f>AO70/AO69*1000</f>
        <v>4005.3191489361702</v>
      </c>
      <c r="AP71" s="626">
        <f>AP70/AP69*1000</f>
        <v>4151.4522821576766</v>
      </c>
      <c r="AQ71" s="616">
        <f t="shared" ref="AQ71:AQ107" si="58">ROUND(((AP71/AO71-1)*100),1)</f>
        <v>3.6</v>
      </c>
      <c r="AR71" s="626">
        <f>AR70/AR69*1000</f>
        <v>3768.661735036987</v>
      </c>
      <c r="AS71" s="626">
        <f>AS70/AS69*1000</f>
        <v>3774.3375174337521</v>
      </c>
      <c r="AT71" s="616">
        <f t="shared" ref="AT71:AT107" si="59">ROUND(((AS71/AR71-1)*100),1)</f>
        <v>0.2</v>
      </c>
      <c r="AU71" s="626">
        <f>AU70/AU69*1000</f>
        <v>3934.3283582089553</v>
      </c>
      <c r="AV71" s="626">
        <f>AV70/AV69*1000</f>
        <v>3371.9806763285023</v>
      </c>
      <c r="AW71" s="616">
        <f t="shared" ref="AW71:AW107" si="60">ROUND(((AV71/AU71-1)*100),1)</f>
        <v>-14.3</v>
      </c>
      <c r="AX71" s="930">
        <f>AX70/AX69*1000</f>
        <v>3790.2942896121613</v>
      </c>
      <c r="AY71" s="930">
        <f>AY70/AY69*1000</f>
        <v>3714.9310508796957</v>
      </c>
      <c r="AZ71" s="616">
        <f t="shared" ref="AZ71:AZ107" si="61">ROUND(((AY71/AX71-1)*100),1)</f>
        <v>-2</v>
      </c>
      <c r="BA71" s="626">
        <f>BA70/BA69*1000</f>
        <v>3760.8318890814558</v>
      </c>
      <c r="BB71" s="626">
        <f>BB70/BB69*1000</f>
        <v>3422.4137931034484</v>
      </c>
      <c r="BC71" s="616">
        <f t="shared" ref="BC71:BC107" si="62">ROUND(((BB71/BA71-1)*100),1)</f>
        <v>-9</v>
      </c>
      <c r="BD71" s="626">
        <f>BD70/BD69*1000</f>
        <v>3787.3160476524176</v>
      </c>
      <c r="BE71" s="626">
        <f>BE70/BE69*1000</f>
        <v>3679.4818219807771</v>
      </c>
      <c r="BF71" s="616">
        <f t="shared" ref="BF71:BF107" si="63">ROUND(((BE71/BD71-1)*100),1)</f>
        <v>-2.8</v>
      </c>
      <c r="BG71" s="626">
        <f>BG70/BG69*1000</f>
        <v>3831.8965517241377</v>
      </c>
      <c r="BH71" s="626">
        <f>BH70/BH69*1000</f>
        <v>3603.7735849056603</v>
      </c>
      <c r="BI71" s="616">
        <f t="shared" ref="BI71:BI107" si="64">ROUND(((BH71/BG71-1)*100),1)</f>
        <v>-6</v>
      </c>
      <c r="BJ71" s="626">
        <f>BJ70/BJ69*1000</f>
        <v>3790.667530784187</v>
      </c>
      <c r="BK71" s="626">
        <f>BK70/BK69*1000</f>
        <v>3672.6201786053584</v>
      </c>
      <c r="BL71" s="616">
        <f t="shared" ref="BL71:BL107" si="65">ROUND(((BK71/BJ71-1)*100),1)</f>
        <v>-3.1</v>
      </c>
      <c r="BM71" s="626">
        <f>BM70/BM69*1000</f>
        <v>3555.3719008264466</v>
      </c>
      <c r="BN71" s="626">
        <f>BN70/BN69*1000</f>
        <v>3205.0290135396517</v>
      </c>
      <c r="BO71" s="616">
        <f t="shared" ref="BO71:BO107" si="66">ROUND(((BN71/BM71-1)*100),1)</f>
        <v>-9.9</v>
      </c>
      <c r="BP71" s="626">
        <f>BP70/BP69*1000</f>
        <v>3769.6620923712558</v>
      </c>
      <c r="BQ71" s="626">
        <f>BQ70/BQ69*1000</f>
        <v>3630.7958477508651</v>
      </c>
      <c r="BR71" s="616">
        <f t="shared" ref="BR71:BR107" si="67">ROUND(((BQ71/BP71-1)*100),1)</f>
        <v>-3.7</v>
      </c>
      <c r="BS71" s="626">
        <f>BS70/BS69*1000</f>
        <v>3308.4415584415583</v>
      </c>
      <c r="BT71" s="626">
        <f>BT70/BT69*1000</f>
        <v>4128.865979381444</v>
      </c>
      <c r="BU71" s="616">
        <f t="shared" ref="BU71:BU107" si="68">ROUND(((BT71/BS71-1)*100),1)</f>
        <v>24.8</v>
      </c>
      <c r="BV71" s="626">
        <f>BV70/BV69*1000</f>
        <v>3731.2322467198701</v>
      </c>
      <c r="BW71" s="626">
        <f>BW70/BW69*1000</f>
        <v>3676.3596353348003</v>
      </c>
      <c r="BX71" s="616">
        <f t="shared" ref="BX71:BX107" si="69">ROUND(((BW71/BV71-1)*100),1)</f>
        <v>-1.5</v>
      </c>
    </row>
    <row r="72" spans="1:76" ht="22.5" customHeight="1">
      <c r="A72" s="14"/>
      <c r="B72" s="1104" t="s">
        <v>25</v>
      </c>
      <c r="C72" s="1105"/>
      <c r="D72" s="15" t="s">
        <v>319</v>
      </c>
      <c r="E72" s="16">
        <v>101276</v>
      </c>
      <c r="F72" s="16">
        <v>94754</v>
      </c>
      <c r="G72" s="16">
        <v>85500</v>
      </c>
      <c r="H72" s="16">
        <v>72231</v>
      </c>
      <c r="I72" s="16">
        <v>79554</v>
      </c>
      <c r="J72" s="16">
        <v>71328</v>
      </c>
      <c r="K72" s="16">
        <v>73916</v>
      </c>
      <c r="L72" s="185">
        <v>69642</v>
      </c>
      <c r="M72" s="443">
        <v>55922</v>
      </c>
      <c r="N72" s="313">
        <v>6445</v>
      </c>
      <c r="O72" s="313">
        <v>4555</v>
      </c>
      <c r="P72" s="197">
        <f t="shared" si="49"/>
        <v>-29.3</v>
      </c>
      <c r="Q72" s="313">
        <f>T72-N72</f>
        <v>2914</v>
      </c>
      <c r="R72" s="313">
        <f>U72-O72</f>
        <v>4360</v>
      </c>
      <c r="S72" s="197">
        <f t="shared" si="50"/>
        <v>49.6</v>
      </c>
      <c r="T72" s="313">
        <v>9359</v>
      </c>
      <c r="U72" s="313">
        <v>8915</v>
      </c>
      <c r="V72" s="197">
        <f t="shared" si="51"/>
        <v>-4.7</v>
      </c>
      <c r="W72" s="313">
        <f>Z72-T72</f>
        <v>5437</v>
      </c>
      <c r="X72" s="313">
        <f>AA72-U72</f>
        <v>7234</v>
      </c>
      <c r="Y72" s="197">
        <f t="shared" si="52"/>
        <v>33.1</v>
      </c>
      <c r="Z72" s="313">
        <v>14796</v>
      </c>
      <c r="AA72" s="313">
        <v>16149</v>
      </c>
      <c r="AB72" s="197">
        <f t="shared" si="53"/>
        <v>9.1</v>
      </c>
      <c r="AC72" s="313">
        <f>AF72-Z72</f>
        <v>5517</v>
      </c>
      <c r="AD72" s="313">
        <f>AG72-AA72</f>
        <v>3077</v>
      </c>
      <c r="AE72" s="197">
        <f t="shared" si="54"/>
        <v>-44.2</v>
      </c>
      <c r="AF72" s="313">
        <v>20313</v>
      </c>
      <c r="AG72" s="313">
        <v>19226</v>
      </c>
      <c r="AH72" s="197">
        <f t="shared" si="55"/>
        <v>-5.4</v>
      </c>
      <c r="AI72" s="313">
        <f>AL72-AF72</f>
        <v>5286</v>
      </c>
      <c r="AJ72" s="313">
        <f>AM72-AG72</f>
        <v>3402</v>
      </c>
      <c r="AK72" s="197">
        <f t="shared" si="56"/>
        <v>-35.6</v>
      </c>
      <c r="AL72" s="313">
        <v>25599</v>
      </c>
      <c r="AM72" s="313">
        <v>22628</v>
      </c>
      <c r="AN72" s="197">
        <f t="shared" si="57"/>
        <v>-11.6</v>
      </c>
      <c r="AO72" s="628">
        <f>AR72-AL72</f>
        <v>4587</v>
      </c>
      <c r="AP72" s="628">
        <f>AS72-AM72</f>
        <v>2315</v>
      </c>
      <c r="AQ72" s="618">
        <f t="shared" si="58"/>
        <v>-49.5</v>
      </c>
      <c r="AR72" s="640">
        <v>30186</v>
      </c>
      <c r="AS72" s="640">
        <v>24943</v>
      </c>
      <c r="AT72" s="618">
        <f t="shared" si="59"/>
        <v>-17.399999999999999</v>
      </c>
      <c r="AU72" s="640">
        <f>AX72-AR72</f>
        <v>4960</v>
      </c>
      <c r="AV72" s="640">
        <f>AY72-AS72</f>
        <v>3438</v>
      </c>
      <c r="AW72" s="618">
        <f t="shared" si="60"/>
        <v>-30.7</v>
      </c>
      <c r="AX72" s="931">
        <v>35146</v>
      </c>
      <c r="AY72" s="931">
        <v>28381</v>
      </c>
      <c r="AZ72" s="618">
        <f t="shared" si="61"/>
        <v>-19.2</v>
      </c>
      <c r="BA72" s="640">
        <f>BD72-AX72</f>
        <v>4362</v>
      </c>
      <c r="BB72" s="640">
        <f>BE72-AY72</f>
        <v>2922</v>
      </c>
      <c r="BC72" s="618">
        <f t="shared" si="62"/>
        <v>-33</v>
      </c>
      <c r="BD72" s="640">
        <v>39508</v>
      </c>
      <c r="BE72" s="640">
        <v>31303</v>
      </c>
      <c r="BF72" s="618">
        <f t="shared" si="63"/>
        <v>-20.8</v>
      </c>
      <c r="BG72" s="640">
        <f>BJ72-BD72</f>
        <v>3585</v>
      </c>
      <c r="BH72" s="640">
        <f>BK72-BE72</f>
        <v>3884</v>
      </c>
      <c r="BI72" s="618">
        <f t="shared" si="64"/>
        <v>8.3000000000000007</v>
      </c>
      <c r="BJ72" s="640">
        <v>43093</v>
      </c>
      <c r="BK72" s="640">
        <v>35187</v>
      </c>
      <c r="BL72" s="618">
        <f t="shared" si="65"/>
        <v>-18.3</v>
      </c>
      <c r="BM72" s="640">
        <f>BP72-BJ72</f>
        <v>4147</v>
      </c>
      <c r="BN72" s="640">
        <f>BQ72-BK72</f>
        <v>3481</v>
      </c>
      <c r="BO72" s="618">
        <f t="shared" si="66"/>
        <v>-16.100000000000001</v>
      </c>
      <c r="BP72" s="640">
        <v>47240</v>
      </c>
      <c r="BQ72" s="640">
        <v>38668</v>
      </c>
      <c r="BR72" s="618">
        <f t="shared" si="67"/>
        <v>-18.100000000000001</v>
      </c>
      <c r="BS72" s="640">
        <f>BV72-BP72</f>
        <v>3674</v>
      </c>
      <c r="BT72" s="640">
        <f>BW72-BQ72</f>
        <v>3766</v>
      </c>
      <c r="BU72" s="618">
        <f t="shared" si="68"/>
        <v>2.5</v>
      </c>
      <c r="BV72" s="640">
        <v>50914</v>
      </c>
      <c r="BW72" s="640">
        <v>42434</v>
      </c>
      <c r="BX72" s="618">
        <f t="shared" si="69"/>
        <v>-16.7</v>
      </c>
    </row>
    <row r="73" spans="1:76" ht="22.5" customHeight="1">
      <c r="A73" s="14"/>
      <c r="B73" s="1104"/>
      <c r="C73" s="1105"/>
      <c r="D73" s="367" t="s">
        <v>320</v>
      </c>
      <c r="E73" s="18">
        <v>240016</v>
      </c>
      <c r="F73" s="18">
        <v>198544</v>
      </c>
      <c r="G73" s="18">
        <v>183581</v>
      </c>
      <c r="H73" s="18">
        <v>177161</v>
      </c>
      <c r="I73" s="18">
        <v>180573</v>
      </c>
      <c r="J73" s="18">
        <v>163853</v>
      </c>
      <c r="K73" s="18">
        <v>223188</v>
      </c>
      <c r="L73" s="186">
        <v>227307</v>
      </c>
      <c r="M73" s="444">
        <v>161151</v>
      </c>
      <c r="N73" s="314">
        <v>19011</v>
      </c>
      <c r="O73" s="314">
        <v>12306</v>
      </c>
      <c r="P73" s="198">
        <f t="shared" si="49"/>
        <v>-35.299999999999997</v>
      </c>
      <c r="Q73" s="314">
        <f>T73-N73</f>
        <v>8628</v>
      </c>
      <c r="R73" s="314">
        <f>U73-O73</f>
        <v>11690</v>
      </c>
      <c r="S73" s="198">
        <f t="shared" si="50"/>
        <v>35.5</v>
      </c>
      <c r="T73" s="314">
        <v>27639</v>
      </c>
      <c r="U73" s="314">
        <v>23996</v>
      </c>
      <c r="V73" s="198">
        <f t="shared" si="51"/>
        <v>-13.2</v>
      </c>
      <c r="W73" s="314">
        <f>Z73-T73</f>
        <v>15455</v>
      </c>
      <c r="X73" s="314">
        <f>AA73-U73</f>
        <v>17206</v>
      </c>
      <c r="Y73" s="198">
        <f t="shared" si="52"/>
        <v>11.3</v>
      </c>
      <c r="Z73" s="314">
        <v>43094</v>
      </c>
      <c r="AA73" s="314">
        <v>41202</v>
      </c>
      <c r="AB73" s="198">
        <f t="shared" si="53"/>
        <v>-4.4000000000000004</v>
      </c>
      <c r="AC73" s="314">
        <f>AF73-Z73</f>
        <v>16846</v>
      </c>
      <c r="AD73" s="314">
        <f>AG73-AA73</f>
        <v>8008</v>
      </c>
      <c r="AE73" s="198">
        <f t="shared" si="54"/>
        <v>-52.5</v>
      </c>
      <c r="AF73" s="314">
        <v>59940</v>
      </c>
      <c r="AG73" s="314">
        <v>49210</v>
      </c>
      <c r="AH73" s="198">
        <f t="shared" si="55"/>
        <v>-17.899999999999999</v>
      </c>
      <c r="AI73" s="314">
        <f>AL73-AF73</f>
        <v>16706</v>
      </c>
      <c r="AJ73" s="314">
        <f>AM73-AG73</f>
        <v>8513</v>
      </c>
      <c r="AK73" s="198">
        <f t="shared" si="56"/>
        <v>-49</v>
      </c>
      <c r="AL73" s="314">
        <v>76646</v>
      </c>
      <c r="AM73" s="314">
        <v>57723</v>
      </c>
      <c r="AN73" s="198">
        <f t="shared" si="57"/>
        <v>-24.7</v>
      </c>
      <c r="AO73" s="629">
        <f>AR73-AL73</f>
        <v>14072</v>
      </c>
      <c r="AP73" s="629">
        <f>AS73-AM73</f>
        <v>5505</v>
      </c>
      <c r="AQ73" s="619">
        <f t="shared" si="58"/>
        <v>-60.9</v>
      </c>
      <c r="AR73" s="641">
        <v>90718</v>
      </c>
      <c r="AS73" s="641">
        <v>63228</v>
      </c>
      <c r="AT73" s="619">
        <f t="shared" si="59"/>
        <v>-30.3</v>
      </c>
      <c r="AU73" s="641">
        <f>AX73-AR73</f>
        <v>14359</v>
      </c>
      <c r="AV73" s="641">
        <f>AY73-AS73</f>
        <v>8079</v>
      </c>
      <c r="AW73" s="619">
        <f t="shared" si="60"/>
        <v>-43.7</v>
      </c>
      <c r="AX73" s="932">
        <v>105077</v>
      </c>
      <c r="AY73" s="932">
        <v>71307</v>
      </c>
      <c r="AZ73" s="619">
        <f t="shared" si="61"/>
        <v>-32.1</v>
      </c>
      <c r="BA73" s="641">
        <f>BD73-AX73</f>
        <v>12006</v>
      </c>
      <c r="BB73" s="641">
        <f>BE73-AY73</f>
        <v>7208</v>
      </c>
      <c r="BC73" s="619">
        <f t="shared" si="62"/>
        <v>-40</v>
      </c>
      <c r="BD73" s="641">
        <v>117083</v>
      </c>
      <c r="BE73" s="641">
        <v>78515</v>
      </c>
      <c r="BF73" s="619">
        <f t="shared" si="63"/>
        <v>-32.9</v>
      </c>
      <c r="BG73" s="641">
        <f>BJ73-BD73</f>
        <v>9763</v>
      </c>
      <c r="BH73" s="641">
        <f>BK73-BE73</f>
        <v>10643</v>
      </c>
      <c r="BI73" s="619">
        <f t="shared" si="64"/>
        <v>9</v>
      </c>
      <c r="BJ73" s="641">
        <v>126846</v>
      </c>
      <c r="BK73" s="641">
        <v>89158</v>
      </c>
      <c r="BL73" s="619">
        <f t="shared" si="65"/>
        <v>-29.7</v>
      </c>
      <c r="BM73" s="641">
        <f>BP73-BJ73</f>
        <v>11111</v>
      </c>
      <c r="BN73" s="641">
        <f>BQ73-BK73</f>
        <v>9077</v>
      </c>
      <c r="BO73" s="619">
        <f t="shared" si="66"/>
        <v>-18.3</v>
      </c>
      <c r="BP73" s="641">
        <v>137957</v>
      </c>
      <c r="BQ73" s="641">
        <v>98235</v>
      </c>
      <c r="BR73" s="619">
        <f t="shared" si="67"/>
        <v>-28.8</v>
      </c>
      <c r="BS73" s="641">
        <f>BV73-BP73</f>
        <v>10122</v>
      </c>
      <c r="BT73" s="641">
        <f>BW73-BQ73</f>
        <v>10513</v>
      </c>
      <c r="BU73" s="619">
        <f t="shared" si="68"/>
        <v>3.9</v>
      </c>
      <c r="BV73" s="641">
        <v>148079</v>
      </c>
      <c r="BW73" s="641">
        <v>108748</v>
      </c>
      <c r="BX73" s="619">
        <f t="shared" si="69"/>
        <v>-26.6</v>
      </c>
    </row>
    <row r="74" spans="1:76" ht="22.5" customHeight="1">
      <c r="A74" s="14"/>
      <c r="B74" s="1104"/>
      <c r="C74" s="1105"/>
      <c r="D74" s="371" t="s">
        <v>321</v>
      </c>
      <c r="E74" s="20">
        <f t="shared" ref="E74:O74" si="70">E73/E72*1000</f>
        <v>2369.9198230577827</v>
      </c>
      <c r="F74" s="20">
        <f t="shared" si="70"/>
        <v>2095.3627287502377</v>
      </c>
      <c r="G74" s="20">
        <f t="shared" si="70"/>
        <v>2147.146198830409</v>
      </c>
      <c r="H74" s="20">
        <f t="shared" si="70"/>
        <v>2452.700364109593</v>
      </c>
      <c r="I74" s="20">
        <f t="shared" si="70"/>
        <v>2269.8167282600498</v>
      </c>
      <c r="J74" s="20">
        <f t="shared" si="70"/>
        <v>2297.176424405563</v>
      </c>
      <c r="K74" s="20">
        <f t="shared" si="70"/>
        <v>3019.4815736782293</v>
      </c>
      <c r="L74" s="187">
        <f t="shared" si="70"/>
        <v>3263.9355561299217</v>
      </c>
      <c r="M74" s="445">
        <f>M73/M72*1000</f>
        <v>2881.710239261829</v>
      </c>
      <c r="N74" s="315">
        <f t="shared" si="70"/>
        <v>2949.7284716834756</v>
      </c>
      <c r="O74" s="315">
        <f t="shared" si="70"/>
        <v>2701.6465422612514</v>
      </c>
      <c r="P74" s="199">
        <f t="shared" si="49"/>
        <v>-8.4</v>
      </c>
      <c r="Q74" s="315">
        <f>Q73/Q72*1000</f>
        <v>2960.878517501716</v>
      </c>
      <c r="R74" s="315">
        <f>R73/R72*1000</f>
        <v>2681.1926605504586</v>
      </c>
      <c r="S74" s="199">
        <f t="shared" si="50"/>
        <v>-9.4</v>
      </c>
      <c r="T74" s="315">
        <f>T73/T72*1000</f>
        <v>2953.2001282188271</v>
      </c>
      <c r="U74" s="315">
        <f>U73/U72*1000</f>
        <v>2691.6432978126754</v>
      </c>
      <c r="V74" s="199">
        <f t="shared" si="51"/>
        <v>-8.9</v>
      </c>
      <c r="W74" s="315">
        <f>W73/W72*1000</f>
        <v>2842.5602354239472</v>
      </c>
      <c r="X74" s="315">
        <f>X73/X72*1000</f>
        <v>2378.4904617085981</v>
      </c>
      <c r="Y74" s="199">
        <f t="shared" si="52"/>
        <v>-16.3</v>
      </c>
      <c r="Z74" s="315">
        <f>Z73/Z72*1000</f>
        <v>2912.543930792106</v>
      </c>
      <c r="AA74" s="315">
        <f>AA73/AA72*1000</f>
        <v>2551.365409622887</v>
      </c>
      <c r="AB74" s="199">
        <f t="shared" si="53"/>
        <v>-12.4</v>
      </c>
      <c r="AC74" s="315">
        <f>AC73/AC72*1000</f>
        <v>3053.4710893601591</v>
      </c>
      <c r="AD74" s="315">
        <f>AD73/AD72*1000</f>
        <v>2602.5349366265841</v>
      </c>
      <c r="AE74" s="199">
        <f t="shared" si="54"/>
        <v>-14.8</v>
      </c>
      <c r="AF74" s="315">
        <f>AF73/AF72*1000</f>
        <v>2950.8196721311479</v>
      </c>
      <c r="AG74" s="315">
        <f>AG73/AG72*1000</f>
        <v>2559.5547695828564</v>
      </c>
      <c r="AH74" s="199">
        <f t="shared" si="55"/>
        <v>-13.3</v>
      </c>
      <c r="AI74" s="315">
        <f>AI73/AI72*1000</f>
        <v>3160.4237608777903</v>
      </c>
      <c r="AJ74" s="315">
        <f>AJ73/AJ72*1000</f>
        <v>2502.3515579071136</v>
      </c>
      <c r="AK74" s="199">
        <f t="shared" si="56"/>
        <v>-20.8</v>
      </c>
      <c r="AL74" s="315">
        <f>AL73/AL72*1000</f>
        <v>2994.1013320832844</v>
      </c>
      <c r="AM74" s="315">
        <f>AM73/AM72*1000</f>
        <v>2550.9545695598376</v>
      </c>
      <c r="AN74" s="199">
        <f t="shared" si="57"/>
        <v>-14.8</v>
      </c>
      <c r="AO74" s="630">
        <f>AO73/AO72*1000</f>
        <v>3067.8003052103772</v>
      </c>
      <c r="AP74" s="630">
        <f>AP73/AP72*1000</f>
        <v>2377.9697624190062</v>
      </c>
      <c r="AQ74" s="620">
        <f t="shared" si="58"/>
        <v>-22.5</v>
      </c>
      <c r="AR74" s="630">
        <f>AR73/AR72*1000</f>
        <v>3005.3004704167497</v>
      </c>
      <c r="AS74" s="630">
        <f>AS73/AS72*1000</f>
        <v>2534.8995710219301</v>
      </c>
      <c r="AT74" s="620">
        <f t="shared" si="59"/>
        <v>-15.7</v>
      </c>
      <c r="AU74" s="630">
        <f>AU73/AU72*1000</f>
        <v>2894.9596774193551</v>
      </c>
      <c r="AV74" s="630">
        <f>AV73/AV72*1000</f>
        <v>2349.9127399650961</v>
      </c>
      <c r="AW74" s="620">
        <f t="shared" si="60"/>
        <v>-18.8</v>
      </c>
      <c r="AX74" s="933">
        <f>AX73/AX72*1000</f>
        <v>2989.7285608604111</v>
      </c>
      <c r="AY74" s="933">
        <f>AY73/AY72*1000</f>
        <v>2512.4907508544447</v>
      </c>
      <c r="AZ74" s="620">
        <f t="shared" si="61"/>
        <v>-16</v>
      </c>
      <c r="BA74" s="630">
        <f>BA73/BA72*1000</f>
        <v>2752.4071526822559</v>
      </c>
      <c r="BB74" s="630">
        <f>BB73/BB72*1000</f>
        <v>2466.8035592060232</v>
      </c>
      <c r="BC74" s="620">
        <f t="shared" si="62"/>
        <v>-10.4</v>
      </c>
      <c r="BD74" s="630">
        <f>BD73/BD72*1000</f>
        <v>2963.5263744051836</v>
      </c>
      <c r="BE74" s="630">
        <f>BE73/BE72*1000</f>
        <v>2508.2260486215378</v>
      </c>
      <c r="BF74" s="620">
        <f t="shared" si="63"/>
        <v>-15.4</v>
      </c>
      <c r="BG74" s="630">
        <f>BG73/BG72*1000</f>
        <v>2723.2914923291492</v>
      </c>
      <c r="BH74" s="630">
        <f>BH73/BH72*1000</f>
        <v>2740.2162718846548</v>
      </c>
      <c r="BI74" s="620">
        <f t="shared" si="64"/>
        <v>0.6</v>
      </c>
      <c r="BJ74" s="630">
        <f>BJ73/BJ72*1000</f>
        <v>2943.5407142691388</v>
      </c>
      <c r="BK74" s="630">
        <f>BK73/BK72*1000</f>
        <v>2533.8335180606473</v>
      </c>
      <c r="BL74" s="620">
        <f t="shared" si="65"/>
        <v>-13.9</v>
      </c>
      <c r="BM74" s="630">
        <f>BM73/BM72*1000</f>
        <v>2679.2862310103687</v>
      </c>
      <c r="BN74" s="630">
        <f>BN73/BN72*1000</f>
        <v>2607.5840275782821</v>
      </c>
      <c r="BO74" s="620">
        <f t="shared" si="66"/>
        <v>-2.7</v>
      </c>
      <c r="BP74" s="630">
        <f>BP73/BP72*1000</f>
        <v>2920.3429297205757</v>
      </c>
      <c r="BQ74" s="630">
        <f>BQ73/BQ72*1000</f>
        <v>2540.4727423192303</v>
      </c>
      <c r="BR74" s="620">
        <f t="shared" si="67"/>
        <v>-13</v>
      </c>
      <c r="BS74" s="630">
        <f>BS73/BS72*1000</f>
        <v>2755.0353837778989</v>
      </c>
      <c r="BT74" s="630">
        <f>BT73/BT72*1000</f>
        <v>2791.556027615507</v>
      </c>
      <c r="BU74" s="620">
        <f t="shared" si="68"/>
        <v>1.3</v>
      </c>
      <c r="BV74" s="630">
        <f>BV73/BV72*1000</f>
        <v>2908.4141886318107</v>
      </c>
      <c r="BW74" s="630">
        <f>BW73/BW72*1000</f>
        <v>2562.7562803412357</v>
      </c>
      <c r="BX74" s="620">
        <f t="shared" si="69"/>
        <v>-11.9</v>
      </c>
    </row>
    <row r="75" spans="1:76" ht="22.5" customHeight="1">
      <c r="A75" s="1106" t="s">
        <v>33</v>
      </c>
      <c r="B75" s="1099" t="s">
        <v>32</v>
      </c>
      <c r="C75" s="1103" t="s">
        <v>302</v>
      </c>
      <c r="D75" s="365" t="s">
        <v>13</v>
      </c>
      <c r="E75" s="11">
        <v>157027</v>
      </c>
      <c r="F75" s="11">
        <v>122828</v>
      </c>
      <c r="G75" s="11">
        <v>183728</v>
      </c>
      <c r="H75" s="11">
        <v>181021</v>
      </c>
      <c r="I75" s="11">
        <v>172177</v>
      </c>
      <c r="J75" s="11">
        <v>133252</v>
      </c>
      <c r="K75" s="11">
        <v>129570</v>
      </c>
      <c r="L75" s="183">
        <v>143766</v>
      </c>
      <c r="M75" s="312">
        <v>124960</v>
      </c>
      <c r="N75" s="311">
        <v>10289</v>
      </c>
      <c r="O75" s="311">
        <v>10846</v>
      </c>
      <c r="P75" s="195">
        <f t="shared" si="49"/>
        <v>5.4</v>
      </c>
      <c r="Q75" s="311">
        <f>T75-N75</f>
        <v>8213</v>
      </c>
      <c r="R75" s="311">
        <f>U75-O75</f>
        <v>7508</v>
      </c>
      <c r="S75" s="195">
        <f t="shared" si="50"/>
        <v>-8.6</v>
      </c>
      <c r="T75" s="311">
        <v>18502</v>
      </c>
      <c r="U75" s="311">
        <v>18354</v>
      </c>
      <c r="V75" s="195">
        <f t="shared" si="51"/>
        <v>-0.8</v>
      </c>
      <c r="W75" s="311">
        <f>Z75-T75</f>
        <v>8510</v>
      </c>
      <c r="X75" s="311">
        <f>AA75-U75</f>
        <v>10479</v>
      </c>
      <c r="Y75" s="195">
        <f t="shared" si="52"/>
        <v>23.1</v>
      </c>
      <c r="Z75" s="311">
        <v>27012</v>
      </c>
      <c r="AA75" s="311">
        <v>28833</v>
      </c>
      <c r="AB75" s="195">
        <f t="shared" si="53"/>
        <v>6.7</v>
      </c>
      <c r="AC75" s="311">
        <f>AF75-Z75</f>
        <v>11806</v>
      </c>
      <c r="AD75" s="311">
        <f>AG75-AA75</f>
        <v>8926</v>
      </c>
      <c r="AE75" s="195">
        <f t="shared" si="54"/>
        <v>-24.4</v>
      </c>
      <c r="AF75" s="311">
        <v>38818</v>
      </c>
      <c r="AG75" s="311">
        <v>37759</v>
      </c>
      <c r="AH75" s="195">
        <f t="shared" si="55"/>
        <v>-2.7</v>
      </c>
      <c r="AI75" s="311">
        <f>AL75-AF75</f>
        <v>11030</v>
      </c>
      <c r="AJ75" s="311">
        <f>AM75-AG75</f>
        <v>7559</v>
      </c>
      <c r="AK75" s="195">
        <f t="shared" si="56"/>
        <v>-31.5</v>
      </c>
      <c r="AL75" s="311">
        <v>49848</v>
      </c>
      <c r="AM75" s="311">
        <v>45318</v>
      </c>
      <c r="AN75" s="195">
        <f t="shared" si="57"/>
        <v>-9.1</v>
      </c>
      <c r="AO75" s="627">
        <f>AR75-AL75</f>
        <v>9259</v>
      </c>
      <c r="AP75" s="627">
        <f>AS75-AM75</f>
        <v>10693</v>
      </c>
      <c r="AQ75" s="617">
        <f t="shared" si="58"/>
        <v>15.5</v>
      </c>
      <c r="AR75" s="869">
        <v>59107</v>
      </c>
      <c r="AS75" s="869">
        <v>56011</v>
      </c>
      <c r="AT75" s="617">
        <f t="shared" si="59"/>
        <v>-5.2</v>
      </c>
      <c r="AU75" s="869">
        <f>AX75-AR75</f>
        <v>6592</v>
      </c>
      <c r="AV75" s="869">
        <f>AY75-AS75</f>
        <v>15831</v>
      </c>
      <c r="AW75" s="617">
        <f t="shared" si="60"/>
        <v>140.19999999999999</v>
      </c>
      <c r="AX75" s="929">
        <v>65699</v>
      </c>
      <c r="AY75" s="929">
        <v>71842</v>
      </c>
      <c r="AZ75" s="617">
        <f t="shared" si="61"/>
        <v>9.4</v>
      </c>
      <c r="BA75" s="869">
        <f>BD75-AX75</f>
        <v>7611</v>
      </c>
      <c r="BB75" s="869">
        <f>BE75-AY75</f>
        <v>10617</v>
      </c>
      <c r="BC75" s="617">
        <f t="shared" si="62"/>
        <v>39.5</v>
      </c>
      <c r="BD75" s="869">
        <v>73310</v>
      </c>
      <c r="BE75" s="869">
        <v>82459</v>
      </c>
      <c r="BF75" s="617">
        <f t="shared" si="63"/>
        <v>12.5</v>
      </c>
      <c r="BG75" s="869">
        <f>BJ75-BD75</f>
        <v>10285</v>
      </c>
      <c r="BH75" s="869">
        <f>BK75-BE75</f>
        <v>10300</v>
      </c>
      <c r="BI75" s="617">
        <f t="shared" si="64"/>
        <v>0.1</v>
      </c>
      <c r="BJ75" s="869">
        <v>83595</v>
      </c>
      <c r="BK75" s="869">
        <v>92759</v>
      </c>
      <c r="BL75" s="617">
        <f t="shared" si="65"/>
        <v>11</v>
      </c>
      <c r="BM75" s="869">
        <f>BP75-BJ75</f>
        <v>12939</v>
      </c>
      <c r="BN75" s="869">
        <f>BQ75-BK75</f>
        <v>15632</v>
      </c>
      <c r="BO75" s="617">
        <f t="shared" si="66"/>
        <v>20.8</v>
      </c>
      <c r="BP75" s="869">
        <v>96534</v>
      </c>
      <c r="BQ75" s="869">
        <v>108391</v>
      </c>
      <c r="BR75" s="617">
        <f t="shared" si="67"/>
        <v>12.3</v>
      </c>
      <c r="BS75" s="869">
        <f>BV75-BP75</f>
        <v>13829</v>
      </c>
      <c r="BT75" s="869">
        <f>BW75-BQ75</f>
        <v>13750</v>
      </c>
      <c r="BU75" s="617">
        <f t="shared" si="68"/>
        <v>-0.6</v>
      </c>
      <c r="BV75" s="869">
        <v>110363</v>
      </c>
      <c r="BW75" s="869">
        <v>122141</v>
      </c>
      <c r="BX75" s="617">
        <f t="shared" si="69"/>
        <v>10.7</v>
      </c>
    </row>
    <row r="76" spans="1:76" ht="22.5" customHeight="1">
      <c r="A76" s="1102"/>
      <c r="B76" s="1099"/>
      <c r="C76" s="1100"/>
      <c r="D76" s="366" t="s">
        <v>14</v>
      </c>
      <c r="E76" s="6">
        <v>401567</v>
      </c>
      <c r="F76" s="6">
        <v>258790</v>
      </c>
      <c r="G76" s="6">
        <v>416301</v>
      </c>
      <c r="H76" s="6">
        <v>399203</v>
      </c>
      <c r="I76" s="6">
        <v>334193</v>
      </c>
      <c r="J76" s="6">
        <v>245225</v>
      </c>
      <c r="K76" s="6">
        <v>298089</v>
      </c>
      <c r="L76" s="180">
        <v>340225</v>
      </c>
      <c r="M76" s="438">
        <v>258215</v>
      </c>
      <c r="N76" s="309">
        <v>20759</v>
      </c>
      <c r="O76" s="309">
        <v>22561</v>
      </c>
      <c r="P76" s="193">
        <f t="shared" si="49"/>
        <v>8.6999999999999993</v>
      </c>
      <c r="Q76" s="309">
        <f>T76-N76</f>
        <v>17023</v>
      </c>
      <c r="R76" s="309">
        <f>U76-O76</f>
        <v>15145</v>
      </c>
      <c r="S76" s="193">
        <f t="shared" si="50"/>
        <v>-11</v>
      </c>
      <c r="T76" s="309">
        <v>37782</v>
      </c>
      <c r="U76" s="309">
        <v>37706</v>
      </c>
      <c r="V76" s="193">
        <f t="shared" si="51"/>
        <v>-0.2</v>
      </c>
      <c r="W76" s="309">
        <f>Z76-T76</f>
        <v>17718</v>
      </c>
      <c r="X76" s="309">
        <f>AA76-U76</f>
        <v>20752</v>
      </c>
      <c r="Y76" s="193">
        <f t="shared" si="52"/>
        <v>17.100000000000001</v>
      </c>
      <c r="Z76" s="309">
        <v>55500</v>
      </c>
      <c r="AA76" s="309">
        <v>58458</v>
      </c>
      <c r="AB76" s="193">
        <f t="shared" si="53"/>
        <v>5.3</v>
      </c>
      <c r="AC76" s="309">
        <f>AF76-Z76</f>
        <v>24421</v>
      </c>
      <c r="AD76" s="309">
        <f>AG76-AA76</f>
        <v>16408</v>
      </c>
      <c r="AE76" s="193">
        <f t="shared" si="54"/>
        <v>-32.799999999999997</v>
      </c>
      <c r="AF76" s="309">
        <v>79921</v>
      </c>
      <c r="AG76" s="309">
        <v>74866</v>
      </c>
      <c r="AH76" s="193">
        <f t="shared" si="55"/>
        <v>-6.3</v>
      </c>
      <c r="AI76" s="309">
        <f>AL76-AF76</f>
        <v>22652</v>
      </c>
      <c r="AJ76" s="309">
        <f>AM76-AG76</f>
        <v>13677</v>
      </c>
      <c r="AK76" s="193">
        <f t="shared" si="56"/>
        <v>-39.6</v>
      </c>
      <c r="AL76" s="309">
        <v>102573</v>
      </c>
      <c r="AM76" s="309">
        <v>88543</v>
      </c>
      <c r="AN76" s="193">
        <f t="shared" si="57"/>
        <v>-13.7</v>
      </c>
      <c r="AO76" s="625">
        <f>AR76-AL76</f>
        <v>18130</v>
      </c>
      <c r="AP76" s="625">
        <f>AS76-AM76</f>
        <v>18723</v>
      </c>
      <c r="AQ76" s="615">
        <f t="shared" si="58"/>
        <v>3.3</v>
      </c>
      <c r="AR76" s="868">
        <v>120703</v>
      </c>
      <c r="AS76" s="868">
        <v>107266</v>
      </c>
      <c r="AT76" s="615">
        <f t="shared" si="59"/>
        <v>-11.1</v>
      </c>
      <c r="AU76" s="868">
        <f>AX76-AR76</f>
        <v>12936</v>
      </c>
      <c r="AV76" s="868">
        <f>AY76-AS76</f>
        <v>27966</v>
      </c>
      <c r="AW76" s="615">
        <f t="shared" si="60"/>
        <v>116.2</v>
      </c>
      <c r="AX76" s="925">
        <v>133639</v>
      </c>
      <c r="AY76" s="925">
        <v>135232</v>
      </c>
      <c r="AZ76" s="615">
        <f t="shared" si="61"/>
        <v>1.2</v>
      </c>
      <c r="BA76" s="868">
        <f>BD76-AX76</f>
        <v>15030</v>
      </c>
      <c r="BB76" s="868">
        <f>BE76-AY76</f>
        <v>19356</v>
      </c>
      <c r="BC76" s="615">
        <f t="shared" si="62"/>
        <v>28.8</v>
      </c>
      <c r="BD76" s="868">
        <v>148669</v>
      </c>
      <c r="BE76" s="868">
        <v>154588</v>
      </c>
      <c r="BF76" s="615">
        <f t="shared" si="63"/>
        <v>4</v>
      </c>
      <c r="BG76" s="868">
        <f>BJ76-BD76</f>
        <v>21206</v>
      </c>
      <c r="BH76" s="868">
        <f>BK76-BE76</f>
        <v>20158</v>
      </c>
      <c r="BI76" s="615">
        <f t="shared" si="64"/>
        <v>-4.9000000000000004</v>
      </c>
      <c r="BJ76" s="868">
        <v>169875</v>
      </c>
      <c r="BK76" s="868">
        <v>174746</v>
      </c>
      <c r="BL76" s="615">
        <f t="shared" si="65"/>
        <v>2.9</v>
      </c>
      <c r="BM76" s="868">
        <f>BP76-BJ76</f>
        <v>27304</v>
      </c>
      <c r="BN76" s="868">
        <f>BQ76-BK76</f>
        <v>30289</v>
      </c>
      <c r="BO76" s="615">
        <f t="shared" si="66"/>
        <v>10.9</v>
      </c>
      <c r="BP76" s="868">
        <v>197179</v>
      </c>
      <c r="BQ76" s="868">
        <v>205035</v>
      </c>
      <c r="BR76" s="615">
        <f t="shared" si="67"/>
        <v>4</v>
      </c>
      <c r="BS76" s="868">
        <f>BV76-BP76</f>
        <v>29843</v>
      </c>
      <c r="BT76" s="868">
        <f>BW76-BQ76</f>
        <v>26013</v>
      </c>
      <c r="BU76" s="615">
        <f t="shared" si="68"/>
        <v>-12.8</v>
      </c>
      <c r="BV76" s="868">
        <v>227022</v>
      </c>
      <c r="BW76" s="868">
        <v>231048</v>
      </c>
      <c r="BX76" s="615">
        <f t="shared" si="69"/>
        <v>1.8</v>
      </c>
    </row>
    <row r="77" spans="1:76" ht="22.5" customHeight="1">
      <c r="A77" s="14"/>
      <c r="B77" s="1099"/>
      <c r="C77" s="1100"/>
      <c r="D77" s="370" t="s">
        <v>15</v>
      </c>
      <c r="E77" s="12">
        <f t="shared" ref="E77:O77" si="71">E76/E75*1000</f>
        <v>2557.3117998815487</v>
      </c>
      <c r="F77" s="12">
        <f t="shared" si="71"/>
        <v>2106.9300159572736</v>
      </c>
      <c r="G77" s="12">
        <f t="shared" si="71"/>
        <v>2265.8549595053555</v>
      </c>
      <c r="H77" s="12">
        <f t="shared" si="71"/>
        <v>2205.2855746018417</v>
      </c>
      <c r="I77" s="12">
        <f t="shared" si="71"/>
        <v>1940.9851490036417</v>
      </c>
      <c r="J77" s="12">
        <f t="shared" si="71"/>
        <v>1840.3100891543843</v>
      </c>
      <c r="K77" s="12">
        <f t="shared" si="71"/>
        <v>2300.6019912016668</v>
      </c>
      <c r="L77" s="184">
        <f t="shared" si="71"/>
        <v>2366.5192048189419</v>
      </c>
      <c r="M77" s="442">
        <f>M76/M75*1000</f>
        <v>2066.3812419974392</v>
      </c>
      <c r="N77" s="310">
        <f t="shared" si="71"/>
        <v>2017.5916026824764</v>
      </c>
      <c r="O77" s="310">
        <f t="shared" si="71"/>
        <v>2080.1217038539553</v>
      </c>
      <c r="P77" s="194">
        <f t="shared" si="49"/>
        <v>3.1</v>
      </c>
      <c r="Q77" s="310">
        <f>Q76/Q75*1000</f>
        <v>2072.6896383781809</v>
      </c>
      <c r="R77" s="310">
        <f>R76/R75*1000</f>
        <v>2017.1816728822591</v>
      </c>
      <c r="S77" s="194">
        <f t="shared" si="50"/>
        <v>-2.7</v>
      </c>
      <c r="T77" s="310">
        <f>T76/T75*1000</f>
        <v>2042.0495081612796</v>
      </c>
      <c r="U77" s="310">
        <f>U76/U75*1000</f>
        <v>2054.3750681050456</v>
      </c>
      <c r="V77" s="194">
        <f t="shared" si="51"/>
        <v>0.6</v>
      </c>
      <c r="W77" s="310">
        <f>W76/W75*1000</f>
        <v>2082.0211515863689</v>
      </c>
      <c r="X77" s="310">
        <f>X76/X75*1000</f>
        <v>1980.3416356522569</v>
      </c>
      <c r="Y77" s="194">
        <f t="shared" si="52"/>
        <v>-4.9000000000000004</v>
      </c>
      <c r="Z77" s="310">
        <f>Z76/Z75*1000</f>
        <v>2054.642381163927</v>
      </c>
      <c r="AA77" s="310">
        <f>AA76/AA75*1000</f>
        <v>2027.4685256476955</v>
      </c>
      <c r="AB77" s="194">
        <f t="shared" si="53"/>
        <v>-1.3</v>
      </c>
      <c r="AC77" s="310">
        <f>AC76/AC75*1000</f>
        <v>2068.5244790784345</v>
      </c>
      <c r="AD77" s="310">
        <f>AD76/AD75*1000</f>
        <v>1838.2254089177684</v>
      </c>
      <c r="AE77" s="194">
        <f t="shared" si="54"/>
        <v>-11.1</v>
      </c>
      <c r="AF77" s="310">
        <f>AF76/AF75*1000</f>
        <v>2058.8644443299499</v>
      </c>
      <c r="AG77" s="310">
        <f>AG76/AG75*1000</f>
        <v>1982.7325935538547</v>
      </c>
      <c r="AH77" s="194">
        <f t="shared" si="55"/>
        <v>-3.7</v>
      </c>
      <c r="AI77" s="310">
        <f>AI76/AI75*1000</f>
        <v>2053.6718041704439</v>
      </c>
      <c r="AJ77" s="310">
        <f>AJ76/AJ75*1000</f>
        <v>1809.3663182960709</v>
      </c>
      <c r="AK77" s="194">
        <f t="shared" si="56"/>
        <v>-11.9</v>
      </c>
      <c r="AL77" s="310">
        <f>AL76/AL75*1000</f>
        <v>2057.7154549831489</v>
      </c>
      <c r="AM77" s="310">
        <f>AM76/AM75*1000</f>
        <v>1953.8152610441769</v>
      </c>
      <c r="AN77" s="194">
        <f t="shared" si="57"/>
        <v>-5</v>
      </c>
      <c r="AO77" s="626">
        <f>AO76/AO75*1000</f>
        <v>1958.0948266551463</v>
      </c>
      <c r="AP77" s="626">
        <f>AP76/AP75*1000</f>
        <v>1750.9585710277752</v>
      </c>
      <c r="AQ77" s="616">
        <f t="shared" si="58"/>
        <v>-10.6</v>
      </c>
      <c r="AR77" s="626">
        <f>AR76/AR75*1000</f>
        <v>2042.1100715651278</v>
      </c>
      <c r="AS77" s="626">
        <f>AS76/AS75*1000</f>
        <v>1915.0881076931316</v>
      </c>
      <c r="AT77" s="616">
        <f t="shared" si="59"/>
        <v>-6.2</v>
      </c>
      <c r="AU77" s="626">
        <f>AU76/AU75*1000</f>
        <v>1962.3786407766991</v>
      </c>
      <c r="AV77" s="626">
        <f>AV76/AV75*1000</f>
        <v>1766.534015539132</v>
      </c>
      <c r="AW77" s="616">
        <f t="shared" si="60"/>
        <v>-10</v>
      </c>
      <c r="AX77" s="930">
        <f>AX76/AX75*1000</f>
        <v>2034.1101082208252</v>
      </c>
      <c r="AY77" s="930">
        <f>AY76/AY75*1000</f>
        <v>1882.3529411764705</v>
      </c>
      <c r="AZ77" s="616">
        <f t="shared" si="61"/>
        <v>-7.5</v>
      </c>
      <c r="BA77" s="626">
        <f>BA76/BA75*1000</f>
        <v>1974.7733543555382</v>
      </c>
      <c r="BB77" s="626">
        <f>BB76/BB75*1000</f>
        <v>1823.1138739756993</v>
      </c>
      <c r="BC77" s="616">
        <f t="shared" si="62"/>
        <v>-7.7</v>
      </c>
      <c r="BD77" s="626">
        <f>BD76/BD75*1000</f>
        <v>2027.9498022097941</v>
      </c>
      <c r="BE77" s="626">
        <f>BE76/BE75*1000</f>
        <v>1874.7256212178174</v>
      </c>
      <c r="BF77" s="616">
        <f t="shared" si="63"/>
        <v>-7.6</v>
      </c>
      <c r="BG77" s="626">
        <f>BG76/BG75*1000</f>
        <v>2061.8376276130289</v>
      </c>
      <c r="BH77" s="626">
        <f>BH76/BH75*1000</f>
        <v>1957.0873786407767</v>
      </c>
      <c r="BI77" s="616">
        <f t="shared" si="64"/>
        <v>-5.0999999999999996</v>
      </c>
      <c r="BJ77" s="626">
        <f>BJ76/BJ75*1000</f>
        <v>2032.1191458819308</v>
      </c>
      <c r="BK77" s="626">
        <f>BK76/BK75*1000</f>
        <v>1883.8711068467751</v>
      </c>
      <c r="BL77" s="616">
        <f t="shared" si="65"/>
        <v>-7.3</v>
      </c>
      <c r="BM77" s="626">
        <f>BM76/BM75*1000</f>
        <v>2110.2094443156348</v>
      </c>
      <c r="BN77" s="626">
        <f>BN76/BN75*1000</f>
        <v>1937.6279426816786</v>
      </c>
      <c r="BO77" s="616">
        <f t="shared" si="66"/>
        <v>-8.1999999999999993</v>
      </c>
      <c r="BP77" s="626">
        <f>BP76/BP75*1000</f>
        <v>2042.5860318644209</v>
      </c>
      <c r="BQ77" s="626">
        <f>BQ76/BQ75*1000</f>
        <v>1891.6238433080237</v>
      </c>
      <c r="BR77" s="616">
        <f t="shared" si="67"/>
        <v>-7.4</v>
      </c>
      <c r="BS77" s="626">
        <f>BS76/BS75*1000</f>
        <v>2158.0013016125531</v>
      </c>
      <c r="BT77" s="626">
        <f>BT76/BT75*1000</f>
        <v>1891.8545454545454</v>
      </c>
      <c r="BU77" s="616">
        <f t="shared" si="68"/>
        <v>-12.3</v>
      </c>
      <c r="BV77" s="626">
        <f>BV76/BV75*1000</f>
        <v>2057.0481048902257</v>
      </c>
      <c r="BW77" s="626">
        <f>BW76/BW75*1000</f>
        <v>1891.6498145585838</v>
      </c>
      <c r="BX77" s="616">
        <f t="shared" si="69"/>
        <v>-8</v>
      </c>
    </row>
    <row r="78" spans="1:76" ht="22.5" customHeight="1">
      <c r="A78" s="14"/>
      <c r="B78" s="1099" t="s">
        <v>24</v>
      </c>
      <c r="C78" s="1100"/>
      <c r="D78" s="365" t="s">
        <v>13</v>
      </c>
      <c r="E78" s="11">
        <f t="shared" ref="E78:L79" si="72">E81-E75</f>
        <v>23865</v>
      </c>
      <c r="F78" s="11">
        <f t="shared" si="72"/>
        <v>30610</v>
      </c>
      <c r="G78" s="11">
        <f t="shared" si="72"/>
        <v>20878</v>
      </c>
      <c r="H78" s="11">
        <f t="shared" si="72"/>
        <v>21389</v>
      </c>
      <c r="I78" s="11">
        <f t="shared" si="72"/>
        <v>24495</v>
      </c>
      <c r="J78" s="11">
        <f t="shared" si="72"/>
        <v>20482</v>
      </c>
      <c r="K78" s="11">
        <f t="shared" si="72"/>
        <v>24784</v>
      </c>
      <c r="L78" s="183">
        <f t="shared" si="72"/>
        <v>23420</v>
      </c>
      <c r="M78" s="312">
        <f t="shared" ref="M78:O79" si="73">M81-M75</f>
        <v>26513</v>
      </c>
      <c r="N78" s="311">
        <f t="shared" si="73"/>
        <v>1600</v>
      </c>
      <c r="O78" s="311">
        <f t="shared" si="73"/>
        <v>1663</v>
      </c>
      <c r="P78" s="195">
        <f t="shared" si="49"/>
        <v>3.9</v>
      </c>
      <c r="Q78" s="311">
        <f>Q81-Q75</f>
        <v>1976</v>
      </c>
      <c r="R78" s="311">
        <f>R81-R75</f>
        <v>1733</v>
      </c>
      <c r="S78" s="195">
        <f t="shared" si="50"/>
        <v>-12.3</v>
      </c>
      <c r="T78" s="311">
        <f>T81-T75</f>
        <v>3576</v>
      </c>
      <c r="U78" s="311">
        <f>U81-U75</f>
        <v>3396</v>
      </c>
      <c r="V78" s="195">
        <f t="shared" si="51"/>
        <v>-5</v>
      </c>
      <c r="W78" s="311">
        <f>W81-W75</f>
        <v>2298</v>
      </c>
      <c r="X78" s="311">
        <f>X81-X75</f>
        <v>1652</v>
      </c>
      <c r="Y78" s="195">
        <f t="shared" si="52"/>
        <v>-28.1</v>
      </c>
      <c r="Z78" s="311">
        <f>Z81-Z75</f>
        <v>5874</v>
      </c>
      <c r="AA78" s="311">
        <f>AA81-AA75</f>
        <v>5048</v>
      </c>
      <c r="AB78" s="195">
        <f t="shared" si="53"/>
        <v>-14.1</v>
      </c>
      <c r="AC78" s="311">
        <f>AC81-AC75</f>
        <v>1974</v>
      </c>
      <c r="AD78" s="311">
        <f>AD81-AD75</f>
        <v>1371</v>
      </c>
      <c r="AE78" s="195">
        <f t="shared" si="54"/>
        <v>-30.5</v>
      </c>
      <c r="AF78" s="311">
        <f>AF81-AF75</f>
        <v>7848</v>
      </c>
      <c r="AG78" s="311">
        <f>AG81-AG75</f>
        <v>6419</v>
      </c>
      <c r="AH78" s="195">
        <f t="shared" si="55"/>
        <v>-18.2</v>
      </c>
      <c r="AI78" s="311">
        <f>AI81-AI75</f>
        <v>3596</v>
      </c>
      <c r="AJ78" s="311">
        <f>AJ81-AJ75</f>
        <v>1432</v>
      </c>
      <c r="AK78" s="195">
        <f t="shared" si="56"/>
        <v>-60.2</v>
      </c>
      <c r="AL78" s="311">
        <f>AL81-AL75</f>
        <v>11444</v>
      </c>
      <c r="AM78" s="311">
        <f>AM81-AM75</f>
        <v>7851</v>
      </c>
      <c r="AN78" s="195">
        <f t="shared" si="57"/>
        <v>-31.4</v>
      </c>
      <c r="AO78" s="627">
        <f>AO81-AO75</f>
        <v>3019</v>
      </c>
      <c r="AP78" s="627">
        <f>AP81-AP75</f>
        <v>661</v>
      </c>
      <c r="AQ78" s="617">
        <f t="shared" si="58"/>
        <v>-78.099999999999994</v>
      </c>
      <c r="AR78" s="869">
        <f>AR81-AR75</f>
        <v>14463</v>
      </c>
      <c r="AS78" s="869">
        <f>AS81-AS75</f>
        <v>8512</v>
      </c>
      <c r="AT78" s="617">
        <f t="shared" si="59"/>
        <v>-41.1</v>
      </c>
      <c r="AU78" s="869">
        <f>AU81-AU75</f>
        <v>2711</v>
      </c>
      <c r="AV78" s="869">
        <f>AV81-AV75</f>
        <v>1581</v>
      </c>
      <c r="AW78" s="617">
        <f t="shared" si="60"/>
        <v>-41.7</v>
      </c>
      <c r="AX78" s="929">
        <f>AX81-AX75</f>
        <v>17174</v>
      </c>
      <c r="AY78" s="929">
        <f>AY81-AY75</f>
        <v>10093</v>
      </c>
      <c r="AZ78" s="617">
        <f t="shared" si="61"/>
        <v>-41.2</v>
      </c>
      <c r="BA78" s="869">
        <f>BA81-BA75</f>
        <v>1959</v>
      </c>
      <c r="BB78" s="869">
        <f>BB81-BB75</f>
        <v>1586</v>
      </c>
      <c r="BC78" s="617">
        <f t="shared" si="62"/>
        <v>-19</v>
      </c>
      <c r="BD78" s="869">
        <f>BD81-BD75</f>
        <v>19133</v>
      </c>
      <c r="BE78" s="869">
        <f>BE81-BE75</f>
        <v>11679</v>
      </c>
      <c r="BF78" s="617">
        <f t="shared" si="63"/>
        <v>-39</v>
      </c>
      <c r="BG78" s="869">
        <f>BG81-BG75</f>
        <v>1295</v>
      </c>
      <c r="BH78" s="869">
        <f>BH81-BH75</f>
        <v>1749</v>
      </c>
      <c r="BI78" s="617">
        <f t="shared" si="64"/>
        <v>35.1</v>
      </c>
      <c r="BJ78" s="869">
        <f>BJ81-BJ75</f>
        <v>20428</v>
      </c>
      <c r="BK78" s="869">
        <f>BK81-BK75</f>
        <v>13428</v>
      </c>
      <c r="BL78" s="617">
        <f t="shared" si="65"/>
        <v>-34.299999999999997</v>
      </c>
      <c r="BM78" s="869">
        <f>BM81-BM75</f>
        <v>1664</v>
      </c>
      <c r="BN78" s="869">
        <f>BN81-BN75</f>
        <v>602</v>
      </c>
      <c r="BO78" s="617">
        <f t="shared" si="66"/>
        <v>-63.8</v>
      </c>
      <c r="BP78" s="869">
        <f>BP81-BP75</f>
        <v>22092</v>
      </c>
      <c r="BQ78" s="869">
        <f>BQ81-BQ75</f>
        <v>14030</v>
      </c>
      <c r="BR78" s="617">
        <f t="shared" si="67"/>
        <v>-36.5</v>
      </c>
      <c r="BS78" s="869">
        <f>BS81-BS75</f>
        <v>2290</v>
      </c>
      <c r="BT78" s="869">
        <f>BT81-BT75</f>
        <v>321</v>
      </c>
      <c r="BU78" s="617">
        <f t="shared" si="68"/>
        <v>-86</v>
      </c>
      <c r="BV78" s="869">
        <f>BV81-BV75</f>
        <v>24382</v>
      </c>
      <c r="BW78" s="869">
        <f>BW81-BW75</f>
        <v>14351</v>
      </c>
      <c r="BX78" s="617">
        <f t="shared" si="69"/>
        <v>-41.1</v>
      </c>
    </row>
    <row r="79" spans="1:76" ht="22.5" customHeight="1">
      <c r="A79" s="14"/>
      <c r="B79" s="1099"/>
      <c r="C79" s="1100"/>
      <c r="D79" s="366" t="s">
        <v>14</v>
      </c>
      <c r="E79" s="6">
        <f t="shared" si="72"/>
        <v>63165</v>
      </c>
      <c r="F79" s="6">
        <f t="shared" si="72"/>
        <v>54309</v>
      </c>
      <c r="G79" s="6">
        <f t="shared" si="72"/>
        <v>45708</v>
      </c>
      <c r="H79" s="6">
        <f t="shared" si="72"/>
        <v>40856</v>
      </c>
      <c r="I79" s="6">
        <f t="shared" si="72"/>
        <v>39544</v>
      </c>
      <c r="J79" s="6">
        <f t="shared" si="72"/>
        <v>35064</v>
      </c>
      <c r="K79" s="6">
        <f t="shared" si="72"/>
        <v>52059</v>
      </c>
      <c r="L79" s="180">
        <f t="shared" si="72"/>
        <v>49148</v>
      </c>
      <c r="M79" s="438">
        <f t="shared" si="73"/>
        <v>48020</v>
      </c>
      <c r="N79" s="309">
        <f t="shared" si="73"/>
        <v>3273</v>
      </c>
      <c r="O79" s="309">
        <f t="shared" si="73"/>
        <v>3308</v>
      </c>
      <c r="P79" s="193">
        <f t="shared" si="49"/>
        <v>1.1000000000000001</v>
      </c>
      <c r="Q79" s="309">
        <f>Q82-Q76</f>
        <v>3802</v>
      </c>
      <c r="R79" s="309">
        <f>R82-R76</f>
        <v>3608</v>
      </c>
      <c r="S79" s="193">
        <f t="shared" si="50"/>
        <v>-5.0999999999999996</v>
      </c>
      <c r="T79" s="309">
        <f>T82-T76</f>
        <v>7075</v>
      </c>
      <c r="U79" s="309">
        <f>U82-U76</f>
        <v>6916</v>
      </c>
      <c r="V79" s="193">
        <f t="shared" si="51"/>
        <v>-2.2000000000000002</v>
      </c>
      <c r="W79" s="309">
        <f>W82-W76</f>
        <v>4495</v>
      </c>
      <c r="X79" s="309">
        <f>X82-X76</f>
        <v>3346</v>
      </c>
      <c r="Y79" s="193">
        <f t="shared" si="52"/>
        <v>-25.6</v>
      </c>
      <c r="Z79" s="309">
        <f>Z82-Z76</f>
        <v>11570</v>
      </c>
      <c r="AA79" s="309">
        <f>AA82-AA76</f>
        <v>10262</v>
      </c>
      <c r="AB79" s="193">
        <f t="shared" si="53"/>
        <v>-11.3</v>
      </c>
      <c r="AC79" s="309">
        <f>AC82-AC76</f>
        <v>3797</v>
      </c>
      <c r="AD79" s="309">
        <f>AD82-AD76</f>
        <v>2860</v>
      </c>
      <c r="AE79" s="193">
        <f t="shared" si="54"/>
        <v>-24.7</v>
      </c>
      <c r="AF79" s="309">
        <f>AF82-AF76</f>
        <v>15367</v>
      </c>
      <c r="AG79" s="309">
        <f>AG82-AG76</f>
        <v>13122</v>
      </c>
      <c r="AH79" s="193">
        <f t="shared" si="55"/>
        <v>-14.6</v>
      </c>
      <c r="AI79" s="309">
        <f>AI82-AI76</f>
        <v>4989</v>
      </c>
      <c r="AJ79" s="309">
        <f>AJ82-AJ76</f>
        <v>2503</v>
      </c>
      <c r="AK79" s="193">
        <f t="shared" si="56"/>
        <v>-49.8</v>
      </c>
      <c r="AL79" s="309">
        <f>AL82-AL76</f>
        <v>20356</v>
      </c>
      <c r="AM79" s="309">
        <f>AM82-AM76</f>
        <v>15625</v>
      </c>
      <c r="AN79" s="193">
        <f t="shared" si="57"/>
        <v>-23.2</v>
      </c>
      <c r="AO79" s="625">
        <f>AO82-AO76</f>
        <v>5285</v>
      </c>
      <c r="AP79" s="625">
        <f>AP82-AP76</f>
        <v>1629</v>
      </c>
      <c r="AQ79" s="615">
        <f t="shared" si="58"/>
        <v>-69.2</v>
      </c>
      <c r="AR79" s="868">
        <f>AR82-AR76</f>
        <v>25641</v>
      </c>
      <c r="AS79" s="868">
        <f>AS82-AS76</f>
        <v>17254</v>
      </c>
      <c r="AT79" s="615">
        <f t="shared" si="59"/>
        <v>-32.700000000000003</v>
      </c>
      <c r="AU79" s="868">
        <f>AU82-AU76</f>
        <v>3990</v>
      </c>
      <c r="AV79" s="868">
        <f>AV82-AV76</f>
        <v>3045</v>
      </c>
      <c r="AW79" s="615">
        <f t="shared" si="60"/>
        <v>-23.7</v>
      </c>
      <c r="AX79" s="925">
        <f>AX82-AX76</f>
        <v>29631</v>
      </c>
      <c r="AY79" s="925">
        <f>AY82-AY76</f>
        <v>20299</v>
      </c>
      <c r="AZ79" s="615">
        <f t="shared" si="61"/>
        <v>-31.5</v>
      </c>
      <c r="BA79" s="868">
        <f>BA82-BA76</f>
        <v>3688</v>
      </c>
      <c r="BB79" s="868">
        <f>BB82-BB76</f>
        <v>3293</v>
      </c>
      <c r="BC79" s="615">
        <f t="shared" si="62"/>
        <v>-10.7</v>
      </c>
      <c r="BD79" s="868">
        <f>BD82-BD76</f>
        <v>33319</v>
      </c>
      <c r="BE79" s="868">
        <f>BE82-BE76</f>
        <v>23592</v>
      </c>
      <c r="BF79" s="615">
        <f t="shared" si="63"/>
        <v>-29.2</v>
      </c>
      <c r="BG79" s="868">
        <f>BG82-BG76</f>
        <v>2549</v>
      </c>
      <c r="BH79" s="868">
        <f>BH82-BH76</f>
        <v>3551</v>
      </c>
      <c r="BI79" s="615">
        <f t="shared" si="64"/>
        <v>39.299999999999997</v>
      </c>
      <c r="BJ79" s="868">
        <f>BJ82-BJ76</f>
        <v>35868</v>
      </c>
      <c r="BK79" s="868">
        <f>BK82-BK76</f>
        <v>27143</v>
      </c>
      <c r="BL79" s="615">
        <f t="shared" si="65"/>
        <v>-24.3</v>
      </c>
      <c r="BM79" s="868">
        <f>BM82-BM76</f>
        <v>3194</v>
      </c>
      <c r="BN79" s="868">
        <f>BN82-BN76</f>
        <v>1292</v>
      </c>
      <c r="BO79" s="615">
        <f t="shared" si="66"/>
        <v>-59.5</v>
      </c>
      <c r="BP79" s="868">
        <f>BP82-BP76</f>
        <v>39062</v>
      </c>
      <c r="BQ79" s="868">
        <f>BQ82-BQ76</f>
        <v>28435</v>
      </c>
      <c r="BR79" s="615">
        <f t="shared" si="67"/>
        <v>-27.2</v>
      </c>
      <c r="BS79" s="868">
        <f>BS82-BS76</f>
        <v>4481</v>
      </c>
      <c r="BT79" s="868">
        <f>BT82-BT76</f>
        <v>1323</v>
      </c>
      <c r="BU79" s="615">
        <f t="shared" si="68"/>
        <v>-70.5</v>
      </c>
      <c r="BV79" s="868">
        <f>BV82-BV76</f>
        <v>43543</v>
      </c>
      <c r="BW79" s="868">
        <f>BW82-BW76</f>
        <v>29758</v>
      </c>
      <c r="BX79" s="615">
        <f t="shared" si="69"/>
        <v>-31.7</v>
      </c>
    </row>
    <row r="80" spans="1:76" ht="22.5" customHeight="1">
      <c r="A80" s="14"/>
      <c r="B80" s="1099"/>
      <c r="C80" s="1100"/>
      <c r="D80" s="370" t="s">
        <v>15</v>
      </c>
      <c r="E80" s="12">
        <f t="shared" ref="E80:O80" si="74">E79/E78*1000</f>
        <v>2646.7630421118793</v>
      </c>
      <c r="F80" s="12">
        <f t="shared" si="74"/>
        <v>1774.2241097680496</v>
      </c>
      <c r="G80" s="12">
        <f t="shared" si="74"/>
        <v>2189.2901618929013</v>
      </c>
      <c r="H80" s="12">
        <f t="shared" si="74"/>
        <v>1910.1407265416804</v>
      </c>
      <c r="I80" s="12">
        <f t="shared" si="74"/>
        <v>1614.3702796489079</v>
      </c>
      <c r="J80" s="12">
        <f t="shared" si="74"/>
        <v>1711.9421931452005</v>
      </c>
      <c r="K80" s="12">
        <f t="shared" si="74"/>
        <v>2100.5083925112976</v>
      </c>
      <c r="L80" s="184">
        <f t="shared" si="74"/>
        <v>2098.5482493595214</v>
      </c>
      <c r="M80" s="442">
        <f>M79/M78*1000</f>
        <v>1811.1869648851507</v>
      </c>
      <c r="N80" s="310">
        <f t="shared" si="74"/>
        <v>2045.6249999999998</v>
      </c>
      <c r="O80" s="310">
        <f t="shared" si="74"/>
        <v>1989.176187612748</v>
      </c>
      <c r="P80" s="194">
        <f t="shared" si="49"/>
        <v>-2.8</v>
      </c>
      <c r="Q80" s="310">
        <f>Q79/Q78*1000</f>
        <v>1924.089068825911</v>
      </c>
      <c r="R80" s="310">
        <f>R79/R78*1000</f>
        <v>2081.9388343912292</v>
      </c>
      <c r="S80" s="194">
        <f t="shared" si="50"/>
        <v>8.1999999999999993</v>
      </c>
      <c r="T80" s="310">
        <f>T79/T78*1000</f>
        <v>1978.4675615212527</v>
      </c>
      <c r="U80" s="310">
        <f>U79/U78*1000</f>
        <v>2036.5135453474675</v>
      </c>
      <c r="V80" s="194">
        <f t="shared" si="51"/>
        <v>2.9</v>
      </c>
      <c r="W80" s="310">
        <f>W79/W78*1000</f>
        <v>1956.0487380330721</v>
      </c>
      <c r="X80" s="310">
        <f>X79/X78*1000</f>
        <v>2025.4237288135594</v>
      </c>
      <c r="Y80" s="194">
        <f t="shared" si="52"/>
        <v>3.5</v>
      </c>
      <c r="Z80" s="310">
        <f>Z79/Z78*1000</f>
        <v>1969.6969696969697</v>
      </c>
      <c r="AA80" s="310">
        <f>AA79/AA78*1000</f>
        <v>2032.8843106180666</v>
      </c>
      <c r="AB80" s="194">
        <f t="shared" si="53"/>
        <v>3.2</v>
      </c>
      <c r="AC80" s="310">
        <f>AC79/AC78*1000</f>
        <v>1923.5055724417427</v>
      </c>
      <c r="AD80" s="310">
        <f>AD79/AD78*1000</f>
        <v>2086.0685630926332</v>
      </c>
      <c r="AE80" s="194">
        <f t="shared" si="54"/>
        <v>8.5</v>
      </c>
      <c r="AF80" s="310">
        <f>AF79/AF78*1000</f>
        <v>1958.0784913353721</v>
      </c>
      <c r="AG80" s="310">
        <f>AG79/AG78*1000</f>
        <v>2044.2436516591372</v>
      </c>
      <c r="AH80" s="194">
        <f t="shared" si="55"/>
        <v>4.4000000000000004</v>
      </c>
      <c r="AI80" s="310">
        <f>AI79/AI78*1000</f>
        <v>1387.3748609566185</v>
      </c>
      <c r="AJ80" s="310">
        <f>AJ79/AJ78*1000</f>
        <v>1747.9050279329608</v>
      </c>
      <c r="AK80" s="194">
        <f t="shared" si="56"/>
        <v>26</v>
      </c>
      <c r="AL80" s="310">
        <f>AL79/AL78*1000</f>
        <v>1778.7486892694862</v>
      </c>
      <c r="AM80" s="310">
        <f>AM79/AM78*1000</f>
        <v>1990.1923321869826</v>
      </c>
      <c r="AN80" s="194">
        <f t="shared" si="57"/>
        <v>11.9</v>
      </c>
      <c r="AO80" s="626">
        <f>AO79/AO78*1000</f>
        <v>1750.5796621397812</v>
      </c>
      <c r="AP80" s="626">
        <f>AP79/AP78*1000</f>
        <v>2464.4478063540091</v>
      </c>
      <c r="AQ80" s="616">
        <f t="shared" si="58"/>
        <v>40.799999999999997</v>
      </c>
      <c r="AR80" s="626">
        <f>AR79/AR78*1000</f>
        <v>1772.8686994399502</v>
      </c>
      <c r="AS80" s="626">
        <f>AS79/AS78*1000</f>
        <v>2027.0206766917292</v>
      </c>
      <c r="AT80" s="616">
        <f t="shared" si="59"/>
        <v>14.3</v>
      </c>
      <c r="AU80" s="626">
        <f>AU79/AU78*1000</f>
        <v>1471.7816303946881</v>
      </c>
      <c r="AV80" s="626">
        <f>AV79/AV78*1000</f>
        <v>1925.9962049335863</v>
      </c>
      <c r="AW80" s="616">
        <f t="shared" si="60"/>
        <v>30.9</v>
      </c>
      <c r="AX80" s="930">
        <f>AX79/AX78*1000</f>
        <v>1725.3406311866775</v>
      </c>
      <c r="AY80" s="930">
        <f>AY79/AY78*1000</f>
        <v>2011.1958783315167</v>
      </c>
      <c r="AZ80" s="616">
        <f t="shared" si="61"/>
        <v>16.600000000000001</v>
      </c>
      <c r="BA80" s="626">
        <f>BA79/BA78*1000</f>
        <v>1882.5931597753956</v>
      </c>
      <c r="BB80" s="626">
        <f>BB79/BB78*1000</f>
        <v>2076.2925598991174</v>
      </c>
      <c r="BC80" s="616">
        <f t="shared" si="62"/>
        <v>10.3</v>
      </c>
      <c r="BD80" s="626">
        <f>BD79/BD78*1000</f>
        <v>1741.4414885276747</v>
      </c>
      <c r="BE80" s="626">
        <f>BE79/BE78*1000</f>
        <v>2020.0359619830465</v>
      </c>
      <c r="BF80" s="616">
        <f t="shared" si="63"/>
        <v>16</v>
      </c>
      <c r="BG80" s="626">
        <f>BG79/BG78*1000</f>
        <v>1968.3397683397684</v>
      </c>
      <c r="BH80" s="626">
        <f>BH79/BH78*1000</f>
        <v>2030.3030303030303</v>
      </c>
      <c r="BI80" s="616">
        <f t="shared" si="64"/>
        <v>3.1</v>
      </c>
      <c r="BJ80" s="626">
        <f>BJ79/BJ78*1000</f>
        <v>1755.825337771686</v>
      </c>
      <c r="BK80" s="626">
        <f>BK79/BK78*1000</f>
        <v>2021.3732499255289</v>
      </c>
      <c r="BL80" s="616">
        <f t="shared" si="65"/>
        <v>15.1</v>
      </c>
      <c r="BM80" s="626">
        <f>BM79/BM78*1000</f>
        <v>1919.4711538461538</v>
      </c>
      <c r="BN80" s="626">
        <f>BN79/BN78*1000</f>
        <v>2146.1794019933554</v>
      </c>
      <c r="BO80" s="616">
        <f t="shared" si="66"/>
        <v>11.8</v>
      </c>
      <c r="BP80" s="626">
        <f>BP79/BP78*1000</f>
        <v>1768.1513670106826</v>
      </c>
      <c r="BQ80" s="626">
        <f>BQ79/BQ78*1000</f>
        <v>2026.7284390591592</v>
      </c>
      <c r="BR80" s="616">
        <f t="shared" si="67"/>
        <v>14.6</v>
      </c>
      <c r="BS80" s="626">
        <f>BS79/BS78*1000</f>
        <v>1956.7685589519649</v>
      </c>
      <c r="BT80" s="626">
        <f>BT79/BT78*1000</f>
        <v>4121.4953271028035</v>
      </c>
      <c r="BU80" s="616">
        <f t="shared" si="68"/>
        <v>110.6</v>
      </c>
      <c r="BV80" s="626">
        <f>BV79/BV78*1000</f>
        <v>1785.8666229185465</v>
      </c>
      <c r="BW80" s="626">
        <f>BW79/BW78*1000</f>
        <v>2073.5837223886838</v>
      </c>
      <c r="BX80" s="616">
        <f t="shared" si="69"/>
        <v>16.100000000000001</v>
      </c>
    </row>
    <row r="81" spans="1:76" ht="22.5" customHeight="1">
      <c r="A81" s="14"/>
      <c r="B81" s="1104" t="s">
        <v>25</v>
      </c>
      <c r="C81" s="1105"/>
      <c r="D81" s="15" t="s">
        <v>319</v>
      </c>
      <c r="E81" s="16">
        <v>180892</v>
      </c>
      <c r="F81" s="16">
        <v>153438</v>
      </c>
      <c r="G81" s="16">
        <v>204606</v>
      </c>
      <c r="H81" s="16">
        <v>202410</v>
      </c>
      <c r="I81" s="16">
        <v>196672</v>
      </c>
      <c r="J81" s="16">
        <v>153734</v>
      </c>
      <c r="K81" s="16">
        <v>154354</v>
      </c>
      <c r="L81" s="185">
        <v>167186</v>
      </c>
      <c r="M81" s="443">
        <v>151473</v>
      </c>
      <c r="N81" s="313">
        <v>11889</v>
      </c>
      <c r="O81" s="313">
        <v>12509</v>
      </c>
      <c r="P81" s="197">
        <f t="shared" si="49"/>
        <v>5.2</v>
      </c>
      <c r="Q81" s="313">
        <f>T81-N81</f>
        <v>10189</v>
      </c>
      <c r="R81" s="313">
        <f>U81-O81</f>
        <v>9241</v>
      </c>
      <c r="S81" s="197">
        <f t="shared" si="50"/>
        <v>-9.3000000000000007</v>
      </c>
      <c r="T81" s="313">
        <v>22078</v>
      </c>
      <c r="U81" s="313">
        <v>21750</v>
      </c>
      <c r="V81" s="197">
        <f t="shared" si="51"/>
        <v>-1.5</v>
      </c>
      <c r="W81" s="313">
        <f>Z81-T81</f>
        <v>10808</v>
      </c>
      <c r="X81" s="313">
        <f>AA81-U81</f>
        <v>12131</v>
      </c>
      <c r="Y81" s="197">
        <f t="shared" si="52"/>
        <v>12.2</v>
      </c>
      <c r="Z81" s="313">
        <v>32886</v>
      </c>
      <c r="AA81" s="313">
        <v>33881</v>
      </c>
      <c r="AB81" s="197">
        <f t="shared" si="53"/>
        <v>3</v>
      </c>
      <c r="AC81" s="313">
        <f>AF81-Z81</f>
        <v>13780</v>
      </c>
      <c r="AD81" s="313">
        <f>AG81-AA81</f>
        <v>10297</v>
      </c>
      <c r="AE81" s="197">
        <f t="shared" si="54"/>
        <v>-25.3</v>
      </c>
      <c r="AF81" s="313">
        <v>46666</v>
      </c>
      <c r="AG81" s="313">
        <v>44178</v>
      </c>
      <c r="AH81" s="197">
        <f t="shared" si="55"/>
        <v>-5.3</v>
      </c>
      <c r="AI81" s="313">
        <f>AL81-AF81</f>
        <v>14626</v>
      </c>
      <c r="AJ81" s="313">
        <f>AM81-AG81</f>
        <v>8991</v>
      </c>
      <c r="AK81" s="197">
        <f t="shared" si="56"/>
        <v>-38.5</v>
      </c>
      <c r="AL81" s="313">
        <v>61292</v>
      </c>
      <c r="AM81" s="313">
        <v>53169</v>
      </c>
      <c r="AN81" s="197">
        <f t="shared" si="57"/>
        <v>-13.3</v>
      </c>
      <c r="AO81" s="628">
        <f>AR81-AL81</f>
        <v>12278</v>
      </c>
      <c r="AP81" s="628">
        <f>AS81-AM81</f>
        <v>11354</v>
      </c>
      <c r="AQ81" s="618">
        <f t="shared" si="58"/>
        <v>-7.5</v>
      </c>
      <c r="AR81" s="640">
        <v>73570</v>
      </c>
      <c r="AS81" s="640">
        <v>64523</v>
      </c>
      <c r="AT81" s="618">
        <f t="shared" si="59"/>
        <v>-12.3</v>
      </c>
      <c r="AU81" s="640">
        <f>AX81-AR81</f>
        <v>9303</v>
      </c>
      <c r="AV81" s="640">
        <f>AY81-AS81</f>
        <v>17412</v>
      </c>
      <c r="AW81" s="618">
        <f t="shared" si="60"/>
        <v>87.2</v>
      </c>
      <c r="AX81" s="931">
        <v>82873</v>
      </c>
      <c r="AY81" s="931">
        <v>81935</v>
      </c>
      <c r="AZ81" s="618">
        <f t="shared" si="61"/>
        <v>-1.1000000000000001</v>
      </c>
      <c r="BA81" s="640">
        <f>BD81-AX81</f>
        <v>9570</v>
      </c>
      <c r="BB81" s="640">
        <f>BE81-AY81</f>
        <v>12203</v>
      </c>
      <c r="BC81" s="618">
        <f t="shared" si="62"/>
        <v>27.5</v>
      </c>
      <c r="BD81" s="640">
        <v>92443</v>
      </c>
      <c r="BE81" s="640">
        <v>94138</v>
      </c>
      <c r="BF81" s="618">
        <f t="shared" si="63"/>
        <v>1.8</v>
      </c>
      <c r="BG81" s="640">
        <f>BJ81-BD81</f>
        <v>11580</v>
      </c>
      <c r="BH81" s="640">
        <f>BK81-BE81</f>
        <v>12049</v>
      </c>
      <c r="BI81" s="618">
        <f t="shared" si="64"/>
        <v>4.0999999999999996</v>
      </c>
      <c r="BJ81" s="640">
        <v>104023</v>
      </c>
      <c r="BK81" s="640">
        <v>106187</v>
      </c>
      <c r="BL81" s="618">
        <f t="shared" si="65"/>
        <v>2.1</v>
      </c>
      <c r="BM81" s="640">
        <f>BP81-BJ81</f>
        <v>14603</v>
      </c>
      <c r="BN81" s="640">
        <f>BQ81-BK81</f>
        <v>16234</v>
      </c>
      <c r="BO81" s="618">
        <f t="shared" si="66"/>
        <v>11.2</v>
      </c>
      <c r="BP81" s="640">
        <v>118626</v>
      </c>
      <c r="BQ81" s="640">
        <v>122421</v>
      </c>
      <c r="BR81" s="618">
        <f t="shared" si="67"/>
        <v>3.2</v>
      </c>
      <c r="BS81" s="640">
        <f>BV81-BP81</f>
        <v>16119</v>
      </c>
      <c r="BT81" s="640">
        <f>BW81-BQ81</f>
        <v>14071</v>
      </c>
      <c r="BU81" s="618">
        <f t="shared" si="68"/>
        <v>-12.7</v>
      </c>
      <c r="BV81" s="640">
        <v>134745</v>
      </c>
      <c r="BW81" s="640">
        <v>136492</v>
      </c>
      <c r="BX81" s="618">
        <f t="shared" si="69"/>
        <v>1.3</v>
      </c>
    </row>
    <row r="82" spans="1:76" ht="22.5" customHeight="1">
      <c r="A82" s="14"/>
      <c r="B82" s="1104"/>
      <c r="C82" s="1105"/>
      <c r="D82" s="367" t="s">
        <v>320</v>
      </c>
      <c r="E82" s="18">
        <v>464732</v>
      </c>
      <c r="F82" s="18">
        <v>313099</v>
      </c>
      <c r="G82" s="18">
        <v>462009</v>
      </c>
      <c r="H82" s="18">
        <v>440059</v>
      </c>
      <c r="I82" s="18">
        <v>373737</v>
      </c>
      <c r="J82" s="18">
        <v>280289</v>
      </c>
      <c r="K82" s="18">
        <v>350148</v>
      </c>
      <c r="L82" s="186">
        <v>389373</v>
      </c>
      <c r="M82" s="444">
        <v>306235</v>
      </c>
      <c r="N82" s="314">
        <v>24032</v>
      </c>
      <c r="O82" s="314">
        <v>25869</v>
      </c>
      <c r="P82" s="198">
        <f t="shared" si="49"/>
        <v>7.6</v>
      </c>
      <c r="Q82" s="314">
        <f>T82-N82</f>
        <v>20825</v>
      </c>
      <c r="R82" s="314">
        <f>U82-O82</f>
        <v>18753</v>
      </c>
      <c r="S82" s="198">
        <f t="shared" si="50"/>
        <v>-9.9</v>
      </c>
      <c r="T82" s="314">
        <v>44857</v>
      </c>
      <c r="U82" s="314">
        <v>44622</v>
      </c>
      <c r="V82" s="198">
        <f t="shared" si="51"/>
        <v>-0.5</v>
      </c>
      <c r="W82" s="314">
        <f>Z82-T82</f>
        <v>22213</v>
      </c>
      <c r="X82" s="314">
        <f>AA82-U82</f>
        <v>24098</v>
      </c>
      <c r="Y82" s="198">
        <f t="shared" si="52"/>
        <v>8.5</v>
      </c>
      <c r="Z82" s="314">
        <v>67070</v>
      </c>
      <c r="AA82" s="314">
        <v>68720</v>
      </c>
      <c r="AB82" s="198">
        <f t="shared" si="53"/>
        <v>2.5</v>
      </c>
      <c r="AC82" s="314">
        <f>AF82-Z82</f>
        <v>28218</v>
      </c>
      <c r="AD82" s="314">
        <f>AG82-AA82</f>
        <v>19268</v>
      </c>
      <c r="AE82" s="198">
        <f t="shared" si="54"/>
        <v>-31.7</v>
      </c>
      <c r="AF82" s="314">
        <v>95288</v>
      </c>
      <c r="AG82" s="314">
        <v>87988</v>
      </c>
      <c r="AH82" s="198">
        <f t="shared" si="55"/>
        <v>-7.7</v>
      </c>
      <c r="AI82" s="314">
        <f>AL82-AF82</f>
        <v>27641</v>
      </c>
      <c r="AJ82" s="314">
        <f>AM82-AG82</f>
        <v>16180</v>
      </c>
      <c r="AK82" s="198">
        <f t="shared" si="56"/>
        <v>-41.5</v>
      </c>
      <c r="AL82" s="314">
        <v>122929</v>
      </c>
      <c r="AM82" s="314">
        <v>104168</v>
      </c>
      <c r="AN82" s="198">
        <f t="shared" si="57"/>
        <v>-15.3</v>
      </c>
      <c r="AO82" s="629">
        <f>AR82-AL82</f>
        <v>23415</v>
      </c>
      <c r="AP82" s="629">
        <f>AS82-AM82</f>
        <v>20352</v>
      </c>
      <c r="AQ82" s="619">
        <f t="shared" si="58"/>
        <v>-13.1</v>
      </c>
      <c r="AR82" s="641">
        <v>146344</v>
      </c>
      <c r="AS82" s="641">
        <v>124520</v>
      </c>
      <c r="AT82" s="619">
        <f t="shared" si="59"/>
        <v>-14.9</v>
      </c>
      <c r="AU82" s="641">
        <f>AX82-AR82</f>
        <v>16926</v>
      </c>
      <c r="AV82" s="641">
        <f>AY82-AS82</f>
        <v>31011</v>
      </c>
      <c r="AW82" s="619">
        <f t="shared" si="60"/>
        <v>83.2</v>
      </c>
      <c r="AX82" s="932">
        <v>163270</v>
      </c>
      <c r="AY82" s="932">
        <v>155531</v>
      </c>
      <c r="AZ82" s="619">
        <f t="shared" si="61"/>
        <v>-4.7</v>
      </c>
      <c r="BA82" s="641">
        <f>BD82-AX82</f>
        <v>18718</v>
      </c>
      <c r="BB82" s="641">
        <f>BE82-AY82</f>
        <v>22649</v>
      </c>
      <c r="BC82" s="619">
        <f t="shared" si="62"/>
        <v>21</v>
      </c>
      <c r="BD82" s="641">
        <v>181988</v>
      </c>
      <c r="BE82" s="641">
        <v>178180</v>
      </c>
      <c r="BF82" s="619">
        <f t="shared" si="63"/>
        <v>-2.1</v>
      </c>
      <c r="BG82" s="641">
        <f>BJ82-BD82</f>
        <v>23755</v>
      </c>
      <c r="BH82" s="641">
        <f>BK82-BE82</f>
        <v>23709</v>
      </c>
      <c r="BI82" s="619">
        <f t="shared" si="64"/>
        <v>-0.2</v>
      </c>
      <c r="BJ82" s="641">
        <v>205743</v>
      </c>
      <c r="BK82" s="641">
        <v>201889</v>
      </c>
      <c r="BL82" s="619">
        <f t="shared" si="65"/>
        <v>-1.9</v>
      </c>
      <c r="BM82" s="641">
        <f>BP82-BJ82</f>
        <v>30498</v>
      </c>
      <c r="BN82" s="641">
        <f>BQ82-BK82</f>
        <v>31581</v>
      </c>
      <c r="BO82" s="619">
        <f t="shared" si="66"/>
        <v>3.6</v>
      </c>
      <c r="BP82" s="641">
        <v>236241</v>
      </c>
      <c r="BQ82" s="641">
        <v>233470</v>
      </c>
      <c r="BR82" s="619">
        <f t="shared" si="67"/>
        <v>-1.2</v>
      </c>
      <c r="BS82" s="641">
        <f>BV82-BP82</f>
        <v>34324</v>
      </c>
      <c r="BT82" s="641">
        <f>BW82-BQ82</f>
        <v>27336</v>
      </c>
      <c r="BU82" s="619">
        <f t="shared" si="68"/>
        <v>-20.399999999999999</v>
      </c>
      <c r="BV82" s="641">
        <v>270565</v>
      </c>
      <c r="BW82" s="641">
        <v>260806</v>
      </c>
      <c r="BX82" s="619">
        <f t="shared" si="69"/>
        <v>-3.6</v>
      </c>
    </row>
    <row r="83" spans="1:76" ht="22.5" customHeight="1">
      <c r="A83" s="14"/>
      <c r="B83" s="1104"/>
      <c r="C83" s="1105"/>
      <c r="D83" s="371" t="s">
        <v>321</v>
      </c>
      <c r="E83" s="20">
        <f t="shared" ref="E83:O83" si="75">E82/E81*1000</f>
        <v>2569.1130619375094</v>
      </c>
      <c r="F83" s="20">
        <f t="shared" si="75"/>
        <v>2040.5570979809436</v>
      </c>
      <c r="G83" s="20">
        <f t="shared" si="75"/>
        <v>2258.0422861499665</v>
      </c>
      <c r="H83" s="20">
        <f t="shared" si="75"/>
        <v>2174.0971295884592</v>
      </c>
      <c r="I83" s="20">
        <f t="shared" si="75"/>
        <v>1900.3060933940774</v>
      </c>
      <c r="J83" s="20">
        <f t="shared" si="75"/>
        <v>1823.2076183537799</v>
      </c>
      <c r="K83" s="20">
        <f t="shared" si="75"/>
        <v>2268.4737680915296</v>
      </c>
      <c r="L83" s="187">
        <f t="shared" si="75"/>
        <v>2328.9808955295302</v>
      </c>
      <c r="M83" s="445">
        <f>M82/M81*1000</f>
        <v>2021.7134406791968</v>
      </c>
      <c r="N83" s="315">
        <f t="shared" si="75"/>
        <v>2021.3642863150812</v>
      </c>
      <c r="O83" s="315">
        <f t="shared" si="75"/>
        <v>2068.0310176672797</v>
      </c>
      <c r="P83" s="199">
        <f t="shared" si="49"/>
        <v>2.2999999999999998</v>
      </c>
      <c r="Q83" s="315">
        <f>Q82/Q81*1000</f>
        <v>2043.8708411031503</v>
      </c>
      <c r="R83" s="315">
        <f>R82/R81*1000</f>
        <v>2029.3258305378208</v>
      </c>
      <c r="S83" s="199">
        <f t="shared" si="50"/>
        <v>-0.7</v>
      </c>
      <c r="T83" s="315">
        <f>T82/T81*1000</f>
        <v>2031.7510644080082</v>
      </c>
      <c r="U83" s="315">
        <f>U82/U81*1000</f>
        <v>2051.5862068965516</v>
      </c>
      <c r="V83" s="199">
        <f t="shared" si="51"/>
        <v>1</v>
      </c>
      <c r="W83" s="315">
        <f>W82/W81*1000</f>
        <v>2055.2368615840119</v>
      </c>
      <c r="X83" s="315">
        <f>X82/X81*1000</f>
        <v>1986.4809166597972</v>
      </c>
      <c r="Y83" s="199">
        <f t="shared" si="52"/>
        <v>-3.3</v>
      </c>
      <c r="Z83" s="315">
        <f>Z82/Z81*1000</f>
        <v>2039.4696831478441</v>
      </c>
      <c r="AA83" s="315">
        <f>AA82/AA81*1000</f>
        <v>2028.2754346093679</v>
      </c>
      <c r="AB83" s="199">
        <f t="shared" si="53"/>
        <v>-0.5</v>
      </c>
      <c r="AC83" s="315">
        <f>AC82/AC81*1000</f>
        <v>2047.7503628447025</v>
      </c>
      <c r="AD83" s="315">
        <f>AD82/AD81*1000</f>
        <v>1871.2246285325823</v>
      </c>
      <c r="AE83" s="199">
        <f t="shared" si="54"/>
        <v>-8.6</v>
      </c>
      <c r="AF83" s="315">
        <f>AF82/AF81*1000</f>
        <v>2041.9148844983499</v>
      </c>
      <c r="AG83" s="315">
        <f>AG82/AG81*1000</f>
        <v>1991.6700620218207</v>
      </c>
      <c r="AH83" s="199">
        <f t="shared" si="55"/>
        <v>-2.5</v>
      </c>
      <c r="AI83" s="315">
        <f>AI82/AI81*1000</f>
        <v>1889.8536852181046</v>
      </c>
      <c r="AJ83" s="315">
        <f>AJ82/AJ81*1000</f>
        <v>1799.5773551329107</v>
      </c>
      <c r="AK83" s="199">
        <f t="shared" si="56"/>
        <v>-4.8</v>
      </c>
      <c r="AL83" s="315">
        <f>AL82/AL81*1000</f>
        <v>2005.6287933172357</v>
      </c>
      <c r="AM83" s="315">
        <f>AM82/AM81*1000</f>
        <v>1959.1867441554289</v>
      </c>
      <c r="AN83" s="199">
        <f t="shared" si="57"/>
        <v>-2.2999999999999998</v>
      </c>
      <c r="AO83" s="630">
        <f>AO82/AO81*1000</f>
        <v>1907.0695553021665</v>
      </c>
      <c r="AP83" s="630">
        <f>AP82/AP81*1000</f>
        <v>1792.4960366390699</v>
      </c>
      <c r="AQ83" s="620">
        <f t="shared" si="58"/>
        <v>-6</v>
      </c>
      <c r="AR83" s="630">
        <f>AR82/AR81*1000</f>
        <v>1989.1803724344161</v>
      </c>
      <c r="AS83" s="630">
        <f>AS82/AS81*1000</f>
        <v>1929.8544704988917</v>
      </c>
      <c r="AT83" s="620">
        <f t="shared" si="59"/>
        <v>-3</v>
      </c>
      <c r="AU83" s="630">
        <f>AU82/AU81*1000</f>
        <v>1819.41309255079</v>
      </c>
      <c r="AV83" s="630">
        <f>AV82/AV81*1000</f>
        <v>1781.0130944176431</v>
      </c>
      <c r="AW83" s="620">
        <f t="shared" si="60"/>
        <v>-2.1</v>
      </c>
      <c r="AX83" s="933">
        <f>AX82/AX81*1000</f>
        <v>1970.1229592267687</v>
      </c>
      <c r="AY83" s="933">
        <f>AY82/AY81*1000</f>
        <v>1898.2242021114298</v>
      </c>
      <c r="AZ83" s="620">
        <f t="shared" si="61"/>
        <v>-3.6</v>
      </c>
      <c r="BA83" s="630">
        <f>BA82/BA81*1000</f>
        <v>1955.9038662486939</v>
      </c>
      <c r="BB83" s="630">
        <f>BB82/BB81*1000</f>
        <v>1856.01901171843</v>
      </c>
      <c r="BC83" s="620">
        <f t="shared" si="62"/>
        <v>-5.0999999999999996</v>
      </c>
      <c r="BD83" s="630">
        <f>BD82/BD81*1000</f>
        <v>1968.6509524788248</v>
      </c>
      <c r="BE83" s="630">
        <f>BE82/BE81*1000</f>
        <v>1892.7531921222037</v>
      </c>
      <c r="BF83" s="620">
        <f t="shared" si="63"/>
        <v>-3.9</v>
      </c>
      <c r="BG83" s="630">
        <f>BG82/BG81*1000</f>
        <v>2051.3816925734022</v>
      </c>
      <c r="BH83" s="630">
        <f>BH82/BH81*1000</f>
        <v>1967.7151630840735</v>
      </c>
      <c r="BI83" s="620">
        <f t="shared" si="64"/>
        <v>-4.0999999999999996</v>
      </c>
      <c r="BJ83" s="630">
        <f>BJ82/BJ81*1000</f>
        <v>1977.8606654297607</v>
      </c>
      <c r="BK83" s="630">
        <f>BK82/BK81*1000</f>
        <v>1901.2590995131231</v>
      </c>
      <c r="BL83" s="620">
        <f t="shared" si="65"/>
        <v>-3.9</v>
      </c>
      <c r="BM83" s="630">
        <f>BM82/BM81*1000</f>
        <v>2088.4749708963909</v>
      </c>
      <c r="BN83" s="630">
        <f>BN82/BN81*1000</f>
        <v>1945.3615867931501</v>
      </c>
      <c r="BO83" s="620">
        <f t="shared" si="66"/>
        <v>-6.9</v>
      </c>
      <c r="BP83" s="630">
        <f>BP82/BP81*1000</f>
        <v>1991.477416417986</v>
      </c>
      <c r="BQ83" s="630">
        <f>BQ82/BQ81*1000</f>
        <v>1907.1074407168705</v>
      </c>
      <c r="BR83" s="620">
        <f t="shared" si="67"/>
        <v>-4.2</v>
      </c>
      <c r="BS83" s="630">
        <f>BS82/BS81*1000</f>
        <v>2129.4124945716235</v>
      </c>
      <c r="BT83" s="630">
        <f>BT82/BT81*1000</f>
        <v>1942.7190675858149</v>
      </c>
      <c r="BU83" s="620">
        <f t="shared" si="68"/>
        <v>-8.8000000000000007</v>
      </c>
      <c r="BV83" s="630">
        <f>BV82/BV81*1000</f>
        <v>2007.9780325800587</v>
      </c>
      <c r="BW83" s="630">
        <f>BW82/BW81*1000</f>
        <v>1910.7786536939896</v>
      </c>
      <c r="BX83" s="620">
        <f t="shared" si="69"/>
        <v>-4.8</v>
      </c>
    </row>
    <row r="84" spans="1:76" ht="22.5" customHeight="1">
      <c r="A84" s="1106" t="s">
        <v>34</v>
      </c>
      <c r="B84" s="1099" t="s">
        <v>32</v>
      </c>
      <c r="C84" s="1100">
        <v>7502</v>
      </c>
      <c r="D84" s="365" t="s">
        <v>13</v>
      </c>
      <c r="E84" s="11">
        <v>24415</v>
      </c>
      <c r="F84" s="11">
        <v>17056</v>
      </c>
      <c r="G84" s="11">
        <v>18895</v>
      </c>
      <c r="H84" s="11">
        <v>19121</v>
      </c>
      <c r="I84" s="11">
        <v>18205</v>
      </c>
      <c r="J84" s="11">
        <v>24934</v>
      </c>
      <c r="K84" s="11">
        <v>23280</v>
      </c>
      <c r="L84" s="183">
        <v>29120</v>
      </c>
      <c r="M84" s="312">
        <v>33849</v>
      </c>
      <c r="N84" s="311">
        <v>3649</v>
      </c>
      <c r="O84" s="311">
        <v>2897</v>
      </c>
      <c r="P84" s="195">
        <f t="shared" si="49"/>
        <v>-20.6</v>
      </c>
      <c r="Q84" s="311">
        <f>T84-N84</f>
        <v>2849</v>
      </c>
      <c r="R84" s="311">
        <f>U84-O84</f>
        <v>2279</v>
      </c>
      <c r="S84" s="195">
        <f t="shared" si="50"/>
        <v>-20</v>
      </c>
      <c r="T84" s="311">
        <v>6498</v>
      </c>
      <c r="U84" s="311">
        <v>5176</v>
      </c>
      <c r="V84" s="195">
        <f t="shared" si="51"/>
        <v>-20.3</v>
      </c>
      <c r="W84" s="311">
        <f>Z84-T84</f>
        <v>2828</v>
      </c>
      <c r="X84" s="311">
        <f>AA84-U84</f>
        <v>1830</v>
      </c>
      <c r="Y84" s="195">
        <f t="shared" si="52"/>
        <v>-35.299999999999997</v>
      </c>
      <c r="Z84" s="311">
        <v>9326</v>
      </c>
      <c r="AA84" s="311">
        <v>7006</v>
      </c>
      <c r="AB84" s="195">
        <f t="shared" si="53"/>
        <v>-24.9</v>
      </c>
      <c r="AC84" s="311">
        <f>AF84-Z84</f>
        <v>2931</v>
      </c>
      <c r="AD84" s="311">
        <f>AG84-AA84</f>
        <v>2194</v>
      </c>
      <c r="AE84" s="195">
        <f t="shared" si="54"/>
        <v>-25.1</v>
      </c>
      <c r="AF84" s="311">
        <v>12257</v>
      </c>
      <c r="AG84" s="311">
        <v>9200</v>
      </c>
      <c r="AH84" s="195">
        <f t="shared" si="55"/>
        <v>-24.9</v>
      </c>
      <c r="AI84" s="311">
        <f>AL84-AF84</f>
        <v>3352</v>
      </c>
      <c r="AJ84" s="311">
        <f>AM84-AG84</f>
        <v>1945</v>
      </c>
      <c r="AK84" s="195">
        <f t="shared" si="56"/>
        <v>-42</v>
      </c>
      <c r="AL84" s="311">
        <v>15609</v>
      </c>
      <c r="AM84" s="311">
        <v>11145</v>
      </c>
      <c r="AN84" s="195">
        <f t="shared" si="57"/>
        <v>-28.6</v>
      </c>
      <c r="AO84" s="627">
        <f>AR84-AL84</f>
        <v>2472</v>
      </c>
      <c r="AP84" s="627">
        <f>AS84-AM84</f>
        <v>2567</v>
      </c>
      <c r="AQ84" s="617">
        <f t="shared" si="58"/>
        <v>3.8</v>
      </c>
      <c r="AR84" s="869">
        <v>18081</v>
      </c>
      <c r="AS84" s="869">
        <v>13712</v>
      </c>
      <c r="AT84" s="617">
        <f t="shared" si="59"/>
        <v>-24.2</v>
      </c>
      <c r="AU84" s="869">
        <f>AX84-AR84</f>
        <v>2537</v>
      </c>
      <c r="AV84" s="869">
        <f>AY84-AS84</f>
        <v>1888</v>
      </c>
      <c r="AW84" s="617">
        <f t="shared" si="60"/>
        <v>-25.6</v>
      </c>
      <c r="AX84" s="929">
        <v>20618</v>
      </c>
      <c r="AY84" s="929">
        <v>15600</v>
      </c>
      <c r="AZ84" s="617">
        <f t="shared" si="61"/>
        <v>-24.3</v>
      </c>
      <c r="BA84" s="869">
        <f>BD84-AX84</f>
        <v>2927</v>
      </c>
      <c r="BB84" s="869">
        <f>BE84-AY84</f>
        <v>2447</v>
      </c>
      <c r="BC84" s="617">
        <f t="shared" si="62"/>
        <v>-16.399999999999999</v>
      </c>
      <c r="BD84" s="869">
        <v>23545</v>
      </c>
      <c r="BE84" s="869">
        <v>18047</v>
      </c>
      <c r="BF84" s="617">
        <f t="shared" si="63"/>
        <v>-23.4</v>
      </c>
      <c r="BG84" s="869">
        <f>BJ84-BD84</f>
        <v>2014</v>
      </c>
      <c r="BH84" s="869">
        <f>BK84-BE84</f>
        <v>2289</v>
      </c>
      <c r="BI84" s="617">
        <f t="shared" si="64"/>
        <v>13.7</v>
      </c>
      <c r="BJ84" s="869">
        <v>25559</v>
      </c>
      <c r="BK84" s="869">
        <v>20336</v>
      </c>
      <c r="BL84" s="617">
        <f t="shared" si="65"/>
        <v>-20.399999999999999</v>
      </c>
      <c r="BM84" s="869">
        <f>BP84-BJ84</f>
        <v>3081</v>
      </c>
      <c r="BN84" s="869">
        <f>BQ84-BK84</f>
        <v>2615</v>
      </c>
      <c r="BO84" s="617">
        <f t="shared" si="66"/>
        <v>-15.1</v>
      </c>
      <c r="BP84" s="869">
        <v>28640</v>
      </c>
      <c r="BQ84" s="869">
        <v>22951</v>
      </c>
      <c r="BR84" s="617">
        <f t="shared" si="67"/>
        <v>-19.899999999999999</v>
      </c>
      <c r="BS84" s="869">
        <f>BV84-BP84</f>
        <v>2580</v>
      </c>
      <c r="BT84" s="869">
        <f>BW84-BQ84</f>
        <v>2324</v>
      </c>
      <c r="BU84" s="617">
        <f t="shared" si="68"/>
        <v>-9.9</v>
      </c>
      <c r="BV84" s="869">
        <v>31220</v>
      </c>
      <c r="BW84" s="869">
        <v>25275</v>
      </c>
      <c r="BX84" s="617">
        <f t="shared" si="69"/>
        <v>-19</v>
      </c>
    </row>
    <row r="85" spans="1:76" ht="22.5" customHeight="1">
      <c r="A85" s="1102"/>
      <c r="B85" s="1099"/>
      <c r="C85" s="1100"/>
      <c r="D85" s="366" t="s">
        <v>14</v>
      </c>
      <c r="E85" s="6">
        <v>604976</v>
      </c>
      <c r="F85" s="6">
        <v>313527</v>
      </c>
      <c r="G85" s="6">
        <v>292474</v>
      </c>
      <c r="H85" s="6">
        <v>324935</v>
      </c>
      <c r="I85" s="6">
        <v>233949</v>
      </c>
      <c r="J85" s="6">
        <v>235525</v>
      </c>
      <c r="K85" s="6">
        <v>251766</v>
      </c>
      <c r="L85" s="180">
        <v>402545</v>
      </c>
      <c r="M85" s="438">
        <v>471344</v>
      </c>
      <c r="N85" s="309">
        <v>43905</v>
      </c>
      <c r="O85" s="309">
        <v>44000</v>
      </c>
      <c r="P85" s="193">
        <f>ROUND(((O85/N85-1)*100),1)</f>
        <v>0.2</v>
      </c>
      <c r="Q85" s="309">
        <f>T85-N85</f>
        <v>35055</v>
      </c>
      <c r="R85" s="309">
        <f>U85-O85</f>
        <v>33432</v>
      </c>
      <c r="S85" s="193">
        <f t="shared" si="50"/>
        <v>-4.5999999999999996</v>
      </c>
      <c r="T85" s="309">
        <v>78960</v>
      </c>
      <c r="U85" s="309">
        <v>77432</v>
      </c>
      <c r="V85" s="193">
        <f t="shared" si="51"/>
        <v>-1.9</v>
      </c>
      <c r="W85" s="309">
        <f>Z85-T85</f>
        <v>35538</v>
      </c>
      <c r="X85" s="309">
        <f>AA85-U85</f>
        <v>24863</v>
      </c>
      <c r="Y85" s="193">
        <f t="shared" si="52"/>
        <v>-30</v>
      </c>
      <c r="Z85" s="309">
        <v>114498</v>
      </c>
      <c r="AA85" s="309">
        <v>102295</v>
      </c>
      <c r="AB85" s="193">
        <f t="shared" si="53"/>
        <v>-10.7</v>
      </c>
      <c r="AC85" s="309">
        <f>AF85-Z85</f>
        <v>39023</v>
      </c>
      <c r="AD85" s="309">
        <f>AG85-AA85</f>
        <v>28117</v>
      </c>
      <c r="AE85" s="193">
        <f t="shared" si="54"/>
        <v>-27.9</v>
      </c>
      <c r="AF85" s="309">
        <v>153521</v>
      </c>
      <c r="AG85" s="309">
        <v>130412</v>
      </c>
      <c r="AH85" s="193">
        <f t="shared" si="55"/>
        <v>-15.1</v>
      </c>
      <c r="AI85" s="309">
        <f>AL85-AF85</f>
        <v>43309</v>
      </c>
      <c r="AJ85" s="309">
        <f>AM85-AG85</f>
        <v>24653</v>
      </c>
      <c r="AK85" s="193">
        <f t="shared" si="56"/>
        <v>-43.1</v>
      </c>
      <c r="AL85" s="309">
        <v>196830</v>
      </c>
      <c r="AM85" s="309">
        <v>155065</v>
      </c>
      <c r="AN85" s="193">
        <f t="shared" si="57"/>
        <v>-21.2</v>
      </c>
      <c r="AO85" s="625">
        <f>AR85-AL85</f>
        <v>33357</v>
      </c>
      <c r="AP85" s="625">
        <f>AS85-AM85</f>
        <v>31845</v>
      </c>
      <c r="AQ85" s="615">
        <f t="shared" si="58"/>
        <v>-4.5</v>
      </c>
      <c r="AR85" s="868">
        <v>230187</v>
      </c>
      <c r="AS85" s="868">
        <v>186910</v>
      </c>
      <c r="AT85" s="615">
        <f t="shared" si="59"/>
        <v>-18.8</v>
      </c>
      <c r="AU85" s="868">
        <f>AX85-AR85</f>
        <v>32934</v>
      </c>
      <c r="AV85" s="868">
        <f>AY85-AS85</f>
        <v>25363</v>
      </c>
      <c r="AW85" s="615">
        <f t="shared" si="60"/>
        <v>-23</v>
      </c>
      <c r="AX85" s="925">
        <v>263121</v>
      </c>
      <c r="AY85" s="925">
        <v>212273</v>
      </c>
      <c r="AZ85" s="615">
        <f t="shared" si="61"/>
        <v>-19.3</v>
      </c>
      <c r="BA85" s="868">
        <f>BD85-AX85</f>
        <v>41056</v>
      </c>
      <c r="BB85" s="868">
        <f>BE85-AY85</f>
        <v>34203</v>
      </c>
      <c r="BC85" s="615">
        <f t="shared" si="62"/>
        <v>-16.7</v>
      </c>
      <c r="BD85" s="868">
        <v>304177</v>
      </c>
      <c r="BE85" s="868">
        <v>246476</v>
      </c>
      <c r="BF85" s="615">
        <f t="shared" si="63"/>
        <v>-19</v>
      </c>
      <c r="BG85" s="868">
        <f>BJ85-BD85</f>
        <v>29080</v>
      </c>
      <c r="BH85" s="868">
        <f>BK85-BE85</f>
        <v>33585</v>
      </c>
      <c r="BI85" s="615">
        <f t="shared" si="64"/>
        <v>15.5</v>
      </c>
      <c r="BJ85" s="868">
        <v>333257</v>
      </c>
      <c r="BK85" s="868">
        <v>280061</v>
      </c>
      <c r="BL85" s="615">
        <f t="shared" si="65"/>
        <v>-16</v>
      </c>
      <c r="BM85" s="868">
        <f>BP85-BJ85</f>
        <v>50345</v>
      </c>
      <c r="BN85" s="868">
        <f>BQ85-BK85</f>
        <v>40696</v>
      </c>
      <c r="BO85" s="615">
        <f t="shared" si="66"/>
        <v>-19.2</v>
      </c>
      <c r="BP85" s="868">
        <v>383602</v>
      </c>
      <c r="BQ85" s="868">
        <v>320757</v>
      </c>
      <c r="BR85" s="615">
        <f t="shared" si="67"/>
        <v>-16.399999999999999</v>
      </c>
      <c r="BS85" s="868">
        <f>BV85-BP85</f>
        <v>43477</v>
      </c>
      <c r="BT85" s="868">
        <f>BW85-BQ85</f>
        <v>36592</v>
      </c>
      <c r="BU85" s="615">
        <f t="shared" si="68"/>
        <v>-15.8</v>
      </c>
      <c r="BV85" s="868">
        <v>427079</v>
      </c>
      <c r="BW85" s="868">
        <v>357349</v>
      </c>
      <c r="BX85" s="615">
        <f t="shared" si="69"/>
        <v>-16.3</v>
      </c>
    </row>
    <row r="86" spans="1:76" ht="22.5" customHeight="1">
      <c r="A86" s="14"/>
      <c r="B86" s="1099"/>
      <c r="C86" s="1100"/>
      <c r="D86" s="370" t="s">
        <v>15</v>
      </c>
      <c r="E86" s="12">
        <f t="shared" ref="E86:O86" si="76">E85/E84*1000</f>
        <v>24778.86545156666</v>
      </c>
      <c r="F86" s="12">
        <f t="shared" si="76"/>
        <v>18382.211538461539</v>
      </c>
      <c r="G86" s="12">
        <f t="shared" si="76"/>
        <v>15478.909764487958</v>
      </c>
      <c r="H86" s="12">
        <f t="shared" si="76"/>
        <v>16993.619580565868</v>
      </c>
      <c r="I86" s="12">
        <f t="shared" si="76"/>
        <v>12850.810216973359</v>
      </c>
      <c r="J86" s="12">
        <f t="shared" si="76"/>
        <v>9445.9372744044267</v>
      </c>
      <c r="K86" s="12">
        <f t="shared" si="76"/>
        <v>10814.690721649484</v>
      </c>
      <c r="L86" s="184">
        <f t="shared" si="76"/>
        <v>13823.660714285714</v>
      </c>
      <c r="M86" s="442">
        <f>M85/M84*1000</f>
        <v>13924.901769623919</v>
      </c>
      <c r="N86" s="310">
        <f t="shared" si="76"/>
        <v>12032.063579062758</v>
      </c>
      <c r="O86" s="310">
        <f t="shared" si="76"/>
        <v>15188.125647221263</v>
      </c>
      <c r="P86" s="194">
        <f t="shared" si="49"/>
        <v>26.2</v>
      </c>
      <c r="Q86" s="310">
        <f>Q85/Q84*1000</f>
        <v>12304.317304317305</v>
      </c>
      <c r="R86" s="310">
        <f>R85/R84*1000</f>
        <v>14669.591926283458</v>
      </c>
      <c r="S86" s="194">
        <f t="shared" si="50"/>
        <v>19.2</v>
      </c>
      <c r="T86" s="310">
        <f>T85/T84*1000</f>
        <v>12151.431209602953</v>
      </c>
      <c r="U86" s="310">
        <f>U85/U84*1000</f>
        <v>14959.814528593508</v>
      </c>
      <c r="V86" s="194">
        <f t="shared" si="51"/>
        <v>23.1</v>
      </c>
      <c r="W86" s="310">
        <f>W85/W84*1000</f>
        <v>12566.478076379066</v>
      </c>
      <c r="X86" s="310">
        <f>X85/X84*1000</f>
        <v>13586.338797814207</v>
      </c>
      <c r="Y86" s="194">
        <f t="shared" si="52"/>
        <v>8.1</v>
      </c>
      <c r="Z86" s="310">
        <f>Z85/Z84*1000</f>
        <v>12277.28929873472</v>
      </c>
      <c r="AA86" s="310">
        <f>AA85/AA84*1000</f>
        <v>14601.056237510704</v>
      </c>
      <c r="AB86" s="194">
        <f t="shared" si="53"/>
        <v>18.899999999999999</v>
      </c>
      <c r="AC86" s="310">
        <f>AC85/AC84*1000</f>
        <v>13313.886045718185</v>
      </c>
      <c r="AD86" s="310">
        <f>AD85/AD84*1000</f>
        <v>12815.405651777575</v>
      </c>
      <c r="AE86" s="194">
        <f t="shared" si="54"/>
        <v>-3.7</v>
      </c>
      <c r="AF86" s="310">
        <f>AF85/AF84*1000</f>
        <v>12525.169291017377</v>
      </c>
      <c r="AG86" s="310">
        <f>AG85/AG84*1000</f>
        <v>14175.217391304348</v>
      </c>
      <c r="AH86" s="194">
        <f t="shared" si="55"/>
        <v>13.2</v>
      </c>
      <c r="AI86" s="310">
        <f>AI85/AI84*1000</f>
        <v>12920.346062052506</v>
      </c>
      <c r="AJ86" s="310">
        <f>AJ85/AJ84*1000</f>
        <v>12675.064267352185</v>
      </c>
      <c r="AK86" s="194">
        <f t="shared" si="56"/>
        <v>-1.9</v>
      </c>
      <c r="AL86" s="310">
        <f>AL85/AL84*1000</f>
        <v>12610.032673457621</v>
      </c>
      <c r="AM86" s="310">
        <f>AM85/AM84*1000</f>
        <v>13913.414087034544</v>
      </c>
      <c r="AN86" s="194">
        <f t="shared" si="57"/>
        <v>10.3</v>
      </c>
      <c r="AO86" s="626">
        <f>AO85/AO84*1000</f>
        <v>13493.932038834952</v>
      </c>
      <c r="AP86" s="626">
        <f>AP85/AP84*1000</f>
        <v>12405.531749123491</v>
      </c>
      <c r="AQ86" s="616">
        <f t="shared" si="58"/>
        <v>-8.1</v>
      </c>
      <c r="AR86" s="626">
        <f>AR85/AR84*1000</f>
        <v>12730.877716940435</v>
      </c>
      <c r="AS86" s="626">
        <f>AS85/AS84*1000</f>
        <v>13631.126021003502</v>
      </c>
      <c r="AT86" s="616">
        <f t="shared" si="59"/>
        <v>7.1</v>
      </c>
      <c r="AU86" s="626">
        <f>AU85/AU84*1000</f>
        <v>12981.474182104848</v>
      </c>
      <c r="AV86" s="626">
        <f>AV85/AV84*1000</f>
        <v>13433.792372881357</v>
      </c>
      <c r="AW86" s="616">
        <f t="shared" si="60"/>
        <v>3.5</v>
      </c>
      <c r="AX86" s="930">
        <f>AX85/AX84*1000</f>
        <v>12761.713066252789</v>
      </c>
      <c r="AY86" s="930">
        <f>AY85/AY84*1000</f>
        <v>13607.24358974359</v>
      </c>
      <c r="AZ86" s="616">
        <f t="shared" si="61"/>
        <v>6.6</v>
      </c>
      <c r="BA86" s="626">
        <f>BA85/BA84*1000</f>
        <v>14026.648445507344</v>
      </c>
      <c r="BB86" s="626">
        <f>BB85/BB84*1000</f>
        <v>13977.523498161014</v>
      </c>
      <c r="BC86" s="616">
        <f t="shared" si="62"/>
        <v>-0.4</v>
      </c>
      <c r="BD86" s="626">
        <f>BD85/BD84*1000</f>
        <v>12918.963686557656</v>
      </c>
      <c r="BE86" s="626">
        <f>BE85/BE84*1000</f>
        <v>13657.449991688369</v>
      </c>
      <c r="BF86" s="616">
        <f t="shared" si="63"/>
        <v>5.7</v>
      </c>
      <c r="BG86" s="626">
        <f>BG85/BG84*1000</f>
        <v>14438.927507447865</v>
      </c>
      <c r="BH86" s="626">
        <f>BH85/BH84*1000</f>
        <v>14672.346002621232</v>
      </c>
      <c r="BI86" s="616">
        <f t="shared" si="64"/>
        <v>1.6</v>
      </c>
      <c r="BJ86" s="626">
        <f>BJ85/BJ84*1000</f>
        <v>13038.733909777378</v>
      </c>
      <c r="BK86" s="626">
        <f>BK85/BK84*1000</f>
        <v>13771.685680566483</v>
      </c>
      <c r="BL86" s="616">
        <f t="shared" si="65"/>
        <v>5.6</v>
      </c>
      <c r="BM86" s="626">
        <f>BM85/BM84*1000</f>
        <v>16340.473872119443</v>
      </c>
      <c r="BN86" s="626">
        <f>BN85/BN84*1000</f>
        <v>15562.523900573615</v>
      </c>
      <c r="BO86" s="616">
        <f t="shared" si="66"/>
        <v>-4.8</v>
      </c>
      <c r="BP86" s="626">
        <f>BP85/BP84*1000</f>
        <v>13393.924581005587</v>
      </c>
      <c r="BQ86" s="626">
        <f>BQ85/BQ84*1000</f>
        <v>13975.730904971462</v>
      </c>
      <c r="BR86" s="616">
        <f t="shared" si="67"/>
        <v>4.3</v>
      </c>
      <c r="BS86" s="626">
        <f>BS85/BS84*1000</f>
        <v>16851.550387596897</v>
      </c>
      <c r="BT86" s="626">
        <f>BT85/BT84*1000</f>
        <v>15745.266781411359</v>
      </c>
      <c r="BU86" s="616">
        <f t="shared" si="68"/>
        <v>-6.6</v>
      </c>
      <c r="BV86" s="626">
        <f>BV85/BV84*1000</f>
        <v>13679.660474055092</v>
      </c>
      <c r="BW86" s="626">
        <f>BW85/BW84*1000</f>
        <v>14138.437190900098</v>
      </c>
      <c r="BX86" s="616">
        <f t="shared" si="69"/>
        <v>3.4</v>
      </c>
    </row>
    <row r="87" spans="1:76" ht="22.5" customHeight="1">
      <c r="A87" s="14"/>
      <c r="B87" s="1099" t="s">
        <v>24</v>
      </c>
      <c r="C87" s="1100"/>
      <c r="D87" s="365" t="s">
        <v>13</v>
      </c>
      <c r="E87" s="11">
        <f t="shared" ref="E87:L88" si="77">E90-E84</f>
        <v>36778</v>
      </c>
      <c r="F87" s="11">
        <f t="shared" si="77"/>
        <v>33331</v>
      </c>
      <c r="G87" s="11">
        <f t="shared" si="77"/>
        <v>38610</v>
      </c>
      <c r="H87" s="11">
        <f t="shared" si="77"/>
        <v>26450</v>
      </c>
      <c r="I87" s="11">
        <f t="shared" si="77"/>
        <v>26781</v>
      </c>
      <c r="J87" s="11">
        <f t="shared" si="77"/>
        <v>37055</v>
      </c>
      <c r="K87" s="11">
        <f t="shared" si="77"/>
        <v>32165</v>
      </c>
      <c r="L87" s="183">
        <f t="shared" si="77"/>
        <v>27529</v>
      </c>
      <c r="M87" s="312">
        <f t="shared" ref="M87:O88" si="78">M90-M84</f>
        <v>27274</v>
      </c>
      <c r="N87" s="311">
        <f t="shared" si="78"/>
        <v>2197</v>
      </c>
      <c r="O87" s="311">
        <f t="shared" si="78"/>
        <v>2004</v>
      </c>
      <c r="P87" s="195">
        <f t="shared" si="49"/>
        <v>-8.8000000000000007</v>
      </c>
      <c r="Q87" s="311">
        <f>Q90-Q84</f>
        <v>1736</v>
      </c>
      <c r="R87" s="311">
        <f>R90-R84</f>
        <v>3064</v>
      </c>
      <c r="S87" s="195">
        <f t="shared" si="50"/>
        <v>76.5</v>
      </c>
      <c r="T87" s="311">
        <f>T90-T84</f>
        <v>3933</v>
      </c>
      <c r="U87" s="311">
        <f>U90-U84</f>
        <v>5068</v>
      </c>
      <c r="V87" s="195">
        <f t="shared" si="51"/>
        <v>28.9</v>
      </c>
      <c r="W87" s="311">
        <f>W90-W84</f>
        <v>2211</v>
      </c>
      <c r="X87" s="311">
        <f>X90-X84</f>
        <v>2623</v>
      </c>
      <c r="Y87" s="195">
        <f t="shared" si="52"/>
        <v>18.600000000000001</v>
      </c>
      <c r="Z87" s="311">
        <f>Z90-Z84</f>
        <v>6144</v>
      </c>
      <c r="AA87" s="311">
        <f>AA90-AA84</f>
        <v>7691</v>
      </c>
      <c r="AB87" s="195">
        <f t="shared" si="53"/>
        <v>25.2</v>
      </c>
      <c r="AC87" s="311">
        <f>AC90-AC84</f>
        <v>2149</v>
      </c>
      <c r="AD87" s="311">
        <f>AD90-AD84</f>
        <v>3167</v>
      </c>
      <c r="AE87" s="195">
        <f t="shared" si="54"/>
        <v>47.4</v>
      </c>
      <c r="AF87" s="311">
        <f>AF90-AF84</f>
        <v>8293</v>
      </c>
      <c r="AG87" s="311">
        <f>AG90-AG84</f>
        <v>10858</v>
      </c>
      <c r="AH87" s="195">
        <f t="shared" si="55"/>
        <v>30.9</v>
      </c>
      <c r="AI87" s="311">
        <f>AI90-AI84</f>
        <v>2487</v>
      </c>
      <c r="AJ87" s="311">
        <f>AJ90-AJ84</f>
        <v>2339</v>
      </c>
      <c r="AK87" s="195">
        <f t="shared" si="56"/>
        <v>-6</v>
      </c>
      <c r="AL87" s="311">
        <f>AL90-AL84</f>
        <v>10780</v>
      </c>
      <c r="AM87" s="311">
        <f>AM90-AM84</f>
        <v>13197</v>
      </c>
      <c r="AN87" s="195">
        <f t="shared" si="57"/>
        <v>22.4</v>
      </c>
      <c r="AO87" s="627">
        <f>AO90-AO84</f>
        <v>1325</v>
      </c>
      <c r="AP87" s="627">
        <f>AP90-AP84</f>
        <v>2252</v>
      </c>
      <c r="AQ87" s="617">
        <f t="shared" si="58"/>
        <v>70</v>
      </c>
      <c r="AR87" s="869">
        <f>AR90-AR84</f>
        <v>12105</v>
      </c>
      <c r="AS87" s="869">
        <f>AS90-AS84</f>
        <v>15449</v>
      </c>
      <c r="AT87" s="617">
        <f t="shared" si="59"/>
        <v>27.6</v>
      </c>
      <c r="AU87" s="869">
        <f>AU90-AU84</f>
        <v>2237</v>
      </c>
      <c r="AV87" s="869">
        <f>AV90-AV84</f>
        <v>2030</v>
      </c>
      <c r="AW87" s="617">
        <f t="shared" si="60"/>
        <v>-9.3000000000000007</v>
      </c>
      <c r="AX87" s="929">
        <f>AX90-AX84</f>
        <v>14342</v>
      </c>
      <c r="AY87" s="929">
        <f>AY90-AY84</f>
        <v>17479</v>
      </c>
      <c r="AZ87" s="617">
        <f t="shared" si="61"/>
        <v>21.9</v>
      </c>
      <c r="BA87" s="869">
        <f>BA90-BA84</f>
        <v>2561</v>
      </c>
      <c r="BB87" s="869">
        <f>BB90-BB84</f>
        <v>2936</v>
      </c>
      <c r="BC87" s="617">
        <f t="shared" si="62"/>
        <v>14.6</v>
      </c>
      <c r="BD87" s="869">
        <f>BD90-BD84</f>
        <v>16903</v>
      </c>
      <c r="BE87" s="869">
        <f>BE90-BE84</f>
        <v>20415</v>
      </c>
      <c r="BF87" s="617">
        <f t="shared" si="63"/>
        <v>20.8</v>
      </c>
      <c r="BG87" s="869">
        <f>BG90-BG84</f>
        <v>1620</v>
      </c>
      <c r="BH87" s="869">
        <f>BH90-BH84</f>
        <v>3413</v>
      </c>
      <c r="BI87" s="617">
        <f t="shared" si="64"/>
        <v>110.7</v>
      </c>
      <c r="BJ87" s="869">
        <f>BJ90-BJ84</f>
        <v>18523</v>
      </c>
      <c r="BK87" s="869">
        <f>BK90-BK84</f>
        <v>23828</v>
      </c>
      <c r="BL87" s="617">
        <f t="shared" si="65"/>
        <v>28.6</v>
      </c>
      <c r="BM87" s="869">
        <f>BM90-BM84</f>
        <v>2519</v>
      </c>
      <c r="BN87" s="869">
        <f>BN90-BN84</f>
        <v>1259</v>
      </c>
      <c r="BO87" s="617">
        <f t="shared" si="66"/>
        <v>-50</v>
      </c>
      <c r="BP87" s="869">
        <f>BP90-BP84</f>
        <v>21042</v>
      </c>
      <c r="BQ87" s="869">
        <f>BQ90-BQ84</f>
        <v>25087</v>
      </c>
      <c r="BR87" s="617">
        <f t="shared" si="67"/>
        <v>19.2</v>
      </c>
      <c r="BS87" s="869">
        <f>BS90-BS84</f>
        <v>2657</v>
      </c>
      <c r="BT87" s="869">
        <f>BT90-BT84</f>
        <v>2368</v>
      </c>
      <c r="BU87" s="617">
        <f t="shared" si="68"/>
        <v>-10.9</v>
      </c>
      <c r="BV87" s="869">
        <f>BV90-BV84</f>
        <v>23699</v>
      </c>
      <c r="BW87" s="869">
        <f>BW90-BW84</f>
        <v>27455</v>
      </c>
      <c r="BX87" s="617">
        <f t="shared" si="69"/>
        <v>15.8</v>
      </c>
    </row>
    <row r="88" spans="1:76" ht="22.5" customHeight="1">
      <c r="A88" s="14"/>
      <c r="B88" s="1099"/>
      <c r="C88" s="1100"/>
      <c r="D88" s="366" t="s">
        <v>14</v>
      </c>
      <c r="E88" s="6">
        <f t="shared" si="77"/>
        <v>946474</v>
      </c>
      <c r="F88" s="6">
        <f t="shared" si="77"/>
        <v>792148</v>
      </c>
      <c r="G88" s="6">
        <f t="shared" si="77"/>
        <v>822853</v>
      </c>
      <c r="H88" s="6">
        <f t="shared" si="77"/>
        <v>655551</v>
      </c>
      <c r="I88" s="6">
        <f t="shared" si="77"/>
        <v>544211</v>
      </c>
      <c r="J88" s="6">
        <f t="shared" si="77"/>
        <v>511959</v>
      </c>
      <c r="K88" s="6">
        <f t="shared" si="77"/>
        <v>549858</v>
      </c>
      <c r="L88" s="180">
        <f t="shared" si="77"/>
        <v>603748</v>
      </c>
      <c r="M88" s="438">
        <f t="shared" si="78"/>
        <v>624448</v>
      </c>
      <c r="N88" s="309">
        <f t="shared" si="78"/>
        <v>50622</v>
      </c>
      <c r="O88" s="309">
        <f t="shared" si="78"/>
        <v>46090</v>
      </c>
      <c r="P88" s="193">
        <f t="shared" si="49"/>
        <v>-9</v>
      </c>
      <c r="Q88" s="309">
        <f>Q91-Q85</f>
        <v>37534</v>
      </c>
      <c r="R88" s="309">
        <f>R91-R85</f>
        <v>56833</v>
      </c>
      <c r="S88" s="193">
        <f t="shared" si="50"/>
        <v>51.4</v>
      </c>
      <c r="T88" s="309">
        <f>T91-T85</f>
        <v>88156</v>
      </c>
      <c r="U88" s="309">
        <f>U91-U85</f>
        <v>102923</v>
      </c>
      <c r="V88" s="193">
        <f t="shared" si="51"/>
        <v>16.8</v>
      </c>
      <c r="W88" s="309">
        <f>W91-W85</f>
        <v>49395</v>
      </c>
      <c r="X88" s="309">
        <f>X91-X85</f>
        <v>57970</v>
      </c>
      <c r="Y88" s="193">
        <f t="shared" si="52"/>
        <v>17.399999999999999</v>
      </c>
      <c r="Z88" s="309">
        <f>Z91-Z85</f>
        <v>137551</v>
      </c>
      <c r="AA88" s="309">
        <f>AA91-AA85</f>
        <v>160893</v>
      </c>
      <c r="AB88" s="193">
        <f t="shared" si="53"/>
        <v>17</v>
      </c>
      <c r="AC88" s="309">
        <f>AC91-AC85</f>
        <v>45714</v>
      </c>
      <c r="AD88" s="309">
        <f>AD91-AD85</f>
        <v>56688</v>
      </c>
      <c r="AE88" s="193">
        <f t="shared" si="54"/>
        <v>24</v>
      </c>
      <c r="AF88" s="309">
        <f>AF91-AF85</f>
        <v>183265</v>
      </c>
      <c r="AG88" s="309">
        <f>AG91-AG85</f>
        <v>217581</v>
      </c>
      <c r="AH88" s="193">
        <f t="shared" si="55"/>
        <v>18.7</v>
      </c>
      <c r="AI88" s="309">
        <f>AI91-AI85</f>
        <v>56047</v>
      </c>
      <c r="AJ88" s="309">
        <f>AJ91-AJ85</f>
        <v>42061</v>
      </c>
      <c r="AK88" s="193">
        <f t="shared" si="56"/>
        <v>-25</v>
      </c>
      <c r="AL88" s="309">
        <f>AL91-AL85</f>
        <v>239312</v>
      </c>
      <c r="AM88" s="309">
        <f>AM91-AM85</f>
        <v>259642</v>
      </c>
      <c r="AN88" s="193">
        <f t="shared" si="57"/>
        <v>8.5</v>
      </c>
      <c r="AO88" s="625">
        <f>AO91-AO85</f>
        <v>39355</v>
      </c>
      <c r="AP88" s="625">
        <f>AP91-AP85</f>
        <v>56210</v>
      </c>
      <c r="AQ88" s="615">
        <f t="shared" si="58"/>
        <v>42.8</v>
      </c>
      <c r="AR88" s="868">
        <f>AR91-AR85</f>
        <v>278667</v>
      </c>
      <c r="AS88" s="868">
        <f>AS91-AS85</f>
        <v>315852</v>
      </c>
      <c r="AT88" s="615">
        <f t="shared" si="59"/>
        <v>13.3</v>
      </c>
      <c r="AU88" s="868">
        <f>AU91-AU85</f>
        <v>54053</v>
      </c>
      <c r="AV88" s="868">
        <f>AV91-AV85</f>
        <v>39240</v>
      </c>
      <c r="AW88" s="615">
        <f t="shared" si="60"/>
        <v>-27.4</v>
      </c>
      <c r="AX88" s="925">
        <f>AX91-AX85</f>
        <v>332720</v>
      </c>
      <c r="AY88" s="925">
        <f>AY91-AY85</f>
        <v>355092</v>
      </c>
      <c r="AZ88" s="615">
        <f t="shared" si="61"/>
        <v>6.7</v>
      </c>
      <c r="BA88" s="868">
        <f>BA91-BA85</f>
        <v>62375</v>
      </c>
      <c r="BB88" s="868">
        <f>BB91-BB85</f>
        <v>48811</v>
      </c>
      <c r="BC88" s="615">
        <f t="shared" si="62"/>
        <v>-21.7</v>
      </c>
      <c r="BD88" s="868">
        <f>BD91-BD85</f>
        <v>395095</v>
      </c>
      <c r="BE88" s="868">
        <f>BE91-BE85</f>
        <v>403903</v>
      </c>
      <c r="BF88" s="615">
        <f t="shared" si="63"/>
        <v>2.2000000000000002</v>
      </c>
      <c r="BG88" s="868">
        <f>BG91-BG85</f>
        <v>41452</v>
      </c>
      <c r="BH88" s="868">
        <f>BH91-BH85</f>
        <v>59979</v>
      </c>
      <c r="BI88" s="615">
        <f t="shared" si="64"/>
        <v>44.7</v>
      </c>
      <c r="BJ88" s="868">
        <f>BJ91-BJ85</f>
        <v>436547</v>
      </c>
      <c r="BK88" s="868">
        <f>BK91-BK85</f>
        <v>463882</v>
      </c>
      <c r="BL88" s="615">
        <f t="shared" si="65"/>
        <v>6.3</v>
      </c>
      <c r="BM88" s="868">
        <f>BM91-BM85</f>
        <v>49117</v>
      </c>
      <c r="BN88" s="868">
        <f>BN91-BN85</f>
        <v>42821</v>
      </c>
      <c r="BO88" s="615">
        <f t="shared" si="66"/>
        <v>-12.8</v>
      </c>
      <c r="BP88" s="868">
        <f>BP91-BP85</f>
        <v>485664</v>
      </c>
      <c r="BQ88" s="868">
        <f>BQ91-BQ85</f>
        <v>506703</v>
      </c>
      <c r="BR88" s="615">
        <f t="shared" si="67"/>
        <v>4.3</v>
      </c>
      <c r="BS88" s="868">
        <f>BS91-BS85</f>
        <v>63612</v>
      </c>
      <c r="BT88" s="868">
        <f>BT91-BT85</f>
        <v>47634</v>
      </c>
      <c r="BU88" s="615">
        <f t="shared" si="68"/>
        <v>-25.1</v>
      </c>
      <c r="BV88" s="868">
        <f>BV91-BV85</f>
        <v>549276</v>
      </c>
      <c r="BW88" s="868">
        <f>BW91-BW85</f>
        <v>554337</v>
      </c>
      <c r="BX88" s="615">
        <f t="shared" si="69"/>
        <v>0.9</v>
      </c>
    </row>
    <row r="89" spans="1:76" ht="22.5" customHeight="1">
      <c r="A89" s="14"/>
      <c r="B89" s="1099"/>
      <c r="C89" s="1100"/>
      <c r="D89" s="370" t="s">
        <v>15</v>
      </c>
      <c r="E89" s="12">
        <f t="shared" ref="E89:O89" si="79">E88/E87*1000</f>
        <v>25734.787100984286</v>
      </c>
      <c r="F89" s="12">
        <f t="shared" si="79"/>
        <v>23766.10362725391</v>
      </c>
      <c r="G89" s="12">
        <f t="shared" si="79"/>
        <v>21311.914011914014</v>
      </c>
      <c r="H89" s="12">
        <f t="shared" si="79"/>
        <v>24784.536862003781</v>
      </c>
      <c r="I89" s="12">
        <f t="shared" si="79"/>
        <v>20320.787125200703</v>
      </c>
      <c r="J89" s="12">
        <f t="shared" si="79"/>
        <v>13816.192146808797</v>
      </c>
      <c r="K89" s="12">
        <f t="shared" si="79"/>
        <v>17094.916835069173</v>
      </c>
      <c r="L89" s="184">
        <f t="shared" si="79"/>
        <v>21931.345126957025</v>
      </c>
      <c r="M89" s="442">
        <f>M88/M87*1000</f>
        <v>22895.358216616558</v>
      </c>
      <c r="N89" s="310">
        <f t="shared" si="79"/>
        <v>23041.420118343198</v>
      </c>
      <c r="O89" s="310">
        <f t="shared" si="79"/>
        <v>22999.001996007984</v>
      </c>
      <c r="P89" s="194">
        <f t="shared" si="49"/>
        <v>-0.2</v>
      </c>
      <c r="Q89" s="310">
        <f>Q88/Q87*1000</f>
        <v>21620.967741935485</v>
      </c>
      <c r="R89" s="310">
        <f>R88/R87*1000</f>
        <v>18548.629242819843</v>
      </c>
      <c r="S89" s="194">
        <f t="shared" si="50"/>
        <v>-14.2</v>
      </c>
      <c r="T89" s="310">
        <f>T88/T87*1000</f>
        <v>22414.441901856091</v>
      </c>
      <c r="U89" s="310">
        <f>U88/U87*1000</f>
        <v>20308.405682715074</v>
      </c>
      <c r="V89" s="194">
        <f t="shared" si="51"/>
        <v>-9.4</v>
      </c>
      <c r="W89" s="310">
        <f>W88/W87*1000</f>
        <v>22340.56987788331</v>
      </c>
      <c r="X89" s="310">
        <f>X88/X87*1000</f>
        <v>22100.648112847884</v>
      </c>
      <c r="Y89" s="194">
        <f t="shared" si="52"/>
        <v>-1.1000000000000001</v>
      </c>
      <c r="Z89" s="310">
        <f>Z88/Z87*1000</f>
        <v>22387.858072916668</v>
      </c>
      <c r="AA89" s="310">
        <f>AA88/AA87*1000</f>
        <v>20919.646339877778</v>
      </c>
      <c r="AB89" s="194">
        <f t="shared" si="53"/>
        <v>-6.6</v>
      </c>
      <c r="AC89" s="310">
        <f>AC88/AC87*1000</f>
        <v>21272.219637040482</v>
      </c>
      <c r="AD89" s="310">
        <f>AD88/AD87*1000</f>
        <v>17899.58951689296</v>
      </c>
      <c r="AE89" s="194">
        <f t="shared" si="54"/>
        <v>-15.9</v>
      </c>
      <c r="AF89" s="310">
        <f>AF88/AF87*1000</f>
        <v>22098.757988665137</v>
      </c>
      <c r="AG89" s="310">
        <f>AG88/AG87*1000</f>
        <v>20038.773254743046</v>
      </c>
      <c r="AH89" s="194">
        <f t="shared" si="55"/>
        <v>-9.3000000000000007</v>
      </c>
      <c r="AI89" s="310">
        <f>AI88/AI87*1000</f>
        <v>22535.98713309208</v>
      </c>
      <c r="AJ89" s="310">
        <f>AJ88/AJ87*1000</f>
        <v>17982.471141513466</v>
      </c>
      <c r="AK89" s="194">
        <f t="shared" si="56"/>
        <v>-20.2</v>
      </c>
      <c r="AL89" s="310">
        <f>AL88/AL87*1000</f>
        <v>22199.628942486088</v>
      </c>
      <c r="AM89" s="310">
        <f>AM88/AM87*1000</f>
        <v>19674.319921194212</v>
      </c>
      <c r="AN89" s="194">
        <f t="shared" si="57"/>
        <v>-11.4</v>
      </c>
      <c r="AO89" s="626">
        <f>AO88/AO87*1000</f>
        <v>29701.886792452828</v>
      </c>
      <c r="AP89" s="626">
        <f>AP88/AP87*1000</f>
        <v>24960.035523978684</v>
      </c>
      <c r="AQ89" s="616">
        <f t="shared" si="58"/>
        <v>-16</v>
      </c>
      <c r="AR89" s="626">
        <f>AR88/AR87*1000</f>
        <v>23020.817843866174</v>
      </c>
      <c r="AS89" s="626">
        <f>AS88/AS87*1000</f>
        <v>20444.818434850153</v>
      </c>
      <c r="AT89" s="616">
        <f t="shared" si="59"/>
        <v>-11.2</v>
      </c>
      <c r="AU89" s="626">
        <f>AU88/AU87*1000</f>
        <v>24163.164953062136</v>
      </c>
      <c r="AV89" s="626">
        <f>AV88/AV87*1000</f>
        <v>19330.049261083743</v>
      </c>
      <c r="AW89" s="616">
        <f t="shared" si="60"/>
        <v>-20</v>
      </c>
      <c r="AX89" s="930">
        <f>AX88/AX87*1000</f>
        <v>23198.99595593362</v>
      </c>
      <c r="AY89" s="930">
        <f>AY88/AY87*1000</f>
        <v>20315.349848389495</v>
      </c>
      <c r="AZ89" s="616">
        <f t="shared" si="61"/>
        <v>-12.4</v>
      </c>
      <c r="BA89" s="626">
        <f>BA88/BA87*1000</f>
        <v>24355.72042171027</v>
      </c>
      <c r="BB89" s="626">
        <f>BB88/BB87*1000</f>
        <v>16625</v>
      </c>
      <c r="BC89" s="616">
        <f t="shared" si="62"/>
        <v>-31.7</v>
      </c>
      <c r="BD89" s="626">
        <f>BD88/BD87*1000</f>
        <v>23374.253091167247</v>
      </c>
      <c r="BE89" s="626">
        <f>BE88/BE87*1000</f>
        <v>19784.619152583888</v>
      </c>
      <c r="BF89" s="616">
        <f t="shared" si="63"/>
        <v>-15.4</v>
      </c>
      <c r="BG89" s="626">
        <f>BG88/BG87*1000</f>
        <v>25587.654320987655</v>
      </c>
      <c r="BH89" s="626">
        <f>BH88/BH87*1000</f>
        <v>17573.688836800469</v>
      </c>
      <c r="BI89" s="616">
        <f t="shared" si="64"/>
        <v>-31.3</v>
      </c>
      <c r="BJ89" s="626">
        <f>BJ88/BJ87*1000</f>
        <v>23567.834584030665</v>
      </c>
      <c r="BK89" s="626">
        <f>BK88/BK87*1000</f>
        <v>19467.93688098036</v>
      </c>
      <c r="BL89" s="616">
        <f t="shared" si="65"/>
        <v>-17.399999999999999</v>
      </c>
      <c r="BM89" s="626">
        <f>BM88/BM87*1000</f>
        <v>19498.610559745932</v>
      </c>
      <c r="BN89" s="626">
        <f>BN88/BN87*1000</f>
        <v>34011.914217633042</v>
      </c>
      <c r="BO89" s="616">
        <f t="shared" si="66"/>
        <v>74.400000000000006</v>
      </c>
      <c r="BP89" s="626">
        <f>BP88/BP87*1000</f>
        <v>23080.695751354433</v>
      </c>
      <c r="BQ89" s="626">
        <f>BQ88/BQ87*1000</f>
        <v>20197.831546219157</v>
      </c>
      <c r="BR89" s="616">
        <f t="shared" si="67"/>
        <v>-12.5</v>
      </c>
      <c r="BS89" s="626">
        <f>BS88/BS87*1000</f>
        <v>23941.287165976664</v>
      </c>
      <c r="BT89" s="626">
        <f>BT88/BT87*1000</f>
        <v>20115.70945945946</v>
      </c>
      <c r="BU89" s="616">
        <f t="shared" si="68"/>
        <v>-16</v>
      </c>
      <c r="BV89" s="626">
        <f>BV88/BV87*1000</f>
        <v>23177.180471749864</v>
      </c>
      <c r="BW89" s="626">
        <f>BW88/BW87*1000</f>
        <v>20190.74849754143</v>
      </c>
      <c r="BX89" s="616">
        <f t="shared" si="69"/>
        <v>-12.9</v>
      </c>
    </row>
    <row r="90" spans="1:76" ht="22.5" customHeight="1">
      <c r="A90" s="14"/>
      <c r="B90" s="1104" t="s">
        <v>25</v>
      </c>
      <c r="C90" s="1105"/>
      <c r="D90" s="15" t="s">
        <v>319</v>
      </c>
      <c r="E90" s="16">
        <v>61193</v>
      </c>
      <c r="F90" s="16">
        <v>50387</v>
      </c>
      <c r="G90" s="16">
        <v>57505</v>
      </c>
      <c r="H90" s="16">
        <v>45571</v>
      </c>
      <c r="I90" s="16">
        <v>44986</v>
      </c>
      <c r="J90" s="16">
        <v>61989</v>
      </c>
      <c r="K90" s="16">
        <v>55445</v>
      </c>
      <c r="L90" s="185">
        <v>56649</v>
      </c>
      <c r="M90" s="443">
        <v>61123</v>
      </c>
      <c r="N90" s="313">
        <v>5846</v>
      </c>
      <c r="O90" s="313">
        <v>4901</v>
      </c>
      <c r="P90" s="197">
        <f t="shared" si="49"/>
        <v>-16.2</v>
      </c>
      <c r="Q90" s="313">
        <f>T90-N90</f>
        <v>4585</v>
      </c>
      <c r="R90" s="313">
        <f>U90-O90</f>
        <v>5343</v>
      </c>
      <c r="S90" s="197">
        <f t="shared" si="50"/>
        <v>16.5</v>
      </c>
      <c r="T90" s="313">
        <v>10431</v>
      </c>
      <c r="U90" s="313">
        <v>10244</v>
      </c>
      <c r="V90" s="197">
        <f t="shared" si="51"/>
        <v>-1.8</v>
      </c>
      <c r="W90" s="313">
        <f>Z90-T90</f>
        <v>5039</v>
      </c>
      <c r="X90" s="313">
        <f>AA90-U90</f>
        <v>4453</v>
      </c>
      <c r="Y90" s="197">
        <f t="shared" si="52"/>
        <v>-11.6</v>
      </c>
      <c r="Z90" s="313">
        <v>15470</v>
      </c>
      <c r="AA90" s="313">
        <v>14697</v>
      </c>
      <c r="AB90" s="197">
        <f t="shared" si="53"/>
        <v>-5</v>
      </c>
      <c r="AC90" s="313">
        <f>AF90-Z90</f>
        <v>5080</v>
      </c>
      <c r="AD90" s="313">
        <f>AG90-AA90</f>
        <v>5361</v>
      </c>
      <c r="AE90" s="197">
        <f t="shared" si="54"/>
        <v>5.5</v>
      </c>
      <c r="AF90" s="313">
        <v>20550</v>
      </c>
      <c r="AG90" s="313">
        <v>20058</v>
      </c>
      <c r="AH90" s="197">
        <f t="shared" si="55"/>
        <v>-2.4</v>
      </c>
      <c r="AI90" s="313">
        <f>AL90-AF90</f>
        <v>5839</v>
      </c>
      <c r="AJ90" s="313">
        <f>AM90-AG90</f>
        <v>4284</v>
      </c>
      <c r="AK90" s="197">
        <f t="shared" si="56"/>
        <v>-26.6</v>
      </c>
      <c r="AL90" s="313">
        <v>26389</v>
      </c>
      <c r="AM90" s="313">
        <v>24342</v>
      </c>
      <c r="AN90" s="197">
        <f t="shared" si="57"/>
        <v>-7.8</v>
      </c>
      <c r="AO90" s="628">
        <f>AR90-AL90</f>
        <v>3797</v>
      </c>
      <c r="AP90" s="628">
        <f>AS90-AM90</f>
        <v>4819</v>
      </c>
      <c r="AQ90" s="618">
        <f t="shared" si="58"/>
        <v>26.9</v>
      </c>
      <c r="AR90" s="640">
        <v>30186</v>
      </c>
      <c r="AS90" s="640">
        <v>29161</v>
      </c>
      <c r="AT90" s="618">
        <f t="shared" si="59"/>
        <v>-3.4</v>
      </c>
      <c r="AU90" s="640">
        <f>AX90-AR90</f>
        <v>4774</v>
      </c>
      <c r="AV90" s="640">
        <f>AY90-AS90</f>
        <v>3918</v>
      </c>
      <c r="AW90" s="618">
        <f t="shared" si="60"/>
        <v>-17.899999999999999</v>
      </c>
      <c r="AX90" s="931">
        <v>34960</v>
      </c>
      <c r="AY90" s="931">
        <v>33079</v>
      </c>
      <c r="AZ90" s="618">
        <f t="shared" si="61"/>
        <v>-5.4</v>
      </c>
      <c r="BA90" s="640">
        <f>BD90-AX90</f>
        <v>5488</v>
      </c>
      <c r="BB90" s="640">
        <f>BE90-AY90</f>
        <v>5383</v>
      </c>
      <c r="BC90" s="618">
        <f t="shared" si="62"/>
        <v>-1.9</v>
      </c>
      <c r="BD90" s="640">
        <v>40448</v>
      </c>
      <c r="BE90" s="640">
        <v>38462</v>
      </c>
      <c r="BF90" s="618">
        <f t="shared" si="63"/>
        <v>-4.9000000000000004</v>
      </c>
      <c r="BG90" s="640">
        <f>BJ90-BD90</f>
        <v>3634</v>
      </c>
      <c r="BH90" s="640">
        <f>BK90-BE90</f>
        <v>5702</v>
      </c>
      <c r="BI90" s="618">
        <f t="shared" si="64"/>
        <v>56.9</v>
      </c>
      <c r="BJ90" s="640">
        <v>44082</v>
      </c>
      <c r="BK90" s="640">
        <v>44164</v>
      </c>
      <c r="BL90" s="618">
        <f t="shared" si="65"/>
        <v>0.2</v>
      </c>
      <c r="BM90" s="640">
        <f>BP90-BJ90</f>
        <v>5600</v>
      </c>
      <c r="BN90" s="640">
        <f>BQ90-BK90</f>
        <v>3874</v>
      </c>
      <c r="BO90" s="618">
        <f t="shared" si="66"/>
        <v>-30.8</v>
      </c>
      <c r="BP90" s="640">
        <v>49682</v>
      </c>
      <c r="BQ90" s="640">
        <v>48038</v>
      </c>
      <c r="BR90" s="618">
        <f t="shared" si="67"/>
        <v>-3.3</v>
      </c>
      <c r="BS90" s="640">
        <f>BV90-BP90</f>
        <v>5237</v>
      </c>
      <c r="BT90" s="640">
        <f>BW90-BQ90</f>
        <v>4692</v>
      </c>
      <c r="BU90" s="618">
        <f t="shared" si="68"/>
        <v>-10.4</v>
      </c>
      <c r="BV90" s="640">
        <v>54919</v>
      </c>
      <c r="BW90" s="640">
        <v>52730</v>
      </c>
      <c r="BX90" s="618">
        <f t="shared" si="69"/>
        <v>-4</v>
      </c>
    </row>
    <row r="91" spans="1:76" ht="22.5" customHeight="1">
      <c r="A91" s="14"/>
      <c r="B91" s="1104"/>
      <c r="C91" s="1105"/>
      <c r="D91" s="367" t="s">
        <v>320</v>
      </c>
      <c r="E91" s="18">
        <v>1551450</v>
      </c>
      <c r="F91" s="18">
        <v>1105675</v>
      </c>
      <c r="G91" s="18">
        <v>1115327</v>
      </c>
      <c r="H91" s="18">
        <v>980486</v>
      </c>
      <c r="I91" s="18">
        <v>778160</v>
      </c>
      <c r="J91" s="18">
        <v>747484</v>
      </c>
      <c r="K91" s="18">
        <v>801624</v>
      </c>
      <c r="L91" s="186">
        <v>1006293</v>
      </c>
      <c r="M91" s="444">
        <v>1095792</v>
      </c>
      <c r="N91" s="314">
        <v>94527</v>
      </c>
      <c r="O91" s="314">
        <v>90090</v>
      </c>
      <c r="P91" s="198">
        <f t="shared" si="49"/>
        <v>-4.7</v>
      </c>
      <c r="Q91" s="314">
        <f>T91-N91</f>
        <v>72589</v>
      </c>
      <c r="R91" s="314">
        <f>U91-O91</f>
        <v>90265</v>
      </c>
      <c r="S91" s="198">
        <f t="shared" si="50"/>
        <v>24.4</v>
      </c>
      <c r="T91" s="314">
        <v>167116</v>
      </c>
      <c r="U91" s="314">
        <v>180355</v>
      </c>
      <c r="V91" s="198">
        <f t="shared" si="51"/>
        <v>7.9</v>
      </c>
      <c r="W91" s="314">
        <f>Z91-T91</f>
        <v>84933</v>
      </c>
      <c r="X91" s="314">
        <f>AA91-U91</f>
        <v>82833</v>
      </c>
      <c r="Y91" s="198">
        <f t="shared" si="52"/>
        <v>-2.5</v>
      </c>
      <c r="Z91" s="314">
        <v>252049</v>
      </c>
      <c r="AA91" s="314">
        <v>263188</v>
      </c>
      <c r="AB91" s="198">
        <f t="shared" si="53"/>
        <v>4.4000000000000004</v>
      </c>
      <c r="AC91" s="314">
        <f>AF91-Z91</f>
        <v>84737</v>
      </c>
      <c r="AD91" s="314">
        <f>AG91-AA91</f>
        <v>84805</v>
      </c>
      <c r="AE91" s="198">
        <f t="shared" si="54"/>
        <v>0.1</v>
      </c>
      <c r="AF91" s="314">
        <v>336786</v>
      </c>
      <c r="AG91" s="314">
        <v>347993</v>
      </c>
      <c r="AH91" s="198">
        <f t="shared" si="55"/>
        <v>3.3</v>
      </c>
      <c r="AI91" s="314">
        <f>AL91-AF91</f>
        <v>99356</v>
      </c>
      <c r="AJ91" s="314">
        <f>AM91-AG91</f>
        <v>66714</v>
      </c>
      <c r="AK91" s="198">
        <f t="shared" si="56"/>
        <v>-32.9</v>
      </c>
      <c r="AL91" s="314">
        <v>436142</v>
      </c>
      <c r="AM91" s="314">
        <v>414707</v>
      </c>
      <c r="AN91" s="198">
        <f t="shared" si="57"/>
        <v>-4.9000000000000004</v>
      </c>
      <c r="AO91" s="629">
        <f>AR91-AL91</f>
        <v>72712</v>
      </c>
      <c r="AP91" s="629">
        <f>AS91-AM91</f>
        <v>88055</v>
      </c>
      <c r="AQ91" s="619">
        <f t="shared" si="58"/>
        <v>21.1</v>
      </c>
      <c r="AR91" s="641">
        <v>508854</v>
      </c>
      <c r="AS91" s="641">
        <v>502762</v>
      </c>
      <c r="AT91" s="619">
        <f t="shared" si="59"/>
        <v>-1.2</v>
      </c>
      <c r="AU91" s="641">
        <f>AX91-AR91</f>
        <v>86987</v>
      </c>
      <c r="AV91" s="641">
        <f>AY91-AS91</f>
        <v>64603</v>
      </c>
      <c r="AW91" s="619">
        <f t="shared" si="60"/>
        <v>-25.7</v>
      </c>
      <c r="AX91" s="932">
        <v>595841</v>
      </c>
      <c r="AY91" s="932">
        <v>567365</v>
      </c>
      <c r="AZ91" s="619">
        <f t="shared" si="61"/>
        <v>-4.8</v>
      </c>
      <c r="BA91" s="641">
        <f>BD91-AX91</f>
        <v>103431</v>
      </c>
      <c r="BB91" s="641">
        <f>BE91-AY91</f>
        <v>83014</v>
      </c>
      <c r="BC91" s="619">
        <f t="shared" si="62"/>
        <v>-19.7</v>
      </c>
      <c r="BD91" s="641">
        <v>699272</v>
      </c>
      <c r="BE91" s="641">
        <v>650379</v>
      </c>
      <c r="BF91" s="619">
        <f t="shared" si="63"/>
        <v>-7</v>
      </c>
      <c r="BG91" s="641">
        <f>BJ91-BD91</f>
        <v>70532</v>
      </c>
      <c r="BH91" s="641">
        <f>BK91-BE91</f>
        <v>93564</v>
      </c>
      <c r="BI91" s="619">
        <f t="shared" si="64"/>
        <v>32.700000000000003</v>
      </c>
      <c r="BJ91" s="641">
        <v>769804</v>
      </c>
      <c r="BK91" s="641">
        <v>743943</v>
      </c>
      <c r="BL91" s="619">
        <f t="shared" si="65"/>
        <v>-3.4</v>
      </c>
      <c r="BM91" s="641">
        <f>BP91-BJ91</f>
        <v>99462</v>
      </c>
      <c r="BN91" s="641">
        <f>BQ91-BK91</f>
        <v>83517</v>
      </c>
      <c r="BO91" s="619">
        <f t="shared" si="66"/>
        <v>-16</v>
      </c>
      <c r="BP91" s="641">
        <v>869266</v>
      </c>
      <c r="BQ91" s="641">
        <v>827460</v>
      </c>
      <c r="BR91" s="619">
        <f t="shared" si="67"/>
        <v>-4.8</v>
      </c>
      <c r="BS91" s="641">
        <f>BV91-BP91</f>
        <v>107089</v>
      </c>
      <c r="BT91" s="641">
        <f>BW91-BQ91</f>
        <v>84226</v>
      </c>
      <c r="BU91" s="619">
        <f t="shared" si="68"/>
        <v>-21.3</v>
      </c>
      <c r="BV91" s="641">
        <v>976355</v>
      </c>
      <c r="BW91" s="641">
        <v>911686</v>
      </c>
      <c r="BX91" s="619">
        <f t="shared" si="69"/>
        <v>-6.6</v>
      </c>
    </row>
    <row r="92" spans="1:76" ht="22.5" customHeight="1">
      <c r="A92" s="14"/>
      <c r="B92" s="1104"/>
      <c r="C92" s="1105"/>
      <c r="D92" s="371" t="s">
        <v>321</v>
      </c>
      <c r="E92" s="20">
        <f t="shared" ref="E92:O92" si="80">E91/E90*1000</f>
        <v>25353.390093638161</v>
      </c>
      <c r="F92" s="20">
        <f t="shared" si="80"/>
        <v>21943.656101772285</v>
      </c>
      <c r="G92" s="20">
        <f t="shared" si="80"/>
        <v>19395.304756108166</v>
      </c>
      <c r="H92" s="20">
        <f t="shared" si="80"/>
        <v>21515.56911193522</v>
      </c>
      <c r="I92" s="20">
        <f t="shared" si="80"/>
        <v>17297.825990308094</v>
      </c>
      <c r="J92" s="20">
        <f t="shared" si="80"/>
        <v>12058.332930035973</v>
      </c>
      <c r="K92" s="20">
        <f t="shared" si="80"/>
        <v>14458.00342681937</v>
      </c>
      <c r="L92" s="187">
        <f t="shared" si="80"/>
        <v>17763.649843774827</v>
      </c>
      <c r="M92" s="445">
        <f>M91/M90*1000</f>
        <v>17927.654074570946</v>
      </c>
      <c r="N92" s="315">
        <f t="shared" si="80"/>
        <v>16169.517618884707</v>
      </c>
      <c r="O92" s="315">
        <f t="shared" si="80"/>
        <v>18381.962864721489</v>
      </c>
      <c r="P92" s="199">
        <f t="shared" si="49"/>
        <v>13.7</v>
      </c>
      <c r="Q92" s="315">
        <f>Q91/Q90*1000</f>
        <v>15831.842966194112</v>
      </c>
      <c r="R92" s="315">
        <f>R91/R90*1000</f>
        <v>16894.067003556054</v>
      </c>
      <c r="S92" s="199">
        <f t="shared" si="50"/>
        <v>6.7</v>
      </c>
      <c r="T92" s="315">
        <f>T91/T90*1000</f>
        <v>16021.090978813152</v>
      </c>
      <c r="U92" s="315">
        <f>U91/U90*1000</f>
        <v>17605.915657946112</v>
      </c>
      <c r="V92" s="199">
        <f t="shared" si="51"/>
        <v>9.9</v>
      </c>
      <c r="W92" s="315">
        <f>W91/W90*1000</f>
        <v>16855.129986108357</v>
      </c>
      <c r="X92" s="315">
        <f>X91/X90*1000</f>
        <v>18601.616887491578</v>
      </c>
      <c r="Y92" s="199">
        <f t="shared" si="52"/>
        <v>10.4</v>
      </c>
      <c r="Z92" s="315">
        <f>Z91/Z90*1000</f>
        <v>16292.760180995476</v>
      </c>
      <c r="AA92" s="315">
        <f>AA91/AA90*1000</f>
        <v>17907.600190515073</v>
      </c>
      <c r="AB92" s="199">
        <f t="shared" si="53"/>
        <v>9.9</v>
      </c>
      <c r="AC92" s="315">
        <f>AC91/AC90*1000</f>
        <v>16680.511811023622</v>
      </c>
      <c r="AD92" s="315">
        <f>AD91/AD90*1000</f>
        <v>15818.877075172542</v>
      </c>
      <c r="AE92" s="199">
        <f t="shared" si="54"/>
        <v>-5.2</v>
      </c>
      <c r="AF92" s="315">
        <f>AF91/AF90*1000</f>
        <v>16388.613138686131</v>
      </c>
      <c r="AG92" s="315">
        <f>AG91/AG90*1000</f>
        <v>17349.336922923525</v>
      </c>
      <c r="AH92" s="199">
        <f t="shared" si="55"/>
        <v>5.9</v>
      </c>
      <c r="AI92" s="315">
        <f>AI91/AI90*1000</f>
        <v>17015.927384826169</v>
      </c>
      <c r="AJ92" s="315">
        <f>AJ91/AJ90*1000</f>
        <v>15572.829131652661</v>
      </c>
      <c r="AK92" s="199">
        <f t="shared" si="56"/>
        <v>-8.5</v>
      </c>
      <c r="AL92" s="315">
        <f>AL91/AL90*1000</f>
        <v>16527.416726666412</v>
      </c>
      <c r="AM92" s="315">
        <f>AM91/AM90*1000</f>
        <v>17036.685564045685</v>
      </c>
      <c r="AN92" s="199">
        <f t="shared" si="57"/>
        <v>3.1</v>
      </c>
      <c r="AO92" s="630">
        <f>AO91/AO90*1000</f>
        <v>19149.855148801686</v>
      </c>
      <c r="AP92" s="630">
        <f>AP91/AP90*1000</f>
        <v>18272.463166632082</v>
      </c>
      <c r="AQ92" s="620">
        <f t="shared" si="58"/>
        <v>-4.5999999999999996</v>
      </c>
      <c r="AR92" s="630">
        <f>AR91/AR90*1000</f>
        <v>16857.284834029018</v>
      </c>
      <c r="AS92" s="630">
        <f>AS91/AS90*1000</f>
        <v>17240.903947052568</v>
      </c>
      <c r="AT92" s="620">
        <f t="shared" si="59"/>
        <v>2.2999999999999998</v>
      </c>
      <c r="AU92" s="630">
        <f>AU91/AU90*1000</f>
        <v>18220.988688730624</v>
      </c>
      <c r="AV92" s="630">
        <f>AV91/AV90*1000</f>
        <v>16488.769780500257</v>
      </c>
      <c r="AW92" s="620">
        <f t="shared" si="60"/>
        <v>-9.5</v>
      </c>
      <c r="AX92" s="933">
        <f>AX91/AX90*1000</f>
        <v>17043.506864988558</v>
      </c>
      <c r="AY92" s="933">
        <f>AY91/AY90*1000</f>
        <v>17151.818374195111</v>
      </c>
      <c r="AZ92" s="620">
        <f t="shared" si="61"/>
        <v>0.6</v>
      </c>
      <c r="BA92" s="630">
        <f>BA91/BA90*1000</f>
        <v>18846.756559766764</v>
      </c>
      <c r="BB92" s="630">
        <f>BB91/BB90*1000</f>
        <v>15421.512167936095</v>
      </c>
      <c r="BC92" s="620">
        <f t="shared" si="62"/>
        <v>-18.2</v>
      </c>
      <c r="BD92" s="630">
        <f>BD91/BD90*1000</f>
        <v>17288.172468354431</v>
      </c>
      <c r="BE92" s="630">
        <f>BE91/BE90*1000</f>
        <v>16909.651084186989</v>
      </c>
      <c r="BF92" s="620">
        <f t="shared" si="63"/>
        <v>-2.2000000000000002</v>
      </c>
      <c r="BG92" s="630">
        <f>BG91/BG90*1000</f>
        <v>19408.915795266923</v>
      </c>
      <c r="BH92" s="630">
        <f>BH91/BH90*1000</f>
        <v>16408.97930550684</v>
      </c>
      <c r="BI92" s="620">
        <f t="shared" si="64"/>
        <v>-15.5</v>
      </c>
      <c r="BJ92" s="630">
        <f>BJ91/BJ90*1000</f>
        <v>17463.00077128987</v>
      </c>
      <c r="BK92" s="630">
        <f>BK91/BK90*1000</f>
        <v>16845.009510008149</v>
      </c>
      <c r="BL92" s="620">
        <f t="shared" si="65"/>
        <v>-3.5</v>
      </c>
      <c r="BM92" s="630">
        <f>BM91/BM90*1000</f>
        <v>17761.071428571431</v>
      </c>
      <c r="BN92" s="630">
        <f>BN91/BN90*1000</f>
        <v>21558.337635518841</v>
      </c>
      <c r="BO92" s="620">
        <f t="shared" si="66"/>
        <v>21.4</v>
      </c>
      <c r="BP92" s="630">
        <f>BP91/BP90*1000</f>
        <v>17496.598365605249</v>
      </c>
      <c r="BQ92" s="630">
        <f>BQ91/BQ90*1000</f>
        <v>17225.113451850619</v>
      </c>
      <c r="BR92" s="620">
        <f t="shared" si="67"/>
        <v>-1.6</v>
      </c>
      <c r="BS92" s="630">
        <f>BS91/BS90*1000</f>
        <v>20448.539240022914</v>
      </c>
      <c r="BT92" s="630">
        <f>BT91/BT90*1000</f>
        <v>17950.98039215686</v>
      </c>
      <c r="BU92" s="620">
        <f t="shared" si="68"/>
        <v>-12.2</v>
      </c>
      <c r="BV92" s="630">
        <f>BV91/BV90*1000</f>
        <v>17778.091370928094</v>
      </c>
      <c r="BW92" s="630">
        <f>BW91/BW90*1000</f>
        <v>17289.702256779823</v>
      </c>
      <c r="BX92" s="620">
        <f t="shared" si="69"/>
        <v>-2.7</v>
      </c>
    </row>
    <row r="93" spans="1:76" s="173" customFormat="1" ht="22.5" customHeight="1">
      <c r="A93" s="1106" t="s">
        <v>35</v>
      </c>
      <c r="B93" s="1099" t="s">
        <v>32</v>
      </c>
      <c r="C93" s="1100">
        <v>8001</v>
      </c>
      <c r="D93" s="171" t="s">
        <v>13</v>
      </c>
      <c r="E93" s="172">
        <v>15205</v>
      </c>
      <c r="F93" s="172">
        <v>16984</v>
      </c>
      <c r="G93" s="172">
        <v>15547</v>
      </c>
      <c r="H93" s="172">
        <v>15004</v>
      </c>
      <c r="I93" s="172">
        <v>14453</v>
      </c>
      <c r="J93" s="172">
        <v>15082</v>
      </c>
      <c r="K93" s="172">
        <v>13508</v>
      </c>
      <c r="L93" s="191">
        <v>14268</v>
      </c>
      <c r="M93" s="312">
        <v>12456</v>
      </c>
      <c r="N93" s="312">
        <v>1099</v>
      </c>
      <c r="O93" s="312">
        <v>1288</v>
      </c>
      <c r="P93" s="196">
        <f t="shared" si="49"/>
        <v>17.2</v>
      </c>
      <c r="Q93" s="311">
        <f>T93-N93</f>
        <v>971</v>
      </c>
      <c r="R93" s="311">
        <f>U93-O93</f>
        <v>788</v>
      </c>
      <c r="S93" s="195">
        <f t="shared" si="50"/>
        <v>-18.8</v>
      </c>
      <c r="T93" s="312">
        <v>2070</v>
      </c>
      <c r="U93" s="312">
        <v>2076</v>
      </c>
      <c r="V93" s="195">
        <f t="shared" si="51"/>
        <v>0.3</v>
      </c>
      <c r="W93" s="311">
        <f>Z93-T93</f>
        <v>948</v>
      </c>
      <c r="X93" s="311">
        <f>AA93-U93</f>
        <v>1904</v>
      </c>
      <c r="Y93" s="195">
        <f t="shared" si="52"/>
        <v>100.8</v>
      </c>
      <c r="Z93" s="312">
        <v>3018</v>
      </c>
      <c r="AA93" s="312">
        <v>3980</v>
      </c>
      <c r="AB93" s="195">
        <f t="shared" si="53"/>
        <v>31.9</v>
      </c>
      <c r="AC93" s="311">
        <f>AF93-Z93</f>
        <v>1130</v>
      </c>
      <c r="AD93" s="311">
        <f>AG93-AA93</f>
        <v>973</v>
      </c>
      <c r="AE93" s="195">
        <f t="shared" si="54"/>
        <v>-13.9</v>
      </c>
      <c r="AF93" s="312">
        <v>4148</v>
      </c>
      <c r="AG93" s="312">
        <v>4953</v>
      </c>
      <c r="AH93" s="195">
        <f t="shared" si="55"/>
        <v>19.399999999999999</v>
      </c>
      <c r="AI93" s="311">
        <f>AL93-AF93</f>
        <v>701</v>
      </c>
      <c r="AJ93" s="311">
        <f>AM93-AG93</f>
        <v>1318</v>
      </c>
      <c r="AK93" s="195">
        <f t="shared" si="56"/>
        <v>88</v>
      </c>
      <c r="AL93" s="312">
        <v>4849</v>
      </c>
      <c r="AM93" s="312">
        <v>6271</v>
      </c>
      <c r="AN93" s="195">
        <f t="shared" si="57"/>
        <v>29.3</v>
      </c>
      <c r="AO93" s="627">
        <f>AR93-AL93</f>
        <v>1227</v>
      </c>
      <c r="AP93" s="627">
        <f>AS93-AM93</f>
        <v>704</v>
      </c>
      <c r="AQ93" s="617">
        <f t="shared" si="58"/>
        <v>-42.6</v>
      </c>
      <c r="AR93" s="639">
        <v>6076</v>
      </c>
      <c r="AS93" s="639">
        <v>6975</v>
      </c>
      <c r="AT93" s="617">
        <f t="shared" si="59"/>
        <v>14.8</v>
      </c>
      <c r="AU93" s="869">
        <f>AX93-AR93</f>
        <v>1435</v>
      </c>
      <c r="AV93" s="869">
        <f>AY93-AS93</f>
        <v>1277</v>
      </c>
      <c r="AW93" s="617">
        <f t="shared" si="60"/>
        <v>-11</v>
      </c>
      <c r="AX93" s="938">
        <v>7511</v>
      </c>
      <c r="AY93" s="938">
        <v>8252</v>
      </c>
      <c r="AZ93" s="617">
        <f t="shared" si="61"/>
        <v>9.9</v>
      </c>
      <c r="BA93" s="869">
        <f>BD93-AX93</f>
        <v>1027</v>
      </c>
      <c r="BB93" s="869">
        <f>BE93-AY93</f>
        <v>875</v>
      </c>
      <c r="BC93" s="617">
        <f t="shared" si="62"/>
        <v>-14.8</v>
      </c>
      <c r="BD93" s="639">
        <v>8538</v>
      </c>
      <c r="BE93" s="639">
        <v>9127</v>
      </c>
      <c r="BF93" s="617">
        <f t="shared" si="63"/>
        <v>6.9</v>
      </c>
      <c r="BG93" s="869">
        <f>BJ93-BD93</f>
        <v>1147</v>
      </c>
      <c r="BH93" s="869">
        <f>BK93-BE93</f>
        <v>1448</v>
      </c>
      <c r="BI93" s="617">
        <f t="shared" si="64"/>
        <v>26.2</v>
      </c>
      <c r="BJ93" s="639">
        <v>9685</v>
      </c>
      <c r="BK93" s="639">
        <v>10575</v>
      </c>
      <c r="BL93" s="617">
        <f t="shared" si="65"/>
        <v>9.1999999999999993</v>
      </c>
      <c r="BM93" s="869">
        <f>BP93-BJ93</f>
        <v>799</v>
      </c>
      <c r="BN93" s="869">
        <f>BQ93-BK93</f>
        <v>872</v>
      </c>
      <c r="BO93" s="617">
        <f t="shared" si="66"/>
        <v>9.1</v>
      </c>
      <c r="BP93" s="639">
        <v>10484</v>
      </c>
      <c r="BQ93" s="639">
        <v>11447</v>
      </c>
      <c r="BR93" s="617">
        <f t="shared" si="67"/>
        <v>9.1999999999999993</v>
      </c>
      <c r="BS93" s="869">
        <f>BV93-BP93</f>
        <v>896</v>
      </c>
      <c r="BT93" s="869">
        <f>BW93-BQ93</f>
        <v>1327</v>
      </c>
      <c r="BU93" s="617">
        <f t="shared" si="68"/>
        <v>48.1</v>
      </c>
      <c r="BV93" s="639">
        <v>11380</v>
      </c>
      <c r="BW93" s="639">
        <v>12774</v>
      </c>
      <c r="BX93" s="617">
        <f t="shared" si="69"/>
        <v>12.2</v>
      </c>
    </row>
    <row r="94" spans="1:76" ht="22.5" customHeight="1">
      <c r="A94" s="1102"/>
      <c r="B94" s="1099"/>
      <c r="C94" s="1100"/>
      <c r="D94" s="366" t="s">
        <v>14</v>
      </c>
      <c r="E94" s="6">
        <v>421443</v>
      </c>
      <c r="F94" s="6">
        <v>364699</v>
      </c>
      <c r="G94" s="6">
        <v>350648</v>
      </c>
      <c r="H94" s="6">
        <v>339549</v>
      </c>
      <c r="I94" s="6">
        <v>252149</v>
      </c>
      <c r="J94" s="6">
        <v>249510</v>
      </c>
      <c r="K94" s="6">
        <v>275061</v>
      </c>
      <c r="L94" s="180">
        <v>290959</v>
      </c>
      <c r="M94" s="438">
        <v>239271</v>
      </c>
      <c r="N94" s="309">
        <v>21240</v>
      </c>
      <c r="O94" s="309">
        <v>22018</v>
      </c>
      <c r="P94" s="193">
        <f t="shared" si="49"/>
        <v>3.7</v>
      </c>
      <c r="Q94" s="309">
        <f>T94-N94</f>
        <v>19202</v>
      </c>
      <c r="R94" s="309">
        <f>U94-O94</f>
        <v>13469</v>
      </c>
      <c r="S94" s="193">
        <f t="shared" si="50"/>
        <v>-29.9</v>
      </c>
      <c r="T94" s="309">
        <v>40442</v>
      </c>
      <c r="U94" s="309">
        <v>35487</v>
      </c>
      <c r="V94" s="193">
        <f t="shared" si="51"/>
        <v>-12.3</v>
      </c>
      <c r="W94" s="309">
        <f>Z94-T94</f>
        <v>19818</v>
      </c>
      <c r="X94" s="309">
        <f>AA94-U94</f>
        <v>32457</v>
      </c>
      <c r="Y94" s="193">
        <f t="shared" si="52"/>
        <v>63.8</v>
      </c>
      <c r="Z94" s="309">
        <v>60260</v>
      </c>
      <c r="AA94" s="309">
        <v>67944</v>
      </c>
      <c r="AB94" s="193">
        <f t="shared" si="53"/>
        <v>12.8</v>
      </c>
      <c r="AC94" s="309">
        <f>AF94-Z94</f>
        <v>24054</v>
      </c>
      <c r="AD94" s="309">
        <f>AG94-AA94</f>
        <v>15482</v>
      </c>
      <c r="AE94" s="193">
        <f t="shared" si="54"/>
        <v>-35.6</v>
      </c>
      <c r="AF94" s="309">
        <v>84314</v>
      </c>
      <c r="AG94" s="309">
        <v>83426</v>
      </c>
      <c r="AH94" s="193">
        <f t="shared" si="55"/>
        <v>-1.1000000000000001</v>
      </c>
      <c r="AI94" s="309">
        <f>AL94-AF94</f>
        <v>14689</v>
      </c>
      <c r="AJ94" s="309">
        <f>AM94-AG94</f>
        <v>20719</v>
      </c>
      <c r="AK94" s="193">
        <f t="shared" si="56"/>
        <v>41.1</v>
      </c>
      <c r="AL94" s="309">
        <v>99003</v>
      </c>
      <c r="AM94" s="309">
        <v>104145</v>
      </c>
      <c r="AN94" s="193">
        <f t="shared" si="57"/>
        <v>5.2</v>
      </c>
      <c r="AO94" s="625">
        <f>AR94-AL94</f>
        <v>25698</v>
      </c>
      <c r="AP94" s="625">
        <f>AS94-AM94</f>
        <v>10956</v>
      </c>
      <c r="AQ94" s="615">
        <f t="shared" si="58"/>
        <v>-57.4</v>
      </c>
      <c r="AR94" s="868">
        <v>124701</v>
      </c>
      <c r="AS94" s="868">
        <v>115101</v>
      </c>
      <c r="AT94" s="615">
        <f t="shared" si="59"/>
        <v>-7.7</v>
      </c>
      <c r="AU94" s="868">
        <f>AX94-AR94</f>
        <v>28067</v>
      </c>
      <c r="AV94" s="868">
        <f>AY94-AS94</f>
        <v>20823</v>
      </c>
      <c r="AW94" s="615">
        <f t="shared" si="60"/>
        <v>-25.8</v>
      </c>
      <c r="AX94" s="925">
        <v>152768</v>
      </c>
      <c r="AY94" s="925">
        <v>135924</v>
      </c>
      <c r="AZ94" s="615">
        <f t="shared" si="61"/>
        <v>-11</v>
      </c>
      <c r="BA94" s="868">
        <f>BD94-AX94</f>
        <v>19490</v>
      </c>
      <c r="BB94" s="868">
        <f>BE94-AY94</f>
        <v>15238</v>
      </c>
      <c r="BC94" s="615">
        <f t="shared" si="62"/>
        <v>-21.8</v>
      </c>
      <c r="BD94" s="868">
        <v>172258</v>
      </c>
      <c r="BE94" s="868">
        <v>151162</v>
      </c>
      <c r="BF94" s="615">
        <f t="shared" si="63"/>
        <v>-12.2</v>
      </c>
      <c r="BG94" s="868">
        <f>BJ94-BD94</f>
        <v>20130</v>
      </c>
      <c r="BH94" s="868">
        <f>BK94-BE94</f>
        <v>25775</v>
      </c>
      <c r="BI94" s="615">
        <f t="shared" si="64"/>
        <v>28</v>
      </c>
      <c r="BJ94" s="868">
        <v>192388</v>
      </c>
      <c r="BK94" s="868">
        <v>176937</v>
      </c>
      <c r="BL94" s="615">
        <f t="shared" si="65"/>
        <v>-8</v>
      </c>
      <c r="BM94" s="868">
        <f>BP94-BJ94</f>
        <v>13607</v>
      </c>
      <c r="BN94" s="868">
        <f>BQ94-BK94</f>
        <v>15806</v>
      </c>
      <c r="BO94" s="615">
        <f t="shared" si="66"/>
        <v>16.2</v>
      </c>
      <c r="BP94" s="868">
        <v>205995</v>
      </c>
      <c r="BQ94" s="868">
        <v>192743</v>
      </c>
      <c r="BR94" s="615">
        <f t="shared" si="67"/>
        <v>-6.4</v>
      </c>
      <c r="BS94" s="868">
        <f>BV94-BP94</f>
        <v>15102</v>
      </c>
      <c r="BT94" s="868">
        <f>BW94-BQ94</f>
        <v>24038</v>
      </c>
      <c r="BU94" s="615">
        <f t="shared" si="68"/>
        <v>59.2</v>
      </c>
      <c r="BV94" s="868">
        <v>221097</v>
      </c>
      <c r="BW94" s="868">
        <v>216781</v>
      </c>
      <c r="BX94" s="615">
        <f t="shared" si="69"/>
        <v>-2</v>
      </c>
    </row>
    <row r="95" spans="1:76" ht="22.5" customHeight="1">
      <c r="A95" s="14"/>
      <c r="B95" s="1099"/>
      <c r="C95" s="1100"/>
      <c r="D95" s="370" t="s">
        <v>15</v>
      </c>
      <c r="E95" s="12">
        <f t="shared" ref="E95:O95" si="81">E94/E93*1000</f>
        <v>27717.395593554753</v>
      </c>
      <c r="F95" s="12">
        <f t="shared" si="81"/>
        <v>21473.092322185585</v>
      </c>
      <c r="G95" s="12">
        <f t="shared" si="81"/>
        <v>22554.061876889431</v>
      </c>
      <c r="H95" s="12">
        <f t="shared" si="81"/>
        <v>22630.565182617967</v>
      </c>
      <c r="I95" s="12">
        <f t="shared" si="81"/>
        <v>17446.135750363246</v>
      </c>
      <c r="J95" s="12">
        <f t="shared" si="81"/>
        <v>16543.56186182204</v>
      </c>
      <c r="K95" s="12">
        <f t="shared" si="81"/>
        <v>20362.822031388805</v>
      </c>
      <c r="L95" s="184">
        <f t="shared" si="81"/>
        <v>20392.416596579762</v>
      </c>
      <c r="M95" s="442">
        <f>M94/M93*1000</f>
        <v>19209.296724470136</v>
      </c>
      <c r="N95" s="310">
        <f t="shared" si="81"/>
        <v>19326.660600545951</v>
      </c>
      <c r="O95" s="310">
        <f t="shared" si="81"/>
        <v>17094.72049689441</v>
      </c>
      <c r="P95" s="194">
        <f t="shared" si="49"/>
        <v>-11.5</v>
      </c>
      <c r="Q95" s="310">
        <f>Q94/Q93*1000</f>
        <v>19775.489186405768</v>
      </c>
      <c r="R95" s="310">
        <f>R94/R93*1000</f>
        <v>17092.639593908629</v>
      </c>
      <c r="S95" s="194">
        <f t="shared" si="50"/>
        <v>-13.6</v>
      </c>
      <c r="T95" s="310">
        <f>T94/T93*1000</f>
        <v>19537.198067632849</v>
      </c>
      <c r="U95" s="310">
        <f>U94/U93*1000</f>
        <v>17093.930635838147</v>
      </c>
      <c r="V95" s="194">
        <f t="shared" si="51"/>
        <v>-12.5</v>
      </c>
      <c r="W95" s="310">
        <f>W94/W93*1000</f>
        <v>20905.063291139239</v>
      </c>
      <c r="X95" s="310">
        <f>X94/X93*1000</f>
        <v>17046.743697478993</v>
      </c>
      <c r="Y95" s="194">
        <f t="shared" si="52"/>
        <v>-18.5</v>
      </c>
      <c r="Z95" s="310">
        <f>Z94/Z93*1000</f>
        <v>19966.865473823724</v>
      </c>
      <c r="AA95" s="310">
        <f>AA94/AA93*1000</f>
        <v>17071.356783919597</v>
      </c>
      <c r="AB95" s="194">
        <f t="shared" si="53"/>
        <v>-14.5</v>
      </c>
      <c r="AC95" s="310">
        <f>AC94/AC93*1000</f>
        <v>21286.725663716814</v>
      </c>
      <c r="AD95" s="310">
        <f>AD94/AD93*1000</f>
        <v>15911.613566289825</v>
      </c>
      <c r="AE95" s="194">
        <f t="shared" si="54"/>
        <v>-25.3</v>
      </c>
      <c r="AF95" s="310">
        <f>AF94/AF93*1000</f>
        <v>20326.422372227578</v>
      </c>
      <c r="AG95" s="310">
        <f>AG94/AG93*1000</f>
        <v>16843.529174237836</v>
      </c>
      <c r="AH95" s="194">
        <f t="shared" si="55"/>
        <v>-17.100000000000001</v>
      </c>
      <c r="AI95" s="310">
        <f>AI94/AI93*1000</f>
        <v>20954.350927246789</v>
      </c>
      <c r="AJ95" s="310">
        <f>AJ94/AJ93*1000</f>
        <v>15720.030349013656</v>
      </c>
      <c r="AK95" s="194">
        <f t="shared" si="56"/>
        <v>-25</v>
      </c>
      <c r="AL95" s="310">
        <f>AL94/AL93*1000</f>
        <v>20417.199422561353</v>
      </c>
      <c r="AM95" s="310">
        <f>AM94/AM93*1000</f>
        <v>16607.399138893317</v>
      </c>
      <c r="AN95" s="194">
        <f t="shared" si="57"/>
        <v>-18.7</v>
      </c>
      <c r="AO95" s="626">
        <f>AO94/AO93*1000</f>
        <v>20943.765281173593</v>
      </c>
      <c r="AP95" s="626">
        <f>AP94/AP93*1000</f>
        <v>15562.5</v>
      </c>
      <c r="AQ95" s="616">
        <f t="shared" si="58"/>
        <v>-25.7</v>
      </c>
      <c r="AR95" s="626">
        <f>AR94/AR93*1000</f>
        <v>20523.535220539827</v>
      </c>
      <c r="AS95" s="626">
        <f>AS94/AS93*1000</f>
        <v>16501.935483870966</v>
      </c>
      <c r="AT95" s="616">
        <f t="shared" si="59"/>
        <v>-19.600000000000001</v>
      </c>
      <c r="AU95" s="626">
        <f>AU94/AU93*1000</f>
        <v>19558.885017421602</v>
      </c>
      <c r="AV95" s="626">
        <f>AV94/AV93*1000</f>
        <v>16306.186374314802</v>
      </c>
      <c r="AW95" s="616">
        <f t="shared" si="60"/>
        <v>-16.600000000000001</v>
      </c>
      <c r="AX95" s="930">
        <f>AX94/AX93*1000</f>
        <v>20339.23578751165</v>
      </c>
      <c r="AY95" s="930">
        <f>AY94/AY93*1000</f>
        <v>16471.643238002907</v>
      </c>
      <c r="AZ95" s="616">
        <f t="shared" si="61"/>
        <v>-19</v>
      </c>
      <c r="BA95" s="626">
        <f>BA94/BA93*1000</f>
        <v>18977.604673807207</v>
      </c>
      <c r="BB95" s="626">
        <f>BB94/BB93*1000</f>
        <v>17414.857142857145</v>
      </c>
      <c r="BC95" s="616">
        <f t="shared" si="62"/>
        <v>-8.1999999999999993</v>
      </c>
      <c r="BD95" s="626">
        <f>BD94/BD93*1000</f>
        <v>20175.45092527524</v>
      </c>
      <c r="BE95" s="626">
        <f>BE94/BE93*1000</f>
        <v>16562.068587706803</v>
      </c>
      <c r="BF95" s="616">
        <f t="shared" si="63"/>
        <v>-17.899999999999999</v>
      </c>
      <c r="BG95" s="626">
        <f>BG94/BG93*1000</f>
        <v>17550.130775937228</v>
      </c>
      <c r="BH95" s="626">
        <f>BH94/BH93*1000</f>
        <v>17800.414364640881</v>
      </c>
      <c r="BI95" s="616">
        <f t="shared" si="64"/>
        <v>1.4</v>
      </c>
      <c r="BJ95" s="626">
        <f>BJ94/BJ93*1000</f>
        <v>19864.532782653587</v>
      </c>
      <c r="BK95" s="626">
        <f>BK94/BK93*1000</f>
        <v>16731.631205673759</v>
      </c>
      <c r="BL95" s="616">
        <f t="shared" si="65"/>
        <v>-15.8</v>
      </c>
      <c r="BM95" s="626">
        <f>BM94/BM93*1000</f>
        <v>17030.037546933665</v>
      </c>
      <c r="BN95" s="626">
        <f>BN94/BN93*1000</f>
        <v>18126.146788990827</v>
      </c>
      <c r="BO95" s="616">
        <f t="shared" si="66"/>
        <v>6.4</v>
      </c>
      <c r="BP95" s="626">
        <f>BP94/BP93*1000</f>
        <v>19648.512018313621</v>
      </c>
      <c r="BQ95" s="626">
        <f>BQ94/BQ93*1000</f>
        <v>16837.861448414435</v>
      </c>
      <c r="BR95" s="616">
        <f t="shared" si="67"/>
        <v>-14.3</v>
      </c>
      <c r="BS95" s="626">
        <f>BS94/BS93*1000</f>
        <v>16854.910714285714</v>
      </c>
      <c r="BT95" s="626">
        <f>BT94/BT93*1000</f>
        <v>18114.544084400906</v>
      </c>
      <c r="BU95" s="616">
        <f t="shared" si="68"/>
        <v>7.5</v>
      </c>
      <c r="BV95" s="626">
        <f>BV94/BV93*1000</f>
        <v>19428.558875219682</v>
      </c>
      <c r="BW95" s="626">
        <f>BW94/BW93*1000</f>
        <v>16970.486926569596</v>
      </c>
      <c r="BX95" s="616">
        <f t="shared" si="69"/>
        <v>-12.7</v>
      </c>
    </row>
    <row r="96" spans="1:76" ht="22.5" customHeight="1">
      <c r="A96" s="14"/>
      <c r="B96" s="1099" t="s">
        <v>24</v>
      </c>
      <c r="C96" s="1100"/>
      <c r="D96" s="365" t="s">
        <v>13</v>
      </c>
      <c r="E96" s="11">
        <f t="shared" ref="E96:L97" si="82">E99-E93</f>
        <v>1442</v>
      </c>
      <c r="F96" s="11">
        <f t="shared" si="82"/>
        <v>1110</v>
      </c>
      <c r="G96" s="11">
        <f t="shared" si="82"/>
        <v>1165</v>
      </c>
      <c r="H96" s="11">
        <f t="shared" si="82"/>
        <v>1174</v>
      </c>
      <c r="I96" s="11">
        <f t="shared" si="82"/>
        <v>1258</v>
      </c>
      <c r="J96" s="11">
        <f t="shared" si="82"/>
        <v>1684</v>
      </c>
      <c r="K96" s="11">
        <f t="shared" si="82"/>
        <v>1806</v>
      </c>
      <c r="L96" s="183">
        <f t="shared" si="82"/>
        <v>1586</v>
      </c>
      <c r="M96" s="312">
        <f t="shared" ref="M96:O97" si="83">M99-M93</f>
        <v>1627</v>
      </c>
      <c r="N96" s="311">
        <f t="shared" si="83"/>
        <v>111</v>
      </c>
      <c r="O96" s="311">
        <f t="shared" si="83"/>
        <v>59</v>
      </c>
      <c r="P96" s="195">
        <f t="shared" si="49"/>
        <v>-46.8</v>
      </c>
      <c r="Q96" s="311">
        <f>Q99-Q93</f>
        <v>101</v>
      </c>
      <c r="R96" s="311">
        <f>R99-R93</f>
        <v>66</v>
      </c>
      <c r="S96" s="195">
        <f t="shared" si="50"/>
        <v>-34.700000000000003</v>
      </c>
      <c r="T96" s="311">
        <f>T99-T93</f>
        <v>212</v>
      </c>
      <c r="U96" s="311">
        <f>U99-U93</f>
        <v>125</v>
      </c>
      <c r="V96" s="195">
        <f t="shared" si="51"/>
        <v>-41</v>
      </c>
      <c r="W96" s="311">
        <f>W99-W93</f>
        <v>181</v>
      </c>
      <c r="X96" s="311">
        <f>X99-X93</f>
        <v>71</v>
      </c>
      <c r="Y96" s="195">
        <f t="shared" si="52"/>
        <v>-60.8</v>
      </c>
      <c r="Z96" s="311">
        <f>Z99-Z93</f>
        <v>393</v>
      </c>
      <c r="AA96" s="311">
        <f>AA99-AA93</f>
        <v>196</v>
      </c>
      <c r="AB96" s="195">
        <f t="shared" si="53"/>
        <v>-50.1</v>
      </c>
      <c r="AC96" s="311">
        <f>AC99-AC93</f>
        <v>185</v>
      </c>
      <c r="AD96" s="311">
        <f>AD99-AD93</f>
        <v>73</v>
      </c>
      <c r="AE96" s="195">
        <f t="shared" si="54"/>
        <v>-60.5</v>
      </c>
      <c r="AF96" s="311">
        <f>AF99-AF93</f>
        <v>578</v>
      </c>
      <c r="AG96" s="311">
        <f>AG99-AG93</f>
        <v>269</v>
      </c>
      <c r="AH96" s="195">
        <f t="shared" si="55"/>
        <v>-53.5</v>
      </c>
      <c r="AI96" s="311">
        <f>AI99-AI93</f>
        <v>139</v>
      </c>
      <c r="AJ96" s="311">
        <f>AJ99-AJ93</f>
        <v>62</v>
      </c>
      <c r="AK96" s="195">
        <f t="shared" si="56"/>
        <v>-55.4</v>
      </c>
      <c r="AL96" s="311">
        <f>AL99-AL93</f>
        <v>717</v>
      </c>
      <c r="AM96" s="311">
        <f>AM99-AM93</f>
        <v>331</v>
      </c>
      <c r="AN96" s="195">
        <f t="shared" si="57"/>
        <v>-53.8</v>
      </c>
      <c r="AO96" s="627">
        <f>AO99-AO93</f>
        <v>87</v>
      </c>
      <c r="AP96" s="627">
        <f>AP99-AP93</f>
        <v>79</v>
      </c>
      <c r="AQ96" s="617">
        <f t="shared" si="58"/>
        <v>-9.1999999999999993</v>
      </c>
      <c r="AR96" s="869">
        <f>AR99-AR93</f>
        <v>804</v>
      </c>
      <c r="AS96" s="869">
        <f>AS99-AS93</f>
        <v>410</v>
      </c>
      <c r="AT96" s="617">
        <f t="shared" si="59"/>
        <v>-49</v>
      </c>
      <c r="AU96" s="869">
        <f>AU99-AU93</f>
        <v>121</v>
      </c>
      <c r="AV96" s="869">
        <f>AV99-AV93</f>
        <v>110</v>
      </c>
      <c r="AW96" s="617">
        <f t="shared" si="60"/>
        <v>-9.1</v>
      </c>
      <c r="AX96" s="929">
        <f>AX99-AX93</f>
        <v>925</v>
      </c>
      <c r="AY96" s="929">
        <f>AY99-AY93</f>
        <v>520</v>
      </c>
      <c r="AZ96" s="617">
        <f t="shared" si="61"/>
        <v>-43.8</v>
      </c>
      <c r="BA96" s="869">
        <f>BA99-BA93</f>
        <v>147</v>
      </c>
      <c r="BB96" s="869">
        <f>BB99-BB93</f>
        <v>53</v>
      </c>
      <c r="BC96" s="617">
        <f t="shared" si="62"/>
        <v>-63.9</v>
      </c>
      <c r="BD96" s="869">
        <f>BD99-BD93</f>
        <v>1072</v>
      </c>
      <c r="BE96" s="869">
        <f>BE99-BE93</f>
        <v>573</v>
      </c>
      <c r="BF96" s="617">
        <f t="shared" si="63"/>
        <v>-46.5</v>
      </c>
      <c r="BG96" s="869">
        <f>BG99-BG93</f>
        <v>134</v>
      </c>
      <c r="BH96" s="869">
        <f>BH99-BH93</f>
        <v>90</v>
      </c>
      <c r="BI96" s="617">
        <f t="shared" si="64"/>
        <v>-32.799999999999997</v>
      </c>
      <c r="BJ96" s="869">
        <f>BJ99-BJ93</f>
        <v>1206</v>
      </c>
      <c r="BK96" s="869">
        <f>BK99-BK93</f>
        <v>663</v>
      </c>
      <c r="BL96" s="617">
        <f t="shared" si="65"/>
        <v>-45</v>
      </c>
      <c r="BM96" s="869">
        <f>BM99-BM93</f>
        <v>145</v>
      </c>
      <c r="BN96" s="869">
        <f>BN99-BN93</f>
        <v>64</v>
      </c>
      <c r="BO96" s="617">
        <f t="shared" si="66"/>
        <v>-55.9</v>
      </c>
      <c r="BP96" s="869">
        <f>BP99-BP93</f>
        <v>1351</v>
      </c>
      <c r="BQ96" s="869">
        <f>BQ99-BQ93</f>
        <v>727</v>
      </c>
      <c r="BR96" s="617">
        <f t="shared" si="67"/>
        <v>-46.2</v>
      </c>
      <c r="BS96" s="869">
        <f>BS99-BS93</f>
        <v>144</v>
      </c>
      <c r="BT96" s="869">
        <f>BT99-BT93</f>
        <v>80</v>
      </c>
      <c r="BU96" s="617">
        <f t="shared" si="68"/>
        <v>-44.4</v>
      </c>
      <c r="BV96" s="869">
        <f>BV99-BV93</f>
        <v>1495</v>
      </c>
      <c r="BW96" s="869">
        <f>BW99-BW93</f>
        <v>807</v>
      </c>
      <c r="BX96" s="617">
        <f t="shared" si="69"/>
        <v>-46</v>
      </c>
    </row>
    <row r="97" spans="1:76" ht="22.5" customHeight="1">
      <c r="A97" s="14"/>
      <c r="B97" s="1099"/>
      <c r="C97" s="1100"/>
      <c r="D97" s="366" t="s">
        <v>14</v>
      </c>
      <c r="E97" s="6">
        <f t="shared" si="82"/>
        <v>28618</v>
      </c>
      <c r="F97" s="6">
        <f t="shared" si="82"/>
        <v>21454</v>
      </c>
      <c r="G97" s="6">
        <f t="shared" si="82"/>
        <v>18991</v>
      </c>
      <c r="H97" s="6">
        <f t="shared" si="82"/>
        <v>19909</v>
      </c>
      <c r="I97" s="6">
        <f t="shared" si="82"/>
        <v>15778</v>
      </c>
      <c r="J97" s="6">
        <f t="shared" si="82"/>
        <v>27141</v>
      </c>
      <c r="K97" s="6">
        <f t="shared" si="82"/>
        <v>32105</v>
      </c>
      <c r="L97" s="180">
        <f t="shared" si="82"/>
        <v>37337</v>
      </c>
      <c r="M97" s="438">
        <f t="shared" si="83"/>
        <v>39206</v>
      </c>
      <c r="N97" s="309">
        <f t="shared" si="83"/>
        <v>2863</v>
      </c>
      <c r="O97" s="309">
        <f t="shared" si="83"/>
        <v>2120</v>
      </c>
      <c r="P97" s="193">
        <f t="shared" si="49"/>
        <v>-26</v>
      </c>
      <c r="Q97" s="309">
        <f>Q100-Q94</f>
        <v>2606</v>
      </c>
      <c r="R97" s="309">
        <f>R100-R94</f>
        <v>2566</v>
      </c>
      <c r="S97" s="193">
        <f t="shared" si="50"/>
        <v>-1.5</v>
      </c>
      <c r="T97" s="309">
        <f>T100-T94</f>
        <v>5469</v>
      </c>
      <c r="U97" s="309">
        <f>U100-U94</f>
        <v>4686</v>
      </c>
      <c r="V97" s="193">
        <f t="shared" si="51"/>
        <v>-14.3</v>
      </c>
      <c r="W97" s="309">
        <f>W100-W94</f>
        <v>4260</v>
      </c>
      <c r="X97" s="309">
        <f>X100-X94</f>
        <v>2220</v>
      </c>
      <c r="Y97" s="193">
        <f t="shared" si="52"/>
        <v>-47.9</v>
      </c>
      <c r="Z97" s="309">
        <f>Z100-Z94</f>
        <v>9729</v>
      </c>
      <c r="AA97" s="309">
        <f>AA100-AA94</f>
        <v>6906</v>
      </c>
      <c r="AB97" s="193">
        <f t="shared" si="53"/>
        <v>-29</v>
      </c>
      <c r="AC97" s="309">
        <f>AC100-AC94</f>
        <v>3974</v>
      </c>
      <c r="AD97" s="309">
        <f>AD100-AD94</f>
        <v>2197</v>
      </c>
      <c r="AE97" s="193">
        <f t="shared" si="54"/>
        <v>-44.7</v>
      </c>
      <c r="AF97" s="309">
        <f>AF100-AF94</f>
        <v>13703</v>
      </c>
      <c r="AG97" s="309">
        <f>AG100-AG94</f>
        <v>9103</v>
      </c>
      <c r="AH97" s="193">
        <f t="shared" si="55"/>
        <v>-33.6</v>
      </c>
      <c r="AI97" s="309">
        <f>AI100-AI94</f>
        <v>3131</v>
      </c>
      <c r="AJ97" s="309">
        <f>AJ100-AJ94</f>
        <v>1725</v>
      </c>
      <c r="AK97" s="193">
        <f t="shared" si="56"/>
        <v>-44.9</v>
      </c>
      <c r="AL97" s="309">
        <f>AL100-AL94</f>
        <v>16834</v>
      </c>
      <c r="AM97" s="309">
        <f>AM100-AM94</f>
        <v>10828</v>
      </c>
      <c r="AN97" s="193">
        <f t="shared" si="57"/>
        <v>-35.700000000000003</v>
      </c>
      <c r="AO97" s="625">
        <f>AO100-AO94</f>
        <v>2265</v>
      </c>
      <c r="AP97" s="625">
        <f>AP100-AP94</f>
        <v>2244</v>
      </c>
      <c r="AQ97" s="615">
        <f t="shared" si="58"/>
        <v>-0.9</v>
      </c>
      <c r="AR97" s="868">
        <f>AR100-AR94</f>
        <v>19099</v>
      </c>
      <c r="AS97" s="868">
        <f>AS100-AS94</f>
        <v>13072</v>
      </c>
      <c r="AT97" s="615">
        <f t="shared" si="59"/>
        <v>-31.6</v>
      </c>
      <c r="AU97" s="868">
        <f>AU100-AU94</f>
        <v>3278</v>
      </c>
      <c r="AV97" s="868">
        <f>AV100-AV94</f>
        <v>2591</v>
      </c>
      <c r="AW97" s="615">
        <f t="shared" si="60"/>
        <v>-21</v>
      </c>
      <c r="AX97" s="925">
        <f>AX100-AX94</f>
        <v>22377</v>
      </c>
      <c r="AY97" s="925">
        <f>AY100-AY94</f>
        <v>15663</v>
      </c>
      <c r="AZ97" s="615">
        <f t="shared" si="61"/>
        <v>-30</v>
      </c>
      <c r="BA97" s="868">
        <f>BA100-BA94</f>
        <v>3696</v>
      </c>
      <c r="BB97" s="868">
        <f>BB100-BB94</f>
        <v>2209</v>
      </c>
      <c r="BC97" s="615">
        <f t="shared" si="62"/>
        <v>-40.200000000000003</v>
      </c>
      <c r="BD97" s="868">
        <f>BD100-BD94</f>
        <v>26073</v>
      </c>
      <c r="BE97" s="868">
        <f>BE100-BE94</f>
        <v>17872</v>
      </c>
      <c r="BF97" s="615">
        <f t="shared" si="63"/>
        <v>-31.5</v>
      </c>
      <c r="BG97" s="868">
        <f>BG100-BG94</f>
        <v>3156</v>
      </c>
      <c r="BH97" s="868">
        <f>BH100-BH94</f>
        <v>2660</v>
      </c>
      <c r="BI97" s="615">
        <f t="shared" si="64"/>
        <v>-15.7</v>
      </c>
      <c r="BJ97" s="868">
        <f>BJ100-BJ94</f>
        <v>29229</v>
      </c>
      <c r="BK97" s="868">
        <f>BK100-BK94</f>
        <v>20532</v>
      </c>
      <c r="BL97" s="615">
        <f t="shared" si="65"/>
        <v>-29.8</v>
      </c>
      <c r="BM97" s="868">
        <f>BM100-BM94</f>
        <v>3417</v>
      </c>
      <c r="BN97" s="868">
        <f>BN100-BN94</f>
        <v>2522</v>
      </c>
      <c r="BO97" s="615">
        <f t="shared" si="66"/>
        <v>-26.2</v>
      </c>
      <c r="BP97" s="868">
        <f>BP100-BP94</f>
        <v>32646</v>
      </c>
      <c r="BQ97" s="868">
        <f>BQ100-BQ94</f>
        <v>23054</v>
      </c>
      <c r="BR97" s="615">
        <f t="shared" si="67"/>
        <v>-29.4</v>
      </c>
      <c r="BS97" s="868">
        <f>BS100-BS94</f>
        <v>3215</v>
      </c>
      <c r="BT97" s="868">
        <f>BT100-BT94</f>
        <v>3116</v>
      </c>
      <c r="BU97" s="615">
        <f t="shared" si="68"/>
        <v>-3.1</v>
      </c>
      <c r="BV97" s="868">
        <f>BV100-BV94</f>
        <v>35861</v>
      </c>
      <c r="BW97" s="868">
        <f>BW100-BW94</f>
        <v>26170</v>
      </c>
      <c r="BX97" s="615">
        <f t="shared" si="69"/>
        <v>-27</v>
      </c>
    </row>
    <row r="98" spans="1:76" ht="22.5" customHeight="1">
      <c r="A98" s="14"/>
      <c r="B98" s="1099"/>
      <c r="C98" s="1100"/>
      <c r="D98" s="370" t="s">
        <v>15</v>
      </c>
      <c r="E98" s="12">
        <f t="shared" ref="E98:O98" si="84">E97/E96*1000</f>
        <v>19846.04715672677</v>
      </c>
      <c r="F98" s="12">
        <f t="shared" si="84"/>
        <v>19327.927927927929</v>
      </c>
      <c r="G98" s="12">
        <f t="shared" si="84"/>
        <v>16301.28755364807</v>
      </c>
      <c r="H98" s="12">
        <f t="shared" si="84"/>
        <v>16958.262350936966</v>
      </c>
      <c r="I98" s="12">
        <f t="shared" si="84"/>
        <v>12542.130365659777</v>
      </c>
      <c r="J98" s="12">
        <f t="shared" si="84"/>
        <v>16116.983372921617</v>
      </c>
      <c r="K98" s="12">
        <f t="shared" si="84"/>
        <v>17776.854928017721</v>
      </c>
      <c r="L98" s="184">
        <f t="shared" si="84"/>
        <v>23541.614123581337</v>
      </c>
      <c r="M98" s="442">
        <f>M97/M96*1000</f>
        <v>24097.111247695146</v>
      </c>
      <c r="N98" s="310">
        <f t="shared" si="84"/>
        <v>25792.792792792792</v>
      </c>
      <c r="O98" s="310">
        <f t="shared" si="84"/>
        <v>35932.203389830502</v>
      </c>
      <c r="P98" s="194">
        <f t="shared" si="49"/>
        <v>39.299999999999997</v>
      </c>
      <c r="Q98" s="310">
        <f>Q97/Q96*1000</f>
        <v>25801.980198019803</v>
      </c>
      <c r="R98" s="310">
        <f>R97/R96*1000</f>
        <v>38878.787878787873</v>
      </c>
      <c r="S98" s="194">
        <f t="shared" si="50"/>
        <v>50.7</v>
      </c>
      <c r="T98" s="310">
        <f>T97/T96*1000</f>
        <v>25797.169811320753</v>
      </c>
      <c r="U98" s="310">
        <f>U97/U96*1000</f>
        <v>37488</v>
      </c>
      <c r="V98" s="194">
        <f t="shared" si="51"/>
        <v>45.3</v>
      </c>
      <c r="W98" s="310">
        <f>W97/W96*1000</f>
        <v>23535.911602209948</v>
      </c>
      <c r="X98" s="310">
        <f>X97/X96*1000</f>
        <v>31267.605633802817</v>
      </c>
      <c r="Y98" s="194">
        <f t="shared" si="52"/>
        <v>32.9</v>
      </c>
      <c r="Z98" s="310">
        <f>Z97/Z96*1000</f>
        <v>24755.725190839694</v>
      </c>
      <c r="AA98" s="310">
        <f>AA97/AA96*1000</f>
        <v>35234.693877551021</v>
      </c>
      <c r="AB98" s="194">
        <f t="shared" si="53"/>
        <v>42.3</v>
      </c>
      <c r="AC98" s="310">
        <f>AC97/AC96*1000</f>
        <v>21481.081081081084</v>
      </c>
      <c r="AD98" s="310">
        <f>AD97/AD96*1000</f>
        <v>30095.890410958906</v>
      </c>
      <c r="AE98" s="194">
        <f t="shared" si="54"/>
        <v>40.1</v>
      </c>
      <c r="AF98" s="310">
        <f>AF97/AF96*1000</f>
        <v>23707.612456747407</v>
      </c>
      <c r="AG98" s="310">
        <f>AG97/AG96*1000</f>
        <v>33840.148698884761</v>
      </c>
      <c r="AH98" s="194">
        <f t="shared" si="55"/>
        <v>42.7</v>
      </c>
      <c r="AI98" s="310">
        <f>AI97/AI96*1000</f>
        <v>22525.179856115108</v>
      </c>
      <c r="AJ98" s="310">
        <f>AJ97/AJ96*1000</f>
        <v>27822.580645161292</v>
      </c>
      <c r="AK98" s="194">
        <f t="shared" si="56"/>
        <v>23.5</v>
      </c>
      <c r="AL98" s="310">
        <f>AL97/AL96*1000</f>
        <v>23478.382147838216</v>
      </c>
      <c r="AM98" s="310">
        <f>AM97/AM96*1000</f>
        <v>32712.990936555889</v>
      </c>
      <c r="AN98" s="194">
        <f t="shared" si="57"/>
        <v>39.299999999999997</v>
      </c>
      <c r="AO98" s="626">
        <f>AO97/AO96*1000</f>
        <v>26034.482758620692</v>
      </c>
      <c r="AP98" s="626">
        <f>AP97/AP96*1000</f>
        <v>28405.063291139239</v>
      </c>
      <c r="AQ98" s="616">
        <f t="shared" si="58"/>
        <v>9.1</v>
      </c>
      <c r="AR98" s="626">
        <f>AR97/AR96*1000</f>
        <v>23754.97512437811</v>
      </c>
      <c r="AS98" s="626">
        <f>AS97/AS96*1000</f>
        <v>31882.926829268294</v>
      </c>
      <c r="AT98" s="616">
        <f t="shared" si="59"/>
        <v>34.200000000000003</v>
      </c>
      <c r="AU98" s="626">
        <f>AU97/AU96*1000</f>
        <v>27090.909090909088</v>
      </c>
      <c r="AV98" s="626">
        <f>AV97/AV96*1000</f>
        <v>23554.545454545456</v>
      </c>
      <c r="AW98" s="616">
        <f t="shared" si="60"/>
        <v>-13.1</v>
      </c>
      <c r="AX98" s="930">
        <f>AX97/AX96*1000</f>
        <v>24191.35135135135</v>
      </c>
      <c r="AY98" s="930">
        <f>AY97/AY96*1000</f>
        <v>30121.153846153844</v>
      </c>
      <c r="AZ98" s="616">
        <f t="shared" si="61"/>
        <v>24.5</v>
      </c>
      <c r="BA98" s="626">
        <f>BA97/BA96*1000</f>
        <v>25142.857142857141</v>
      </c>
      <c r="BB98" s="626">
        <f>BB97/BB96*1000</f>
        <v>41679.245283018863</v>
      </c>
      <c r="BC98" s="616">
        <f t="shared" si="62"/>
        <v>65.8</v>
      </c>
      <c r="BD98" s="626">
        <f>BD97/BD96*1000</f>
        <v>24321.828358208953</v>
      </c>
      <c r="BE98" s="626">
        <f>BE97/BE96*1000</f>
        <v>31190.22687609075</v>
      </c>
      <c r="BF98" s="616">
        <f t="shared" si="63"/>
        <v>28.2</v>
      </c>
      <c r="BG98" s="626">
        <f>BG97/BG96*1000</f>
        <v>23552.238805970148</v>
      </c>
      <c r="BH98" s="626">
        <f>BH97/BH96*1000</f>
        <v>29555.555555555558</v>
      </c>
      <c r="BI98" s="616">
        <f t="shared" si="64"/>
        <v>25.5</v>
      </c>
      <c r="BJ98" s="626">
        <f>BJ97/BJ96*1000</f>
        <v>24236.3184079602</v>
      </c>
      <c r="BK98" s="626">
        <f>BK97/BK96*1000</f>
        <v>30968.325791855204</v>
      </c>
      <c r="BL98" s="616">
        <f t="shared" si="65"/>
        <v>27.8</v>
      </c>
      <c r="BM98" s="626">
        <f>BM97/BM96*1000</f>
        <v>23565.517241379312</v>
      </c>
      <c r="BN98" s="626">
        <f>BN97/BN96*1000</f>
        <v>39406.25</v>
      </c>
      <c r="BO98" s="616">
        <f t="shared" si="66"/>
        <v>67.2</v>
      </c>
      <c r="BP98" s="626">
        <f>BP97/BP96*1000</f>
        <v>24164.322723908219</v>
      </c>
      <c r="BQ98" s="626">
        <f>BQ97/BQ96*1000</f>
        <v>31711.141678129297</v>
      </c>
      <c r="BR98" s="616">
        <f t="shared" si="67"/>
        <v>31.2</v>
      </c>
      <c r="BS98" s="626">
        <f>BS97/BS96*1000</f>
        <v>22326.388888888891</v>
      </c>
      <c r="BT98" s="626">
        <f>BT97/BT96*1000</f>
        <v>38950</v>
      </c>
      <c r="BU98" s="616">
        <f t="shared" si="68"/>
        <v>74.5</v>
      </c>
      <c r="BV98" s="626">
        <f>BV97/BV96*1000</f>
        <v>23987.290969899663</v>
      </c>
      <c r="BW98" s="626">
        <f>BW97/BW96*1000</f>
        <v>32428.748451053281</v>
      </c>
      <c r="BX98" s="616">
        <f t="shared" si="69"/>
        <v>35.200000000000003</v>
      </c>
    </row>
    <row r="99" spans="1:76" ht="22.5" customHeight="1">
      <c r="A99" s="14"/>
      <c r="B99" s="1104" t="s">
        <v>25</v>
      </c>
      <c r="C99" s="1105"/>
      <c r="D99" s="15" t="s">
        <v>319</v>
      </c>
      <c r="E99" s="16">
        <v>16647</v>
      </c>
      <c r="F99" s="16">
        <v>18094</v>
      </c>
      <c r="G99" s="16">
        <v>16712</v>
      </c>
      <c r="H99" s="16">
        <v>16178</v>
      </c>
      <c r="I99" s="16">
        <v>15711</v>
      </c>
      <c r="J99" s="16">
        <v>16766</v>
      </c>
      <c r="K99" s="16">
        <v>15314</v>
      </c>
      <c r="L99" s="185">
        <v>15854</v>
      </c>
      <c r="M99" s="443">
        <v>14083</v>
      </c>
      <c r="N99" s="313">
        <v>1210</v>
      </c>
      <c r="O99" s="313">
        <v>1347</v>
      </c>
      <c r="P99" s="197">
        <f t="shared" si="49"/>
        <v>11.3</v>
      </c>
      <c r="Q99" s="313">
        <f>T99-N99</f>
        <v>1072</v>
      </c>
      <c r="R99" s="313">
        <f>U99-O99</f>
        <v>854</v>
      </c>
      <c r="S99" s="197">
        <f t="shared" si="50"/>
        <v>-20.3</v>
      </c>
      <c r="T99" s="313">
        <v>2282</v>
      </c>
      <c r="U99" s="313">
        <v>2201</v>
      </c>
      <c r="V99" s="197">
        <f t="shared" si="51"/>
        <v>-3.5</v>
      </c>
      <c r="W99" s="313">
        <f>Z99-T99</f>
        <v>1129</v>
      </c>
      <c r="X99" s="313">
        <f>AA99-U99</f>
        <v>1975</v>
      </c>
      <c r="Y99" s="197">
        <f t="shared" si="52"/>
        <v>74.900000000000006</v>
      </c>
      <c r="Z99" s="313">
        <v>3411</v>
      </c>
      <c r="AA99" s="313">
        <v>4176</v>
      </c>
      <c r="AB99" s="197">
        <f t="shared" si="53"/>
        <v>22.4</v>
      </c>
      <c r="AC99" s="313">
        <f>AF99-Z99</f>
        <v>1315</v>
      </c>
      <c r="AD99" s="313">
        <f>AG99-AA99</f>
        <v>1046</v>
      </c>
      <c r="AE99" s="197">
        <f t="shared" si="54"/>
        <v>-20.5</v>
      </c>
      <c r="AF99" s="313">
        <v>4726</v>
      </c>
      <c r="AG99" s="313">
        <v>5222</v>
      </c>
      <c r="AH99" s="197">
        <f t="shared" si="55"/>
        <v>10.5</v>
      </c>
      <c r="AI99" s="313">
        <f>AL99-AF99</f>
        <v>840</v>
      </c>
      <c r="AJ99" s="313">
        <f>AM99-AG99</f>
        <v>1380</v>
      </c>
      <c r="AK99" s="197">
        <f t="shared" si="56"/>
        <v>64.3</v>
      </c>
      <c r="AL99" s="313">
        <v>5566</v>
      </c>
      <c r="AM99" s="313">
        <v>6602</v>
      </c>
      <c r="AN99" s="197">
        <f t="shared" si="57"/>
        <v>18.600000000000001</v>
      </c>
      <c r="AO99" s="628">
        <f>AR99-AL99</f>
        <v>1314</v>
      </c>
      <c r="AP99" s="628">
        <f>AS99-AM99</f>
        <v>783</v>
      </c>
      <c r="AQ99" s="618">
        <f t="shared" si="58"/>
        <v>-40.4</v>
      </c>
      <c r="AR99" s="640">
        <v>6880</v>
      </c>
      <c r="AS99" s="640">
        <v>7385</v>
      </c>
      <c r="AT99" s="618">
        <f t="shared" si="59"/>
        <v>7.3</v>
      </c>
      <c r="AU99" s="640">
        <f>AX99-AR99</f>
        <v>1556</v>
      </c>
      <c r="AV99" s="640">
        <f>AY99-AS99</f>
        <v>1387</v>
      </c>
      <c r="AW99" s="618">
        <f t="shared" si="60"/>
        <v>-10.9</v>
      </c>
      <c r="AX99" s="931">
        <v>8436</v>
      </c>
      <c r="AY99" s="931">
        <v>8772</v>
      </c>
      <c r="AZ99" s="618">
        <f t="shared" si="61"/>
        <v>4</v>
      </c>
      <c r="BA99" s="640">
        <f>BD99-AX99</f>
        <v>1174</v>
      </c>
      <c r="BB99" s="640">
        <f>BE99-AY99</f>
        <v>928</v>
      </c>
      <c r="BC99" s="618">
        <f t="shared" si="62"/>
        <v>-21</v>
      </c>
      <c r="BD99" s="640">
        <v>9610</v>
      </c>
      <c r="BE99" s="640">
        <v>9700</v>
      </c>
      <c r="BF99" s="618">
        <f t="shared" si="63"/>
        <v>0.9</v>
      </c>
      <c r="BG99" s="640">
        <f>BJ99-BD99</f>
        <v>1281</v>
      </c>
      <c r="BH99" s="640">
        <f>BK99-BE99</f>
        <v>1538</v>
      </c>
      <c r="BI99" s="618">
        <f t="shared" si="64"/>
        <v>20.100000000000001</v>
      </c>
      <c r="BJ99" s="640">
        <v>10891</v>
      </c>
      <c r="BK99" s="640">
        <v>11238</v>
      </c>
      <c r="BL99" s="618">
        <f t="shared" si="65"/>
        <v>3.2</v>
      </c>
      <c r="BM99" s="640">
        <f>BP99-BJ99</f>
        <v>944</v>
      </c>
      <c r="BN99" s="640">
        <f>BQ99-BK99</f>
        <v>936</v>
      </c>
      <c r="BO99" s="618">
        <f t="shared" si="66"/>
        <v>-0.8</v>
      </c>
      <c r="BP99" s="640">
        <v>11835</v>
      </c>
      <c r="BQ99" s="640">
        <v>12174</v>
      </c>
      <c r="BR99" s="618">
        <f t="shared" si="67"/>
        <v>2.9</v>
      </c>
      <c r="BS99" s="640">
        <f>BV99-BP99</f>
        <v>1040</v>
      </c>
      <c r="BT99" s="640">
        <f>BW99-BQ99</f>
        <v>1407</v>
      </c>
      <c r="BU99" s="618">
        <f t="shared" si="68"/>
        <v>35.299999999999997</v>
      </c>
      <c r="BV99" s="640">
        <v>12875</v>
      </c>
      <c r="BW99" s="640">
        <v>13581</v>
      </c>
      <c r="BX99" s="618">
        <f t="shared" si="69"/>
        <v>5.5</v>
      </c>
    </row>
    <row r="100" spans="1:76" ht="22.5" customHeight="1">
      <c r="A100" s="14"/>
      <c r="B100" s="1104"/>
      <c r="C100" s="1105"/>
      <c r="D100" s="367" t="s">
        <v>320</v>
      </c>
      <c r="E100" s="18">
        <v>450061</v>
      </c>
      <c r="F100" s="18">
        <v>386153</v>
      </c>
      <c r="G100" s="18">
        <v>369639</v>
      </c>
      <c r="H100" s="18">
        <v>359458</v>
      </c>
      <c r="I100" s="18">
        <v>267927</v>
      </c>
      <c r="J100" s="18">
        <v>276651</v>
      </c>
      <c r="K100" s="18">
        <v>307166</v>
      </c>
      <c r="L100" s="186">
        <v>328296</v>
      </c>
      <c r="M100" s="444">
        <v>278477</v>
      </c>
      <c r="N100" s="314">
        <v>24103</v>
      </c>
      <c r="O100" s="314">
        <v>24138</v>
      </c>
      <c r="P100" s="198">
        <f t="shared" si="49"/>
        <v>0.1</v>
      </c>
      <c r="Q100" s="314">
        <f>T100-N100</f>
        <v>21808</v>
      </c>
      <c r="R100" s="314">
        <f>U100-O100</f>
        <v>16035</v>
      </c>
      <c r="S100" s="198">
        <f t="shared" si="50"/>
        <v>-26.5</v>
      </c>
      <c r="T100" s="314">
        <v>45911</v>
      </c>
      <c r="U100" s="314">
        <v>40173</v>
      </c>
      <c r="V100" s="198">
        <f t="shared" si="51"/>
        <v>-12.5</v>
      </c>
      <c r="W100" s="314">
        <f>Z100-T100</f>
        <v>24078</v>
      </c>
      <c r="X100" s="314">
        <f>AA100-U100</f>
        <v>34677</v>
      </c>
      <c r="Y100" s="198">
        <f t="shared" si="52"/>
        <v>44</v>
      </c>
      <c r="Z100" s="314">
        <v>69989</v>
      </c>
      <c r="AA100" s="314">
        <v>74850</v>
      </c>
      <c r="AB100" s="198">
        <f t="shared" si="53"/>
        <v>6.9</v>
      </c>
      <c r="AC100" s="314">
        <f>AF100-Z100</f>
        <v>28028</v>
      </c>
      <c r="AD100" s="314">
        <f>AG100-AA100</f>
        <v>17679</v>
      </c>
      <c r="AE100" s="198">
        <f t="shared" si="54"/>
        <v>-36.9</v>
      </c>
      <c r="AF100" s="314">
        <v>98017</v>
      </c>
      <c r="AG100" s="314">
        <v>92529</v>
      </c>
      <c r="AH100" s="198">
        <f t="shared" si="55"/>
        <v>-5.6</v>
      </c>
      <c r="AI100" s="314">
        <f>AL100-AF100</f>
        <v>17820</v>
      </c>
      <c r="AJ100" s="314">
        <f>AM100-AG100</f>
        <v>22444</v>
      </c>
      <c r="AK100" s="198">
        <f t="shared" si="56"/>
        <v>25.9</v>
      </c>
      <c r="AL100" s="314">
        <v>115837</v>
      </c>
      <c r="AM100" s="314">
        <v>114973</v>
      </c>
      <c r="AN100" s="198">
        <f t="shared" si="57"/>
        <v>-0.7</v>
      </c>
      <c r="AO100" s="629">
        <f>AR100-AL100</f>
        <v>27963</v>
      </c>
      <c r="AP100" s="629">
        <f>AS100-AM100</f>
        <v>13200</v>
      </c>
      <c r="AQ100" s="619">
        <f t="shared" si="58"/>
        <v>-52.8</v>
      </c>
      <c r="AR100" s="641">
        <v>143800</v>
      </c>
      <c r="AS100" s="641">
        <v>128173</v>
      </c>
      <c r="AT100" s="619">
        <f t="shared" si="59"/>
        <v>-10.9</v>
      </c>
      <c r="AU100" s="641">
        <f>AX100-AR100</f>
        <v>31345</v>
      </c>
      <c r="AV100" s="641">
        <f>AY100-AS100</f>
        <v>23414</v>
      </c>
      <c r="AW100" s="619">
        <f t="shared" si="60"/>
        <v>-25.3</v>
      </c>
      <c r="AX100" s="932">
        <v>175145</v>
      </c>
      <c r="AY100" s="932">
        <v>151587</v>
      </c>
      <c r="AZ100" s="619">
        <f t="shared" si="61"/>
        <v>-13.5</v>
      </c>
      <c r="BA100" s="641">
        <f>BD100-AX100</f>
        <v>23186</v>
      </c>
      <c r="BB100" s="641">
        <f>BE100-AY100</f>
        <v>17447</v>
      </c>
      <c r="BC100" s="619">
        <f t="shared" si="62"/>
        <v>-24.8</v>
      </c>
      <c r="BD100" s="641">
        <v>198331</v>
      </c>
      <c r="BE100" s="641">
        <v>169034</v>
      </c>
      <c r="BF100" s="619">
        <f t="shared" si="63"/>
        <v>-14.8</v>
      </c>
      <c r="BG100" s="641">
        <f>BJ100-BD100</f>
        <v>23286</v>
      </c>
      <c r="BH100" s="641">
        <f>BK100-BE100</f>
        <v>28435</v>
      </c>
      <c r="BI100" s="619">
        <f t="shared" si="64"/>
        <v>22.1</v>
      </c>
      <c r="BJ100" s="641">
        <v>221617</v>
      </c>
      <c r="BK100" s="641">
        <v>197469</v>
      </c>
      <c r="BL100" s="619">
        <f t="shared" si="65"/>
        <v>-10.9</v>
      </c>
      <c r="BM100" s="641">
        <f>BP100-BJ100</f>
        <v>17024</v>
      </c>
      <c r="BN100" s="641">
        <f>BQ100-BK100</f>
        <v>18328</v>
      </c>
      <c r="BO100" s="619">
        <f t="shared" si="66"/>
        <v>7.7</v>
      </c>
      <c r="BP100" s="641">
        <v>238641</v>
      </c>
      <c r="BQ100" s="641">
        <v>215797</v>
      </c>
      <c r="BR100" s="619">
        <f t="shared" si="67"/>
        <v>-9.6</v>
      </c>
      <c r="BS100" s="641">
        <f>BV100-BP100</f>
        <v>18317</v>
      </c>
      <c r="BT100" s="641">
        <f>BW100-BQ100</f>
        <v>27154</v>
      </c>
      <c r="BU100" s="619">
        <f t="shared" si="68"/>
        <v>48.2</v>
      </c>
      <c r="BV100" s="641">
        <v>256958</v>
      </c>
      <c r="BW100" s="641">
        <v>242951</v>
      </c>
      <c r="BX100" s="619">
        <f t="shared" si="69"/>
        <v>-5.5</v>
      </c>
    </row>
    <row r="101" spans="1:76" ht="22.5" customHeight="1">
      <c r="A101" s="14"/>
      <c r="B101" s="1104"/>
      <c r="C101" s="1105"/>
      <c r="D101" s="371" t="s">
        <v>321</v>
      </c>
      <c r="E101" s="20">
        <f t="shared" ref="E101:O101" si="85">E100/E99*1000</f>
        <v>27035.561963116477</v>
      </c>
      <c r="F101" s="20">
        <f t="shared" si="85"/>
        <v>21341.494418039129</v>
      </c>
      <c r="G101" s="20">
        <f t="shared" si="85"/>
        <v>22118.178554332218</v>
      </c>
      <c r="H101" s="20">
        <f t="shared" si="85"/>
        <v>22218.939300284335</v>
      </c>
      <c r="I101" s="20">
        <f t="shared" si="85"/>
        <v>17053.465724651516</v>
      </c>
      <c r="J101" s="20">
        <f t="shared" si="85"/>
        <v>16500.715734224024</v>
      </c>
      <c r="K101" s="20">
        <f t="shared" si="85"/>
        <v>20057.85555700666</v>
      </c>
      <c r="L101" s="187">
        <f t="shared" si="85"/>
        <v>20707.45553172701</v>
      </c>
      <c r="M101" s="445">
        <f>M100/M99*1000</f>
        <v>19773.98281616133</v>
      </c>
      <c r="N101" s="315">
        <f t="shared" si="85"/>
        <v>19919.834710743802</v>
      </c>
      <c r="O101" s="315">
        <f t="shared" si="85"/>
        <v>17919.821826280626</v>
      </c>
      <c r="P101" s="199">
        <f t="shared" si="49"/>
        <v>-10</v>
      </c>
      <c r="Q101" s="315">
        <f>Q100/Q99*1000</f>
        <v>20343.283582089553</v>
      </c>
      <c r="R101" s="315">
        <f>R100/R99*1000</f>
        <v>18776.346604215458</v>
      </c>
      <c r="S101" s="199">
        <f t="shared" si="50"/>
        <v>-7.7</v>
      </c>
      <c r="T101" s="315">
        <f>T100/T99*1000</f>
        <v>20118.755477651186</v>
      </c>
      <c r="U101" s="315">
        <f>U100/U99*1000</f>
        <v>18252.158109950025</v>
      </c>
      <c r="V101" s="199">
        <f t="shared" si="51"/>
        <v>-9.3000000000000007</v>
      </c>
      <c r="W101" s="315">
        <f>W100/W99*1000</f>
        <v>21326.837909654561</v>
      </c>
      <c r="X101" s="315">
        <f>X100/X99*1000</f>
        <v>17557.974683544304</v>
      </c>
      <c r="Y101" s="199">
        <f t="shared" si="52"/>
        <v>-17.7</v>
      </c>
      <c r="Z101" s="315">
        <f>Z100/Z99*1000</f>
        <v>20518.616241571388</v>
      </c>
      <c r="AA101" s="315">
        <f>AA100/AA99*1000</f>
        <v>17923.850574712644</v>
      </c>
      <c r="AB101" s="199">
        <f t="shared" si="53"/>
        <v>-12.6</v>
      </c>
      <c r="AC101" s="315">
        <f>AC100/AC99*1000</f>
        <v>21314.068441064639</v>
      </c>
      <c r="AD101" s="315">
        <f>AD100/AD99*1000</f>
        <v>16901.529636711282</v>
      </c>
      <c r="AE101" s="199">
        <f t="shared" si="54"/>
        <v>-20.7</v>
      </c>
      <c r="AF101" s="315">
        <f>AF100/AF99*1000</f>
        <v>20739.94921709691</v>
      </c>
      <c r="AG101" s="315">
        <f>AG100/AG99*1000</f>
        <v>17719.073152049023</v>
      </c>
      <c r="AH101" s="199">
        <f t="shared" si="55"/>
        <v>-14.6</v>
      </c>
      <c r="AI101" s="315">
        <f>AI100/AI99*1000</f>
        <v>21214.285714285714</v>
      </c>
      <c r="AJ101" s="315">
        <f>AJ100/AJ99*1000</f>
        <v>16263.768115942028</v>
      </c>
      <c r="AK101" s="199">
        <f t="shared" si="56"/>
        <v>-23.3</v>
      </c>
      <c r="AL101" s="315">
        <f>AL100/AL99*1000</f>
        <v>20811.534315486886</v>
      </c>
      <c r="AM101" s="315">
        <f>AM100/AM99*1000</f>
        <v>17414.874280521053</v>
      </c>
      <c r="AN101" s="199">
        <f t="shared" si="57"/>
        <v>-16.3</v>
      </c>
      <c r="AO101" s="630">
        <f>AO100/AO99*1000</f>
        <v>21280.821917808218</v>
      </c>
      <c r="AP101" s="630">
        <f>AP100/AP99*1000</f>
        <v>16858.237547892721</v>
      </c>
      <c r="AQ101" s="620">
        <f t="shared" si="58"/>
        <v>-20.8</v>
      </c>
      <c r="AR101" s="630">
        <f>AR100/AR99*1000</f>
        <v>20901.162790697676</v>
      </c>
      <c r="AS101" s="630">
        <f>AS100/AS99*1000</f>
        <v>17355.856465809073</v>
      </c>
      <c r="AT101" s="620">
        <f t="shared" si="59"/>
        <v>-17</v>
      </c>
      <c r="AU101" s="630">
        <f>AU100/AU99*1000</f>
        <v>20144.601542416454</v>
      </c>
      <c r="AV101" s="630">
        <f>AV100/AV99*1000</f>
        <v>16881.038211968276</v>
      </c>
      <c r="AW101" s="620">
        <f t="shared" si="60"/>
        <v>-16.2</v>
      </c>
      <c r="AX101" s="933">
        <f>AX100/AX99*1000</f>
        <v>20761.616880037935</v>
      </c>
      <c r="AY101" s="933">
        <f>AY100/AY99*1000</f>
        <v>17280.77975376197</v>
      </c>
      <c r="AZ101" s="620">
        <f t="shared" si="61"/>
        <v>-16.8</v>
      </c>
      <c r="BA101" s="630">
        <f>BA100/BA99*1000</f>
        <v>19749.574105621807</v>
      </c>
      <c r="BB101" s="630">
        <f>BB100/BB99*1000</f>
        <v>18800.646551724138</v>
      </c>
      <c r="BC101" s="620">
        <f t="shared" si="62"/>
        <v>-4.8</v>
      </c>
      <c r="BD101" s="630">
        <f>BD100/BD99*1000</f>
        <v>20637.981269510929</v>
      </c>
      <c r="BE101" s="630">
        <f>BE100/BE99*1000</f>
        <v>17426.18556701031</v>
      </c>
      <c r="BF101" s="620">
        <f t="shared" si="63"/>
        <v>-15.6</v>
      </c>
      <c r="BG101" s="630">
        <f>BG100/BG99*1000</f>
        <v>18177.985948477752</v>
      </c>
      <c r="BH101" s="630">
        <f>BH100/BH99*1000</f>
        <v>18488.296488946686</v>
      </c>
      <c r="BI101" s="620">
        <f t="shared" si="64"/>
        <v>1.7</v>
      </c>
      <c r="BJ101" s="630">
        <f>BJ100/BJ99*1000</f>
        <v>20348.636488844</v>
      </c>
      <c r="BK101" s="630">
        <f>BK100/BK99*1000</f>
        <v>17571.54297917779</v>
      </c>
      <c r="BL101" s="620">
        <f t="shared" si="65"/>
        <v>-13.6</v>
      </c>
      <c r="BM101" s="630">
        <f>BM100/BM99*1000</f>
        <v>18033.898305084749</v>
      </c>
      <c r="BN101" s="630">
        <f>BN100/BN99*1000</f>
        <v>19581.196581196582</v>
      </c>
      <c r="BO101" s="620">
        <f t="shared" si="66"/>
        <v>8.6</v>
      </c>
      <c r="BP101" s="630">
        <f>BP100/BP99*1000</f>
        <v>20164.005069708492</v>
      </c>
      <c r="BQ101" s="630">
        <f>BQ100/BQ99*1000</f>
        <v>17726.055528174802</v>
      </c>
      <c r="BR101" s="620">
        <f t="shared" si="67"/>
        <v>-12.1</v>
      </c>
      <c r="BS101" s="630">
        <f>BS100/BS99*1000</f>
        <v>17612.5</v>
      </c>
      <c r="BT101" s="630">
        <f>BT100/BT99*1000</f>
        <v>19299.218194740584</v>
      </c>
      <c r="BU101" s="620">
        <f t="shared" si="68"/>
        <v>9.6</v>
      </c>
      <c r="BV101" s="630">
        <f>BV100/BV99*1000</f>
        <v>19957.902912621361</v>
      </c>
      <c r="BW101" s="630">
        <f>BW100/BW99*1000</f>
        <v>17889.036153449673</v>
      </c>
      <c r="BX101" s="620">
        <f t="shared" si="69"/>
        <v>-10.4</v>
      </c>
    </row>
    <row r="102" spans="1:76" ht="22.5" customHeight="1">
      <c r="A102" s="1106" t="s">
        <v>36</v>
      </c>
      <c r="B102" s="1121"/>
      <c r="C102" s="1100">
        <v>81</v>
      </c>
      <c r="D102" s="365" t="s">
        <v>37</v>
      </c>
      <c r="E102" s="11">
        <v>174062</v>
      </c>
      <c r="F102" s="11">
        <v>127405</v>
      </c>
      <c r="G102" s="11">
        <v>106816</v>
      </c>
      <c r="H102" s="11">
        <v>125202</v>
      </c>
      <c r="I102" s="11">
        <v>137551</v>
      </c>
      <c r="J102" s="11">
        <v>140737</v>
      </c>
      <c r="K102" s="11">
        <v>157963</v>
      </c>
      <c r="L102" s="183">
        <v>156574</v>
      </c>
      <c r="M102" s="312">
        <v>153450</v>
      </c>
      <c r="N102" s="311">
        <v>14415</v>
      </c>
      <c r="O102" s="311">
        <v>14260</v>
      </c>
      <c r="P102" s="195">
        <f t="shared" si="49"/>
        <v>-1.1000000000000001</v>
      </c>
      <c r="Q102" s="311">
        <f>T102-N102</f>
        <v>9667</v>
      </c>
      <c r="R102" s="311">
        <f>U102-O102</f>
        <v>7717</v>
      </c>
      <c r="S102" s="195">
        <f t="shared" si="50"/>
        <v>-20.2</v>
      </c>
      <c r="T102" s="311">
        <v>24082</v>
      </c>
      <c r="U102" s="311">
        <v>21977</v>
      </c>
      <c r="V102" s="195">
        <f t="shared" si="51"/>
        <v>-8.6999999999999993</v>
      </c>
      <c r="W102" s="311">
        <f>Z102-T102</f>
        <v>11428</v>
      </c>
      <c r="X102" s="311">
        <f>AA102-U102</f>
        <v>14465</v>
      </c>
      <c r="Y102" s="195">
        <f t="shared" si="52"/>
        <v>26.6</v>
      </c>
      <c r="Z102" s="311">
        <v>35510</v>
      </c>
      <c r="AA102" s="311">
        <v>36442</v>
      </c>
      <c r="AB102" s="195">
        <f t="shared" si="53"/>
        <v>2.6</v>
      </c>
      <c r="AC102" s="311">
        <f>AF102-Z102</f>
        <v>15043</v>
      </c>
      <c r="AD102" s="311">
        <f>AG102-AA102</f>
        <v>13251</v>
      </c>
      <c r="AE102" s="195">
        <f t="shared" si="54"/>
        <v>-11.9</v>
      </c>
      <c r="AF102" s="311">
        <v>50553</v>
      </c>
      <c r="AG102" s="311">
        <v>49693</v>
      </c>
      <c r="AH102" s="195">
        <f t="shared" si="55"/>
        <v>-1.7</v>
      </c>
      <c r="AI102" s="311">
        <f>AL102-AF102</f>
        <v>13151</v>
      </c>
      <c r="AJ102" s="311">
        <f>AM102-AG102</f>
        <v>13671</v>
      </c>
      <c r="AK102" s="195">
        <f t="shared" si="56"/>
        <v>4</v>
      </c>
      <c r="AL102" s="311">
        <v>63704</v>
      </c>
      <c r="AM102" s="311">
        <v>63364</v>
      </c>
      <c r="AN102" s="195">
        <f t="shared" si="57"/>
        <v>-0.5</v>
      </c>
      <c r="AO102" s="627">
        <f>AR102-AL102</f>
        <v>13539</v>
      </c>
      <c r="AP102" s="627">
        <f>AS102-AM102</f>
        <v>11440</v>
      </c>
      <c r="AQ102" s="617">
        <f t="shared" si="58"/>
        <v>-15.5</v>
      </c>
      <c r="AR102" s="869">
        <v>77243</v>
      </c>
      <c r="AS102" s="869">
        <v>74804</v>
      </c>
      <c r="AT102" s="617">
        <f t="shared" si="59"/>
        <v>-3.2</v>
      </c>
      <c r="AU102" s="869">
        <f>AX102-AR102</f>
        <v>15678</v>
      </c>
      <c r="AV102" s="869">
        <f>AY102-AS102</f>
        <v>11210</v>
      </c>
      <c r="AW102" s="617">
        <f t="shared" si="60"/>
        <v>-28.5</v>
      </c>
      <c r="AX102" s="929">
        <v>92921</v>
      </c>
      <c r="AY102" s="929">
        <v>86014</v>
      </c>
      <c r="AZ102" s="617">
        <f t="shared" si="61"/>
        <v>-7.4</v>
      </c>
      <c r="BA102" s="869">
        <f>BD102-AX102</f>
        <v>11925</v>
      </c>
      <c r="BB102" s="869">
        <f>BE102-AY102</f>
        <v>7940</v>
      </c>
      <c r="BC102" s="617">
        <f t="shared" si="62"/>
        <v>-33.4</v>
      </c>
      <c r="BD102" s="869">
        <v>104846</v>
      </c>
      <c r="BE102" s="869">
        <v>93954</v>
      </c>
      <c r="BF102" s="617">
        <f t="shared" si="63"/>
        <v>-10.4</v>
      </c>
      <c r="BG102" s="869">
        <f>BJ102-BD102</f>
        <v>11177</v>
      </c>
      <c r="BH102" s="869">
        <f>BK102-BE102</f>
        <v>12869</v>
      </c>
      <c r="BI102" s="617">
        <f t="shared" si="64"/>
        <v>15.1</v>
      </c>
      <c r="BJ102" s="869">
        <v>116023</v>
      </c>
      <c r="BK102" s="869">
        <v>106823</v>
      </c>
      <c r="BL102" s="617">
        <f t="shared" si="65"/>
        <v>-7.9</v>
      </c>
      <c r="BM102" s="869">
        <f>BP102-BJ102</f>
        <v>14149</v>
      </c>
      <c r="BN102" s="869">
        <f>BQ102-BK102</f>
        <v>11404</v>
      </c>
      <c r="BO102" s="617">
        <f t="shared" si="66"/>
        <v>-19.399999999999999</v>
      </c>
      <c r="BP102" s="869">
        <v>130172</v>
      </c>
      <c r="BQ102" s="869">
        <v>118227</v>
      </c>
      <c r="BR102" s="617">
        <f t="shared" si="67"/>
        <v>-9.1999999999999993</v>
      </c>
      <c r="BS102" s="869">
        <f>BV102-BP102</f>
        <v>10266</v>
      </c>
      <c r="BT102" s="869">
        <f>BW102-BQ102</f>
        <v>13552</v>
      </c>
      <c r="BU102" s="617">
        <f t="shared" si="68"/>
        <v>32</v>
      </c>
      <c r="BV102" s="869">
        <v>140438</v>
      </c>
      <c r="BW102" s="869">
        <v>131779</v>
      </c>
      <c r="BX102" s="617">
        <f t="shared" si="69"/>
        <v>-6.2</v>
      </c>
    </row>
    <row r="103" spans="1:76" ht="22.5" customHeight="1">
      <c r="A103" s="1102"/>
      <c r="B103" s="1121"/>
      <c r="C103" s="1100"/>
      <c r="D103" s="366" t="s">
        <v>38</v>
      </c>
      <c r="E103" s="6">
        <v>1679839</v>
      </c>
      <c r="F103" s="6">
        <v>1365912</v>
      </c>
      <c r="G103" s="6">
        <v>1201022</v>
      </c>
      <c r="H103" s="6">
        <v>1136600</v>
      </c>
      <c r="I103" s="6">
        <v>1038841</v>
      </c>
      <c r="J103" s="6">
        <v>942708</v>
      </c>
      <c r="K103" s="6">
        <v>1090604</v>
      </c>
      <c r="L103" s="180">
        <v>1259894</v>
      </c>
      <c r="M103" s="438">
        <v>1083201</v>
      </c>
      <c r="N103" s="309">
        <v>112814</v>
      </c>
      <c r="O103" s="309">
        <v>85124</v>
      </c>
      <c r="P103" s="193">
        <f t="shared" si="49"/>
        <v>-24.5</v>
      </c>
      <c r="Q103" s="309">
        <f>T103-N103</f>
        <v>74303</v>
      </c>
      <c r="R103" s="309">
        <f>U103-O103</f>
        <v>63962</v>
      </c>
      <c r="S103" s="193">
        <f t="shared" si="50"/>
        <v>-13.9</v>
      </c>
      <c r="T103" s="309">
        <v>187117</v>
      </c>
      <c r="U103" s="309">
        <v>149086</v>
      </c>
      <c r="V103" s="193">
        <f t="shared" si="51"/>
        <v>-20.3</v>
      </c>
      <c r="W103" s="309">
        <f>Z103-T103</f>
        <v>96972</v>
      </c>
      <c r="X103" s="309">
        <f>AA103-U103</f>
        <v>95151</v>
      </c>
      <c r="Y103" s="193">
        <f t="shared" si="52"/>
        <v>-1.9</v>
      </c>
      <c r="Z103" s="309">
        <v>284089</v>
      </c>
      <c r="AA103" s="309">
        <v>244237</v>
      </c>
      <c r="AB103" s="193">
        <f t="shared" si="53"/>
        <v>-14</v>
      </c>
      <c r="AC103" s="309">
        <f>AF103-Z103</f>
        <v>105580</v>
      </c>
      <c r="AD103" s="309">
        <f>AG103-AA103</f>
        <v>94433</v>
      </c>
      <c r="AE103" s="193">
        <f t="shared" si="54"/>
        <v>-10.6</v>
      </c>
      <c r="AF103" s="309">
        <v>389669</v>
      </c>
      <c r="AG103" s="309">
        <v>338670</v>
      </c>
      <c r="AH103" s="193">
        <f t="shared" si="55"/>
        <v>-13.1</v>
      </c>
      <c r="AI103" s="309">
        <f>AL103-AF103</f>
        <v>97708</v>
      </c>
      <c r="AJ103" s="309">
        <f>AM103-AG103</f>
        <v>76435</v>
      </c>
      <c r="AK103" s="193">
        <f t="shared" si="56"/>
        <v>-21.8</v>
      </c>
      <c r="AL103" s="309">
        <v>487377</v>
      </c>
      <c r="AM103" s="309">
        <v>415105</v>
      </c>
      <c r="AN103" s="193">
        <f t="shared" si="57"/>
        <v>-14.8</v>
      </c>
      <c r="AO103" s="625">
        <f>AR103-AL103</f>
        <v>88819</v>
      </c>
      <c r="AP103" s="625">
        <f>AS103-AM103</f>
        <v>86794</v>
      </c>
      <c r="AQ103" s="615">
        <f t="shared" si="58"/>
        <v>-2.2999999999999998</v>
      </c>
      <c r="AR103" s="868">
        <v>576196</v>
      </c>
      <c r="AS103" s="868">
        <v>501899</v>
      </c>
      <c r="AT103" s="615">
        <f t="shared" si="59"/>
        <v>-12.9</v>
      </c>
      <c r="AU103" s="868">
        <f>AX103-AR103</f>
        <v>103158</v>
      </c>
      <c r="AV103" s="868">
        <f>AY103-AS103</f>
        <v>73686</v>
      </c>
      <c r="AW103" s="615">
        <f t="shared" si="60"/>
        <v>-28.6</v>
      </c>
      <c r="AX103" s="925">
        <v>679354</v>
      </c>
      <c r="AY103" s="925">
        <v>575585</v>
      </c>
      <c r="AZ103" s="615">
        <f t="shared" si="61"/>
        <v>-15.3</v>
      </c>
      <c r="BA103" s="868">
        <f>BD103-AX103</f>
        <v>84717</v>
      </c>
      <c r="BB103" s="868">
        <f>BE103-AY103</f>
        <v>63309</v>
      </c>
      <c r="BC103" s="615">
        <f t="shared" si="62"/>
        <v>-25.3</v>
      </c>
      <c r="BD103" s="868">
        <v>764071</v>
      </c>
      <c r="BE103" s="868">
        <v>638894</v>
      </c>
      <c r="BF103" s="615">
        <f t="shared" si="63"/>
        <v>-16.399999999999999</v>
      </c>
      <c r="BG103" s="868">
        <f>BJ103-BD103</f>
        <v>74306</v>
      </c>
      <c r="BH103" s="868">
        <f>BK103-BE103</f>
        <v>68975</v>
      </c>
      <c r="BI103" s="615">
        <f t="shared" si="64"/>
        <v>-7.2</v>
      </c>
      <c r="BJ103" s="868">
        <v>838377</v>
      </c>
      <c r="BK103" s="868">
        <v>707869</v>
      </c>
      <c r="BL103" s="615">
        <f t="shared" si="65"/>
        <v>-15.6</v>
      </c>
      <c r="BM103" s="868">
        <f>BP103-BJ103</f>
        <v>84128</v>
      </c>
      <c r="BN103" s="868">
        <f>BQ103-BK103</f>
        <v>71250</v>
      </c>
      <c r="BO103" s="615">
        <f t="shared" si="66"/>
        <v>-15.3</v>
      </c>
      <c r="BP103" s="868">
        <v>922505</v>
      </c>
      <c r="BQ103" s="868">
        <v>779119</v>
      </c>
      <c r="BR103" s="615">
        <f t="shared" si="67"/>
        <v>-15.5</v>
      </c>
      <c r="BS103" s="868">
        <f>BV103-BP103</f>
        <v>78168</v>
      </c>
      <c r="BT103" s="868">
        <f>BW103-BQ103</f>
        <v>75051</v>
      </c>
      <c r="BU103" s="615">
        <f t="shared" si="68"/>
        <v>-4</v>
      </c>
      <c r="BV103" s="868">
        <v>1000673</v>
      </c>
      <c r="BW103" s="868">
        <v>854170</v>
      </c>
      <c r="BX103" s="615">
        <f t="shared" si="69"/>
        <v>-14.6</v>
      </c>
    </row>
    <row r="104" spans="1:76" ht="22.5" customHeight="1">
      <c r="A104" s="1120"/>
      <c r="B104" s="1121"/>
      <c r="C104" s="1100"/>
      <c r="D104" s="370" t="s">
        <v>15</v>
      </c>
      <c r="E104" s="12">
        <f t="shared" ref="E104:O104" si="86">E103/E102*1000</f>
        <v>9650.8083326630731</v>
      </c>
      <c r="F104" s="12">
        <f t="shared" si="86"/>
        <v>10721.023507711629</v>
      </c>
      <c r="G104" s="12">
        <f t="shared" si="86"/>
        <v>11243.839874176154</v>
      </c>
      <c r="H104" s="12">
        <f t="shared" si="86"/>
        <v>9078.1297423363849</v>
      </c>
      <c r="I104" s="12">
        <f t="shared" si="86"/>
        <v>7552.4060166774507</v>
      </c>
      <c r="J104" s="12">
        <f t="shared" si="86"/>
        <v>6698.3664565821355</v>
      </c>
      <c r="K104" s="12">
        <f t="shared" si="86"/>
        <v>6904.1737622101382</v>
      </c>
      <c r="L104" s="184">
        <f t="shared" si="86"/>
        <v>8046.6360953925951</v>
      </c>
      <c r="M104" s="442">
        <f>M103/M102*1000</f>
        <v>7058.9833822091887</v>
      </c>
      <c r="N104" s="310">
        <f t="shared" si="86"/>
        <v>7826.1533125216783</v>
      </c>
      <c r="O104" s="310">
        <f t="shared" si="86"/>
        <v>5969.4249649368858</v>
      </c>
      <c r="P104" s="194">
        <f t="shared" si="49"/>
        <v>-23.7</v>
      </c>
      <c r="Q104" s="310">
        <f>Q103/Q102*1000</f>
        <v>7686.2521982000626</v>
      </c>
      <c r="R104" s="310">
        <f>R103/R102*1000</f>
        <v>8288.4540624595065</v>
      </c>
      <c r="S104" s="194">
        <f t="shared" si="50"/>
        <v>7.8</v>
      </c>
      <c r="T104" s="310">
        <f>T103/T102*1000</f>
        <v>7769.9941865293576</v>
      </c>
      <c r="U104" s="310">
        <f>U103/U102*1000</f>
        <v>6783.7284433726172</v>
      </c>
      <c r="V104" s="194">
        <f t="shared" si="51"/>
        <v>-12.7</v>
      </c>
      <c r="W104" s="310">
        <f>W103/W102*1000</f>
        <v>8485.4742737136858</v>
      </c>
      <c r="X104" s="310">
        <f>X103/X102*1000</f>
        <v>6578.0159004493598</v>
      </c>
      <c r="Y104" s="194">
        <f t="shared" si="52"/>
        <v>-22.5</v>
      </c>
      <c r="Z104" s="310">
        <f>Z103/Z102*1000</f>
        <v>8000.2534497324687</v>
      </c>
      <c r="AA104" s="310">
        <f>AA103/AA102*1000</f>
        <v>6702.0745293891659</v>
      </c>
      <c r="AB104" s="194">
        <f t="shared" si="53"/>
        <v>-16.2</v>
      </c>
      <c r="AC104" s="310">
        <f>AC103/AC102*1000</f>
        <v>7018.5468324137473</v>
      </c>
      <c r="AD104" s="310">
        <f>AD103/AD102*1000</f>
        <v>7126.4810203003544</v>
      </c>
      <c r="AE104" s="194">
        <f t="shared" si="54"/>
        <v>1.5</v>
      </c>
      <c r="AF104" s="310">
        <f>AF103/AF102*1000</f>
        <v>7708.1281031788421</v>
      </c>
      <c r="AG104" s="310">
        <f>AG103/AG102*1000</f>
        <v>6815.245608033325</v>
      </c>
      <c r="AH104" s="194">
        <f t="shared" si="55"/>
        <v>-11.6</v>
      </c>
      <c r="AI104" s="310">
        <f>AI103/AI102*1000</f>
        <v>7429.701163409627</v>
      </c>
      <c r="AJ104" s="310">
        <f>AJ103/AJ102*1000</f>
        <v>5591.0321117694393</v>
      </c>
      <c r="AK104" s="194">
        <f t="shared" si="56"/>
        <v>-24.7</v>
      </c>
      <c r="AL104" s="310">
        <f>AL103/AL102*1000</f>
        <v>7650.6498806982299</v>
      </c>
      <c r="AM104" s="310">
        <f>AM103/AM102*1000</f>
        <v>6551.1173537024179</v>
      </c>
      <c r="AN104" s="194">
        <f t="shared" si="57"/>
        <v>-14.4</v>
      </c>
      <c r="AO104" s="626">
        <f>AO103/AO102*1000</f>
        <v>6560.2333998079621</v>
      </c>
      <c r="AP104" s="626">
        <f>AP103/AP102*1000</f>
        <v>7586.8881118881118</v>
      </c>
      <c r="AQ104" s="616">
        <f t="shared" si="58"/>
        <v>15.6</v>
      </c>
      <c r="AR104" s="626">
        <f>AR103/AR102*1000</f>
        <v>7459.5238403479925</v>
      </c>
      <c r="AS104" s="626">
        <f>AS103/AS102*1000</f>
        <v>6709.520881236298</v>
      </c>
      <c r="AT104" s="616">
        <f t="shared" si="59"/>
        <v>-10.1</v>
      </c>
      <c r="AU104" s="626">
        <f>AU103/AU102*1000</f>
        <v>6579.7933409873713</v>
      </c>
      <c r="AV104" s="626">
        <f>AV103/AV102*1000</f>
        <v>6573.2381801962538</v>
      </c>
      <c r="AW104" s="616">
        <f t="shared" si="60"/>
        <v>-0.1</v>
      </c>
      <c r="AX104" s="626">
        <f>AX103/AX102*1000</f>
        <v>7311.0922181207688</v>
      </c>
      <c r="AY104" s="626">
        <f>AY103/AY102*1000</f>
        <v>6691.7594810147193</v>
      </c>
      <c r="AZ104" s="616">
        <f t="shared" si="61"/>
        <v>-8.5</v>
      </c>
      <c r="BA104" s="626">
        <f>BA103/BA102*1000</f>
        <v>7104.1509433962265</v>
      </c>
      <c r="BB104" s="626">
        <f>BB103/BB102*1000</f>
        <v>7973.4256926952139</v>
      </c>
      <c r="BC104" s="616">
        <f t="shared" si="62"/>
        <v>12.2</v>
      </c>
      <c r="BD104" s="626">
        <f>BD103/BD102*1000</f>
        <v>7287.5550807851514</v>
      </c>
      <c r="BE104" s="626">
        <f>BE103/BE102*1000</f>
        <v>6800.0723758434979</v>
      </c>
      <c r="BF104" s="616">
        <f t="shared" si="63"/>
        <v>-6.7</v>
      </c>
      <c r="BG104" s="626">
        <f>BG103/BG102*1000</f>
        <v>6648.1166681578243</v>
      </c>
      <c r="BH104" s="626">
        <f>BH103/BH102*1000</f>
        <v>5359.779314632061</v>
      </c>
      <c r="BI104" s="616">
        <f t="shared" si="64"/>
        <v>-19.399999999999999</v>
      </c>
      <c r="BJ104" s="626">
        <f>BJ103/BJ102*1000</f>
        <v>7225.9551985382204</v>
      </c>
      <c r="BK104" s="626">
        <f>BK103/BK102*1000</f>
        <v>6626.5598232590364</v>
      </c>
      <c r="BL104" s="616">
        <f t="shared" si="65"/>
        <v>-8.3000000000000007</v>
      </c>
      <c r="BM104" s="626">
        <f>BM103/BM102*1000</f>
        <v>5945.8618983673759</v>
      </c>
      <c r="BN104" s="626">
        <f>BN103/BN102*1000</f>
        <v>6247.8077867414941</v>
      </c>
      <c r="BO104" s="616">
        <f t="shared" si="66"/>
        <v>5.0999999999999996</v>
      </c>
      <c r="BP104" s="626">
        <f>BP103/BP102*1000</f>
        <v>7086.815905110162</v>
      </c>
      <c r="BQ104" s="626">
        <f>BQ103/BQ102*1000</f>
        <v>6590.0259669956949</v>
      </c>
      <c r="BR104" s="616">
        <f t="shared" si="67"/>
        <v>-7</v>
      </c>
      <c r="BS104" s="626">
        <f>BS103/BS102*1000</f>
        <v>7614.2606662770304</v>
      </c>
      <c r="BT104" s="626">
        <f>BT103/BT102*1000</f>
        <v>5538.0017709563162</v>
      </c>
      <c r="BU104" s="616">
        <f t="shared" si="68"/>
        <v>-27.3</v>
      </c>
      <c r="BV104" s="626">
        <f>BV103/BV102*1000</f>
        <v>7125.3720502997767</v>
      </c>
      <c r="BW104" s="626">
        <f>BW103/BW102*1000</f>
        <v>6481.8370150023902</v>
      </c>
      <c r="BX104" s="616">
        <f t="shared" si="69"/>
        <v>-9</v>
      </c>
    </row>
    <row r="105" spans="1:76" ht="22.5" customHeight="1">
      <c r="A105" s="1119" t="s">
        <v>39</v>
      </c>
      <c r="B105" s="1097"/>
      <c r="C105" s="1097"/>
      <c r="D105" s="15" t="s">
        <v>13</v>
      </c>
      <c r="E105" s="16">
        <f t="shared" ref="E105:G106" si="87">SUM(E33+E63+E72+E81+E90+E99+E102)</f>
        <v>3529008</v>
      </c>
      <c r="F105" s="16">
        <f t="shared" si="87"/>
        <v>3532012</v>
      </c>
      <c r="G105" s="16">
        <f t="shared" si="87"/>
        <v>3734578</v>
      </c>
      <c r="H105" s="16">
        <f t="shared" ref="H105:O106" si="88">SUM(H33+H63+H72+H81+H90+H99+H102)</f>
        <v>3965671</v>
      </c>
      <c r="I105" s="16">
        <f t="shared" si="88"/>
        <v>4058238</v>
      </c>
      <c r="J105" s="16">
        <f t="shared" si="88"/>
        <v>4141454</v>
      </c>
      <c r="K105" s="16">
        <f t="shared" si="88"/>
        <v>4225765</v>
      </c>
      <c r="L105" s="185">
        <f t="shared" si="88"/>
        <v>4151220</v>
      </c>
      <c r="M105" s="443">
        <f>SUM(M33+M63+M72+M81+M90+M99+M102)</f>
        <v>4229304</v>
      </c>
      <c r="N105" s="313">
        <f t="shared" si="88"/>
        <v>382972</v>
      </c>
      <c r="O105" s="313">
        <f t="shared" si="88"/>
        <v>353659</v>
      </c>
      <c r="P105" s="197">
        <f t="shared" si="49"/>
        <v>-7.7</v>
      </c>
      <c r="Q105" s="313">
        <f>SUM(Q33+Q63+Q72+Q81+Q90+Q99+Q102)</f>
        <v>295521</v>
      </c>
      <c r="R105" s="313">
        <f>SUM(R33+R63+R72+R81+R90+R99+R102)</f>
        <v>310988</v>
      </c>
      <c r="S105" s="197">
        <f t="shared" si="50"/>
        <v>5.2</v>
      </c>
      <c r="T105" s="313">
        <f>SUM(T33+T63+T72+T81+T90+T99+T102)</f>
        <v>678493</v>
      </c>
      <c r="U105" s="313">
        <f>SUM(U33+U63+U72+U81+U90+U99+U102)</f>
        <v>664647</v>
      </c>
      <c r="V105" s="197">
        <f t="shared" si="51"/>
        <v>-2</v>
      </c>
      <c r="W105" s="313">
        <f>SUM(W33+W63+W72+W81+W90+W99+W102)</f>
        <v>359617</v>
      </c>
      <c r="X105" s="313">
        <f>SUM(X33+X63+X72+X81+X90+X99+X102)</f>
        <v>362683</v>
      </c>
      <c r="Y105" s="197">
        <f t="shared" si="52"/>
        <v>0.9</v>
      </c>
      <c r="Z105" s="313">
        <f>SUM(Z33+Z63+Z72+Z81+Z90+Z99+Z102)</f>
        <v>1038110</v>
      </c>
      <c r="AA105" s="313">
        <f>SUM(AA33+AA63+AA72+AA81+AA90+AA99+AA102)</f>
        <v>1027330</v>
      </c>
      <c r="AB105" s="197">
        <f t="shared" si="53"/>
        <v>-1</v>
      </c>
      <c r="AC105" s="313">
        <f>SUM(AC33+AC63+AC72+AC81+AC90+AC99+AC102)</f>
        <v>385158</v>
      </c>
      <c r="AD105" s="313">
        <f>SUM(AD33+AD63+AD72+AD81+AD90+AD99+AD102)</f>
        <v>356558</v>
      </c>
      <c r="AE105" s="197">
        <f t="shared" si="54"/>
        <v>-7.4</v>
      </c>
      <c r="AF105" s="313">
        <f>SUM(AF33+AF63+AF72+AF81+AF90+AF99+AF102)</f>
        <v>1423268</v>
      </c>
      <c r="AG105" s="313">
        <f>SUM(AG33+AG63+AG72+AG81+AG90+AG99+AG102)</f>
        <v>1383888</v>
      </c>
      <c r="AH105" s="197">
        <f t="shared" si="55"/>
        <v>-2.8</v>
      </c>
      <c r="AI105" s="313">
        <f>SUM(AI33+AI63+AI72+AI81+AI90+AI99+AI102)</f>
        <v>371957</v>
      </c>
      <c r="AJ105" s="313">
        <f>SUM(AJ33+AJ63+AJ72+AJ81+AJ90+AJ99+AJ102)</f>
        <v>322687</v>
      </c>
      <c r="AK105" s="197">
        <f t="shared" si="56"/>
        <v>-13.2</v>
      </c>
      <c r="AL105" s="313">
        <f>SUM(AL33+AL63+AL72+AL81+AL90+AL99+AL102)</f>
        <v>1795225</v>
      </c>
      <c r="AM105" s="313">
        <f>SUM(AM33+AM63+AM72+AM81+AM90+AM99+AM102)</f>
        <v>1706575</v>
      </c>
      <c r="AN105" s="197">
        <f t="shared" si="57"/>
        <v>-4.9000000000000004</v>
      </c>
      <c r="AO105" s="628">
        <f>SUM(AO33+AO63+AO72+AO81+AO90+AO99+AO102)</f>
        <v>340120</v>
      </c>
      <c r="AP105" s="628">
        <f>SUM(AP33+AP63+AP72+AP81+AP90+AP99+AP102)</f>
        <v>336218</v>
      </c>
      <c r="AQ105" s="618">
        <f t="shared" si="58"/>
        <v>-1.1000000000000001</v>
      </c>
      <c r="AR105" s="640">
        <f>SUM(AR33+AR63+AR72+AR81+AR90+AR99+AR102)</f>
        <v>2135345</v>
      </c>
      <c r="AS105" s="640">
        <f>SUM(AS33+AS63+AS72+AS81+AS90+AS99+AS102)</f>
        <v>2042793</v>
      </c>
      <c r="AT105" s="618">
        <f t="shared" si="59"/>
        <v>-4.3</v>
      </c>
      <c r="AU105" s="640">
        <f>SUM(AU33+AU63+AU72+AU81+AU90+AU99+AU102)</f>
        <v>345202</v>
      </c>
      <c r="AV105" s="640">
        <f>SUM(AV33+AV63+AV72+AV81+AV90+AV99+AV102)</f>
        <v>336393</v>
      </c>
      <c r="AW105" s="618">
        <f t="shared" si="60"/>
        <v>-2.6</v>
      </c>
      <c r="AX105" s="640">
        <f>SUM(AX33+AX63+AX72+AX81+AX90+AX99+AX102)</f>
        <v>2480547</v>
      </c>
      <c r="AY105" s="640">
        <f>SUM(AY33+AY63+AY72+AY81+AY90+AY99+AY102)</f>
        <v>2379186</v>
      </c>
      <c r="AZ105" s="618">
        <f t="shared" si="61"/>
        <v>-4.0999999999999996</v>
      </c>
      <c r="BA105" s="640">
        <f>SUM(BA33+BA63+BA72+BA81+BA90+BA99+BA102)</f>
        <v>338350</v>
      </c>
      <c r="BB105" s="640">
        <f>SUM(BB33+BB63+BB72+BB81+BB90+BB99+BB102)</f>
        <v>305353</v>
      </c>
      <c r="BC105" s="618">
        <f t="shared" si="62"/>
        <v>-9.8000000000000007</v>
      </c>
      <c r="BD105" s="640">
        <f>SUM(BD33+BD63+BD72+BD81+BD90+BD99+BD102)</f>
        <v>2818897</v>
      </c>
      <c r="BE105" s="640">
        <f>SUM(BE33+BE63+BE72+BE81+BE90+BE99+BE102)</f>
        <v>2684539</v>
      </c>
      <c r="BF105" s="618">
        <f t="shared" si="63"/>
        <v>-4.8</v>
      </c>
      <c r="BG105" s="640">
        <f>SUM(BG33+BG63+BG72+BG81+BG90+BG99+BG102)</f>
        <v>321073</v>
      </c>
      <c r="BH105" s="640">
        <f>SUM(BH33+BH63+BH72+BH81+BH90+BH99+BH102)</f>
        <v>338598</v>
      </c>
      <c r="BI105" s="618">
        <f t="shared" si="64"/>
        <v>5.5</v>
      </c>
      <c r="BJ105" s="640">
        <f>SUM(BJ33+BJ63+BJ72+BJ81+BJ90+BJ99+BJ102)</f>
        <v>3139970</v>
      </c>
      <c r="BK105" s="640">
        <f>SUM(BK33+BK63+BK72+BK81+BK90+BK99+BK102)</f>
        <v>3023137</v>
      </c>
      <c r="BL105" s="618">
        <f t="shared" si="65"/>
        <v>-3.7</v>
      </c>
      <c r="BM105" s="640">
        <f>SUM(BM33+BM63+BM72+BM81+BM90+BM99+BM102)</f>
        <v>364110</v>
      </c>
      <c r="BN105" s="640">
        <f>SUM(BN33+BN63+BN72+BN81+BN90+BN99+BN102)</f>
        <v>338635</v>
      </c>
      <c r="BO105" s="618">
        <f t="shared" si="66"/>
        <v>-7</v>
      </c>
      <c r="BP105" s="640">
        <f>SUM(BP33+BP63+BP72+BP81+BP90+BP99+BP102)</f>
        <v>3504080</v>
      </c>
      <c r="BQ105" s="640">
        <f>SUM(BQ33+BQ63+BQ72+BQ81+BQ90+BQ99+BQ102)</f>
        <v>3361772</v>
      </c>
      <c r="BR105" s="618">
        <f t="shared" si="67"/>
        <v>-4.0999999999999996</v>
      </c>
      <c r="BS105" s="640">
        <f>SUM(BS33+BS63+BS72+BS81+BS90+BS99+BS102)</f>
        <v>357876</v>
      </c>
      <c r="BT105" s="640">
        <f>SUM(BT33+BT63+BT72+BT81+BT90+BT99+BT102)</f>
        <v>349580</v>
      </c>
      <c r="BU105" s="618">
        <f t="shared" si="68"/>
        <v>-2.2999999999999998</v>
      </c>
      <c r="BV105" s="640">
        <f>SUM(BV33+BV63+BV72+BV81+BV90+BV99+BV102)</f>
        <v>3861956</v>
      </c>
      <c r="BW105" s="640">
        <f>SUM(BW33+BW63+BW72+BW81+BW90+BW99+BW102)</f>
        <v>3711352</v>
      </c>
      <c r="BX105" s="618">
        <f t="shared" si="69"/>
        <v>-3.9</v>
      </c>
    </row>
    <row r="106" spans="1:76" ht="22.5" customHeight="1">
      <c r="A106" s="1097"/>
      <c r="B106" s="1097"/>
      <c r="C106" s="1097"/>
      <c r="D106" s="367" t="s">
        <v>14</v>
      </c>
      <c r="E106" s="18">
        <f t="shared" si="87"/>
        <v>17858079</v>
      </c>
      <c r="F106" s="18">
        <f t="shared" si="87"/>
        <v>15548578</v>
      </c>
      <c r="G106" s="18">
        <f t="shared" si="87"/>
        <v>15302237</v>
      </c>
      <c r="H106" s="18">
        <f t="shared" si="88"/>
        <v>15748588</v>
      </c>
      <c r="I106" s="18">
        <f t="shared" si="88"/>
        <v>14111501</v>
      </c>
      <c r="J106" s="18">
        <f t="shared" si="88"/>
        <v>12930854</v>
      </c>
      <c r="K106" s="18">
        <f t="shared" si="88"/>
        <v>14915336</v>
      </c>
      <c r="L106" s="186">
        <f t="shared" si="88"/>
        <v>15959991</v>
      </c>
      <c r="M106" s="444">
        <f>SUM(M34+M64+M73+M82+M91+M100+M103)</f>
        <v>14539612</v>
      </c>
      <c r="N106" s="314">
        <f t="shared" si="88"/>
        <v>1410744</v>
      </c>
      <c r="O106" s="314">
        <f t="shared" si="88"/>
        <v>1176997</v>
      </c>
      <c r="P106" s="198">
        <f t="shared" si="49"/>
        <v>-16.600000000000001</v>
      </c>
      <c r="Q106" s="314">
        <f>SUM(Q34+Q64+Q73+Q82+Q91+Q100+Q103)</f>
        <v>1056068</v>
      </c>
      <c r="R106" s="314">
        <f>SUM(R34+R64+R73+R82+R91+R100+R103)</f>
        <v>1051410</v>
      </c>
      <c r="S106" s="198">
        <f t="shared" si="50"/>
        <v>-0.4</v>
      </c>
      <c r="T106" s="314">
        <f>SUM(T34+T64+T73+T82+T91+T100+T103)</f>
        <v>2466812</v>
      </c>
      <c r="U106" s="314">
        <f>SUM(U34+U64+U73+U82+U91+U100+U103)</f>
        <v>2228407</v>
      </c>
      <c r="V106" s="198">
        <f t="shared" si="51"/>
        <v>-9.6999999999999993</v>
      </c>
      <c r="W106" s="314">
        <f>SUM(W34+W64+W73+W82+W91+W100+W103)</f>
        <v>1290165</v>
      </c>
      <c r="X106" s="314">
        <f>SUM(X34+X64+X73+X82+X91+X100+X103)</f>
        <v>1254558</v>
      </c>
      <c r="Y106" s="198">
        <f t="shared" si="52"/>
        <v>-2.8</v>
      </c>
      <c r="Z106" s="314">
        <f>SUM(Z34+Z64+Z73+Z82+Z91+Z100+Z103)</f>
        <v>3756977</v>
      </c>
      <c r="AA106" s="314">
        <f>SUM(AA34+AA64+AA73+AA82+AA91+AA100+AA103)</f>
        <v>3482965</v>
      </c>
      <c r="AB106" s="198">
        <f t="shared" si="53"/>
        <v>-7.3</v>
      </c>
      <c r="AC106" s="314">
        <f>SUM(AC34+AC64+AC73+AC82+AC91+AC100+AC103)</f>
        <v>1352765</v>
      </c>
      <c r="AD106" s="314">
        <f>SUM(AD34+AD64+AD73+AD82+AD91+AD100+AD103)</f>
        <v>1117585</v>
      </c>
      <c r="AE106" s="198">
        <f t="shared" si="54"/>
        <v>-17.399999999999999</v>
      </c>
      <c r="AF106" s="314">
        <f>SUM(AF34+AF64+AF73+AF82+AF91+AF100+AF103)</f>
        <v>5109742</v>
      </c>
      <c r="AG106" s="314">
        <f>SUM(AG34+AG64+AG73+AG82+AG91+AG100+AG103)</f>
        <v>4600550</v>
      </c>
      <c r="AH106" s="198">
        <f t="shared" si="55"/>
        <v>-10</v>
      </c>
      <c r="AI106" s="314">
        <f>SUM(AI34+AI64+AI73+AI82+AI91+AI100+AI103)</f>
        <v>1273226</v>
      </c>
      <c r="AJ106" s="314">
        <f>SUM(AJ34+AJ64+AJ73+AJ82+AJ91+AJ100+AJ103)</f>
        <v>970849</v>
      </c>
      <c r="AK106" s="198">
        <f t="shared" si="56"/>
        <v>-23.7</v>
      </c>
      <c r="AL106" s="314">
        <f>SUM(AL34+AL64+AL73+AL82+AL91+AL100+AL103)</f>
        <v>6382968</v>
      </c>
      <c r="AM106" s="314">
        <f>SUM(AM34+AM64+AM73+AM82+AM91+AM100+AM103)</f>
        <v>5571399</v>
      </c>
      <c r="AN106" s="198">
        <f t="shared" si="57"/>
        <v>-12.7</v>
      </c>
      <c r="AO106" s="629">
        <f>SUM(AO34+AO64+AO73+AO82+AO91+AO100+AO103)</f>
        <v>1161631</v>
      </c>
      <c r="AP106" s="629">
        <f>SUM(AP34+AP64+AP73+AP82+AP91+AP100+AP103)</f>
        <v>1015611</v>
      </c>
      <c r="AQ106" s="619">
        <f t="shared" si="58"/>
        <v>-12.6</v>
      </c>
      <c r="AR106" s="641">
        <f>SUM(AR34+AR64+AR73+AR82+AR91+AR100+AR103)</f>
        <v>7544599</v>
      </c>
      <c r="AS106" s="641">
        <f>SUM(AS34+AS64+AS73+AS82+AS91+AS100+AS103)</f>
        <v>6587010</v>
      </c>
      <c r="AT106" s="619">
        <f t="shared" si="59"/>
        <v>-12.7</v>
      </c>
      <c r="AU106" s="641">
        <f>SUM(AU34+AU64+AU73+AU82+AU91+AU100+AU103)</f>
        <v>1204643</v>
      </c>
      <c r="AV106" s="641">
        <f>SUM(AV34+AV64+AV73+AV82+AV91+AV100+AV103)</f>
        <v>1034745</v>
      </c>
      <c r="AW106" s="619">
        <f t="shared" si="60"/>
        <v>-14.1</v>
      </c>
      <c r="AX106" s="641">
        <f>SUM(AX34+AX64+AX73+AX82+AX91+AX100+AX103)</f>
        <v>8749242</v>
      </c>
      <c r="AY106" s="641">
        <f>SUM(AY34+AY64+AY73+AY82+AY91+AY100+AY103)</f>
        <v>7621755</v>
      </c>
      <c r="AZ106" s="619">
        <f t="shared" si="61"/>
        <v>-12.9</v>
      </c>
      <c r="BA106" s="641">
        <f>SUM(BA34+BA64+BA73+BA82+BA91+BA100+BA103)</f>
        <v>1149969</v>
      </c>
      <c r="BB106" s="641">
        <f>SUM(BB34+BB64+BB73+BB82+BB91+BB100+BB103)</f>
        <v>1014226</v>
      </c>
      <c r="BC106" s="619">
        <f t="shared" si="62"/>
        <v>-11.8</v>
      </c>
      <c r="BD106" s="641">
        <f>SUM(BD34+BD64+BD73+BD82+BD91+BD100+BD103)</f>
        <v>9899211</v>
      </c>
      <c r="BE106" s="641">
        <f>SUM(BE34+BE64+BE73+BE82+BE91+BE100+BE103)</f>
        <v>8635981</v>
      </c>
      <c r="BF106" s="619">
        <f t="shared" si="63"/>
        <v>-12.8</v>
      </c>
      <c r="BG106" s="641">
        <f>SUM(BG34+BG64+BG73+BG82+BG91+BG100+BG103)</f>
        <v>1089211</v>
      </c>
      <c r="BH106" s="641">
        <f>SUM(BH34+BH64+BH73+BH82+BH91+BH100+BH103)</f>
        <v>1148119</v>
      </c>
      <c r="BI106" s="619">
        <f t="shared" si="64"/>
        <v>5.4</v>
      </c>
      <c r="BJ106" s="641">
        <f>SUM(BJ34+BJ64+BJ73+BJ82+BJ91+BJ100+BJ103)</f>
        <v>10988422</v>
      </c>
      <c r="BK106" s="641">
        <f>SUM(BK34+BK64+BK73+BK82+BK91+BK100+BK103)</f>
        <v>9784100</v>
      </c>
      <c r="BL106" s="619">
        <f t="shared" si="65"/>
        <v>-11</v>
      </c>
      <c r="BM106" s="641">
        <f>SUM(BM34+BM64+BM73+BM82+BM91+BM100+BM103)</f>
        <v>1179545</v>
      </c>
      <c r="BN106" s="641">
        <f>SUM(BN34+BN64+BN73+BN82+BN91+BN100+BN103)</f>
        <v>1146264</v>
      </c>
      <c r="BO106" s="619">
        <f t="shared" si="66"/>
        <v>-2.8</v>
      </c>
      <c r="BP106" s="641">
        <f>SUM(BP34+BP64+BP73+BP82+BP91+BP100+BP103)</f>
        <v>12167967</v>
      </c>
      <c r="BQ106" s="641">
        <f>SUM(BQ34+BQ64+BQ73+BQ82+BQ91+BQ100+BQ103)</f>
        <v>10930364</v>
      </c>
      <c r="BR106" s="619">
        <f t="shared" si="67"/>
        <v>-10.199999999999999</v>
      </c>
      <c r="BS106" s="641">
        <f>SUM(BS34+BS64+BS73+BS82+BS91+BS100+BS103)</f>
        <v>1172549</v>
      </c>
      <c r="BT106" s="641">
        <f>SUM(BT34+BT64+BT73+BT82+BT91+BT100+BT103)</f>
        <v>1217511</v>
      </c>
      <c r="BU106" s="619">
        <f t="shared" si="68"/>
        <v>3.8</v>
      </c>
      <c r="BV106" s="641">
        <f>SUM(BV34+BV64+BV73+BV82+BV91+BV100+BV103)</f>
        <v>13340516</v>
      </c>
      <c r="BW106" s="641">
        <f>SUM(BW34+BW64+BW73+BW82+BW91+BW100+BW103)</f>
        <v>12147875</v>
      </c>
      <c r="BX106" s="619">
        <f t="shared" si="69"/>
        <v>-8.9</v>
      </c>
    </row>
    <row r="107" spans="1:76" ht="22.5" customHeight="1">
      <c r="A107" s="1097"/>
      <c r="B107" s="1097"/>
      <c r="C107" s="1097"/>
      <c r="D107" s="371" t="s">
        <v>15</v>
      </c>
      <c r="E107" s="20">
        <f>E106/E105*1000</f>
        <v>5060.3679560941773</v>
      </c>
      <c r="F107" s="20">
        <f>F106/F105*1000</f>
        <v>4402.1871952869924</v>
      </c>
      <c r="G107" s="20">
        <f>G106/G105*1000</f>
        <v>4097.4474224396972</v>
      </c>
      <c r="H107" s="20">
        <f t="shared" ref="H107:O107" si="89">H106/H105*1000</f>
        <v>3971.2290807785116</v>
      </c>
      <c r="I107" s="20">
        <f t="shared" si="89"/>
        <v>3477.2482540452284</v>
      </c>
      <c r="J107" s="20">
        <f t="shared" si="89"/>
        <v>3122.298110760134</v>
      </c>
      <c r="K107" s="20">
        <f t="shared" si="89"/>
        <v>3529.6179508325713</v>
      </c>
      <c r="L107" s="187">
        <f t="shared" si="89"/>
        <v>3844.6507291832281</v>
      </c>
      <c r="M107" s="445">
        <f>M106/M105*1000</f>
        <v>3437.8261766002161</v>
      </c>
      <c r="N107" s="315">
        <f t="shared" si="89"/>
        <v>3683.6740022769286</v>
      </c>
      <c r="O107" s="315">
        <f t="shared" si="89"/>
        <v>3328.0561218574953</v>
      </c>
      <c r="P107" s="199">
        <f t="shared" si="49"/>
        <v>-9.6999999999999993</v>
      </c>
      <c r="Q107" s="315">
        <f>Q106/Q105*1000</f>
        <v>3573.5802193414343</v>
      </c>
      <c r="R107" s="315">
        <f>R106/R105*1000</f>
        <v>3380.8700014148453</v>
      </c>
      <c r="S107" s="199">
        <f t="shared" si="50"/>
        <v>-5.4</v>
      </c>
      <c r="T107" s="315">
        <f>T106/T105*1000</f>
        <v>3635.7221076709707</v>
      </c>
      <c r="U107" s="315">
        <f>U106/U105*1000</f>
        <v>3352.7677097767687</v>
      </c>
      <c r="V107" s="199">
        <f t="shared" si="51"/>
        <v>-7.8</v>
      </c>
      <c r="W107" s="315">
        <f>W106/W105*1000</f>
        <v>3587.6084834699136</v>
      </c>
      <c r="X107" s="315">
        <f>X106/X105*1000</f>
        <v>3459.1034043503555</v>
      </c>
      <c r="Y107" s="199">
        <f t="shared" si="52"/>
        <v>-3.6</v>
      </c>
      <c r="Z107" s="315">
        <f>Z106/Z105*1000</f>
        <v>3619.0548207800716</v>
      </c>
      <c r="AA107" s="315">
        <f>AA106/AA105*1000</f>
        <v>3390.3078854895703</v>
      </c>
      <c r="AB107" s="199">
        <f t="shared" si="53"/>
        <v>-6.3</v>
      </c>
      <c r="AC107" s="315">
        <f>AC106/AC105*1000</f>
        <v>3512.2339403569445</v>
      </c>
      <c r="AD107" s="315">
        <f>AD106/AD105*1000</f>
        <v>3134.370845696913</v>
      </c>
      <c r="AE107" s="199">
        <f t="shared" si="54"/>
        <v>-10.8</v>
      </c>
      <c r="AF107" s="315">
        <f>AF106/AF105*1000</f>
        <v>3590.1474634432871</v>
      </c>
      <c r="AG107" s="315">
        <f>AG106/AG105*1000</f>
        <v>3324.3658446348259</v>
      </c>
      <c r="AH107" s="199">
        <f t="shared" si="55"/>
        <v>-7.4</v>
      </c>
      <c r="AI107" s="315">
        <f>AI106/AI105*1000</f>
        <v>3423.0462123309953</v>
      </c>
      <c r="AJ107" s="315">
        <f>AJ106/AJ105*1000</f>
        <v>3008.6399514080208</v>
      </c>
      <c r="AK107" s="199">
        <f t="shared" si="56"/>
        <v>-12.1</v>
      </c>
      <c r="AL107" s="315">
        <f>AL106/AL105*1000</f>
        <v>3555.5253519753792</v>
      </c>
      <c r="AM107" s="315">
        <f>AM106/AM105*1000</f>
        <v>3264.6669498850038</v>
      </c>
      <c r="AN107" s="199">
        <f t="shared" si="57"/>
        <v>-8.1999999999999993</v>
      </c>
      <c r="AO107" s="630">
        <f>AO106/AO105*1000</f>
        <v>3415.3563448194759</v>
      </c>
      <c r="AP107" s="630">
        <f>AP106/AP105*1000</f>
        <v>3020.6919320202965</v>
      </c>
      <c r="AQ107" s="620">
        <f t="shared" si="58"/>
        <v>-11.6</v>
      </c>
      <c r="AR107" s="630">
        <f>AR106/AR105*1000</f>
        <v>3533.1990849253871</v>
      </c>
      <c r="AS107" s="630">
        <f>AS106/AS105*1000</f>
        <v>3224.5117346691513</v>
      </c>
      <c r="AT107" s="620">
        <f t="shared" si="59"/>
        <v>-8.6999999999999993</v>
      </c>
      <c r="AU107" s="630">
        <f>AU106/AU105*1000</f>
        <v>3489.6756102224208</v>
      </c>
      <c r="AV107" s="630">
        <f>AV106/AV105*1000</f>
        <v>3076.0003923981772</v>
      </c>
      <c r="AW107" s="620">
        <f t="shared" si="60"/>
        <v>-11.9</v>
      </c>
      <c r="AX107" s="630">
        <f>AX106/AX105*1000</f>
        <v>3527.1421988779089</v>
      </c>
      <c r="AY107" s="630">
        <f>AY106/AY105*1000</f>
        <v>3203.5137227606415</v>
      </c>
      <c r="AZ107" s="620">
        <f t="shared" si="61"/>
        <v>-9.1999999999999993</v>
      </c>
      <c r="BA107" s="630">
        <f>BA106/BA105*1000</f>
        <v>3398.7557263189005</v>
      </c>
      <c r="BB107" s="630">
        <f>BB106/BB105*1000</f>
        <v>3321.4869347935014</v>
      </c>
      <c r="BC107" s="620">
        <f t="shared" si="62"/>
        <v>-2.2999999999999998</v>
      </c>
      <c r="BD107" s="630">
        <f>BD106/BD105*1000</f>
        <v>3511.7320710902172</v>
      </c>
      <c r="BE107" s="630">
        <f>BE106/BE105*1000</f>
        <v>3216.9325906608174</v>
      </c>
      <c r="BF107" s="620">
        <f t="shared" si="63"/>
        <v>-8.4</v>
      </c>
      <c r="BG107" s="630">
        <f>BG106/BG105*1000</f>
        <v>3392.4092028915543</v>
      </c>
      <c r="BH107" s="630">
        <f>BH106/BH105*1000</f>
        <v>3390.8026627446116</v>
      </c>
      <c r="BI107" s="620">
        <f t="shared" si="64"/>
        <v>0</v>
      </c>
      <c r="BJ107" s="630">
        <f>BJ106/BJ105*1000</f>
        <v>3499.5308872377764</v>
      </c>
      <c r="BK107" s="630">
        <f>BK106/BK105*1000</f>
        <v>3236.4064215415974</v>
      </c>
      <c r="BL107" s="620">
        <f t="shared" si="65"/>
        <v>-7.5</v>
      </c>
      <c r="BM107" s="630">
        <f>BM106/BM105*1000</f>
        <v>3239.529263134767</v>
      </c>
      <c r="BN107" s="630">
        <f>BN106/BN105*1000</f>
        <v>3384.9543018294034</v>
      </c>
      <c r="BO107" s="620">
        <f t="shared" si="66"/>
        <v>4.5</v>
      </c>
      <c r="BP107" s="630">
        <f>BP106/BP105*1000</f>
        <v>3472.5140407753247</v>
      </c>
      <c r="BQ107" s="630">
        <f>BQ106/BQ105*1000</f>
        <v>3251.3698133008425</v>
      </c>
      <c r="BR107" s="620">
        <f t="shared" si="67"/>
        <v>-6.4</v>
      </c>
      <c r="BS107" s="630">
        <f>BS106/BS105*1000</f>
        <v>3276.4113827135657</v>
      </c>
      <c r="BT107" s="630">
        <f>BT106/BT105*1000</f>
        <v>3482.7821957777905</v>
      </c>
      <c r="BU107" s="620">
        <f t="shared" si="68"/>
        <v>6.3</v>
      </c>
      <c r="BV107" s="630">
        <f>BV106/BV105*1000</f>
        <v>3454.3417894973431</v>
      </c>
      <c r="BW107" s="630">
        <f>BW106/BW105*1000</f>
        <v>3273.1670291581072</v>
      </c>
      <c r="BX107" s="620">
        <f t="shared" si="69"/>
        <v>-5.2</v>
      </c>
    </row>
  </sheetData>
  <mergeCells count="116">
    <mergeCell ref="AI4:AK4"/>
    <mergeCell ref="AL4:AN4"/>
    <mergeCell ref="K4:K5"/>
    <mergeCell ref="G4:G5"/>
    <mergeCell ref="BT3:BU3"/>
    <mergeCell ref="BS4:BU4"/>
    <mergeCell ref="BV4:BX4"/>
    <mergeCell ref="A1:BX1"/>
    <mergeCell ref="I4:I5"/>
    <mergeCell ref="X3:Y3"/>
    <mergeCell ref="W4:Y4"/>
    <mergeCell ref="Z4:AB4"/>
    <mergeCell ref="BN3:BO3"/>
    <mergeCell ref="BM4:BO4"/>
    <mergeCell ref="BP4:BR4"/>
    <mergeCell ref="BH3:BI3"/>
    <mergeCell ref="BG4:BI4"/>
    <mergeCell ref="BJ4:BL4"/>
    <mergeCell ref="BB3:BC3"/>
    <mergeCell ref="BA4:BC4"/>
    <mergeCell ref="BD4:BF4"/>
    <mergeCell ref="N4:P4"/>
    <mergeCell ref="M4:M5"/>
    <mergeCell ref="R3:S3"/>
    <mergeCell ref="Q4:S4"/>
    <mergeCell ref="H4:H5"/>
    <mergeCell ref="AV3:AW3"/>
    <mergeCell ref="AU4:AW4"/>
    <mergeCell ref="AX4:AZ4"/>
    <mergeCell ref="F4:F5"/>
    <mergeCell ref="AJ3:AK3"/>
    <mergeCell ref="A6:A7"/>
    <mergeCell ref="E4:E5"/>
    <mergeCell ref="C21:C23"/>
    <mergeCell ref="B24:B26"/>
    <mergeCell ref="C24:C26"/>
    <mergeCell ref="B9:B11"/>
    <mergeCell ref="B12:B14"/>
    <mergeCell ref="C12:C14"/>
    <mergeCell ref="B15:B17"/>
    <mergeCell ref="B45:B47"/>
    <mergeCell ref="C45:C47"/>
    <mergeCell ref="B48:B50"/>
    <mergeCell ref="C48:C50"/>
    <mergeCell ref="B33:B35"/>
    <mergeCell ref="C33:C35"/>
    <mergeCell ref="B42:B44"/>
    <mergeCell ref="C42:C44"/>
    <mergeCell ref="B39:B41"/>
    <mergeCell ref="C39:C41"/>
    <mergeCell ref="A84:A85"/>
    <mergeCell ref="A66:A67"/>
    <mergeCell ref="B66:B68"/>
    <mergeCell ref="C66:C68"/>
    <mergeCell ref="B69:B71"/>
    <mergeCell ref="C69:C71"/>
    <mergeCell ref="B72:B74"/>
    <mergeCell ref="C72:C74"/>
    <mergeCell ref="A75:A76"/>
    <mergeCell ref="B75:B77"/>
    <mergeCell ref="C60:C62"/>
    <mergeCell ref="B63:B65"/>
    <mergeCell ref="C63:C65"/>
    <mergeCell ref="B51:B53"/>
    <mergeCell ref="B57:B59"/>
    <mergeCell ref="C57:C59"/>
    <mergeCell ref="B60:B62"/>
    <mergeCell ref="C51:C53"/>
    <mergeCell ref="B54:B56"/>
    <mergeCell ref="C54:C56"/>
    <mergeCell ref="C87:C89"/>
    <mergeCell ref="B87:B89"/>
    <mergeCell ref="C75:C77"/>
    <mergeCell ref="B84:B86"/>
    <mergeCell ref="C84:C86"/>
    <mergeCell ref="C78:C80"/>
    <mergeCell ref="B81:B83"/>
    <mergeCell ref="C81:C83"/>
    <mergeCell ref="B78:B80"/>
    <mergeCell ref="B90:B92"/>
    <mergeCell ref="C90:C92"/>
    <mergeCell ref="A93:A94"/>
    <mergeCell ref="B93:B95"/>
    <mergeCell ref="C93:C95"/>
    <mergeCell ref="A105:C107"/>
    <mergeCell ref="B96:B98"/>
    <mergeCell ref="C96:C98"/>
    <mergeCell ref="B99:B101"/>
    <mergeCell ref="C99:C101"/>
    <mergeCell ref="A102:A104"/>
    <mergeCell ref="B102:B104"/>
    <mergeCell ref="C102:C104"/>
    <mergeCell ref="AP3:AQ3"/>
    <mergeCell ref="AO4:AQ4"/>
    <mergeCell ref="AR4:AT4"/>
    <mergeCell ref="A36:A37"/>
    <mergeCell ref="B36:B38"/>
    <mergeCell ref="C36:C38"/>
    <mergeCell ref="C15:C17"/>
    <mergeCell ref="B18:B20"/>
    <mergeCell ref="C18:C20"/>
    <mergeCell ref="B6:B8"/>
    <mergeCell ref="B30:B32"/>
    <mergeCell ref="C27:C29"/>
    <mergeCell ref="C30:C32"/>
    <mergeCell ref="B27:B29"/>
    <mergeCell ref="C6:C8"/>
    <mergeCell ref="B21:B23"/>
    <mergeCell ref="T4:V4"/>
    <mergeCell ref="J4:J5"/>
    <mergeCell ref="L4:L5"/>
    <mergeCell ref="C9:C11"/>
    <mergeCell ref="AD3:AE3"/>
    <mergeCell ref="AC4:AE4"/>
    <mergeCell ref="AF4:AH4"/>
    <mergeCell ref="A4:D5"/>
  </mergeCells>
  <phoneticPr fontId="2" type="noConversion"/>
  <printOptions horizontalCentered="1"/>
  <pageMargins left="0.11811023622047245" right="0.31496062992125984" top="0.74803149606299213" bottom="0.74803149606299213" header="0.31496062992125984" footer="0.31496062992125984"/>
  <pageSetup paperSize="9" scale="90" orientation="portrait" r:id="rId1"/>
  <rowBreaks count="3" manualBreakCount="3">
    <brk id="35" max="16383" man="1"/>
    <brk id="65" max="16383" man="1"/>
    <brk id="9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69"/>
  <sheetViews>
    <sheetView zoomScale="90" zoomScaleNormal="90" workbookViewId="0">
      <pane xSplit="21" ySplit="7" topLeftCell="V11" activePane="bottomRight" state="frozen"/>
      <selection pane="topRight" activeCell="V1" sqref="V1"/>
      <selection pane="bottomLeft" activeCell="A8" sqref="A8"/>
      <selection pane="bottomRight"/>
    </sheetView>
  </sheetViews>
  <sheetFormatPr defaultRowHeight="16.5"/>
  <cols>
    <col min="1" max="1" width="4.375" customWidth="1"/>
    <col min="2" max="2" width="6.75" customWidth="1"/>
    <col min="3" max="3" width="6.875" customWidth="1"/>
    <col min="4" max="15" width="13.875" hidden="1" customWidth="1"/>
    <col min="16" max="17" width="12.625" hidden="1" customWidth="1"/>
    <col min="18" max="19" width="12.625" style="307" hidden="1" customWidth="1"/>
    <col min="20" max="21" width="12.625" style="307" customWidth="1"/>
    <col min="22" max="23" width="12.625" style="320" hidden="1" customWidth="1"/>
    <col min="24" max="24" width="12.625" style="307" hidden="1" customWidth="1"/>
    <col min="25" max="25" width="8.625" hidden="1" customWidth="1"/>
    <col min="26" max="26" width="12.625" style="307" hidden="1" customWidth="1"/>
    <col min="27" max="27" width="8.625" hidden="1" customWidth="1"/>
    <col min="28" max="29" width="12.625" style="320" hidden="1" customWidth="1"/>
    <col min="30" max="30" width="12.625" style="307" hidden="1" customWidth="1"/>
    <col min="31" max="31" width="8.625" style="291" hidden="1" customWidth="1"/>
    <col min="32" max="32" width="12.625" style="307" hidden="1" customWidth="1"/>
    <col min="33" max="33" width="8.625" style="291" hidden="1" customWidth="1"/>
    <col min="34" max="35" width="12.625" style="320" hidden="1" customWidth="1"/>
    <col min="36" max="36" width="12.625" style="307" hidden="1" customWidth="1"/>
    <col min="37" max="37" width="8.625" style="291" hidden="1" customWidth="1"/>
    <col min="38" max="38" width="12.625" style="307" hidden="1" customWidth="1"/>
    <col min="39" max="39" width="8.625" style="291" hidden="1" customWidth="1"/>
    <col min="40" max="41" width="12.625" style="320" hidden="1" customWidth="1"/>
    <col min="42" max="42" width="12.625" style="307" hidden="1" customWidth="1"/>
    <col min="43" max="43" width="8.625" style="291" hidden="1" customWidth="1"/>
    <col min="44" max="44" width="12.625" style="307" hidden="1" customWidth="1"/>
    <col min="45" max="45" width="8.625" style="291" hidden="1" customWidth="1"/>
    <col min="46" max="47" width="12.625" style="320" hidden="1" customWidth="1"/>
    <col min="48" max="48" width="12.625" style="307" hidden="1" customWidth="1"/>
    <col min="49" max="49" width="8.625" style="291" hidden="1" customWidth="1"/>
    <col min="50" max="50" width="12.625" style="307" hidden="1" customWidth="1"/>
    <col min="51" max="51" width="8.625" style="291" hidden="1" customWidth="1"/>
    <col min="52" max="53" width="12.625" style="320" hidden="1" customWidth="1"/>
    <col min="54" max="54" width="12.625" style="307" hidden="1" customWidth="1"/>
    <col min="55" max="55" width="8.625" style="291" hidden="1" customWidth="1"/>
    <col min="56" max="56" width="12.625" style="307" hidden="1" customWidth="1"/>
    <col min="57" max="57" width="8.625" style="291" hidden="1" customWidth="1"/>
    <col min="58" max="59" width="12.625" style="320" hidden="1" customWidth="1"/>
    <col min="60" max="60" width="12.625" style="307" hidden="1" customWidth="1"/>
    <col min="61" max="61" width="8.625" style="291" hidden="1" customWidth="1"/>
    <col min="62" max="62" width="12.625" style="307" hidden="1" customWidth="1"/>
    <col min="63" max="63" width="8.625" style="291" hidden="1" customWidth="1"/>
    <col min="64" max="65" width="12.625" style="320" hidden="1" customWidth="1"/>
    <col min="66" max="66" width="12.625" style="307" hidden="1" customWidth="1"/>
    <col min="67" max="67" width="8.625" style="291" hidden="1" customWidth="1"/>
    <col min="68" max="68" width="12.625" style="307" hidden="1" customWidth="1"/>
    <col min="69" max="69" width="8.625" style="291" hidden="1" customWidth="1"/>
    <col min="70" max="71" width="12.625" style="320" hidden="1" customWidth="1"/>
    <col min="72" max="72" width="12.625" style="307" hidden="1" customWidth="1"/>
    <col min="73" max="73" width="8.625" style="291" hidden="1" customWidth="1"/>
    <col min="74" max="74" width="12.625" style="307" hidden="1" customWidth="1"/>
    <col min="75" max="75" width="8.625" style="291" hidden="1" customWidth="1"/>
    <col min="76" max="77" width="12.625" style="833" hidden="1" customWidth="1"/>
    <col min="78" max="78" width="12.625" style="837" hidden="1" customWidth="1"/>
    <col min="79" max="79" width="8.625" style="820" hidden="1" customWidth="1"/>
    <col min="80" max="80" width="12.625" style="837" hidden="1" customWidth="1"/>
    <col min="81" max="81" width="8.625" style="820" hidden="1" customWidth="1"/>
    <col min="82" max="83" width="12.625" style="833" hidden="1" customWidth="1"/>
    <col min="84" max="84" width="12.625" style="837" hidden="1" customWidth="1"/>
    <col min="85" max="85" width="8.625" style="820" hidden="1" customWidth="1"/>
    <col min="86" max="86" width="12.625" style="837" hidden="1" customWidth="1"/>
    <col min="87" max="87" width="8.625" style="820" hidden="1" customWidth="1"/>
    <col min="88" max="89" width="12.625" style="833" hidden="1" customWidth="1"/>
    <col min="90" max="90" width="12.625" style="837" hidden="1" customWidth="1"/>
    <col min="91" max="91" width="8.625" style="846" hidden="1" customWidth="1"/>
    <col min="92" max="92" width="12.625" style="837" hidden="1" customWidth="1"/>
    <col min="93" max="93" width="8.625" style="846" hidden="1" customWidth="1"/>
    <col min="94" max="95" width="12.625" style="833" hidden="1" customWidth="1"/>
    <col min="96" max="96" width="12.625" style="837" hidden="1" customWidth="1"/>
    <col min="97" max="97" width="8.625" style="846" hidden="1" customWidth="1"/>
    <col min="98" max="98" width="12.625" style="837" hidden="1" customWidth="1"/>
    <col min="99" max="99" width="8.625" style="846" hidden="1" customWidth="1"/>
    <col min="100" max="101" width="12.625" style="833" hidden="1" customWidth="1"/>
    <col min="102" max="102" width="12.625" style="837" hidden="1" customWidth="1"/>
    <col min="103" max="103" width="8.625" style="846" hidden="1" customWidth="1"/>
    <col min="104" max="104" width="12.625" style="837" hidden="1" customWidth="1"/>
    <col min="105" max="105" width="8.625" style="846" hidden="1" customWidth="1"/>
    <col min="106" max="107" width="12.625" style="833" hidden="1" customWidth="1"/>
    <col min="108" max="108" width="12.625" style="837" hidden="1" customWidth="1"/>
    <col min="109" max="109" width="8.625" style="846" hidden="1" customWidth="1"/>
    <col min="110" max="110" width="12.625" style="837" hidden="1" customWidth="1"/>
    <col min="111" max="111" width="8.625" style="846" hidden="1" customWidth="1"/>
    <col min="112" max="113" width="12.625" style="833" hidden="1" customWidth="1"/>
    <col min="114" max="114" width="12.625" style="837" hidden="1" customWidth="1"/>
    <col min="115" max="115" width="8.625" style="846" hidden="1" customWidth="1"/>
    <col min="116" max="116" width="12.625" style="837" hidden="1" customWidth="1"/>
    <col min="117" max="117" width="8.625" style="846" hidden="1" customWidth="1"/>
    <col min="118" max="119" width="12.625" style="833" hidden="1" customWidth="1"/>
    <col min="120" max="120" width="12.625" style="837" hidden="1" customWidth="1"/>
    <col min="121" max="121" width="8.625" style="846" hidden="1" customWidth="1"/>
    <col min="122" max="122" width="12.625" style="837" hidden="1" customWidth="1"/>
    <col min="123" max="123" width="8.625" style="846" hidden="1" customWidth="1"/>
    <col min="124" max="125" width="12.625" style="833" hidden="1" customWidth="1"/>
    <col min="126" max="126" width="12.625" style="837" hidden="1" customWidth="1"/>
    <col min="127" max="127" width="8.625" style="846" hidden="1" customWidth="1"/>
    <col min="128" max="128" width="12.625" style="837" hidden="1" customWidth="1"/>
    <col min="129" max="129" width="8.625" style="846" hidden="1" customWidth="1"/>
    <col min="130" max="131" width="12.625" style="833" hidden="1" customWidth="1"/>
    <col min="132" max="132" width="12.625" style="837" hidden="1" customWidth="1"/>
    <col min="133" max="133" width="8.625" style="846" hidden="1" customWidth="1"/>
    <col min="134" max="134" width="12.625" style="837" hidden="1" customWidth="1"/>
    <col min="135" max="135" width="8.625" style="846" hidden="1" customWidth="1"/>
    <col min="136" max="137" width="12.625" style="833" customWidth="1"/>
    <col min="138" max="138" width="12.625" style="837" customWidth="1"/>
    <col min="139" max="139" width="8.625" style="846" customWidth="1"/>
    <col min="140" max="140" width="12.625" style="837" customWidth="1"/>
    <col min="141" max="141" width="8.625" style="846" customWidth="1"/>
    <col min="142" max="143" width="12.625" style="833" customWidth="1"/>
    <col min="144" max="144" width="12.625" style="837" customWidth="1"/>
    <col min="145" max="145" width="8.625" style="846" customWidth="1"/>
    <col min="146" max="146" width="12.625" style="837" customWidth="1"/>
    <col min="147" max="147" width="8.625" style="846" customWidth="1"/>
  </cols>
  <sheetData>
    <row r="1" spans="1:147" ht="22.5">
      <c r="A1" s="113" t="s">
        <v>260</v>
      </c>
    </row>
    <row r="3" spans="1:147">
      <c r="R3" s="176"/>
      <c r="S3" s="272"/>
      <c r="U3" s="393"/>
      <c r="Z3" s="1122" t="s">
        <v>0</v>
      </c>
      <c r="AA3" s="1122"/>
      <c r="AF3" s="1122"/>
      <c r="AG3" s="1122"/>
      <c r="AL3" s="1122" t="s">
        <v>0</v>
      </c>
      <c r="AM3" s="1122"/>
      <c r="AR3" s="1122"/>
      <c r="AS3" s="1122"/>
      <c r="AX3" s="1122" t="s">
        <v>0</v>
      </c>
      <c r="AY3" s="1122"/>
      <c r="BD3" s="1122"/>
      <c r="BE3" s="1122"/>
      <c r="BJ3" s="1122" t="s">
        <v>0</v>
      </c>
      <c r="BK3" s="1122"/>
      <c r="BP3" s="1122"/>
      <c r="BQ3" s="1122"/>
      <c r="BV3" s="1122" t="s">
        <v>0</v>
      </c>
      <c r="BW3" s="1122"/>
      <c r="CB3" s="1122"/>
      <c r="CC3" s="1122"/>
      <c r="CH3" s="1122" t="s">
        <v>0</v>
      </c>
      <c r="CI3" s="1122"/>
      <c r="CN3" s="1122"/>
      <c r="CO3" s="1122"/>
      <c r="CT3" s="1122" t="s">
        <v>0</v>
      </c>
      <c r="CU3" s="1122"/>
      <c r="CZ3" s="1122"/>
      <c r="DA3" s="1122"/>
      <c r="DF3" s="1122" t="s">
        <v>0</v>
      </c>
      <c r="DG3" s="1122"/>
      <c r="DL3" s="1122"/>
      <c r="DM3" s="1122"/>
      <c r="DR3" s="1122" t="s">
        <v>0</v>
      </c>
      <c r="DS3" s="1122"/>
      <c r="DX3" s="1122"/>
      <c r="DY3" s="1122"/>
      <c r="ED3" s="1122" t="s">
        <v>0</v>
      </c>
      <c r="EE3" s="1122"/>
      <c r="EJ3" s="1122"/>
      <c r="EK3" s="1122"/>
      <c r="EP3" s="1122" t="s">
        <v>0</v>
      </c>
      <c r="EQ3" s="1122"/>
    </row>
    <row r="4" spans="1:147" ht="18" customHeight="1">
      <c r="A4" s="114"/>
      <c r="B4" s="115"/>
      <c r="C4" s="1142" t="s">
        <v>261</v>
      </c>
      <c r="D4" s="1123" t="s">
        <v>262</v>
      </c>
      <c r="E4" s="1123"/>
      <c r="F4" s="1123" t="s">
        <v>263</v>
      </c>
      <c r="G4" s="1123"/>
      <c r="H4" s="1123" t="s">
        <v>4</v>
      </c>
      <c r="I4" s="1123"/>
      <c r="J4" s="1123" t="s">
        <v>264</v>
      </c>
      <c r="K4" s="1123"/>
      <c r="L4" s="1123" t="s">
        <v>6</v>
      </c>
      <c r="M4" s="1123"/>
      <c r="N4" s="1123" t="s">
        <v>7</v>
      </c>
      <c r="O4" s="1123"/>
      <c r="P4" s="1123" t="s">
        <v>8</v>
      </c>
      <c r="Q4" s="1123"/>
      <c r="R4" s="1123" t="s">
        <v>316</v>
      </c>
      <c r="S4" s="1123"/>
      <c r="T4" s="1123" t="s">
        <v>315</v>
      </c>
      <c r="U4" s="1123"/>
      <c r="V4" s="1123" t="s">
        <v>265</v>
      </c>
      <c r="W4" s="1123"/>
      <c r="X4" s="1124"/>
      <c r="Y4" s="1123"/>
      <c r="Z4" s="1124"/>
      <c r="AA4" s="1123"/>
      <c r="AB4" s="1123" t="s">
        <v>489</v>
      </c>
      <c r="AC4" s="1123"/>
      <c r="AD4" s="1124"/>
      <c r="AE4" s="1123"/>
      <c r="AF4" s="1124"/>
      <c r="AG4" s="1123"/>
      <c r="AH4" s="1123" t="s">
        <v>530</v>
      </c>
      <c r="AI4" s="1123"/>
      <c r="AJ4" s="1124"/>
      <c r="AK4" s="1123"/>
      <c r="AL4" s="1124"/>
      <c r="AM4" s="1123"/>
      <c r="AN4" s="1123" t="s">
        <v>515</v>
      </c>
      <c r="AO4" s="1123"/>
      <c r="AP4" s="1124"/>
      <c r="AQ4" s="1123"/>
      <c r="AR4" s="1124"/>
      <c r="AS4" s="1123"/>
      <c r="AT4" s="1123" t="s">
        <v>529</v>
      </c>
      <c r="AU4" s="1123"/>
      <c r="AV4" s="1124"/>
      <c r="AW4" s="1123"/>
      <c r="AX4" s="1124"/>
      <c r="AY4" s="1123"/>
      <c r="AZ4" s="1123" t="s">
        <v>535</v>
      </c>
      <c r="BA4" s="1123"/>
      <c r="BB4" s="1124"/>
      <c r="BC4" s="1123"/>
      <c r="BD4" s="1124"/>
      <c r="BE4" s="1123"/>
      <c r="BF4" s="1123" t="s">
        <v>536</v>
      </c>
      <c r="BG4" s="1123"/>
      <c r="BH4" s="1124"/>
      <c r="BI4" s="1123"/>
      <c r="BJ4" s="1124"/>
      <c r="BK4" s="1123"/>
      <c r="BL4" s="1123" t="s">
        <v>552</v>
      </c>
      <c r="BM4" s="1123"/>
      <c r="BN4" s="1124"/>
      <c r="BO4" s="1123"/>
      <c r="BP4" s="1124"/>
      <c r="BQ4" s="1123"/>
      <c r="BR4" s="1123" t="s">
        <v>553</v>
      </c>
      <c r="BS4" s="1123"/>
      <c r="BT4" s="1124"/>
      <c r="BU4" s="1123"/>
      <c r="BV4" s="1124"/>
      <c r="BW4" s="1123"/>
      <c r="BX4" s="1123" t="s">
        <v>586</v>
      </c>
      <c r="BY4" s="1123"/>
      <c r="BZ4" s="1124"/>
      <c r="CA4" s="1123"/>
      <c r="CB4" s="1124"/>
      <c r="CC4" s="1123"/>
      <c r="CD4" s="1123" t="s">
        <v>587</v>
      </c>
      <c r="CE4" s="1123"/>
      <c r="CF4" s="1124"/>
      <c r="CG4" s="1123"/>
      <c r="CH4" s="1124"/>
      <c r="CI4" s="1123"/>
      <c r="CJ4" s="1123" t="s">
        <v>604</v>
      </c>
      <c r="CK4" s="1123"/>
      <c r="CL4" s="1124"/>
      <c r="CM4" s="1123"/>
      <c r="CN4" s="1124"/>
      <c r="CO4" s="1123"/>
      <c r="CP4" s="1123" t="s">
        <v>606</v>
      </c>
      <c r="CQ4" s="1123"/>
      <c r="CR4" s="1124"/>
      <c r="CS4" s="1123"/>
      <c r="CT4" s="1124"/>
      <c r="CU4" s="1123"/>
      <c r="CV4" s="1123" t="s">
        <v>627</v>
      </c>
      <c r="CW4" s="1123"/>
      <c r="CX4" s="1124"/>
      <c r="CY4" s="1123"/>
      <c r="CZ4" s="1124"/>
      <c r="DA4" s="1123"/>
      <c r="DB4" s="1123" t="s">
        <v>629</v>
      </c>
      <c r="DC4" s="1123"/>
      <c r="DD4" s="1124"/>
      <c r="DE4" s="1123"/>
      <c r="DF4" s="1124"/>
      <c r="DG4" s="1123"/>
      <c r="DH4" s="1123" t="s">
        <v>648</v>
      </c>
      <c r="DI4" s="1123"/>
      <c r="DJ4" s="1124"/>
      <c r="DK4" s="1123"/>
      <c r="DL4" s="1124"/>
      <c r="DM4" s="1123"/>
      <c r="DN4" s="1123" t="s">
        <v>651</v>
      </c>
      <c r="DO4" s="1123"/>
      <c r="DP4" s="1124"/>
      <c r="DQ4" s="1123"/>
      <c r="DR4" s="1124"/>
      <c r="DS4" s="1123"/>
      <c r="DT4" s="1123" t="s">
        <v>676</v>
      </c>
      <c r="DU4" s="1123"/>
      <c r="DV4" s="1124"/>
      <c r="DW4" s="1123"/>
      <c r="DX4" s="1124"/>
      <c r="DY4" s="1123"/>
      <c r="DZ4" s="1123" t="s">
        <v>677</v>
      </c>
      <c r="EA4" s="1123"/>
      <c r="EB4" s="1124"/>
      <c r="EC4" s="1123"/>
      <c r="ED4" s="1124"/>
      <c r="EE4" s="1123"/>
      <c r="EF4" s="1123" t="s">
        <v>719</v>
      </c>
      <c r="EG4" s="1123"/>
      <c r="EH4" s="1124"/>
      <c r="EI4" s="1123"/>
      <c r="EJ4" s="1124"/>
      <c r="EK4" s="1123"/>
      <c r="EL4" s="1123" t="s">
        <v>711</v>
      </c>
      <c r="EM4" s="1123"/>
      <c r="EN4" s="1124"/>
      <c r="EO4" s="1123"/>
      <c r="EP4" s="1124"/>
      <c r="EQ4" s="1123"/>
    </row>
    <row r="5" spans="1:147" ht="18" customHeight="1">
      <c r="A5" s="116"/>
      <c r="B5" s="117"/>
      <c r="C5" s="1141"/>
      <c r="D5" s="1123"/>
      <c r="E5" s="1123"/>
      <c r="F5" s="1123"/>
      <c r="G5" s="1123"/>
      <c r="H5" s="1123"/>
      <c r="I5" s="1123"/>
      <c r="J5" s="1123"/>
      <c r="K5" s="1123"/>
      <c r="L5" s="1123"/>
      <c r="M5" s="1123"/>
      <c r="N5" s="1123"/>
      <c r="O5" s="1123"/>
      <c r="P5" s="1123"/>
      <c r="Q5" s="1123"/>
      <c r="R5" s="1123"/>
      <c r="S5" s="1123"/>
      <c r="T5" s="1123"/>
      <c r="U5" s="1123"/>
      <c r="V5" s="1123" t="s">
        <v>314</v>
      </c>
      <c r="W5" s="1123"/>
      <c r="X5" s="1124" t="s">
        <v>444</v>
      </c>
      <c r="Y5" s="1123"/>
      <c r="Z5" s="1124"/>
      <c r="AA5" s="1123"/>
      <c r="AB5" s="1123" t="s">
        <v>314</v>
      </c>
      <c r="AC5" s="1123"/>
      <c r="AD5" s="1124" t="s">
        <v>444</v>
      </c>
      <c r="AE5" s="1123"/>
      <c r="AF5" s="1124"/>
      <c r="AG5" s="1123"/>
      <c r="AH5" s="1123" t="s">
        <v>314</v>
      </c>
      <c r="AI5" s="1123"/>
      <c r="AJ5" s="1124" t="s">
        <v>444</v>
      </c>
      <c r="AK5" s="1123"/>
      <c r="AL5" s="1124"/>
      <c r="AM5" s="1123"/>
      <c r="AN5" s="1123" t="s">
        <v>314</v>
      </c>
      <c r="AO5" s="1123"/>
      <c r="AP5" s="1124" t="s">
        <v>444</v>
      </c>
      <c r="AQ5" s="1123"/>
      <c r="AR5" s="1124"/>
      <c r="AS5" s="1123"/>
      <c r="AT5" s="1123" t="s">
        <v>314</v>
      </c>
      <c r="AU5" s="1123"/>
      <c r="AV5" s="1124" t="s">
        <v>444</v>
      </c>
      <c r="AW5" s="1123"/>
      <c r="AX5" s="1124"/>
      <c r="AY5" s="1123"/>
      <c r="AZ5" s="1123" t="s">
        <v>314</v>
      </c>
      <c r="BA5" s="1123"/>
      <c r="BB5" s="1124" t="s">
        <v>444</v>
      </c>
      <c r="BC5" s="1123"/>
      <c r="BD5" s="1124"/>
      <c r="BE5" s="1123"/>
      <c r="BF5" s="1123" t="s">
        <v>314</v>
      </c>
      <c r="BG5" s="1123"/>
      <c r="BH5" s="1124" t="s">
        <v>444</v>
      </c>
      <c r="BI5" s="1123"/>
      <c r="BJ5" s="1124"/>
      <c r="BK5" s="1123"/>
      <c r="BL5" s="1123" t="s">
        <v>314</v>
      </c>
      <c r="BM5" s="1123"/>
      <c r="BN5" s="1124" t="s">
        <v>554</v>
      </c>
      <c r="BO5" s="1123"/>
      <c r="BP5" s="1124"/>
      <c r="BQ5" s="1123"/>
      <c r="BR5" s="1123" t="s">
        <v>314</v>
      </c>
      <c r="BS5" s="1123"/>
      <c r="BT5" s="1124" t="s">
        <v>554</v>
      </c>
      <c r="BU5" s="1123"/>
      <c r="BV5" s="1124"/>
      <c r="BW5" s="1123"/>
      <c r="BX5" s="1123" t="s">
        <v>314</v>
      </c>
      <c r="BY5" s="1123"/>
      <c r="BZ5" s="1124" t="s">
        <v>444</v>
      </c>
      <c r="CA5" s="1123"/>
      <c r="CB5" s="1124"/>
      <c r="CC5" s="1123"/>
      <c r="CD5" s="1123" t="s">
        <v>314</v>
      </c>
      <c r="CE5" s="1123"/>
      <c r="CF5" s="1124" t="s">
        <v>444</v>
      </c>
      <c r="CG5" s="1123"/>
      <c r="CH5" s="1124"/>
      <c r="CI5" s="1123"/>
      <c r="CJ5" s="1123" t="s">
        <v>314</v>
      </c>
      <c r="CK5" s="1123"/>
      <c r="CL5" s="1124" t="s">
        <v>444</v>
      </c>
      <c r="CM5" s="1123"/>
      <c r="CN5" s="1124"/>
      <c r="CO5" s="1123"/>
      <c r="CP5" s="1123" t="s">
        <v>314</v>
      </c>
      <c r="CQ5" s="1123"/>
      <c r="CR5" s="1124" t="s">
        <v>444</v>
      </c>
      <c r="CS5" s="1123"/>
      <c r="CT5" s="1124"/>
      <c r="CU5" s="1123"/>
      <c r="CV5" s="1123" t="s">
        <v>314</v>
      </c>
      <c r="CW5" s="1123"/>
      <c r="CX5" s="1124" t="s">
        <v>444</v>
      </c>
      <c r="CY5" s="1123"/>
      <c r="CZ5" s="1124"/>
      <c r="DA5" s="1123"/>
      <c r="DB5" s="1123" t="s">
        <v>314</v>
      </c>
      <c r="DC5" s="1123"/>
      <c r="DD5" s="1124" t="s">
        <v>444</v>
      </c>
      <c r="DE5" s="1123"/>
      <c r="DF5" s="1124"/>
      <c r="DG5" s="1123"/>
      <c r="DH5" s="1123" t="s">
        <v>314</v>
      </c>
      <c r="DI5" s="1123"/>
      <c r="DJ5" s="1124" t="s">
        <v>511</v>
      </c>
      <c r="DK5" s="1123"/>
      <c r="DL5" s="1124"/>
      <c r="DM5" s="1123"/>
      <c r="DN5" s="1123" t="s">
        <v>314</v>
      </c>
      <c r="DO5" s="1123"/>
      <c r="DP5" s="1124" t="s">
        <v>511</v>
      </c>
      <c r="DQ5" s="1123"/>
      <c r="DR5" s="1124"/>
      <c r="DS5" s="1123"/>
      <c r="DT5" s="1123" t="s">
        <v>678</v>
      </c>
      <c r="DU5" s="1123"/>
      <c r="DV5" s="1124" t="s">
        <v>511</v>
      </c>
      <c r="DW5" s="1123"/>
      <c r="DX5" s="1124"/>
      <c r="DY5" s="1123"/>
      <c r="DZ5" s="1123" t="s">
        <v>678</v>
      </c>
      <c r="EA5" s="1123"/>
      <c r="EB5" s="1124" t="s">
        <v>511</v>
      </c>
      <c r="EC5" s="1123"/>
      <c r="ED5" s="1124"/>
      <c r="EE5" s="1123"/>
      <c r="EF5" s="1123" t="s">
        <v>314</v>
      </c>
      <c r="EG5" s="1123"/>
      <c r="EH5" s="1124" t="s">
        <v>444</v>
      </c>
      <c r="EI5" s="1123"/>
      <c r="EJ5" s="1124"/>
      <c r="EK5" s="1123"/>
      <c r="EL5" s="1123" t="s">
        <v>314</v>
      </c>
      <c r="EM5" s="1123"/>
      <c r="EN5" s="1124" t="s">
        <v>720</v>
      </c>
      <c r="EO5" s="1123"/>
      <c r="EP5" s="1124"/>
      <c r="EQ5" s="1123"/>
    </row>
    <row r="6" spans="1:147" ht="18" customHeight="1">
      <c r="A6" s="1137" t="s">
        <v>266</v>
      </c>
      <c r="B6" s="1138"/>
      <c r="C6" s="1140" t="s">
        <v>267</v>
      </c>
      <c r="D6" s="1123" t="s">
        <v>97</v>
      </c>
      <c r="E6" s="1123" t="s">
        <v>134</v>
      </c>
      <c r="F6" s="1123" t="s">
        <v>97</v>
      </c>
      <c r="G6" s="1123" t="s">
        <v>134</v>
      </c>
      <c r="H6" s="1123" t="s">
        <v>97</v>
      </c>
      <c r="I6" s="1123" t="s">
        <v>134</v>
      </c>
      <c r="J6" s="1123" t="s">
        <v>97</v>
      </c>
      <c r="K6" s="1123" t="s">
        <v>134</v>
      </c>
      <c r="L6" s="1123" t="s">
        <v>97</v>
      </c>
      <c r="M6" s="1123" t="s">
        <v>134</v>
      </c>
      <c r="N6" s="1123" t="s">
        <v>97</v>
      </c>
      <c r="O6" s="1123" t="s">
        <v>134</v>
      </c>
      <c r="P6" s="1123" t="s">
        <v>97</v>
      </c>
      <c r="Q6" s="1123" t="s">
        <v>134</v>
      </c>
      <c r="R6" s="1126" t="s">
        <v>311</v>
      </c>
      <c r="S6" s="1126" t="s">
        <v>182</v>
      </c>
      <c r="T6" s="1126" t="s">
        <v>97</v>
      </c>
      <c r="U6" s="1126" t="s">
        <v>134</v>
      </c>
      <c r="V6" s="1123" t="s">
        <v>97</v>
      </c>
      <c r="W6" s="1123" t="s">
        <v>134</v>
      </c>
      <c r="X6" s="1126" t="s">
        <v>97</v>
      </c>
      <c r="Y6" s="223"/>
      <c r="Z6" s="1126" t="s">
        <v>134</v>
      </c>
      <c r="AA6" s="223"/>
      <c r="AB6" s="1123" t="s">
        <v>97</v>
      </c>
      <c r="AC6" s="1123" t="s">
        <v>134</v>
      </c>
      <c r="AD6" s="1126" t="s">
        <v>97</v>
      </c>
      <c r="AE6" s="473"/>
      <c r="AF6" s="1126" t="s">
        <v>134</v>
      </c>
      <c r="AG6" s="473"/>
      <c r="AH6" s="1123" t="s">
        <v>97</v>
      </c>
      <c r="AI6" s="1123" t="s">
        <v>182</v>
      </c>
      <c r="AJ6" s="1126" t="s">
        <v>97</v>
      </c>
      <c r="AK6" s="473"/>
      <c r="AL6" s="1126" t="s">
        <v>512</v>
      </c>
      <c r="AM6" s="473"/>
      <c r="AN6" s="1123" t="s">
        <v>97</v>
      </c>
      <c r="AO6" s="1123" t="s">
        <v>134</v>
      </c>
      <c r="AP6" s="1126" t="s">
        <v>97</v>
      </c>
      <c r="AQ6" s="505"/>
      <c r="AR6" s="1126" t="s">
        <v>134</v>
      </c>
      <c r="AS6" s="505"/>
      <c r="AT6" s="1123" t="s">
        <v>97</v>
      </c>
      <c r="AU6" s="1123" t="s">
        <v>182</v>
      </c>
      <c r="AV6" s="1126" t="s">
        <v>97</v>
      </c>
      <c r="AW6" s="505"/>
      <c r="AX6" s="1126" t="s">
        <v>182</v>
      </c>
      <c r="AY6" s="505"/>
      <c r="AZ6" s="1123" t="s">
        <v>97</v>
      </c>
      <c r="BA6" s="1123" t="s">
        <v>134</v>
      </c>
      <c r="BB6" s="1126" t="s">
        <v>97</v>
      </c>
      <c r="BC6" s="517"/>
      <c r="BD6" s="1126" t="s">
        <v>134</v>
      </c>
      <c r="BE6" s="517"/>
      <c r="BF6" s="1123" t="s">
        <v>97</v>
      </c>
      <c r="BG6" s="1123" t="s">
        <v>182</v>
      </c>
      <c r="BH6" s="1126" t="s">
        <v>97</v>
      </c>
      <c r="BI6" s="517"/>
      <c r="BJ6" s="1126" t="s">
        <v>182</v>
      </c>
      <c r="BK6" s="517"/>
      <c r="BL6" s="1123" t="s">
        <v>97</v>
      </c>
      <c r="BM6" s="1123" t="s">
        <v>134</v>
      </c>
      <c r="BN6" s="1126" t="s">
        <v>97</v>
      </c>
      <c r="BO6" s="542"/>
      <c r="BP6" s="1126" t="s">
        <v>134</v>
      </c>
      <c r="BQ6" s="542"/>
      <c r="BR6" s="1123" t="s">
        <v>97</v>
      </c>
      <c r="BS6" s="1123" t="s">
        <v>134</v>
      </c>
      <c r="BT6" s="1126" t="s">
        <v>97</v>
      </c>
      <c r="BU6" s="542"/>
      <c r="BV6" s="1126" t="s">
        <v>134</v>
      </c>
      <c r="BW6" s="542"/>
      <c r="BX6" s="1123" t="s">
        <v>97</v>
      </c>
      <c r="BY6" s="1123" t="s">
        <v>134</v>
      </c>
      <c r="BZ6" s="1126" t="s">
        <v>97</v>
      </c>
      <c r="CA6" s="834"/>
      <c r="CB6" s="1126" t="s">
        <v>134</v>
      </c>
      <c r="CC6" s="834"/>
      <c r="CD6" s="1123" t="s">
        <v>97</v>
      </c>
      <c r="CE6" s="1123" t="s">
        <v>182</v>
      </c>
      <c r="CF6" s="1126" t="s">
        <v>97</v>
      </c>
      <c r="CG6" s="834"/>
      <c r="CH6" s="1126" t="s">
        <v>182</v>
      </c>
      <c r="CI6" s="834"/>
      <c r="CJ6" s="1123" t="s">
        <v>97</v>
      </c>
      <c r="CK6" s="1123" t="s">
        <v>134</v>
      </c>
      <c r="CL6" s="1126" t="s">
        <v>97</v>
      </c>
      <c r="CM6" s="922"/>
      <c r="CN6" s="1126" t="s">
        <v>134</v>
      </c>
      <c r="CO6" s="922"/>
      <c r="CP6" s="1123" t="s">
        <v>97</v>
      </c>
      <c r="CQ6" s="1123" t="s">
        <v>182</v>
      </c>
      <c r="CR6" s="1126" t="s">
        <v>97</v>
      </c>
      <c r="CS6" s="922"/>
      <c r="CT6" s="1126" t="s">
        <v>182</v>
      </c>
      <c r="CU6" s="922"/>
      <c r="CV6" s="1123" t="s">
        <v>97</v>
      </c>
      <c r="CW6" s="1123" t="s">
        <v>134</v>
      </c>
      <c r="CX6" s="1126" t="s">
        <v>97</v>
      </c>
      <c r="CY6" s="1034"/>
      <c r="CZ6" s="1126" t="s">
        <v>134</v>
      </c>
      <c r="DA6" s="1034"/>
      <c r="DB6" s="1123" t="s">
        <v>97</v>
      </c>
      <c r="DC6" s="1123" t="s">
        <v>134</v>
      </c>
      <c r="DD6" s="1126" t="s">
        <v>97</v>
      </c>
      <c r="DE6" s="1034"/>
      <c r="DF6" s="1126" t="s">
        <v>134</v>
      </c>
      <c r="DG6" s="1034"/>
      <c r="DH6" s="1123" t="s">
        <v>311</v>
      </c>
      <c r="DI6" s="1123" t="s">
        <v>182</v>
      </c>
      <c r="DJ6" s="1126" t="s">
        <v>311</v>
      </c>
      <c r="DK6" s="1046"/>
      <c r="DL6" s="1126" t="s">
        <v>182</v>
      </c>
      <c r="DM6" s="1046"/>
      <c r="DN6" s="1123" t="s">
        <v>311</v>
      </c>
      <c r="DO6" s="1123" t="s">
        <v>182</v>
      </c>
      <c r="DP6" s="1126" t="s">
        <v>311</v>
      </c>
      <c r="DQ6" s="1046"/>
      <c r="DR6" s="1126" t="s">
        <v>182</v>
      </c>
      <c r="DS6" s="1046"/>
      <c r="DT6" s="1123" t="s">
        <v>679</v>
      </c>
      <c r="DU6" s="1123" t="s">
        <v>680</v>
      </c>
      <c r="DV6" s="1126" t="s">
        <v>679</v>
      </c>
      <c r="DW6" s="1061"/>
      <c r="DX6" s="1126" t="s">
        <v>680</v>
      </c>
      <c r="DY6" s="1061"/>
      <c r="DZ6" s="1123" t="s">
        <v>679</v>
      </c>
      <c r="EA6" s="1123" t="s">
        <v>680</v>
      </c>
      <c r="EB6" s="1126" t="s">
        <v>679</v>
      </c>
      <c r="EC6" s="1061"/>
      <c r="ED6" s="1126" t="s">
        <v>680</v>
      </c>
      <c r="EE6" s="1061"/>
      <c r="EF6" s="1123" t="s">
        <v>154</v>
      </c>
      <c r="EG6" s="1123" t="s">
        <v>721</v>
      </c>
      <c r="EH6" s="1126" t="s">
        <v>154</v>
      </c>
      <c r="EI6" s="1078"/>
      <c r="EJ6" s="1126" t="s">
        <v>134</v>
      </c>
      <c r="EK6" s="1078"/>
      <c r="EL6" s="1123" t="s">
        <v>154</v>
      </c>
      <c r="EM6" s="1123" t="s">
        <v>134</v>
      </c>
      <c r="EN6" s="1126" t="s">
        <v>154</v>
      </c>
      <c r="EO6" s="1078"/>
      <c r="EP6" s="1126" t="s">
        <v>134</v>
      </c>
      <c r="EQ6" s="1078"/>
    </row>
    <row r="7" spans="1:147" ht="18" customHeight="1">
      <c r="A7" s="1125"/>
      <c r="B7" s="1139"/>
      <c r="C7" s="1141"/>
      <c r="D7" s="1125"/>
      <c r="E7" s="1125"/>
      <c r="F7" s="1125"/>
      <c r="G7" s="1125"/>
      <c r="H7" s="1125"/>
      <c r="I7" s="1125"/>
      <c r="J7" s="1125"/>
      <c r="K7" s="1125"/>
      <c r="L7" s="1125"/>
      <c r="M7" s="1125"/>
      <c r="N7" s="1125"/>
      <c r="O7" s="1125"/>
      <c r="P7" s="1125"/>
      <c r="Q7" s="1125"/>
      <c r="R7" s="1127"/>
      <c r="S7" s="1127"/>
      <c r="T7" s="1127"/>
      <c r="U7" s="1127"/>
      <c r="V7" s="1125"/>
      <c r="W7" s="1125"/>
      <c r="X7" s="1124"/>
      <c r="Y7" s="224" t="s">
        <v>268</v>
      </c>
      <c r="Z7" s="1127"/>
      <c r="AA7" s="225" t="s">
        <v>268</v>
      </c>
      <c r="AB7" s="1125"/>
      <c r="AC7" s="1125"/>
      <c r="AD7" s="1124"/>
      <c r="AE7" s="474" t="s">
        <v>268</v>
      </c>
      <c r="AF7" s="1127"/>
      <c r="AG7" s="472" t="s">
        <v>268</v>
      </c>
      <c r="AH7" s="1125"/>
      <c r="AI7" s="1125"/>
      <c r="AJ7" s="1124"/>
      <c r="AK7" s="474" t="s">
        <v>268</v>
      </c>
      <c r="AL7" s="1127"/>
      <c r="AM7" s="472" t="s">
        <v>268</v>
      </c>
      <c r="AN7" s="1125"/>
      <c r="AO7" s="1125"/>
      <c r="AP7" s="1124"/>
      <c r="AQ7" s="504" t="s">
        <v>268</v>
      </c>
      <c r="AR7" s="1127"/>
      <c r="AS7" s="503" t="s">
        <v>268</v>
      </c>
      <c r="AT7" s="1125"/>
      <c r="AU7" s="1125"/>
      <c r="AV7" s="1124"/>
      <c r="AW7" s="504" t="s">
        <v>268</v>
      </c>
      <c r="AX7" s="1127"/>
      <c r="AY7" s="503" t="s">
        <v>268</v>
      </c>
      <c r="AZ7" s="1125"/>
      <c r="BA7" s="1125"/>
      <c r="BB7" s="1124"/>
      <c r="BC7" s="518" t="s">
        <v>268</v>
      </c>
      <c r="BD7" s="1127"/>
      <c r="BE7" s="516" t="s">
        <v>268</v>
      </c>
      <c r="BF7" s="1125"/>
      <c r="BG7" s="1125"/>
      <c r="BH7" s="1124"/>
      <c r="BI7" s="518" t="s">
        <v>268</v>
      </c>
      <c r="BJ7" s="1127"/>
      <c r="BK7" s="516" t="s">
        <v>268</v>
      </c>
      <c r="BL7" s="1125"/>
      <c r="BM7" s="1125"/>
      <c r="BN7" s="1124"/>
      <c r="BO7" s="541" t="s">
        <v>557</v>
      </c>
      <c r="BP7" s="1127"/>
      <c r="BQ7" s="540" t="s">
        <v>557</v>
      </c>
      <c r="BR7" s="1125"/>
      <c r="BS7" s="1125"/>
      <c r="BT7" s="1124"/>
      <c r="BU7" s="541" t="s">
        <v>557</v>
      </c>
      <c r="BV7" s="1127"/>
      <c r="BW7" s="540" t="s">
        <v>557</v>
      </c>
      <c r="BX7" s="1125"/>
      <c r="BY7" s="1125"/>
      <c r="BZ7" s="1124"/>
      <c r="CA7" s="835" t="s">
        <v>268</v>
      </c>
      <c r="CB7" s="1127"/>
      <c r="CC7" s="836" t="s">
        <v>268</v>
      </c>
      <c r="CD7" s="1125"/>
      <c r="CE7" s="1125"/>
      <c r="CF7" s="1124"/>
      <c r="CG7" s="835" t="s">
        <v>268</v>
      </c>
      <c r="CH7" s="1127"/>
      <c r="CI7" s="836" t="s">
        <v>268</v>
      </c>
      <c r="CJ7" s="1125"/>
      <c r="CK7" s="1125"/>
      <c r="CL7" s="1124"/>
      <c r="CM7" s="921" t="s">
        <v>268</v>
      </c>
      <c r="CN7" s="1127"/>
      <c r="CO7" s="920" t="s">
        <v>268</v>
      </c>
      <c r="CP7" s="1125"/>
      <c r="CQ7" s="1125"/>
      <c r="CR7" s="1124"/>
      <c r="CS7" s="921" t="s">
        <v>268</v>
      </c>
      <c r="CT7" s="1127"/>
      <c r="CU7" s="920" t="s">
        <v>268</v>
      </c>
      <c r="CV7" s="1125"/>
      <c r="CW7" s="1125"/>
      <c r="CX7" s="1124"/>
      <c r="CY7" s="1035" t="s">
        <v>268</v>
      </c>
      <c r="CZ7" s="1127"/>
      <c r="DA7" s="1033" t="s">
        <v>268</v>
      </c>
      <c r="DB7" s="1125"/>
      <c r="DC7" s="1125"/>
      <c r="DD7" s="1124"/>
      <c r="DE7" s="1035" t="s">
        <v>268</v>
      </c>
      <c r="DF7" s="1127"/>
      <c r="DG7" s="1033" t="s">
        <v>268</v>
      </c>
      <c r="DH7" s="1125"/>
      <c r="DI7" s="1125"/>
      <c r="DJ7" s="1124"/>
      <c r="DK7" s="1047" t="s">
        <v>654</v>
      </c>
      <c r="DL7" s="1127"/>
      <c r="DM7" s="1045" t="s">
        <v>654</v>
      </c>
      <c r="DN7" s="1125"/>
      <c r="DO7" s="1125"/>
      <c r="DP7" s="1124"/>
      <c r="DQ7" s="1047" t="s">
        <v>654</v>
      </c>
      <c r="DR7" s="1127"/>
      <c r="DS7" s="1045" t="s">
        <v>654</v>
      </c>
      <c r="DT7" s="1125"/>
      <c r="DU7" s="1125"/>
      <c r="DV7" s="1124"/>
      <c r="DW7" s="1062" t="s">
        <v>681</v>
      </c>
      <c r="DX7" s="1127"/>
      <c r="DY7" s="1060" t="s">
        <v>681</v>
      </c>
      <c r="DZ7" s="1125"/>
      <c r="EA7" s="1125"/>
      <c r="EB7" s="1124"/>
      <c r="EC7" s="1062" t="s">
        <v>681</v>
      </c>
      <c r="ED7" s="1127"/>
      <c r="EE7" s="1060" t="s">
        <v>681</v>
      </c>
      <c r="EF7" s="1125"/>
      <c r="EG7" s="1125"/>
      <c r="EH7" s="1124"/>
      <c r="EI7" s="1079" t="s">
        <v>722</v>
      </c>
      <c r="EJ7" s="1127"/>
      <c r="EK7" s="1077" t="s">
        <v>268</v>
      </c>
      <c r="EL7" s="1125"/>
      <c r="EM7" s="1125"/>
      <c r="EN7" s="1124"/>
      <c r="EO7" s="1079" t="s">
        <v>268</v>
      </c>
      <c r="EP7" s="1127"/>
      <c r="EQ7" s="1077" t="s">
        <v>268</v>
      </c>
    </row>
    <row r="8" spans="1:147" ht="21.75" customHeight="1">
      <c r="A8" s="1133" t="s">
        <v>269</v>
      </c>
      <c r="B8" s="1129" t="s">
        <v>270</v>
      </c>
      <c r="C8" s="118" t="s">
        <v>271</v>
      </c>
      <c r="D8" s="119">
        <v>84608</v>
      </c>
      <c r="E8" s="119">
        <v>263182</v>
      </c>
      <c r="F8" s="119">
        <v>119105</v>
      </c>
      <c r="G8" s="119">
        <v>300708</v>
      </c>
      <c r="H8" s="119">
        <v>95652</v>
      </c>
      <c r="I8" s="119">
        <v>291178</v>
      </c>
      <c r="J8" s="119">
        <v>85638</v>
      </c>
      <c r="K8" s="119">
        <v>298541</v>
      </c>
      <c r="L8" s="119">
        <v>71322</v>
      </c>
      <c r="M8" s="119">
        <v>289645</v>
      </c>
      <c r="N8" s="119">
        <v>82296</v>
      </c>
      <c r="O8" s="119">
        <v>273616</v>
      </c>
      <c r="P8" s="119">
        <v>96775</v>
      </c>
      <c r="Q8" s="119">
        <v>331003</v>
      </c>
      <c r="R8" s="296">
        <v>77824</v>
      </c>
      <c r="S8" s="296">
        <v>338644</v>
      </c>
      <c r="T8" s="296">
        <v>78452</v>
      </c>
      <c r="U8" s="296">
        <v>355381</v>
      </c>
      <c r="V8" s="296">
        <v>5152</v>
      </c>
      <c r="W8" s="296">
        <v>35539</v>
      </c>
      <c r="X8" s="296">
        <v>5141</v>
      </c>
      <c r="Y8" s="120">
        <f>ROUND(((X8/V8-1)*100),1)</f>
        <v>-0.2</v>
      </c>
      <c r="Z8" s="296">
        <v>33095</v>
      </c>
      <c r="AA8" s="120">
        <f>ROUND(((Z8/W8-1)*100),1)</f>
        <v>-6.9</v>
      </c>
      <c r="AB8" s="296">
        <f t="shared" ref="AB8:AD11" si="0">AH8-V8</f>
        <v>4603</v>
      </c>
      <c r="AC8" s="296">
        <f t="shared" si="0"/>
        <v>29222</v>
      </c>
      <c r="AD8" s="296">
        <f t="shared" si="0"/>
        <v>3339</v>
      </c>
      <c r="AE8" s="120">
        <f>ROUND(((AD8/AB8-1)*100),1)</f>
        <v>-27.5</v>
      </c>
      <c r="AF8" s="296">
        <f>AL8-Z8</f>
        <v>32420</v>
      </c>
      <c r="AG8" s="120">
        <f>ROUND(((AF8/AC8-1)*100),1)</f>
        <v>10.9</v>
      </c>
      <c r="AH8" s="296">
        <v>9755</v>
      </c>
      <c r="AI8" s="296">
        <v>64761</v>
      </c>
      <c r="AJ8" s="296">
        <v>8480</v>
      </c>
      <c r="AK8" s="120">
        <f>ROUND(((AJ8/AH8-1)*100),1)</f>
        <v>-13.1</v>
      </c>
      <c r="AL8" s="296">
        <v>65515</v>
      </c>
      <c r="AM8" s="120">
        <f>ROUND(((AL8/AI8-1)*100),1)</f>
        <v>1.2</v>
      </c>
      <c r="AN8" s="296">
        <f t="shared" ref="AN8:AP11" si="1">AT8-AH8</f>
        <v>7769</v>
      </c>
      <c r="AO8" s="296">
        <f t="shared" si="1"/>
        <v>29523</v>
      </c>
      <c r="AP8" s="296">
        <f t="shared" si="1"/>
        <v>3736</v>
      </c>
      <c r="AQ8" s="120">
        <f>ROUND(((AP8/AN8-1)*100),1)</f>
        <v>-51.9</v>
      </c>
      <c r="AR8" s="296">
        <f>AX8-AL8</f>
        <v>32293</v>
      </c>
      <c r="AS8" s="120">
        <f>ROUND(((AR8/AO8-1)*100),1)</f>
        <v>9.4</v>
      </c>
      <c r="AT8" s="296">
        <v>17524</v>
      </c>
      <c r="AU8" s="296">
        <v>94284</v>
      </c>
      <c r="AV8" s="296">
        <v>12216</v>
      </c>
      <c r="AW8" s="120">
        <f>ROUND(((AV8/AT8-1)*100),1)</f>
        <v>-30.3</v>
      </c>
      <c r="AX8" s="296">
        <v>97808</v>
      </c>
      <c r="AY8" s="120">
        <f>ROUND(((AX8/AU8-1)*100),1)</f>
        <v>3.7</v>
      </c>
      <c r="AZ8" s="296">
        <f t="shared" ref="AZ8:AZ11" si="2">BF8-AT8</f>
        <v>9769</v>
      </c>
      <c r="BA8" s="296">
        <f t="shared" ref="BA8:BA11" si="3">BG8-AU8</f>
        <v>29221</v>
      </c>
      <c r="BB8" s="296">
        <f t="shared" ref="BB8:BB11" si="4">BH8-AV8</f>
        <v>1985</v>
      </c>
      <c r="BC8" s="120">
        <f>ROUND(((BB8/AZ8-1)*100),1)</f>
        <v>-79.7</v>
      </c>
      <c r="BD8" s="296">
        <f>BJ8-AX8</f>
        <v>27979</v>
      </c>
      <c r="BE8" s="120">
        <f>ROUND(((BD8/BA8-1)*100),1)</f>
        <v>-4.3</v>
      </c>
      <c r="BF8" s="296">
        <v>27293</v>
      </c>
      <c r="BG8" s="296">
        <v>123505</v>
      </c>
      <c r="BH8" s="296">
        <v>14201</v>
      </c>
      <c r="BI8" s="120">
        <f>ROUND(((BH8/BF8-1)*100),1)</f>
        <v>-48</v>
      </c>
      <c r="BJ8" s="296">
        <v>125787</v>
      </c>
      <c r="BK8" s="120">
        <f>ROUND(((BJ8/BG8-1)*100),1)</f>
        <v>1.8</v>
      </c>
      <c r="BL8" s="296">
        <f t="shared" ref="BL8:BN11" si="5">BR8-BF8</f>
        <v>11932</v>
      </c>
      <c r="BM8" s="296">
        <f t="shared" si="5"/>
        <v>28530</v>
      </c>
      <c r="BN8" s="296">
        <f t="shared" si="5"/>
        <v>4048</v>
      </c>
      <c r="BO8" s="120">
        <f>ROUND(((BN8/BL8-1)*100),1)</f>
        <v>-66.099999999999994</v>
      </c>
      <c r="BP8" s="296">
        <f>BV8-BJ8</f>
        <v>22636</v>
      </c>
      <c r="BQ8" s="120">
        <f>ROUND(((BP8/BM8-1)*100),1)</f>
        <v>-20.7</v>
      </c>
      <c r="BR8" s="296">
        <v>39225</v>
      </c>
      <c r="BS8" s="296">
        <v>152035</v>
      </c>
      <c r="BT8" s="296">
        <v>18249</v>
      </c>
      <c r="BU8" s="120">
        <f>ROUND(((BT8/BR8-1)*100),1)</f>
        <v>-53.5</v>
      </c>
      <c r="BV8" s="296">
        <v>148423</v>
      </c>
      <c r="BW8" s="120">
        <f>ROUND(((BV8/BS8-1)*100),1)</f>
        <v>-2.4</v>
      </c>
      <c r="BX8" s="821">
        <f t="shared" ref="BX8:BX11" si="6">CD8-BR8</f>
        <v>6394</v>
      </c>
      <c r="BY8" s="821">
        <f t="shared" ref="BY8:BY11" si="7">CE8-BS8</f>
        <v>26151</v>
      </c>
      <c r="BZ8" s="821">
        <f t="shared" ref="BZ8:BZ11" si="8">CF8-BT8</f>
        <v>6879</v>
      </c>
      <c r="CA8" s="822">
        <f>ROUND(((BZ8/BX8-1)*100),1)</f>
        <v>7.6</v>
      </c>
      <c r="CB8" s="821">
        <f>CH8-BV8</f>
        <v>22660</v>
      </c>
      <c r="CC8" s="822">
        <f>ROUND(((CB8/BY8-1)*100),1)</f>
        <v>-13.3</v>
      </c>
      <c r="CD8" s="840">
        <v>45619</v>
      </c>
      <c r="CE8" s="840">
        <v>178186</v>
      </c>
      <c r="CF8" s="840">
        <v>25128</v>
      </c>
      <c r="CG8" s="822">
        <f>ROUND(((CF8/CD8-1)*100),1)</f>
        <v>-44.9</v>
      </c>
      <c r="CH8" s="840">
        <v>171083</v>
      </c>
      <c r="CI8" s="822">
        <f>ROUND(((CH8/CE8-1)*100),1)</f>
        <v>-4</v>
      </c>
      <c r="CJ8" s="840">
        <f t="shared" ref="CJ8:CJ11" si="9">CP8-CD8</f>
        <v>5701</v>
      </c>
      <c r="CK8" s="840">
        <f t="shared" ref="CK8:CK11" si="10">CQ8-CE8</f>
        <v>25338</v>
      </c>
      <c r="CL8" s="840">
        <f t="shared" ref="CL8:CL11" si="11">CR8-CF8</f>
        <v>7001</v>
      </c>
      <c r="CM8" s="822">
        <f>ROUND(((CL8/CJ8-1)*100),1)</f>
        <v>22.8</v>
      </c>
      <c r="CN8" s="840">
        <f>CT8-CH8</f>
        <v>24482</v>
      </c>
      <c r="CO8" s="822">
        <f>ROUND(((CN8/CK8-1)*100),1)</f>
        <v>-3.4</v>
      </c>
      <c r="CP8" s="939">
        <v>51320</v>
      </c>
      <c r="CQ8" s="939">
        <v>203524</v>
      </c>
      <c r="CR8" s="939">
        <v>32129</v>
      </c>
      <c r="CS8" s="822">
        <f>ROUND(((CR8/CP8-1)*100),1)</f>
        <v>-37.4</v>
      </c>
      <c r="CT8" s="939">
        <v>195565</v>
      </c>
      <c r="CU8" s="822">
        <f>ROUND(((CT8/CQ8-1)*100),1)</f>
        <v>-3.9</v>
      </c>
      <c r="CV8" s="840">
        <f t="shared" ref="CV8:CV11" si="12">DB8-CP8</f>
        <v>5732</v>
      </c>
      <c r="CW8" s="840">
        <f t="shared" ref="CW8:CW11" si="13">DC8-CQ8</f>
        <v>24932</v>
      </c>
      <c r="CX8" s="840">
        <f t="shared" ref="CX8:CX11" si="14">DD8-CR8</f>
        <v>6220</v>
      </c>
      <c r="CY8" s="822">
        <f>ROUND(((CX8/CV8-1)*100),1)</f>
        <v>8.5</v>
      </c>
      <c r="CZ8" s="840">
        <f>DF8-CT8</f>
        <v>29668</v>
      </c>
      <c r="DA8" s="822">
        <f>ROUND(((CZ8/CW8-1)*100),1)</f>
        <v>19</v>
      </c>
      <c r="DB8" s="840">
        <v>57052</v>
      </c>
      <c r="DC8" s="840">
        <v>228456</v>
      </c>
      <c r="DD8" s="840">
        <v>38349</v>
      </c>
      <c r="DE8" s="822">
        <f>ROUND(((DD8/DB8-1)*100),1)</f>
        <v>-32.799999999999997</v>
      </c>
      <c r="DF8" s="840">
        <v>225233</v>
      </c>
      <c r="DG8" s="822">
        <f>ROUND(((DF8/DC8-1)*100),1)</f>
        <v>-1.4</v>
      </c>
      <c r="DH8" s="840">
        <f t="shared" ref="DH8:DJ11" si="15">DN8-DB8</f>
        <v>6581</v>
      </c>
      <c r="DI8" s="840">
        <f t="shared" si="15"/>
        <v>27319</v>
      </c>
      <c r="DJ8" s="840">
        <f t="shared" si="15"/>
        <v>5953</v>
      </c>
      <c r="DK8" s="822">
        <f>ROUND(((DJ8/DH8-1)*100),1)</f>
        <v>-9.5</v>
      </c>
      <c r="DL8" s="840">
        <f>DR8-DF8</f>
        <v>28975</v>
      </c>
      <c r="DM8" s="822">
        <f>ROUND(((DL8/DI8-1)*100),1)</f>
        <v>6.1</v>
      </c>
      <c r="DN8" s="840">
        <v>63633</v>
      </c>
      <c r="DO8" s="840">
        <v>255775</v>
      </c>
      <c r="DP8" s="840">
        <v>44302</v>
      </c>
      <c r="DQ8" s="822">
        <f>ROUND(((DP8/DN8-1)*100),1)</f>
        <v>-30.4</v>
      </c>
      <c r="DR8" s="840">
        <v>254208</v>
      </c>
      <c r="DS8" s="822">
        <f>ROUND(((DR8/DO8-1)*100),1)</f>
        <v>-0.6</v>
      </c>
      <c r="DT8" s="840">
        <f t="shared" ref="DT8:DV11" si="16">DZ8-DN8</f>
        <v>6134</v>
      </c>
      <c r="DU8" s="840">
        <f t="shared" si="16"/>
        <v>32018</v>
      </c>
      <c r="DV8" s="840">
        <f t="shared" si="16"/>
        <v>5772</v>
      </c>
      <c r="DW8" s="822">
        <f>ROUND(((DV8/DT8-1)*100),1)</f>
        <v>-5.9</v>
      </c>
      <c r="DX8" s="840">
        <f>ED8-DR8</f>
        <v>29299</v>
      </c>
      <c r="DY8" s="822">
        <f>ROUND(((DX8/DU8-1)*100),1)</f>
        <v>-8.5</v>
      </c>
      <c r="DZ8" s="840">
        <v>69767</v>
      </c>
      <c r="EA8" s="840">
        <v>287793</v>
      </c>
      <c r="EB8" s="840">
        <v>50074</v>
      </c>
      <c r="EC8" s="822">
        <f>ROUND(((EB8/DZ8-1)*100),1)</f>
        <v>-28.2</v>
      </c>
      <c r="ED8" s="840">
        <v>283507</v>
      </c>
      <c r="EE8" s="822">
        <f>ROUND(((ED8/EA8-1)*100),1)</f>
        <v>-1.5</v>
      </c>
      <c r="EF8" s="840">
        <f t="shared" ref="EF8:EH11" si="17">EL8-DZ8</f>
        <v>4491</v>
      </c>
      <c r="EG8" s="840">
        <f t="shared" si="17"/>
        <v>32979</v>
      </c>
      <c r="EH8" s="840">
        <f t="shared" si="17"/>
        <v>7761</v>
      </c>
      <c r="EI8" s="822">
        <f>ROUND(((EH8/EF8-1)*100),1)</f>
        <v>72.8</v>
      </c>
      <c r="EJ8" s="840">
        <f>EP8-ED8</f>
        <v>26254</v>
      </c>
      <c r="EK8" s="822">
        <f>ROUND(((EJ8/EG8-1)*100),1)</f>
        <v>-20.399999999999999</v>
      </c>
      <c r="EL8" s="840">
        <v>74258</v>
      </c>
      <c r="EM8" s="840">
        <v>320772</v>
      </c>
      <c r="EN8" s="840">
        <v>57835</v>
      </c>
      <c r="EO8" s="822">
        <f>ROUND(((EN8/EL8-1)*100),1)</f>
        <v>-22.1</v>
      </c>
      <c r="EP8" s="840">
        <v>309761</v>
      </c>
      <c r="EQ8" s="822">
        <f>ROUND(((EP8/EM8-1)*100),1)</f>
        <v>-3.4</v>
      </c>
    </row>
    <row r="9" spans="1:147" ht="21.75" customHeight="1">
      <c r="A9" s="1129"/>
      <c r="B9" s="1129"/>
      <c r="C9" s="121" t="s">
        <v>272</v>
      </c>
      <c r="D9" s="122">
        <v>197789</v>
      </c>
      <c r="E9" s="122">
        <v>2106854</v>
      </c>
      <c r="F9" s="122">
        <v>315155</v>
      </c>
      <c r="G9" s="122">
        <v>2134047</v>
      </c>
      <c r="H9" s="122">
        <v>211276</v>
      </c>
      <c r="I9" s="122">
        <v>1949359</v>
      </c>
      <c r="J9" s="122">
        <v>189623</v>
      </c>
      <c r="K9" s="122">
        <v>1920824</v>
      </c>
      <c r="L9" s="122">
        <v>158575</v>
      </c>
      <c r="M9" s="122">
        <v>1534569</v>
      </c>
      <c r="N9" s="122">
        <v>122410</v>
      </c>
      <c r="O9" s="122">
        <v>1189101</v>
      </c>
      <c r="P9" s="122">
        <v>116910</v>
      </c>
      <c r="Q9" s="122">
        <v>1701338</v>
      </c>
      <c r="R9" s="297">
        <v>105269</v>
      </c>
      <c r="S9" s="297">
        <v>1988769</v>
      </c>
      <c r="T9" s="297">
        <v>119970</v>
      </c>
      <c r="U9" s="297">
        <v>1892483</v>
      </c>
      <c r="V9" s="297">
        <v>5529</v>
      </c>
      <c r="W9" s="297">
        <v>200844</v>
      </c>
      <c r="X9" s="297">
        <v>4551</v>
      </c>
      <c r="Y9" s="123">
        <f t="shared" ref="Y9:Y65" si="18">ROUND(((X9/V9-1)*100),1)</f>
        <v>-17.7</v>
      </c>
      <c r="Z9" s="297">
        <v>169104</v>
      </c>
      <c r="AA9" s="123">
        <f t="shared" ref="AA9:AA65" si="19">ROUND(((Z9/W9-1)*100),1)</f>
        <v>-15.8</v>
      </c>
      <c r="AB9" s="297">
        <f t="shared" si="0"/>
        <v>5325</v>
      </c>
      <c r="AC9" s="297">
        <f t="shared" si="0"/>
        <v>163235</v>
      </c>
      <c r="AD9" s="297">
        <f t="shared" si="0"/>
        <v>4311</v>
      </c>
      <c r="AE9" s="123">
        <f>ROUND(((AD9/AB9-1)*100),1)</f>
        <v>-19</v>
      </c>
      <c r="AF9" s="297">
        <f>AL9-Z9</f>
        <v>170286</v>
      </c>
      <c r="AG9" s="123">
        <f t="shared" ref="AG9:AG65" si="20">ROUND(((AF9/AC9-1)*100),1)</f>
        <v>4.3</v>
      </c>
      <c r="AH9" s="297">
        <v>10854</v>
      </c>
      <c r="AI9" s="297">
        <v>364079</v>
      </c>
      <c r="AJ9" s="297">
        <v>8862</v>
      </c>
      <c r="AK9" s="123">
        <f t="shared" ref="AK9:AK65" si="21">ROUND(((AJ9/AH9-1)*100),1)</f>
        <v>-18.399999999999999</v>
      </c>
      <c r="AL9" s="297">
        <v>339390</v>
      </c>
      <c r="AM9" s="123">
        <f t="shared" ref="AM9:AM65" si="22">ROUND(((AL9/AI9-1)*100),1)</f>
        <v>-6.8</v>
      </c>
      <c r="AN9" s="297">
        <f t="shared" si="1"/>
        <v>12796</v>
      </c>
      <c r="AO9" s="297">
        <f t="shared" si="1"/>
        <v>163906</v>
      </c>
      <c r="AP9" s="297">
        <f t="shared" si="1"/>
        <v>4936</v>
      </c>
      <c r="AQ9" s="123">
        <f>ROUND(((AP9/AN9-1)*100),1)</f>
        <v>-61.4</v>
      </c>
      <c r="AR9" s="297">
        <f>AX9-AL9</f>
        <v>164624</v>
      </c>
      <c r="AS9" s="123">
        <f t="shared" ref="AS9:AS65" si="23">ROUND(((AR9/AO9-1)*100),1)</f>
        <v>0.4</v>
      </c>
      <c r="AT9" s="297">
        <v>23650</v>
      </c>
      <c r="AU9" s="297">
        <v>527985</v>
      </c>
      <c r="AV9" s="297">
        <v>13798</v>
      </c>
      <c r="AW9" s="123">
        <f t="shared" ref="AW9:AW65" si="24">ROUND(((AV9/AT9-1)*100),1)</f>
        <v>-41.7</v>
      </c>
      <c r="AX9" s="297">
        <v>504014</v>
      </c>
      <c r="AY9" s="123">
        <f t="shared" ref="AY9:AY65" si="25">ROUND(((AX9/AU9-1)*100),1)</f>
        <v>-4.5</v>
      </c>
      <c r="AZ9" s="297">
        <f t="shared" si="2"/>
        <v>15966</v>
      </c>
      <c r="BA9" s="297">
        <f t="shared" si="3"/>
        <v>161779</v>
      </c>
      <c r="BB9" s="297">
        <f t="shared" si="4"/>
        <v>3680</v>
      </c>
      <c r="BC9" s="123">
        <f>ROUND(((BB9/AZ9-1)*100),1)</f>
        <v>-77</v>
      </c>
      <c r="BD9" s="297">
        <f>BJ9-AX9</f>
        <v>131093</v>
      </c>
      <c r="BE9" s="123">
        <f t="shared" ref="BE9:BE65" si="26">ROUND(((BD9/BA9-1)*100),1)</f>
        <v>-19</v>
      </c>
      <c r="BF9" s="297">
        <v>39616</v>
      </c>
      <c r="BG9" s="297">
        <v>689764</v>
      </c>
      <c r="BH9" s="297">
        <v>17478</v>
      </c>
      <c r="BI9" s="123">
        <f t="shared" ref="BI9:BI65" si="27">ROUND(((BH9/BF9-1)*100),1)</f>
        <v>-55.9</v>
      </c>
      <c r="BJ9" s="297">
        <v>635107</v>
      </c>
      <c r="BK9" s="123">
        <f t="shared" ref="BK9:BK65" si="28">ROUND(((BJ9/BG9-1)*100),1)</f>
        <v>-7.9</v>
      </c>
      <c r="BL9" s="297">
        <f t="shared" si="5"/>
        <v>27280</v>
      </c>
      <c r="BM9" s="297">
        <f t="shared" si="5"/>
        <v>157960</v>
      </c>
      <c r="BN9" s="297">
        <f t="shared" si="5"/>
        <v>5312</v>
      </c>
      <c r="BO9" s="123">
        <f>ROUND(((BN9/BL9-1)*100),1)</f>
        <v>-80.5</v>
      </c>
      <c r="BP9" s="297">
        <f>BV9-BJ9</f>
        <v>99622</v>
      </c>
      <c r="BQ9" s="123">
        <f t="shared" ref="BQ9:BQ65" si="29">ROUND(((BP9/BM9-1)*100),1)</f>
        <v>-36.9</v>
      </c>
      <c r="BR9" s="297">
        <v>66896</v>
      </c>
      <c r="BS9" s="297">
        <v>847724</v>
      </c>
      <c r="BT9" s="297">
        <v>22790</v>
      </c>
      <c r="BU9" s="123">
        <f t="shared" ref="BU9:BU65" si="30">ROUND(((BT9/BR9-1)*100),1)</f>
        <v>-65.900000000000006</v>
      </c>
      <c r="BV9" s="297">
        <v>734729</v>
      </c>
      <c r="BW9" s="123">
        <f t="shared" ref="BW9:BW65" si="31">ROUND(((BV9/BS9-1)*100),1)</f>
        <v>-13.3</v>
      </c>
      <c r="BX9" s="823">
        <f t="shared" si="6"/>
        <v>15940</v>
      </c>
      <c r="BY9" s="823">
        <f t="shared" si="7"/>
        <v>143488</v>
      </c>
      <c r="BZ9" s="823">
        <f t="shared" si="8"/>
        <v>6395</v>
      </c>
      <c r="CA9" s="824">
        <f>ROUND(((BZ9/BX9-1)*100),1)</f>
        <v>-59.9</v>
      </c>
      <c r="CB9" s="823">
        <f>CH9-BV9</f>
        <v>97427</v>
      </c>
      <c r="CC9" s="824">
        <f t="shared" ref="CC9:CC65" si="32">ROUND(((CB9/BY9-1)*100),1)</f>
        <v>-32.1</v>
      </c>
      <c r="CD9" s="844">
        <v>82836</v>
      </c>
      <c r="CE9" s="844">
        <v>991212</v>
      </c>
      <c r="CF9" s="844">
        <v>29185</v>
      </c>
      <c r="CG9" s="824">
        <f t="shared" ref="CG9:CG65" si="33">ROUND(((CF9/CD9-1)*100),1)</f>
        <v>-64.8</v>
      </c>
      <c r="CH9" s="844">
        <v>832156</v>
      </c>
      <c r="CI9" s="824">
        <f t="shared" ref="CI9:CI65" si="34">ROUND(((CH9/CE9-1)*100),1)</f>
        <v>-16</v>
      </c>
      <c r="CJ9" s="844">
        <f t="shared" si="9"/>
        <v>8371</v>
      </c>
      <c r="CK9" s="844">
        <f t="shared" si="10"/>
        <v>136336</v>
      </c>
      <c r="CL9" s="844">
        <f t="shared" si="11"/>
        <v>9171</v>
      </c>
      <c r="CM9" s="824">
        <f>ROUND(((CL9/CJ9-1)*100),1)</f>
        <v>9.6</v>
      </c>
      <c r="CN9" s="844">
        <f>CT9-CH9</f>
        <v>115197</v>
      </c>
      <c r="CO9" s="824">
        <f t="shared" ref="CO9:CO65" si="35">ROUND(((CN9/CK9-1)*100),1)</f>
        <v>-15.5</v>
      </c>
      <c r="CP9" s="940">
        <v>91207</v>
      </c>
      <c r="CQ9" s="940">
        <v>1127548</v>
      </c>
      <c r="CR9" s="940">
        <v>38356</v>
      </c>
      <c r="CS9" s="824">
        <f t="shared" ref="CS9:CS55" si="36">ROUND(((CR9/CP9-1)*100),1)</f>
        <v>-57.9</v>
      </c>
      <c r="CT9" s="940">
        <v>947353</v>
      </c>
      <c r="CU9" s="824">
        <f t="shared" ref="CU9:CU65" si="37">ROUND(((CT9/CQ9-1)*100),1)</f>
        <v>-16</v>
      </c>
      <c r="CV9" s="844">
        <f t="shared" si="12"/>
        <v>4630</v>
      </c>
      <c r="CW9" s="844">
        <f t="shared" si="13"/>
        <v>129711</v>
      </c>
      <c r="CX9" s="844">
        <f t="shared" si="14"/>
        <v>7159</v>
      </c>
      <c r="CY9" s="824">
        <f>ROUND(((CX9/CV9-1)*100),1)</f>
        <v>54.6</v>
      </c>
      <c r="CZ9" s="844">
        <f>DF9-CT9</f>
        <v>149047</v>
      </c>
      <c r="DA9" s="824">
        <f t="shared" ref="DA9:DA65" si="38">ROUND(((CZ9/CW9-1)*100),1)</f>
        <v>14.9</v>
      </c>
      <c r="DB9" s="844">
        <v>95837</v>
      </c>
      <c r="DC9" s="844">
        <v>1257259</v>
      </c>
      <c r="DD9" s="844">
        <v>45515</v>
      </c>
      <c r="DE9" s="824">
        <f t="shared" ref="DE9:DE65" si="39">ROUND(((DD9/DB9-1)*100),1)</f>
        <v>-52.5</v>
      </c>
      <c r="DF9" s="844">
        <v>1096400</v>
      </c>
      <c r="DG9" s="824">
        <f t="shared" ref="DG9:DG65" si="40">ROUND(((DF9/DC9-1)*100),1)</f>
        <v>-12.8</v>
      </c>
      <c r="DH9" s="844">
        <f t="shared" si="15"/>
        <v>8889</v>
      </c>
      <c r="DI9" s="844">
        <f t="shared" si="15"/>
        <v>138231</v>
      </c>
      <c r="DJ9" s="844">
        <f t="shared" si="15"/>
        <v>8024</v>
      </c>
      <c r="DK9" s="824">
        <f>ROUND(((DJ9/DH9-1)*100),1)</f>
        <v>-9.6999999999999993</v>
      </c>
      <c r="DL9" s="844">
        <f>DR9-DF9</f>
        <v>153508</v>
      </c>
      <c r="DM9" s="824">
        <f t="shared" ref="DM9:DM65" si="41">ROUND(((DL9/DI9-1)*100),1)</f>
        <v>11.1</v>
      </c>
      <c r="DN9" s="844">
        <v>104726</v>
      </c>
      <c r="DO9" s="844">
        <v>1395490</v>
      </c>
      <c r="DP9" s="844">
        <v>53539</v>
      </c>
      <c r="DQ9" s="824">
        <f t="shared" ref="DQ9:DQ65" si="42">ROUND(((DP9/DN9-1)*100),1)</f>
        <v>-48.9</v>
      </c>
      <c r="DR9" s="844">
        <v>1249908</v>
      </c>
      <c r="DS9" s="824">
        <f t="shared" ref="DS9:DS65" si="43">ROUND(((DR9/DO9-1)*100),1)</f>
        <v>-10.4</v>
      </c>
      <c r="DT9" s="844">
        <f t="shared" si="16"/>
        <v>6526</v>
      </c>
      <c r="DU9" s="844">
        <f t="shared" si="16"/>
        <v>161763</v>
      </c>
      <c r="DV9" s="844">
        <f t="shared" si="16"/>
        <v>8307</v>
      </c>
      <c r="DW9" s="824">
        <f>ROUND(((DV9/DT9-1)*100),1)</f>
        <v>27.3</v>
      </c>
      <c r="DX9" s="844">
        <f>ED9-DR9</f>
        <v>163428</v>
      </c>
      <c r="DY9" s="824">
        <f t="shared" ref="DY9:DY65" si="44">ROUND(((DX9/DU9-1)*100),1)</f>
        <v>1</v>
      </c>
      <c r="DZ9" s="844">
        <v>111252</v>
      </c>
      <c r="EA9" s="844">
        <v>1557253</v>
      </c>
      <c r="EB9" s="844">
        <v>61846</v>
      </c>
      <c r="EC9" s="824">
        <f t="shared" ref="EC9:EC65" si="45">ROUND(((EB9/DZ9-1)*100),1)</f>
        <v>-44.4</v>
      </c>
      <c r="ED9" s="844">
        <v>1413336</v>
      </c>
      <c r="EE9" s="824">
        <f t="shared" ref="EE9:EE65" si="46">ROUND(((ED9/EA9-1)*100),1)</f>
        <v>-9.1999999999999993</v>
      </c>
      <c r="EF9" s="844">
        <f t="shared" si="17"/>
        <v>4367</v>
      </c>
      <c r="EG9" s="844">
        <f t="shared" si="17"/>
        <v>163812</v>
      </c>
      <c r="EH9" s="844">
        <f t="shared" si="17"/>
        <v>13311</v>
      </c>
      <c r="EI9" s="824">
        <f>ROUND(((EH9/EF9-1)*100),1)</f>
        <v>204.8</v>
      </c>
      <c r="EJ9" s="844">
        <f>EP9-ED9</f>
        <v>154202</v>
      </c>
      <c r="EK9" s="824">
        <f t="shared" ref="EK9:EK65" si="47">ROUND(((EJ9/EG9-1)*100),1)</f>
        <v>-5.9</v>
      </c>
      <c r="EL9" s="844">
        <v>115619</v>
      </c>
      <c r="EM9" s="844">
        <v>1721065</v>
      </c>
      <c r="EN9" s="844">
        <v>75157</v>
      </c>
      <c r="EO9" s="824">
        <f t="shared" ref="EO9:EO65" si="48">ROUND(((EN9/EL9-1)*100),1)</f>
        <v>-35</v>
      </c>
      <c r="EP9" s="844">
        <v>1567538</v>
      </c>
      <c r="EQ9" s="824">
        <f t="shared" ref="EQ9:EQ65" si="49">ROUND(((EP9/EM9-1)*100),1)</f>
        <v>-8.9</v>
      </c>
    </row>
    <row r="10" spans="1:147" ht="21.75" customHeight="1">
      <c r="A10" s="1129"/>
      <c r="B10" s="1129" t="s">
        <v>273</v>
      </c>
      <c r="C10" s="118" t="s">
        <v>271</v>
      </c>
      <c r="D10" s="119">
        <v>176063</v>
      </c>
      <c r="E10" s="119">
        <v>356388</v>
      </c>
      <c r="F10" s="119">
        <v>191096</v>
      </c>
      <c r="G10" s="119">
        <v>309810</v>
      </c>
      <c r="H10" s="119">
        <v>200499</v>
      </c>
      <c r="I10" s="119">
        <v>301353</v>
      </c>
      <c r="J10" s="119">
        <v>210248</v>
      </c>
      <c r="K10" s="119">
        <v>352839</v>
      </c>
      <c r="L10" s="119">
        <v>299552</v>
      </c>
      <c r="M10" s="119">
        <v>387972</v>
      </c>
      <c r="N10" s="119">
        <v>268749</v>
      </c>
      <c r="O10" s="119">
        <v>405925</v>
      </c>
      <c r="P10" s="119">
        <v>238175</v>
      </c>
      <c r="Q10" s="119">
        <v>329836</v>
      </c>
      <c r="R10" s="296">
        <v>243944</v>
      </c>
      <c r="S10" s="296">
        <v>285651</v>
      </c>
      <c r="T10" s="296">
        <v>275234</v>
      </c>
      <c r="U10" s="296">
        <v>248246</v>
      </c>
      <c r="V10" s="296">
        <v>20409</v>
      </c>
      <c r="W10" s="296">
        <v>26884</v>
      </c>
      <c r="X10" s="296">
        <v>20029</v>
      </c>
      <c r="Y10" s="120">
        <f t="shared" si="18"/>
        <v>-1.9</v>
      </c>
      <c r="Z10" s="296">
        <v>17610</v>
      </c>
      <c r="AA10" s="120">
        <f t="shared" si="19"/>
        <v>-34.5</v>
      </c>
      <c r="AB10" s="296">
        <f t="shared" si="0"/>
        <v>23177</v>
      </c>
      <c r="AC10" s="296">
        <f t="shared" si="0"/>
        <v>20485</v>
      </c>
      <c r="AD10" s="296">
        <f t="shared" si="0"/>
        <v>20933</v>
      </c>
      <c r="AE10" s="120">
        <f>ROUND(((AD10/AB10-1)*100),1)</f>
        <v>-9.6999999999999993</v>
      </c>
      <c r="AF10" s="296">
        <f>AL10-Z10</f>
        <v>17630</v>
      </c>
      <c r="AG10" s="120">
        <f t="shared" si="20"/>
        <v>-13.9</v>
      </c>
      <c r="AH10" s="296">
        <v>43586</v>
      </c>
      <c r="AI10" s="296">
        <v>47369</v>
      </c>
      <c r="AJ10" s="296">
        <v>40962</v>
      </c>
      <c r="AK10" s="120">
        <f t="shared" si="21"/>
        <v>-6</v>
      </c>
      <c r="AL10" s="296">
        <v>35240</v>
      </c>
      <c r="AM10" s="120">
        <f t="shared" si="22"/>
        <v>-25.6</v>
      </c>
      <c r="AN10" s="296">
        <f t="shared" si="1"/>
        <v>20674</v>
      </c>
      <c r="AO10" s="296">
        <f t="shared" si="1"/>
        <v>24017</v>
      </c>
      <c r="AP10" s="296">
        <f t="shared" si="1"/>
        <v>15569</v>
      </c>
      <c r="AQ10" s="120">
        <f>ROUND(((AP10/AN10-1)*100),1)</f>
        <v>-24.7</v>
      </c>
      <c r="AR10" s="296">
        <f>AX10-AL10</f>
        <v>22239</v>
      </c>
      <c r="AS10" s="120">
        <f t="shared" si="23"/>
        <v>-7.4</v>
      </c>
      <c r="AT10" s="296">
        <v>64260</v>
      </c>
      <c r="AU10" s="296">
        <v>71386</v>
      </c>
      <c r="AV10" s="296">
        <v>56531</v>
      </c>
      <c r="AW10" s="120">
        <f t="shared" si="24"/>
        <v>-12</v>
      </c>
      <c r="AX10" s="296">
        <v>57479</v>
      </c>
      <c r="AY10" s="120">
        <f t="shared" si="25"/>
        <v>-19.5</v>
      </c>
      <c r="AZ10" s="296">
        <f t="shared" si="2"/>
        <v>18397</v>
      </c>
      <c r="BA10" s="296">
        <f t="shared" si="3"/>
        <v>21973</v>
      </c>
      <c r="BB10" s="296">
        <f t="shared" si="4"/>
        <v>22694</v>
      </c>
      <c r="BC10" s="120">
        <f>ROUND(((BB10/AZ10-1)*100),1)</f>
        <v>23.4</v>
      </c>
      <c r="BD10" s="296">
        <f>BJ10-AX10</f>
        <v>22342</v>
      </c>
      <c r="BE10" s="120">
        <f t="shared" si="26"/>
        <v>1.7</v>
      </c>
      <c r="BF10" s="296">
        <v>82657</v>
      </c>
      <c r="BG10" s="296">
        <v>93359</v>
      </c>
      <c r="BH10" s="296">
        <v>79225</v>
      </c>
      <c r="BI10" s="120">
        <f t="shared" si="27"/>
        <v>-4.2</v>
      </c>
      <c r="BJ10" s="296">
        <v>79821</v>
      </c>
      <c r="BK10" s="120">
        <f t="shared" si="28"/>
        <v>-14.5</v>
      </c>
      <c r="BL10" s="296">
        <f t="shared" si="5"/>
        <v>30688</v>
      </c>
      <c r="BM10" s="296">
        <f t="shared" si="5"/>
        <v>17518</v>
      </c>
      <c r="BN10" s="296">
        <f t="shared" si="5"/>
        <v>21434</v>
      </c>
      <c r="BO10" s="120">
        <f>ROUND(((BN10/BL10-1)*100),1)</f>
        <v>-30.2</v>
      </c>
      <c r="BP10" s="296">
        <f>BV10-BJ10</f>
        <v>19287</v>
      </c>
      <c r="BQ10" s="120">
        <f t="shared" si="29"/>
        <v>10.1</v>
      </c>
      <c r="BR10" s="296">
        <v>113345</v>
      </c>
      <c r="BS10" s="296">
        <v>110877</v>
      </c>
      <c r="BT10" s="296">
        <v>100659</v>
      </c>
      <c r="BU10" s="120">
        <f t="shared" si="30"/>
        <v>-11.2</v>
      </c>
      <c r="BV10" s="296">
        <v>99108</v>
      </c>
      <c r="BW10" s="120">
        <f t="shared" si="31"/>
        <v>-10.6</v>
      </c>
      <c r="BX10" s="821">
        <f t="shared" si="6"/>
        <v>21477</v>
      </c>
      <c r="BY10" s="821">
        <f t="shared" si="7"/>
        <v>20929</v>
      </c>
      <c r="BZ10" s="821">
        <f t="shared" si="8"/>
        <v>26876</v>
      </c>
      <c r="CA10" s="822">
        <f>ROUND(((BZ10/BX10-1)*100),1)</f>
        <v>25.1</v>
      </c>
      <c r="CB10" s="821">
        <f>CH10-BV10</f>
        <v>21815</v>
      </c>
      <c r="CC10" s="822">
        <f t="shared" si="32"/>
        <v>4.2</v>
      </c>
      <c r="CD10" s="840">
        <v>134822</v>
      </c>
      <c r="CE10" s="840">
        <v>131806</v>
      </c>
      <c r="CF10" s="840">
        <v>127535</v>
      </c>
      <c r="CG10" s="822">
        <f t="shared" si="33"/>
        <v>-5.4</v>
      </c>
      <c r="CH10" s="840">
        <v>120923</v>
      </c>
      <c r="CI10" s="822">
        <f t="shared" si="34"/>
        <v>-8.3000000000000007</v>
      </c>
      <c r="CJ10" s="840">
        <f t="shared" si="9"/>
        <v>27274</v>
      </c>
      <c r="CK10" s="840">
        <f t="shared" si="10"/>
        <v>22616</v>
      </c>
      <c r="CL10" s="840">
        <f t="shared" si="11"/>
        <v>27540</v>
      </c>
      <c r="CM10" s="822">
        <f>ROUND(((CL10/CJ10-1)*100),1)</f>
        <v>1</v>
      </c>
      <c r="CN10" s="840">
        <f>CT10-CH10</f>
        <v>19031</v>
      </c>
      <c r="CO10" s="822">
        <f t="shared" si="35"/>
        <v>-15.9</v>
      </c>
      <c r="CP10" s="939">
        <v>162096</v>
      </c>
      <c r="CQ10" s="939">
        <v>154422</v>
      </c>
      <c r="CR10" s="939">
        <v>155075</v>
      </c>
      <c r="CS10" s="822">
        <f t="shared" si="36"/>
        <v>-4.3</v>
      </c>
      <c r="CT10" s="939">
        <v>139954</v>
      </c>
      <c r="CU10" s="822">
        <f t="shared" si="37"/>
        <v>-9.4</v>
      </c>
      <c r="CV10" s="840">
        <f t="shared" si="12"/>
        <v>24071</v>
      </c>
      <c r="CW10" s="840">
        <f t="shared" si="13"/>
        <v>17826</v>
      </c>
      <c r="CX10" s="840">
        <f t="shared" si="14"/>
        <v>22416</v>
      </c>
      <c r="CY10" s="822">
        <f>ROUND(((CX10/CV10-1)*100),1)</f>
        <v>-6.9</v>
      </c>
      <c r="CZ10" s="840">
        <f>DF10-CT10</f>
        <v>17116</v>
      </c>
      <c r="DA10" s="822">
        <f t="shared" si="38"/>
        <v>-4</v>
      </c>
      <c r="DB10" s="840">
        <v>186167</v>
      </c>
      <c r="DC10" s="840">
        <v>172248</v>
      </c>
      <c r="DD10" s="840">
        <v>177491</v>
      </c>
      <c r="DE10" s="822">
        <f t="shared" si="39"/>
        <v>-4.7</v>
      </c>
      <c r="DF10" s="840">
        <v>157070</v>
      </c>
      <c r="DG10" s="822">
        <f t="shared" si="40"/>
        <v>-8.8000000000000007</v>
      </c>
      <c r="DH10" s="840">
        <f t="shared" si="15"/>
        <v>19273</v>
      </c>
      <c r="DI10" s="840">
        <f t="shared" si="15"/>
        <v>20770</v>
      </c>
      <c r="DJ10" s="840">
        <f t="shared" si="15"/>
        <v>24800</v>
      </c>
      <c r="DK10" s="822">
        <f>ROUND(((DJ10/DH10-1)*100),1)</f>
        <v>28.7</v>
      </c>
      <c r="DL10" s="840">
        <f>DR10-DF10</f>
        <v>18151</v>
      </c>
      <c r="DM10" s="822">
        <f t="shared" si="41"/>
        <v>-12.6</v>
      </c>
      <c r="DN10" s="840">
        <v>205440</v>
      </c>
      <c r="DO10" s="840">
        <v>193018</v>
      </c>
      <c r="DP10" s="840">
        <v>202291</v>
      </c>
      <c r="DQ10" s="822">
        <f t="shared" si="42"/>
        <v>-1.5</v>
      </c>
      <c r="DR10" s="840">
        <v>175221</v>
      </c>
      <c r="DS10" s="822">
        <f t="shared" si="43"/>
        <v>-9.1999999999999993</v>
      </c>
      <c r="DT10" s="840">
        <f t="shared" si="16"/>
        <v>26265</v>
      </c>
      <c r="DU10" s="840">
        <f t="shared" si="16"/>
        <v>18556</v>
      </c>
      <c r="DV10" s="840">
        <f t="shared" si="16"/>
        <v>29293</v>
      </c>
      <c r="DW10" s="822">
        <f>ROUND(((DV10/DT10-1)*100),1)</f>
        <v>11.5</v>
      </c>
      <c r="DX10" s="840">
        <f>ED10-DR10</f>
        <v>22916</v>
      </c>
      <c r="DY10" s="822">
        <f t="shared" si="44"/>
        <v>23.5</v>
      </c>
      <c r="DZ10" s="840">
        <v>231705</v>
      </c>
      <c r="EA10" s="840">
        <v>211574</v>
      </c>
      <c r="EB10" s="840">
        <v>231584</v>
      </c>
      <c r="EC10" s="822">
        <f t="shared" si="45"/>
        <v>-0.1</v>
      </c>
      <c r="ED10" s="840">
        <v>198137</v>
      </c>
      <c r="EE10" s="822">
        <f t="shared" si="46"/>
        <v>-6.4</v>
      </c>
      <c r="EF10" s="840">
        <f t="shared" si="17"/>
        <v>21825</v>
      </c>
      <c r="EG10" s="840">
        <f t="shared" si="17"/>
        <v>19272</v>
      </c>
      <c r="EH10" s="840">
        <f t="shared" si="17"/>
        <v>28320</v>
      </c>
      <c r="EI10" s="822">
        <f>ROUND(((EH10/EF10-1)*100),1)</f>
        <v>29.8</v>
      </c>
      <c r="EJ10" s="840">
        <f>EP10-ED10</f>
        <v>22125</v>
      </c>
      <c r="EK10" s="822">
        <f t="shared" si="47"/>
        <v>14.8</v>
      </c>
      <c r="EL10" s="840">
        <v>253530</v>
      </c>
      <c r="EM10" s="840">
        <v>230846</v>
      </c>
      <c r="EN10" s="840">
        <v>259904</v>
      </c>
      <c r="EO10" s="822">
        <f t="shared" si="48"/>
        <v>2.5</v>
      </c>
      <c r="EP10" s="840">
        <v>220262</v>
      </c>
      <c r="EQ10" s="822">
        <f t="shared" si="49"/>
        <v>-4.5999999999999996</v>
      </c>
    </row>
    <row r="11" spans="1:147" ht="21.75" customHeight="1">
      <c r="A11" s="1129"/>
      <c r="B11" s="1129"/>
      <c r="C11" s="121" t="s">
        <v>272</v>
      </c>
      <c r="D11" s="122">
        <v>1487793</v>
      </c>
      <c r="E11" s="122">
        <v>3234219</v>
      </c>
      <c r="F11" s="122">
        <v>1490195</v>
      </c>
      <c r="G11" s="122">
        <v>2495957</v>
      </c>
      <c r="H11" s="122">
        <v>1472264</v>
      </c>
      <c r="I11" s="122">
        <v>2241382</v>
      </c>
      <c r="J11" s="122">
        <v>1447788</v>
      </c>
      <c r="K11" s="122">
        <v>2474073</v>
      </c>
      <c r="L11" s="122">
        <v>1664834</v>
      </c>
      <c r="M11" s="122">
        <v>2229722</v>
      </c>
      <c r="N11" s="122">
        <v>1318095</v>
      </c>
      <c r="O11" s="122">
        <v>1968102</v>
      </c>
      <c r="P11" s="122">
        <v>1499091</v>
      </c>
      <c r="Q11" s="122">
        <v>2019737</v>
      </c>
      <c r="R11" s="297">
        <v>1604338</v>
      </c>
      <c r="S11" s="297">
        <v>1888834</v>
      </c>
      <c r="T11" s="297">
        <v>1642853</v>
      </c>
      <c r="U11" s="300">
        <v>1510167</v>
      </c>
      <c r="V11" s="297">
        <v>124473</v>
      </c>
      <c r="W11" s="297">
        <v>164824</v>
      </c>
      <c r="X11" s="297">
        <v>120395</v>
      </c>
      <c r="Y11" s="123">
        <f t="shared" si="18"/>
        <v>-3.3</v>
      </c>
      <c r="Z11" s="297">
        <v>107932</v>
      </c>
      <c r="AA11" s="123">
        <f t="shared" si="19"/>
        <v>-34.5</v>
      </c>
      <c r="AB11" s="297">
        <f t="shared" si="0"/>
        <v>146407</v>
      </c>
      <c r="AC11" s="297">
        <f t="shared" si="0"/>
        <v>126671</v>
      </c>
      <c r="AD11" s="297">
        <f t="shared" si="0"/>
        <v>119542</v>
      </c>
      <c r="AE11" s="123">
        <f>ROUND(((AD11/AB11-1)*100),1)</f>
        <v>-18.3</v>
      </c>
      <c r="AF11" s="297">
        <f>AL11-Z11</f>
        <v>107738</v>
      </c>
      <c r="AG11" s="123">
        <f t="shared" si="20"/>
        <v>-14.9</v>
      </c>
      <c r="AH11" s="297">
        <v>270880</v>
      </c>
      <c r="AI11" s="297">
        <v>291495</v>
      </c>
      <c r="AJ11" s="297">
        <v>239937</v>
      </c>
      <c r="AK11" s="123">
        <f t="shared" si="21"/>
        <v>-11.4</v>
      </c>
      <c r="AL11" s="297">
        <v>215670</v>
      </c>
      <c r="AM11" s="123">
        <f t="shared" si="22"/>
        <v>-26</v>
      </c>
      <c r="AN11" s="297">
        <f t="shared" si="1"/>
        <v>132694</v>
      </c>
      <c r="AO11" s="297">
        <f t="shared" si="1"/>
        <v>152397</v>
      </c>
      <c r="AP11" s="297">
        <f t="shared" si="1"/>
        <v>76122</v>
      </c>
      <c r="AQ11" s="123">
        <f>ROUND(((AP11/AN11-1)*100),1)</f>
        <v>-42.6</v>
      </c>
      <c r="AR11" s="297">
        <f>AX11-AL11</f>
        <v>130301</v>
      </c>
      <c r="AS11" s="123">
        <f t="shared" si="23"/>
        <v>-14.5</v>
      </c>
      <c r="AT11" s="297">
        <v>403574</v>
      </c>
      <c r="AU11" s="297">
        <v>443892</v>
      </c>
      <c r="AV11" s="297">
        <v>316059</v>
      </c>
      <c r="AW11" s="123">
        <f t="shared" si="24"/>
        <v>-21.7</v>
      </c>
      <c r="AX11" s="297">
        <v>345971</v>
      </c>
      <c r="AY11" s="123">
        <f t="shared" si="25"/>
        <v>-22.1</v>
      </c>
      <c r="AZ11" s="297">
        <f t="shared" si="2"/>
        <v>113798</v>
      </c>
      <c r="BA11" s="297">
        <f t="shared" si="3"/>
        <v>141714</v>
      </c>
      <c r="BB11" s="297">
        <f t="shared" si="4"/>
        <v>112941</v>
      </c>
      <c r="BC11" s="123">
        <f>ROUND(((BB11/AZ11-1)*100),1)</f>
        <v>-0.8</v>
      </c>
      <c r="BD11" s="297">
        <f>BJ11-AX11</f>
        <v>120949</v>
      </c>
      <c r="BE11" s="123">
        <f t="shared" si="26"/>
        <v>-14.7</v>
      </c>
      <c r="BF11" s="297">
        <v>517372</v>
      </c>
      <c r="BG11" s="297">
        <v>585606</v>
      </c>
      <c r="BH11" s="297">
        <v>429000</v>
      </c>
      <c r="BI11" s="123">
        <f t="shared" si="27"/>
        <v>-17.100000000000001</v>
      </c>
      <c r="BJ11" s="297">
        <v>466920</v>
      </c>
      <c r="BK11" s="123">
        <f t="shared" si="28"/>
        <v>-20.3</v>
      </c>
      <c r="BL11" s="297">
        <f t="shared" si="5"/>
        <v>183361</v>
      </c>
      <c r="BM11" s="297">
        <f t="shared" si="5"/>
        <v>110785</v>
      </c>
      <c r="BN11" s="297">
        <f t="shared" si="5"/>
        <v>111567</v>
      </c>
      <c r="BO11" s="123">
        <f>ROUND(((BN11/BL11-1)*100),1)</f>
        <v>-39.200000000000003</v>
      </c>
      <c r="BP11" s="297">
        <f>BV11-BJ11</f>
        <v>97252</v>
      </c>
      <c r="BQ11" s="123">
        <f t="shared" si="29"/>
        <v>-12.2</v>
      </c>
      <c r="BR11" s="297">
        <v>700733</v>
      </c>
      <c r="BS11" s="297">
        <v>696391</v>
      </c>
      <c r="BT11" s="297">
        <v>540567</v>
      </c>
      <c r="BU11" s="123">
        <f t="shared" si="30"/>
        <v>-22.9</v>
      </c>
      <c r="BV11" s="297">
        <v>564172</v>
      </c>
      <c r="BW11" s="123">
        <f t="shared" si="31"/>
        <v>-19</v>
      </c>
      <c r="BX11" s="823">
        <f t="shared" si="6"/>
        <v>124930</v>
      </c>
      <c r="BY11" s="823">
        <f t="shared" si="7"/>
        <v>128022</v>
      </c>
      <c r="BZ11" s="823">
        <f t="shared" si="8"/>
        <v>150902</v>
      </c>
      <c r="CA11" s="824">
        <f>ROUND(((BZ11/BX11-1)*100),1)</f>
        <v>20.8</v>
      </c>
      <c r="CB11" s="823">
        <f>CH11-BV11</f>
        <v>114752</v>
      </c>
      <c r="CC11" s="824">
        <f t="shared" si="32"/>
        <v>-10.4</v>
      </c>
      <c r="CD11" s="844">
        <v>825663</v>
      </c>
      <c r="CE11" s="844">
        <v>824413</v>
      </c>
      <c r="CF11" s="844">
        <v>691469</v>
      </c>
      <c r="CG11" s="824">
        <f t="shared" si="33"/>
        <v>-16.3</v>
      </c>
      <c r="CH11" s="844">
        <v>678924</v>
      </c>
      <c r="CI11" s="824">
        <f t="shared" si="34"/>
        <v>-17.600000000000001</v>
      </c>
      <c r="CJ11" s="844">
        <f t="shared" si="9"/>
        <v>159710</v>
      </c>
      <c r="CK11" s="844">
        <f t="shared" si="10"/>
        <v>134909</v>
      </c>
      <c r="CL11" s="844">
        <f t="shared" si="11"/>
        <v>171767</v>
      </c>
      <c r="CM11" s="824">
        <f>ROUND(((CL11/CJ11-1)*100),1)</f>
        <v>7.5</v>
      </c>
      <c r="CN11" s="844">
        <f>CT11-CH11</f>
        <v>110460</v>
      </c>
      <c r="CO11" s="824">
        <f t="shared" si="35"/>
        <v>-18.100000000000001</v>
      </c>
      <c r="CP11" s="940">
        <v>985373</v>
      </c>
      <c r="CQ11" s="940">
        <v>959322</v>
      </c>
      <c r="CR11" s="940">
        <v>863236</v>
      </c>
      <c r="CS11" s="824">
        <f t="shared" si="36"/>
        <v>-12.4</v>
      </c>
      <c r="CT11" s="940">
        <v>789384</v>
      </c>
      <c r="CU11" s="824">
        <f t="shared" si="37"/>
        <v>-17.7</v>
      </c>
      <c r="CV11" s="844">
        <f t="shared" si="12"/>
        <v>137928</v>
      </c>
      <c r="CW11" s="844">
        <f t="shared" si="13"/>
        <v>105365</v>
      </c>
      <c r="CX11" s="844">
        <f t="shared" si="14"/>
        <v>139527</v>
      </c>
      <c r="CY11" s="824">
        <f>ROUND(((CX11/CV11-1)*100),1)</f>
        <v>1.2</v>
      </c>
      <c r="CZ11" s="844">
        <f>DF11-CT11</f>
        <v>104326</v>
      </c>
      <c r="DA11" s="824">
        <f t="shared" si="38"/>
        <v>-1</v>
      </c>
      <c r="DB11" s="844">
        <v>1123301</v>
      </c>
      <c r="DC11" s="844">
        <v>1064687</v>
      </c>
      <c r="DD11" s="844">
        <v>1002763</v>
      </c>
      <c r="DE11" s="824">
        <f t="shared" si="39"/>
        <v>-10.7</v>
      </c>
      <c r="DF11" s="844">
        <v>893710</v>
      </c>
      <c r="DG11" s="824">
        <f t="shared" si="40"/>
        <v>-16.100000000000001</v>
      </c>
      <c r="DH11" s="844">
        <f t="shared" si="15"/>
        <v>110270</v>
      </c>
      <c r="DI11" s="844">
        <f t="shared" si="15"/>
        <v>122308</v>
      </c>
      <c r="DJ11" s="844">
        <f t="shared" si="15"/>
        <v>163034</v>
      </c>
      <c r="DK11" s="824">
        <f>ROUND(((DJ11/DH11-1)*100),1)</f>
        <v>47.8</v>
      </c>
      <c r="DL11" s="844">
        <f>DR11-DF11</f>
        <v>123190</v>
      </c>
      <c r="DM11" s="824">
        <f t="shared" si="41"/>
        <v>0.7</v>
      </c>
      <c r="DN11" s="844">
        <v>1233571</v>
      </c>
      <c r="DO11" s="844">
        <v>1186995</v>
      </c>
      <c r="DP11" s="844">
        <v>1165797</v>
      </c>
      <c r="DQ11" s="824">
        <f t="shared" si="42"/>
        <v>-5.5</v>
      </c>
      <c r="DR11" s="844">
        <v>1016900</v>
      </c>
      <c r="DS11" s="824">
        <f t="shared" si="43"/>
        <v>-14.3</v>
      </c>
      <c r="DT11" s="844">
        <f t="shared" si="16"/>
        <v>150983</v>
      </c>
      <c r="DU11" s="844">
        <f t="shared" si="16"/>
        <v>107887</v>
      </c>
      <c r="DV11" s="844">
        <f t="shared" si="16"/>
        <v>192883</v>
      </c>
      <c r="DW11" s="824">
        <f>ROUND(((DV11/DT11-1)*100),1)</f>
        <v>27.8</v>
      </c>
      <c r="DX11" s="844">
        <f>ED11-DR11</f>
        <v>154204</v>
      </c>
      <c r="DY11" s="824">
        <f t="shared" si="44"/>
        <v>42.9</v>
      </c>
      <c r="DZ11" s="844">
        <v>1384554</v>
      </c>
      <c r="EA11" s="844">
        <v>1294882</v>
      </c>
      <c r="EB11" s="844">
        <v>1358680</v>
      </c>
      <c r="EC11" s="824">
        <f t="shared" si="45"/>
        <v>-1.9</v>
      </c>
      <c r="ED11" s="844">
        <v>1171104</v>
      </c>
      <c r="EE11" s="824">
        <f t="shared" si="46"/>
        <v>-9.6</v>
      </c>
      <c r="EF11" s="844">
        <f t="shared" si="17"/>
        <v>129506</v>
      </c>
      <c r="EG11" s="844">
        <f t="shared" si="17"/>
        <v>112607</v>
      </c>
      <c r="EH11" s="844">
        <f t="shared" si="17"/>
        <v>195111</v>
      </c>
      <c r="EI11" s="824">
        <f>ROUND(((EH11/EF11-1)*100),1)</f>
        <v>50.7</v>
      </c>
      <c r="EJ11" s="844">
        <f>EP11-ED11</f>
        <v>154943</v>
      </c>
      <c r="EK11" s="824">
        <f t="shared" si="47"/>
        <v>37.6</v>
      </c>
      <c r="EL11" s="844">
        <v>1514060</v>
      </c>
      <c r="EM11" s="844">
        <v>1407489</v>
      </c>
      <c r="EN11" s="844">
        <v>1553791</v>
      </c>
      <c r="EO11" s="824">
        <f t="shared" si="48"/>
        <v>2.6</v>
      </c>
      <c r="EP11" s="844">
        <v>1326047</v>
      </c>
      <c r="EQ11" s="824">
        <f t="shared" si="49"/>
        <v>-5.8</v>
      </c>
    </row>
    <row r="12" spans="1:147" ht="21.75" customHeight="1">
      <c r="A12" s="1129"/>
      <c r="B12" s="1133" t="s">
        <v>274</v>
      </c>
      <c r="C12" s="118" t="s">
        <v>271</v>
      </c>
      <c r="D12" s="119">
        <f t="shared" ref="D12:M12" si="50">D14-D8-D10</f>
        <v>358487</v>
      </c>
      <c r="E12" s="119">
        <f t="shared" si="50"/>
        <v>174484</v>
      </c>
      <c r="F12" s="119">
        <f t="shared" si="50"/>
        <v>331194</v>
      </c>
      <c r="G12" s="119">
        <f t="shared" si="50"/>
        <v>179982</v>
      </c>
      <c r="H12" s="119">
        <f t="shared" si="50"/>
        <v>351328</v>
      </c>
      <c r="I12" s="119">
        <f t="shared" si="50"/>
        <v>205413</v>
      </c>
      <c r="J12" s="119">
        <f t="shared" si="50"/>
        <v>356745</v>
      </c>
      <c r="K12" s="119">
        <f t="shared" si="50"/>
        <v>231903</v>
      </c>
      <c r="L12" s="119">
        <f t="shared" si="50"/>
        <v>338495</v>
      </c>
      <c r="M12" s="119">
        <f t="shared" si="50"/>
        <v>231258</v>
      </c>
      <c r="N12" s="119">
        <f t="shared" ref="N12:P13" si="51">N14-N8-N10</f>
        <v>335527</v>
      </c>
      <c r="O12" s="119">
        <f>O14-O8-O10</f>
        <v>307070</v>
      </c>
      <c r="P12" s="119">
        <f t="shared" si="51"/>
        <v>360570</v>
      </c>
      <c r="Q12" s="119">
        <f t="shared" ref="Q12:X13" si="52">Q14-Q8-Q10</f>
        <v>247897</v>
      </c>
      <c r="R12" s="296">
        <f t="shared" si="52"/>
        <v>370614</v>
      </c>
      <c r="S12" s="296">
        <f t="shared" si="52"/>
        <v>231252</v>
      </c>
      <c r="T12" s="296">
        <f t="shared" si="52"/>
        <v>336246</v>
      </c>
      <c r="U12" s="296">
        <f>U14-U8-U10</f>
        <v>247990</v>
      </c>
      <c r="V12" s="296">
        <f t="shared" si="52"/>
        <v>30407</v>
      </c>
      <c r="W12" s="296">
        <f t="shared" si="52"/>
        <v>24455</v>
      </c>
      <c r="X12" s="296">
        <f t="shared" si="52"/>
        <v>27205</v>
      </c>
      <c r="Y12" s="120">
        <f t="shared" si="18"/>
        <v>-10.5</v>
      </c>
      <c r="Z12" s="296">
        <f>Z14-Z8-Z10</f>
        <v>22706</v>
      </c>
      <c r="AA12" s="120">
        <f t="shared" si="19"/>
        <v>-7.2</v>
      </c>
      <c r="AB12" s="296">
        <f t="shared" ref="AB12:AD13" si="53">AB14-AB8-AB10</f>
        <v>25736</v>
      </c>
      <c r="AC12" s="296">
        <f t="shared" si="53"/>
        <v>16182</v>
      </c>
      <c r="AD12" s="296">
        <f t="shared" si="53"/>
        <v>28061</v>
      </c>
      <c r="AE12" s="120">
        <f t="shared" ref="AE12:AE65" si="54">ROUND(((AD12/AB12-1)*100),1)</f>
        <v>9</v>
      </c>
      <c r="AF12" s="296">
        <f>AF14-AF8-AF10</f>
        <v>17433</v>
      </c>
      <c r="AG12" s="120">
        <f t="shared" si="20"/>
        <v>7.7</v>
      </c>
      <c r="AH12" s="296">
        <f t="shared" ref="AH12:AJ13" si="55">AH14-AH8-AH10</f>
        <v>56143</v>
      </c>
      <c r="AI12" s="296">
        <f t="shared" si="55"/>
        <v>40637</v>
      </c>
      <c r="AJ12" s="296">
        <f t="shared" si="55"/>
        <v>55266</v>
      </c>
      <c r="AK12" s="120">
        <f t="shared" si="21"/>
        <v>-1.6</v>
      </c>
      <c r="AL12" s="296">
        <f>AL14-AL8-AL10</f>
        <v>40139</v>
      </c>
      <c r="AM12" s="120">
        <f t="shared" si="22"/>
        <v>-1.2</v>
      </c>
      <c r="AN12" s="296">
        <f t="shared" ref="AN12:AP13" si="56">AN14-AN8-AN10</f>
        <v>26946</v>
      </c>
      <c r="AO12" s="296">
        <f t="shared" si="56"/>
        <v>28342</v>
      </c>
      <c r="AP12" s="296">
        <f t="shared" si="56"/>
        <v>34591</v>
      </c>
      <c r="AQ12" s="120">
        <f t="shared" ref="AQ12:AQ65" si="57">ROUND(((AP12/AN12-1)*100),1)</f>
        <v>28.4</v>
      </c>
      <c r="AR12" s="296">
        <f>AR14-AR8-AR10</f>
        <v>28817</v>
      </c>
      <c r="AS12" s="120">
        <f t="shared" si="23"/>
        <v>1.7</v>
      </c>
      <c r="AT12" s="296">
        <f t="shared" ref="AT12:AV13" si="58">AT14-AT8-AT10</f>
        <v>83089</v>
      </c>
      <c r="AU12" s="296">
        <f t="shared" si="58"/>
        <v>68979</v>
      </c>
      <c r="AV12" s="296">
        <f t="shared" si="58"/>
        <v>89857</v>
      </c>
      <c r="AW12" s="120">
        <f t="shared" si="24"/>
        <v>8.1</v>
      </c>
      <c r="AX12" s="296">
        <f>AX14-AX8-AX10</f>
        <v>68956</v>
      </c>
      <c r="AY12" s="120">
        <f t="shared" si="25"/>
        <v>0</v>
      </c>
      <c r="AZ12" s="296">
        <f t="shared" ref="AZ12:BB12" si="59">AZ14-AZ8-AZ10</f>
        <v>31109</v>
      </c>
      <c r="BA12" s="296">
        <f t="shared" si="59"/>
        <v>25818</v>
      </c>
      <c r="BB12" s="296">
        <f t="shared" si="59"/>
        <v>27262</v>
      </c>
      <c r="BC12" s="120">
        <f t="shared" ref="BC12:BC65" si="60">ROUND(((BB12/AZ12-1)*100),1)</f>
        <v>-12.4</v>
      </c>
      <c r="BD12" s="296">
        <f>BD14-BD8-BD10</f>
        <v>19524</v>
      </c>
      <c r="BE12" s="120">
        <f t="shared" si="26"/>
        <v>-24.4</v>
      </c>
      <c r="BF12" s="296">
        <f t="shared" ref="BF12:BH12" si="61">BF14-BF8-BF10</f>
        <v>114198</v>
      </c>
      <c r="BG12" s="296">
        <f t="shared" si="61"/>
        <v>94797</v>
      </c>
      <c r="BH12" s="296">
        <f t="shared" si="61"/>
        <v>117119</v>
      </c>
      <c r="BI12" s="120">
        <f t="shared" si="27"/>
        <v>2.6</v>
      </c>
      <c r="BJ12" s="296">
        <f>BJ14-BJ8-BJ10</f>
        <v>88480</v>
      </c>
      <c r="BK12" s="120">
        <f t="shared" si="28"/>
        <v>-6.7</v>
      </c>
      <c r="BL12" s="296">
        <f t="shared" ref="BL12:BN13" si="62">BL14-BL8-BL10</f>
        <v>29484</v>
      </c>
      <c r="BM12" s="296">
        <f t="shared" si="62"/>
        <v>22717</v>
      </c>
      <c r="BN12" s="296">
        <f t="shared" si="62"/>
        <v>23474</v>
      </c>
      <c r="BO12" s="120">
        <f t="shared" ref="BO12:BO65" si="63">ROUND(((BN12/BL12-1)*100),1)</f>
        <v>-20.399999999999999</v>
      </c>
      <c r="BP12" s="296">
        <f>BP14-BP8-BP10</f>
        <v>16286</v>
      </c>
      <c r="BQ12" s="120">
        <f t="shared" si="29"/>
        <v>-28.3</v>
      </c>
      <c r="BR12" s="296">
        <f t="shared" ref="BR12:BT13" si="64">BR14-BR8-BR10</f>
        <v>143682</v>
      </c>
      <c r="BS12" s="296">
        <f t="shared" si="64"/>
        <v>117514</v>
      </c>
      <c r="BT12" s="296">
        <f t="shared" si="64"/>
        <v>140593</v>
      </c>
      <c r="BU12" s="120">
        <f t="shared" si="30"/>
        <v>-2.1</v>
      </c>
      <c r="BV12" s="296">
        <f>BV14-BV8-BV10</f>
        <v>104766</v>
      </c>
      <c r="BW12" s="120">
        <f t="shared" si="31"/>
        <v>-10.8</v>
      </c>
      <c r="BX12" s="821">
        <f t="shared" ref="BX12:BZ12" si="65">BX14-BX8-BX10</f>
        <v>25834</v>
      </c>
      <c r="BY12" s="821">
        <f t="shared" si="65"/>
        <v>17708</v>
      </c>
      <c r="BZ12" s="821">
        <f t="shared" si="65"/>
        <v>25931</v>
      </c>
      <c r="CA12" s="822">
        <f t="shared" ref="CA12:CA65" si="66">ROUND(((BZ12/BX12-1)*100),1)</f>
        <v>0.4</v>
      </c>
      <c r="CB12" s="821">
        <f>CB14-CB8-CB10</f>
        <v>16136</v>
      </c>
      <c r="CC12" s="822">
        <f t="shared" si="32"/>
        <v>-8.9</v>
      </c>
      <c r="CD12" s="840">
        <f t="shared" ref="CD12:CF12" si="67">CD14-CD8-CD10</f>
        <v>169516</v>
      </c>
      <c r="CE12" s="840">
        <f t="shared" si="67"/>
        <v>135222</v>
      </c>
      <c r="CF12" s="840">
        <f t="shared" si="67"/>
        <v>166524</v>
      </c>
      <c r="CG12" s="822">
        <f t="shared" si="33"/>
        <v>-1.8</v>
      </c>
      <c r="CH12" s="840">
        <f>CH14-CH8-CH10</f>
        <v>120902</v>
      </c>
      <c r="CI12" s="822">
        <f t="shared" si="34"/>
        <v>-10.6</v>
      </c>
      <c r="CJ12" s="840">
        <f t="shared" ref="CJ12:CL12" si="68">CJ14-CJ8-CJ10</f>
        <v>29009</v>
      </c>
      <c r="CK12" s="840">
        <f t="shared" si="68"/>
        <v>19333</v>
      </c>
      <c r="CL12" s="840">
        <f t="shared" si="68"/>
        <v>29603</v>
      </c>
      <c r="CM12" s="822">
        <f t="shared" ref="CM12:CM65" si="69">ROUND(((CL12/CJ12-1)*100),1)</f>
        <v>2</v>
      </c>
      <c r="CN12" s="840">
        <f>CN14-CN8-CN10</f>
        <v>20569</v>
      </c>
      <c r="CO12" s="822">
        <f t="shared" si="35"/>
        <v>6.4</v>
      </c>
      <c r="CP12" s="939">
        <f t="shared" ref="CP12:CR13" si="70">CP14-CP8-CP10</f>
        <v>198525</v>
      </c>
      <c r="CQ12" s="939">
        <f t="shared" si="70"/>
        <v>154555</v>
      </c>
      <c r="CR12" s="939">
        <f t="shared" si="70"/>
        <v>196127</v>
      </c>
      <c r="CS12" s="822">
        <f t="shared" si="36"/>
        <v>-1.2</v>
      </c>
      <c r="CT12" s="939">
        <f>CT14-CT8-CT10</f>
        <v>141471</v>
      </c>
      <c r="CU12" s="822">
        <f t="shared" si="37"/>
        <v>-8.5</v>
      </c>
      <c r="CV12" s="840">
        <f t="shared" ref="CV12:CX12" si="71">CV14-CV8-CV10</f>
        <v>23528</v>
      </c>
      <c r="CW12" s="840">
        <f t="shared" si="71"/>
        <v>19342</v>
      </c>
      <c r="CX12" s="840">
        <f t="shared" si="71"/>
        <v>23536</v>
      </c>
      <c r="CY12" s="822">
        <f t="shared" ref="CY12:CY65" si="72">ROUND(((CX12/CV12-1)*100),1)</f>
        <v>0</v>
      </c>
      <c r="CZ12" s="840">
        <f>CZ14-CZ8-CZ10</f>
        <v>19788</v>
      </c>
      <c r="DA12" s="822">
        <f t="shared" si="38"/>
        <v>2.2999999999999998</v>
      </c>
      <c r="DB12" s="840">
        <f t="shared" ref="DB12:DD13" si="73">DB14-DB8-DB10</f>
        <v>222053</v>
      </c>
      <c r="DC12" s="840">
        <f t="shared" si="73"/>
        <v>173897</v>
      </c>
      <c r="DD12" s="840">
        <f t="shared" si="73"/>
        <v>219663</v>
      </c>
      <c r="DE12" s="822">
        <f t="shared" si="39"/>
        <v>-1.1000000000000001</v>
      </c>
      <c r="DF12" s="840">
        <f>DF14-DF8-DF10</f>
        <v>161259</v>
      </c>
      <c r="DG12" s="822">
        <f t="shared" si="40"/>
        <v>-7.3</v>
      </c>
      <c r="DH12" s="840">
        <f t="shared" ref="DH12:DJ13" si="74">DH14-DH8-DH10</f>
        <v>28130</v>
      </c>
      <c r="DI12" s="840">
        <f t="shared" si="74"/>
        <v>19014</v>
      </c>
      <c r="DJ12" s="840">
        <f t="shared" si="74"/>
        <v>33275</v>
      </c>
      <c r="DK12" s="822">
        <f t="shared" ref="DK12:DK65" si="75">ROUND(((DJ12/DH12-1)*100),1)</f>
        <v>18.3</v>
      </c>
      <c r="DL12" s="840">
        <f>DL14-DL8-DL10</f>
        <v>18954</v>
      </c>
      <c r="DM12" s="822">
        <f t="shared" si="41"/>
        <v>-0.3</v>
      </c>
      <c r="DN12" s="840">
        <f t="shared" ref="DN12:DP13" si="76">DN14-DN8-DN10</f>
        <v>250183</v>
      </c>
      <c r="DO12" s="840">
        <f t="shared" si="76"/>
        <v>192911</v>
      </c>
      <c r="DP12" s="840">
        <f t="shared" si="76"/>
        <v>252938</v>
      </c>
      <c r="DQ12" s="822">
        <f t="shared" si="42"/>
        <v>1.1000000000000001</v>
      </c>
      <c r="DR12" s="840">
        <f>DR14-DR8-DR10</f>
        <v>180213</v>
      </c>
      <c r="DS12" s="822">
        <f t="shared" si="43"/>
        <v>-6.6</v>
      </c>
      <c r="DT12" s="840">
        <f t="shared" ref="DT12:DV13" si="77">DT14-DT8-DT10</f>
        <v>28891</v>
      </c>
      <c r="DU12" s="840">
        <f t="shared" si="77"/>
        <v>21131</v>
      </c>
      <c r="DV12" s="840">
        <f t="shared" si="77"/>
        <v>31913</v>
      </c>
      <c r="DW12" s="822">
        <f t="shared" ref="DW12:DW65" si="78">ROUND(((DV12/DT12-1)*100),1)</f>
        <v>10.5</v>
      </c>
      <c r="DX12" s="840">
        <f>DX14-DX8-DX10</f>
        <v>18468</v>
      </c>
      <c r="DY12" s="822">
        <f t="shared" si="44"/>
        <v>-12.6</v>
      </c>
      <c r="DZ12" s="840">
        <f t="shared" ref="DZ12:EB13" si="79">DZ14-DZ8-DZ10</f>
        <v>279074</v>
      </c>
      <c r="EA12" s="840">
        <f t="shared" si="79"/>
        <v>214042</v>
      </c>
      <c r="EB12" s="840">
        <f t="shared" si="79"/>
        <v>284851</v>
      </c>
      <c r="EC12" s="822">
        <f t="shared" si="45"/>
        <v>2.1</v>
      </c>
      <c r="ED12" s="840">
        <f>ED14-ED8-ED10</f>
        <v>198681</v>
      </c>
      <c r="EE12" s="822">
        <f t="shared" si="46"/>
        <v>-7.2</v>
      </c>
      <c r="EF12" s="840">
        <f t="shared" ref="EF12:EH13" si="80">EF14-EF8-EF10</f>
        <v>28534</v>
      </c>
      <c r="EG12" s="840">
        <f t="shared" si="80"/>
        <v>16192</v>
      </c>
      <c r="EH12" s="840">
        <f t="shared" si="80"/>
        <v>35486</v>
      </c>
      <c r="EI12" s="822">
        <f t="shared" ref="EI12:EI65" si="81">ROUND(((EH12/EF12-1)*100),1)</f>
        <v>24.4</v>
      </c>
      <c r="EJ12" s="840">
        <f>EJ14-EJ8-EJ10</f>
        <v>22526</v>
      </c>
      <c r="EK12" s="822">
        <f t="shared" si="47"/>
        <v>39.1</v>
      </c>
      <c r="EL12" s="840">
        <f t="shared" ref="EL12:EN13" si="82">EL14-EL8-EL10</f>
        <v>307608</v>
      </c>
      <c r="EM12" s="840">
        <f t="shared" si="82"/>
        <v>230234</v>
      </c>
      <c r="EN12" s="840">
        <f t="shared" si="82"/>
        <v>320337</v>
      </c>
      <c r="EO12" s="822">
        <f t="shared" si="48"/>
        <v>4.0999999999999996</v>
      </c>
      <c r="EP12" s="840">
        <f>EP14-EP8-EP10</f>
        <v>221207</v>
      </c>
      <c r="EQ12" s="822">
        <f t="shared" si="49"/>
        <v>-3.9</v>
      </c>
    </row>
    <row r="13" spans="1:147" ht="21.75" customHeight="1">
      <c r="A13" s="1129"/>
      <c r="B13" s="1129"/>
      <c r="C13" s="121" t="s">
        <v>272</v>
      </c>
      <c r="D13" s="122">
        <f t="shared" ref="D13:M13" si="83">D15-D9-D11</f>
        <v>3332549</v>
      </c>
      <c r="E13" s="122">
        <f t="shared" si="83"/>
        <v>2071616</v>
      </c>
      <c r="F13" s="122">
        <f t="shared" si="83"/>
        <v>2765101</v>
      </c>
      <c r="G13" s="122">
        <f t="shared" si="83"/>
        <v>1997481</v>
      </c>
      <c r="H13" s="122">
        <f t="shared" si="83"/>
        <v>2837249</v>
      </c>
      <c r="I13" s="122">
        <f t="shared" si="83"/>
        <v>2054496</v>
      </c>
      <c r="J13" s="122">
        <f t="shared" si="83"/>
        <v>2860330</v>
      </c>
      <c r="K13" s="122">
        <f t="shared" si="83"/>
        <v>2028610</v>
      </c>
      <c r="L13" s="122">
        <f t="shared" si="83"/>
        <v>2422368</v>
      </c>
      <c r="M13" s="122">
        <f t="shared" si="83"/>
        <v>1715827</v>
      </c>
      <c r="N13" s="122">
        <f t="shared" si="51"/>
        <v>2246622</v>
      </c>
      <c r="O13" s="122">
        <f>O15-O9-O11</f>
        <v>1940968</v>
      </c>
      <c r="P13" s="122">
        <f t="shared" si="51"/>
        <v>2812247</v>
      </c>
      <c r="Q13" s="122">
        <f t="shared" si="52"/>
        <v>1959254</v>
      </c>
      <c r="R13" s="297">
        <f t="shared" si="52"/>
        <v>3194281</v>
      </c>
      <c r="S13" s="297">
        <f t="shared" si="52"/>
        <v>1914344</v>
      </c>
      <c r="T13" s="297">
        <f t="shared" si="52"/>
        <v>2880321</v>
      </c>
      <c r="U13" s="297">
        <f>U15-U9-U11</f>
        <v>1916120</v>
      </c>
      <c r="V13" s="297">
        <f t="shared" si="52"/>
        <v>255998</v>
      </c>
      <c r="W13" s="297">
        <f t="shared" si="52"/>
        <v>188029</v>
      </c>
      <c r="X13" s="297">
        <f t="shared" si="52"/>
        <v>229905</v>
      </c>
      <c r="Y13" s="123">
        <f t="shared" si="18"/>
        <v>-10.199999999999999</v>
      </c>
      <c r="Z13" s="297">
        <f>Z15-Z9-Z11</f>
        <v>161215</v>
      </c>
      <c r="AA13" s="123">
        <f t="shared" si="19"/>
        <v>-14.3</v>
      </c>
      <c r="AB13" s="297">
        <f t="shared" si="53"/>
        <v>213057</v>
      </c>
      <c r="AC13" s="297">
        <f t="shared" si="53"/>
        <v>130974</v>
      </c>
      <c r="AD13" s="297">
        <f t="shared" si="53"/>
        <v>231645</v>
      </c>
      <c r="AE13" s="123">
        <f t="shared" si="54"/>
        <v>8.6999999999999993</v>
      </c>
      <c r="AF13" s="297">
        <f>AF15-AF9-AF11</f>
        <v>135993</v>
      </c>
      <c r="AG13" s="123">
        <f t="shared" si="20"/>
        <v>3.8</v>
      </c>
      <c r="AH13" s="297">
        <f t="shared" si="55"/>
        <v>469055</v>
      </c>
      <c r="AI13" s="297">
        <f t="shared" si="55"/>
        <v>319003</v>
      </c>
      <c r="AJ13" s="297">
        <f t="shared" si="55"/>
        <v>461550</v>
      </c>
      <c r="AK13" s="123">
        <f t="shared" si="21"/>
        <v>-1.6</v>
      </c>
      <c r="AL13" s="297">
        <f>AL15-AL9-AL11</f>
        <v>297208</v>
      </c>
      <c r="AM13" s="123">
        <f t="shared" si="22"/>
        <v>-6.8</v>
      </c>
      <c r="AN13" s="297">
        <f t="shared" si="56"/>
        <v>233127</v>
      </c>
      <c r="AO13" s="297">
        <f t="shared" si="56"/>
        <v>196556</v>
      </c>
      <c r="AP13" s="297">
        <f t="shared" si="56"/>
        <v>279408</v>
      </c>
      <c r="AQ13" s="123">
        <f t="shared" si="57"/>
        <v>19.899999999999999</v>
      </c>
      <c r="AR13" s="297">
        <f>AR15-AR9-AR11</f>
        <v>200898</v>
      </c>
      <c r="AS13" s="123">
        <f t="shared" si="23"/>
        <v>2.2000000000000002</v>
      </c>
      <c r="AT13" s="297">
        <f t="shared" si="58"/>
        <v>702182</v>
      </c>
      <c r="AU13" s="297">
        <f t="shared" si="58"/>
        <v>515559</v>
      </c>
      <c r="AV13" s="297">
        <f t="shared" si="58"/>
        <v>740958</v>
      </c>
      <c r="AW13" s="123">
        <f t="shared" si="24"/>
        <v>5.5</v>
      </c>
      <c r="AX13" s="297">
        <f>AX15-AX9-AX11</f>
        <v>498106</v>
      </c>
      <c r="AY13" s="123">
        <f t="shared" si="25"/>
        <v>-3.4</v>
      </c>
      <c r="AZ13" s="297">
        <f t="shared" ref="AZ13:BB13" si="84">AZ15-AZ9-AZ11</f>
        <v>265595</v>
      </c>
      <c r="BA13" s="297">
        <f t="shared" si="84"/>
        <v>198326</v>
      </c>
      <c r="BB13" s="297">
        <f t="shared" si="84"/>
        <v>215058</v>
      </c>
      <c r="BC13" s="123">
        <f t="shared" si="60"/>
        <v>-19</v>
      </c>
      <c r="BD13" s="297">
        <f>BD15-BD9-BD11</f>
        <v>141230</v>
      </c>
      <c r="BE13" s="123">
        <f t="shared" si="26"/>
        <v>-28.8</v>
      </c>
      <c r="BF13" s="297">
        <f t="shared" ref="BF13:BH13" si="85">BF15-BF9-BF11</f>
        <v>967777</v>
      </c>
      <c r="BG13" s="297">
        <f t="shared" si="85"/>
        <v>713885</v>
      </c>
      <c r="BH13" s="297">
        <f t="shared" si="85"/>
        <v>956016</v>
      </c>
      <c r="BI13" s="123">
        <f t="shared" si="27"/>
        <v>-1.2</v>
      </c>
      <c r="BJ13" s="297">
        <f>BJ15-BJ9-BJ11</f>
        <v>639336</v>
      </c>
      <c r="BK13" s="123">
        <f t="shared" si="28"/>
        <v>-10.4</v>
      </c>
      <c r="BL13" s="297">
        <f t="shared" si="62"/>
        <v>256477</v>
      </c>
      <c r="BM13" s="297">
        <f t="shared" si="62"/>
        <v>179600</v>
      </c>
      <c r="BN13" s="297">
        <f t="shared" si="62"/>
        <v>184713</v>
      </c>
      <c r="BO13" s="123">
        <f t="shared" si="63"/>
        <v>-28</v>
      </c>
      <c r="BP13" s="297">
        <f>BP15-BP9-BP11</f>
        <v>132188</v>
      </c>
      <c r="BQ13" s="123">
        <f t="shared" si="29"/>
        <v>-26.4</v>
      </c>
      <c r="BR13" s="297">
        <f t="shared" si="64"/>
        <v>1224254</v>
      </c>
      <c r="BS13" s="297">
        <f t="shared" si="64"/>
        <v>893485</v>
      </c>
      <c r="BT13" s="297">
        <f t="shared" si="64"/>
        <v>1140729</v>
      </c>
      <c r="BU13" s="123">
        <f t="shared" si="30"/>
        <v>-6.8</v>
      </c>
      <c r="BV13" s="297">
        <f>BV15-BV9-BV11</f>
        <v>771524</v>
      </c>
      <c r="BW13" s="123">
        <f t="shared" si="31"/>
        <v>-13.7</v>
      </c>
      <c r="BX13" s="823">
        <f t="shared" ref="BX13:BZ13" si="86">BX15-BX9-BX11</f>
        <v>225291</v>
      </c>
      <c r="BY13" s="823">
        <f t="shared" si="86"/>
        <v>146062</v>
      </c>
      <c r="BZ13" s="823">
        <f t="shared" si="86"/>
        <v>206180</v>
      </c>
      <c r="CA13" s="824">
        <f t="shared" si="66"/>
        <v>-8.5</v>
      </c>
      <c r="CB13" s="823">
        <f>CB15-CB9-CB11</f>
        <v>131525</v>
      </c>
      <c r="CC13" s="824">
        <f t="shared" si="32"/>
        <v>-10</v>
      </c>
      <c r="CD13" s="844">
        <f t="shared" ref="CD13:CF13" si="87">CD15-CD9-CD11</f>
        <v>1449545</v>
      </c>
      <c r="CE13" s="844">
        <f t="shared" si="87"/>
        <v>1039547</v>
      </c>
      <c r="CF13" s="844">
        <f t="shared" si="87"/>
        <v>1346909</v>
      </c>
      <c r="CG13" s="824">
        <f t="shared" si="33"/>
        <v>-7.1</v>
      </c>
      <c r="CH13" s="844">
        <f>CH15-CH9-CH11</f>
        <v>903049</v>
      </c>
      <c r="CI13" s="824">
        <f t="shared" si="34"/>
        <v>-13.1</v>
      </c>
      <c r="CJ13" s="844">
        <f t="shared" ref="CJ13:CL13" si="88">CJ15-CJ9-CJ11</f>
        <v>254113</v>
      </c>
      <c r="CK13" s="844">
        <f t="shared" si="88"/>
        <v>155869</v>
      </c>
      <c r="CL13" s="844">
        <f t="shared" si="88"/>
        <v>246899</v>
      </c>
      <c r="CM13" s="824">
        <f t="shared" si="69"/>
        <v>-2.8</v>
      </c>
      <c r="CN13" s="844">
        <f>CN15-CN9-CN11</f>
        <v>152823</v>
      </c>
      <c r="CO13" s="824">
        <f t="shared" si="35"/>
        <v>-2</v>
      </c>
      <c r="CP13" s="940">
        <f t="shared" si="70"/>
        <v>1703658</v>
      </c>
      <c r="CQ13" s="940">
        <f t="shared" si="70"/>
        <v>1195416</v>
      </c>
      <c r="CR13" s="940">
        <f t="shared" si="70"/>
        <v>1593808</v>
      </c>
      <c r="CS13" s="824">
        <f t="shared" si="36"/>
        <v>-6.4</v>
      </c>
      <c r="CT13" s="940">
        <f>CT15-CT9-CT11</f>
        <v>1055872</v>
      </c>
      <c r="CU13" s="824">
        <f t="shared" si="37"/>
        <v>-11.7</v>
      </c>
      <c r="CV13" s="844">
        <f t="shared" ref="CV13:CX13" si="89">CV15-CV9-CV11</f>
        <v>212939</v>
      </c>
      <c r="CW13" s="844">
        <f t="shared" si="89"/>
        <v>152652</v>
      </c>
      <c r="CX13" s="844">
        <f t="shared" si="89"/>
        <v>213469</v>
      </c>
      <c r="CY13" s="824">
        <f t="shared" si="72"/>
        <v>0.2</v>
      </c>
      <c r="CZ13" s="844">
        <f>CZ15-CZ9-CZ11</f>
        <v>156026</v>
      </c>
      <c r="DA13" s="824">
        <f t="shared" si="38"/>
        <v>2.2000000000000002</v>
      </c>
      <c r="DB13" s="844">
        <f t="shared" si="73"/>
        <v>1916597</v>
      </c>
      <c r="DC13" s="844">
        <f t="shared" si="73"/>
        <v>1348068</v>
      </c>
      <c r="DD13" s="844">
        <f t="shared" si="73"/>
        <v>1807277</v>
      </c>
      <c r="DE13" s="824">
        <f t="shared" si="39"/>
        <v>-5.7</v>
      </c>
      <c r="DF13" s="844">
        <f>DF15-DF9-DF11</f>
        <v>1211898</v>
      </c>
      <c r="DG13" s="824">
        <f t="shared" si="40"/>
        <v>-10.1</v>
      </c>
      <c r="DH13" s="844">
        <f t="shared" si="74"/>
        <v>238825</v>
      </c>
      <c r="DI13" s="844">
        <f t="shared" si="74"/>
        <v>153495</v>
      </c>
      <c r="DJ13" s="844">
        <f t="shared" si="74"/>
        <v>286713</v>
      </c>
      <c r="DK13" s="824">
        <f t="shared" si="75"/>
        <v>20.100000000000001</v>
      </c>
      <c r="DL13" s="844">
        <f>DL15-DL9-DL11</f>
        <v>165325</v>
      </c>
      <c r="DM13" s="824">
        <f t="shared" si="41"/>
        <v>7.7</v>
      </c>
      <c r="DN13" s="844">
        <f t="shared" si="76"/>
        <v>2155422</v>
      </c>
      <c r="DO13" s="844">
        <f t="shared" si="76"/>
        <v>1501563</v>
      </c>
      <c r="DP13" s="844">
        <f t="shared" si="76"/>
        <v>2093990</v>
      </c>
      <c r="DQ13" s="824">
        <f t="shared" si="42"/>
        <v>-2.9</v>
      </c>
      <c r="DR13" s="844">
        <f>DR15-DR9-DR11</f>
        <v>1377223</v>
      </c>
      <c r="DS13" s="824">
        <f t="shared" si="43"/>
        <v>-8.3000000000000007</v>
      </c>
      <c r="DT13" s="844">
        <f t="shared" si="77"/>
        <v>245063</v>
      </c>
      <c r="DU13" s="844">
        <f t="shared" si="77"/>
        <v>157769</v>
      </c>
      <c r="DV13" s="844">
        <f t="shared" si="77"/>
        <v>277450</v>
      </c>
      <c r="DW13" s="824">
        <f t="shared" si="78"/>
        <v>13.2</v>
      </c>
      <c r="DX13" s="844">
        <f>DX15-DX9-DX11</f>
        <v>147658</v>
      </c>
      <c r="DY13" s="824">
        <f t="shared" si="44"/>
        <v>-6.4</v>
      </c>
      <c r="DZ13" s="844">
        <f t="shared" si="79"/>
        <v>2400485</v>
      </c>
      <c r="EA13" s="844">
        <f t="shared" si="79"/>
        <v>1659332</v>
      </c>
      <c r="EB13" s="844">
        <f t="shared" si="79"/>
        <v>2371440</v>
      </c>
      <c r="EC13" s="824">
        <f t="shared" si="45"/>
        <v>-1.2</v>
      </c>
      <c r="ED13" s="844">
        <f>ED15-ED9-ED11</f>
        <v>1524881</v>
      </c>
      <c r="EE13" s="824">
        <f t="shared" si="46"/>
        <v>-8.1</v>
      </c>
      <c r="EF13" s="844">
        <f t="shared" si="80"/>
        <v>239442</v>
      </c>
      <c r="EG13" s="844">
        <f t="shared" si="80"/>
        <v>123009</v>
      </c>
      <c r="EH13" s="844">
        <f t="shared" si="80"/>
        <v>311628</v>
      </c>
      <c r="EI13" s="824">
        <f t="shared" si="81"/>
        <v>30.1</v>
      </c>
      <c r="EJ13" s="844">
        <f>EJ15-EJ9-EJ11</f>
        <v>176945</v>
      </c>
      <c r="EK13" s="824">
        <f t="shared" si="47"/>
        <v>43.8</v>
      </c>
      <c r="EL13" s="844">
        <f t="shared" si="82"/>
        <v>2639927</v>
      </c>
      <c r="EM13" s="844">
        <f t="shared" si="82"/>
        <v>1782341</v>
      </c>
      <c r="EN13" s="844">
        <f t="shared" si="82"/>
        <v>2683068</v>
      </c>
      <c r="EO13" s="824">
        <f t="shared" si="48"/>
        <v>1.6</v>
      </c>
      <c r="EP13" s="844">
        <f>EP15-EP9-EP11</f>
        <v>1701826</v>
      </c>
      <c r="EQ13" s="824">
        <f t="shared" si="49"/>
        <v>-4.5</v>
      </c>
    </row>
    <row r="14" spans="1:147" ht="21.75" customHeight="1">
      <c r="A14" s="1129"/>
      <c r="B14" s="1134" t="s">
        <v>275</v>
      </c>
      <c r="C14" s="124" t="s">
        <v>271</v>
      </c>
      <c r="D14" s="125">
        <v>619158</v>
      </c>
      <c r="E14" s="125">
        <v>794054</v>
      </c>
      <c r="F14" s="125">
        <v>641395</v>
      </c>
      <c r="G14" s="125">
        <v>790500</v>
      </c>
      <c r="H14" s="125">
        <v>647479</v>
      </c>
      <c r="I14" s="125">
        <v>797944</v>
      </c>
      <c r="J14" s="125">
        <v>652631</v>
      </c>
      <c r="K14" s="125">
        <v>883283</v>
      </c>
      <c r="L14" s="125">
        <v>709369</v>
      </c>
      <c r="M14" s="125">
        <v>908875</v>
      </c>
      <c r="N14" s="125">
        <v>686572</v>
      </c>
      <c r="O14" s="125">
        <v>986611</v>
      </c>
      <c r="P14" s="125">
        <v>695520</v>
      </c>
      <c r="Q14" s="125">
        <v>908736</v>
      </c>
      <c r="R14" s="298">
        <v>692382</v>
      </c>
      <c r="S14" s="298">
        <v>855547</v>
      </c>
      <c r="T14" s="298">
        <v>689932</v>
      </c>
      <c r="U14" s="298">
        <v>851617</v>
      </c>
      <c r="V14" s="298">
        <v>55968</v>
      </c>
      <c r="W14" s="298">
        <v>86878</v>
      </c>
      <c r="X14" s="298">
        <v>52375</v>
      </c>
      <c r="Y14" s="126">
        <f t="shared" si="18"/>
        <v>-6.4</v>
      </c>
      <c r="Z14" s="298">
        <v>73411</v>
      </c>
      <c r="AA14" s="126">
        <f t="shared" si="19"/>
        <v>-15.5</v>
      </c>
      <c r="AB14" s="298">
        <f t="shared" ref="AB14:AB19" si="90">AH14-V14</f>
        <v>53516</v>
      </c>
      <c r="AC14" s="298">
        <f t="shared" ref="AC14:AC19" si="91">AI14-W14</f>
        <v>65889</v>
      </c>
      <c r="AD14" s="298">
        <f t="shared" ref="AD14:AD19" si="92">AJ14-X14</f>
        <v>52333</v>
      </c>
      <c r="AE14" s="126">
        <f t="shared" si="54"/>
        <v>-2.2000000000000002</v>
      </c>
      <c r="AF14" s="298">
        <f t="shared" ref="AF14:AF19" si="93">AL14-Z14</f>
        <v>67483</v>
      </c>
      <c r="AG14" s="126">
        <f t="shared" si="20"/>
        <v>2.4</v>
      </c>
      <c r="AH14" s="298">
        <v>109484</v>
      </c>
      <c r="AI14" s="298">
        <v>152767</v>
      </c>
      <c r="AJ14" s="298">
        <v>104708</v>
      </c>
      <c r="AK14" s="126">
        <f t="shared" si="21"/>
        <v>-4.4000000000000004</v>
      </c>
      <c r="AL14" s="298">
        <v>140894</v>
      </c>
      <c r="AM14" s="126">
        <f t="shared" si="22"/>
        <v>-7.8</v>
      </c>
      <c r="AN14" s="298">
        <f t="shared" ref="AN14:AN19" si="94">AT14-AH14</f>
        <v>55389</v>
      </c>
      <c r="AO14" s="298">
        <f t="shared" ref="AO14:AO19" si="95">AU14-AI14</f>
        <v>81882</v>
      </c>
      <c r="AP14" s="298">
        <f t="shared" ref="AP14:AP19" si="96">AV14-AJ14</f>
        <v>53896</v>
      </c>
      <c r="AQ14" s="126">
        <f t="shared" si="57"/>
        <v>-2.7</v>
      </c>
      <c r="AR14" s="298">
        <f t="shared" ref="AR14:AR19" si="97">AX14-AL14</f>
        <v>83349</v>
      </c>
      <c r="AS14" s="126">
        <f t="shared" si="23"/>
        <v>1.8</v>
      </c>
      <c r="AT14" s="298">
        <v>164873</v>
      </c>
      <c r="AU14" s="298">
        <v>234649</v>
      </c>
      <c r="AV14" s="298">
        <v>158604</v>
      </c>
      <c r="AW14" s="126">
        <f t="shared" si="24"/>
        <v>-3.8</v>
      </c>
      <c r="AX14" s="298">
        <v>224243</v>
      </c>
      <c r="AY14" s="126">
        <f t="shared" si="25"/>
        <v>-4.4000000000000004</v>
      </c>
      <c r="AZ14" s="298">
        <f t="shared" ref="AZ14:AZ19" si="98">BF14-AT14</f>
        <v>59275</v>
      </c>
      <c r="BA14" s="298">
        <f t="shared" ref="BA14:BA19" si="99">BG14-AU14</f>
        <v>77012</v>
      </c>
      <c r="BB14" s="298">
        <f t="shared" ref="BB14:BB19" si="100">BH14-AV14</f>
        <v>51941</v>
      </c>
      <c r="BC14" s="126">
        <f t="shared" si="60"/>
        <v>-12.4</v>
      </c>
      <c r="BD14" s="298">
        <f t="shared" ref="BD14:BD19" si="101">BJ14-AX14</f>
        <v>69845</v>
      </c>
      <c r="BE14" s="126">
        <f t="shared" si="26"/>
        <v>-9.3000000000000007</v>
      </c>
      <c r="BF14" s="298">
        <v>224148</v>
      </c>
      <c r="BG14" s="298">
        <v>311661</v>
      </c>
      <c r="BH14" s="298">
        <v>210545</v>
      </c>
      <c r="BI14" s="126">
        <f t="shared" si="27"/>
        <v>-6.1</v>
      </c>
      <c r="BJ14" s="298">
        <v>294088</v>
      </c>
      <c r="BK14" s="126">
        <f t="shared" si="28"/>
        <v>-5.6</v>
      </c>
      <c r="BL14" s="298">
        <f t="shared" ref="BL14:BN19" si="102">BR14-BF14</f>
        <v>72104</v>
      </c>
      <c r="BM14" s="298">
        <f t="shared" si="102"/>
        <v>68765</v>
      </c>
      <c r="BN14" s="298">
        <f t="shared" si="102"/>
        <v>48956</v>
      </c>
      <c r="BO14" s="126">
        <f t="shared" si="63"/>
        <v>-32.1</v>
      </c>
      <c r="BP14" s="298">
        <f t="shared" ref="BP14:BP19" si="103">BV14-BJ14</f>
        <v>58209</v>
      </c>
      <c r="BQ14" s="126">
        <f t="shared" si="29"/>
        <v>-15.4</v>
      </c>
      <c r="BR14" s="298">
        <v>296252</v>
      </c>
      <c r="BS14" s="298">
        <v>380426</v>
      </c>
      <c r="BT14" s="298">
        <v>259501</v>
      </c>
      <c r="BU14" s="126">
        <f t="shared" si="30"/>
        <v>-12.4</v>
      </c>
      <c r="BV14" s="298">
        <v>352297</v>
      </c>
      <c r="BW14" s="126">
        <f t="shared" si="31"/>
        <v>-7.4</v>
      </c>
      <c r="BX14" s="825">
        <f t="shared" ref="BX14:BX19" si="104">CD14-BR14</f>
        <v>53705</v>
      </c>
      <c r="BY14" s="825">
        <f t="shared" ref="BY14:BY19" si="105">CE14-BS14</f>
        <v>64788</v>
      </c>
      <c r="BZ14" s="825">
        <f t="shared" ref="BZ14:BZ19" si="106">CF14-BT14</f>
        <v>59686</v>
      </c>
      <c r="CA14" s="826">
        <f t="shared" si="66"/>
        <v>11.1</v>
      </c>
      <c r="CB14" s="825">
        <f t="shared" ref="CB14:CB19" si="107">CH14-BV14</f>
        <v>60611</v>
      </c>
      <c r="CC14" s="826">
        <f t="shared" si="32"/>
        <v>-6.4</v>
      </c>
      <c r="CD14" s="842">
        <v>349957</v>
      </c>
      <c r="CE14" s="842">
        <v>445214</v>
      </c>
      <c r="CF14" s="842">
        <v>319187</v>
      </c>
      <c r="CG14" s="826">
        <f t="shared" si="33"/>
        <v>-8.8000000000000007</v>
      </c>
      <c r="CH14" s="842">
        <v>412908</v>
      </c>
      <c r="CI14" s="826">
        <f t="shared" si="34"/>
        <v>-7.3</v>
      </c>
      <c r="CJ14" s="842">
        <f t="shared" ref="CJ14:CJ19" si="108">CP14-CD14</f>
        <v>61984</v>
      </c>
      <c r="CK14" s="842">
        <f t="shared" ref="CK14:CK19" si="109">CQ14-CE14</f>
        <v>67287</v>
      </c>
      <c r="CL14" s="842">
        <f t="shared" ref="CL14:CL19" si="110">CR14-CF14</f>
        <v>64144</v>
      </c>
      <c r="CM14" s="826">
        <f t="shared" si="69"/>
        <v>3.5</v>
      </c>
      <c r="CN14" s="842">
        <f t="shared" ref="CN14:CN19" si="111">CT14-CH14</f>
        <v>64082</v>
      </c>
      <c r="CO14" s="826">
        <f t="shared" si="35"/>
        <v>-4.8</v>
      </c>
      <c r="CP14" s="941">
        <v>411941</v>
      </c>
      <c r="CQ14" s="941">
        <v>512501</v>
      </c>
      <c r="CR14" s="941">
        <v>383331</v>
      </c>
      <c r="CS14" s="826">
        <f t="shared" si="36"/>
        <v>-6.9</v>
      </c>
      <c r="CT14" s="941">
        <v>476990</v>
      </c>
      <c r="CU14" s="826">
        <f t="shared" si="37"/>
        <v>-6.9</v>
      </c>
      <c r="CV14" s="842">
        <f t="shared" ref="CV14:CV19" si="112">DB14-CP14</f>
        <v>53331</v>
      </c>
      <c r="CW14" s="842">
        <f t="shared" ref="CW14:CW19" si="113">DC14-CQ14</f>
        <v>62100</v>
      </c>
      <c r="CX14" s="842">
        <f t="shared" ref="CX14:CX19" si="114">DD14-CR14</f>
        <v>52172</v>
      </c>
      <c r="CY14" s="826">
        <f t="shared" si="72"/>
        <v>-2.2000000000000002</v>
      </c>
      <c r="CZ14" s="842">
        <f t="shared" ref="CZ14:CZ19" si="115">DF14-CT14</f>
        <v>66572</v>
      </c>
      <c r="DA14" s="826">
        <f t="shared" si="38"/>
        <v>7.2</v>
      </c>
      <c r="DB14" s="842">
        <v>465272</v>
      </c>
      <c r="DC14" s="842">
        <v>574601</v>
      </c>
      <c r="DD14" s="842">
        <v>435503</v>
      </c>
      <c r="DE14" s="826">
        <f t="shared" si="39"/>
        <v>-6.4</v>
      </c>
      <c r="DF14" s="842">
        <v>543562</v>
      </c>
      <c r="DG14" s="826">
        <f t="shared" si="40"/>
        <v>-5.4</v>
      </c>
      <c r="DH14" s="842">
        <f t="shared" ref="DH14:DJ19" si="116">DN14-DB14</f>
        <v>53984</v>
      </c>
      <c r="DI14" s="842">
        <f t="shared" si="116"/>
        <v>67103</v>
      </c>
      <c r="DJ14" s="842">
        <f t="shared" si="116"/>
        <v>64028</v>
      </c>
      <c r="DK14" s="826">
        <f t="shared" si="75"/>
        <v>18.600000000000001</v>
      </c>
      <c r="DL14" s="842">
        <f t="shared" ref="DL14:DL19" si="117">DR14-DF14</f>
        <v>66080</v>
      </c>
      <c r="DM14" s="826">
        <f t="shared" si="41"/>
        <v>-1.5</v>
      </c>
      <c r="DN14" s="842">
        <v>519256</v>
      </c>
      <c r="DO14" s="842">
        <v>641704</v>
      </c>
      <c r="DP14" s="842">
        <v>499531</v>
      </c>
      <c r="DQ14" s="826">
        <f t="shared" si="42"/>
        <v>-3.8</v>
      </c>
      <c r="DR14" s="842">
        <v>609642</v>
      </c>
      <c r="DS14" s="826">
        <f t="shared" si="43"/>
        <v>-5</v>
      </c>
      <c r="DT14" s="842">
        <f t="shared" ref="DT14:DV19" si="118">DZ14-DN14</f>
        <v>61290</v>
      </c>
      <c r="DU14" s="842">
        <f t="shared" si="118"/>
        <v>71705</v>
      </c>
      <c r="DV14" s="842">
        <f t="shared" si="118"/>
        <v>66978</v>
      </c>
      <c r="DW14" s="826">
        <f t="shared" si="78"/>
        <v>9.3000000000000007</v>
      </c>
      <c r="DX14" s="842">
        <f t="shared" ref="DX14:DX19" si="119">ED14-DR14</f>
        <v>70683</v>
      </c>
      <c r="DY14" s="826">
        <f t="shared" si="44"/>
        <v>-1.4</v>
      </c>
      <c r="DZ14" s="1064">
        <v>580546</v>
      </c>
      <c r="EA14" s="842">
        <v>713409</v>
      </c>
      <c r="EB14" s="842">
        <v>566509</v>
      </c>
      <c r="EC14" s="826">
        <f t="shared" si="45"/>
        <v>-2.4</v>
      </c>
      <c r="ED14" s="842">
        <v>680325</v>
      </c>
      <c r="EE14" s="826">
        <f t="shared" si="46"/>
        <v>-4.5999999999999996</v>
      </c>
      <c r="EF14" s="842">
        <f t="shared" ref="EF14:EH19" si="120">EL14-DZ14</f>
        <v>54850</v>
      </c>
      <c r="EG14" s="842">
        <f t="shared" si="120"/>
        <v>68443</v>
      </c>
      <c r="EH14" s="842">
        <f t="shared" si="120"/>
        <v>71567</v>
      </c>
      <c r="EI14" s="826">
        <f t="shared" si="81"/>
        <v>30.5</v>
      </c>
      <c r="EJ14" s="842">
        <f t="shared" ref="EJ14:EJ19" si="121">EP14-ED14</f>
        <v>70905</v>
      </c>
      <c r="EK14" s="826">
        <f t="shared" si="47"/>
        <v>3.6</v>
      </c>
      <c r="EL14" s="1064">
        <v>635396</v>
      </c>
      <c r="EM14" s="842">
        <v>781852</v>
      </c>
      <c r="EN14" s="842">
        <v>638076</v>
      </c>
      <c r="EO14" s="826">
        <f t="shared" si="48"/>
        <v>0.4</v>
      </c>
      <c r="EP14" s="842">
        <v>751230</v>
      </c>
      <c r="EQ14" s="826">
        <f t="shared" si="49"/>
        <v>-3.9</v>
      </c>
    </row>
    <row r="15" spans="1:147" ht="21.75" customHeight="1" thickBot="1">
      <c r="A15" s="1135"/>
      <c r="B15" s="1136"/>
      <c r="C15" s="127" t="s">
        <v>272</v>
      </c>
      <c r="D15" s="128">
        <v>5018131</v>
      </c>
      <c r="E15" s="128">
        <v>7412689</v>
      </c>
      <c r="F15" s="128">
        <v>4570451</v>
      </c>
      <c r="G15" s="128">
        <v>6627485</v>
      </c>
      <c r="H15" s="128">
        <v>4520789</v>
      </c>
      <c r="I15" s="128">
        <v>6245237</v>
      </c>
      <c r="J15" s="128">
        <v>4497741</v>
      </c>
      <c r="K15" s="128">
        <v>6423507</v>
      </c>
      <c r="L15" s="128">
        <v>4245777</v>
      </c>
      <c r="M15" s="128">
        <v>5480118</v>
      </c>
      <c r="N15" s="128">
        <v>3687127</v>
      </c>
      <c r="O15" s="128">
        <v>5098171</v>
      </c>
      <c r="P15" s="128">
        <v>4428248</v>
      </c>
      <c r="Q15" s="128">
        <v>5680329</v>
      </c>
      <c r="R15" s="299">
        <v>4903888</v>
      </c>
      <c r="S15" s="299">
        <v>5791947</v>
      </c>
      <c r="T15" s="299">
        <v>4643144</v>
      </c>
      <c r="U15" s="299">
        <v>5318770</v>
      </c>
      <c r="V15" s="299">
        <v>386000</v>
      </c>
      <c r="W15" s="299">
        <v>553697</v>
      </c>
      <c r="X15" s="299">
        <v>354851</v>
      </c>
      <c r="Y15" s="129">
        <f t="shared" si="18"/>
        <v>-8.1</v>
      </c>
      <c r="Z15" s="299">
        <v>438251</v>
      </c>
      <c r="AA15" s="129">
        <f t="shared" si="19"/>
        <v>-20.9</v>
      </c>
      <c r="AB15" s="299">
        <f t="shared" si="90"/>
        <v>364789</v>
      </c>
      <c r="AC15" s="299">
        <f t="shared" si="91"/>
        <v>420880</v>
      </c>
      <c r="AD15" s="299">
        <f t="shared" si="92"/>
        <v>355498</v>
      </c>
      <c r="AE15" s="129">
        <f t="shared" si="54"/>
        <v>-2.5</v>
      </c>
      <c r="AF15" s="299">
        <f t="shared" si="93"/>
        <v>414017</v>
      </c>
      <c r="AG15" s="129">
        <f t="shared" si="20"/>
        <v>-1.6</v>
      </c>
      <c r="AH15" s="299">
        <v>750789</v>
      </c>
      <c r="AI15" s="299">
        <v>974577</v>
      </c>
      <c r="AJ15" s="299">
        <v>710349</v>
      </c>
      <c r="AK15" s="129">
        <f t="shared" si="21"/>
        <v>-5.4</v>
      </c>
      <c r="AL15" s="299">
        <v>852268</v>
      </c>
      <c r="AM15" s="129">
        <f t="shared" si="22"/>
        <v>-12.5</v>
      </c>
      <c r="AN15" s="299">
        <f t="shared" si="94"/>
        <v>378617</v>
      </c>
      <c r="AO15" s="299">
        <f t="shared" si="95"/>
        <v>512859</v>
      </c>
      <c r="AP15" s="299">
        <f t="shared" si="96"/>
        <v>360466</v>
      </c>
      <c r="AQ15" s="129">
        <f t="shared" si="57"/>
        <v>-4.8</v>
      </c>
      <c r="AR15" s="299">
        <f t="shared" si="97"/>
        <v>495823</v>
      </c>
      <c r="AS15" s="129">
        <f t="shared" si="23"/>
        <v>-3.3</v>
      </c>
      <c r="AT15" s="299">
        <v>1129406</v>
      </c>
      <c r="AU15" s="299">
        <v>1487436</v>
      </c>
      <c r="AV15" s="299">
        <v>1070815</v>
      </c>
      <c r="AW15" s="129">
        <f t="shared" si="24"/>
        <v>-5.2</v>
      </c>
      <c r="AX15" s="299">
        <v>1348091</v>
      </c>
      <c r="AY15" s="129">
        <f t="shared" si="25"/>
        <v>-9.4</v>
      </c>
      <c r="AZ15" s="299">
        <f t="shared" si="98"/>
        <v>395359</v>
      </c>
      <c r="BA15" s="299">
        <f t="shared" si="99"/>
        <v>501819</v>
      </c>
      <c r="BB15" s="299">
        <f t="shared" si="100"/>
        <v>331679</v>
      </c>
      <c r="BC15" s="129">
        <f t="shared" si="60"/>
        <v>-16.100000000000001</v>
      </c>
      <c r="BD15" s="299">
        <f t="shared" si="101"/>
        <v>393272</v>
      </c>
      <c r="BE15" s="129">
        <f t="shared" si="26"/>
        <v>-21.6</v>
      </c>
      <c r="BF15" s="299">
        <v>1524765</v>
      </c>
      <c r="BG15" s="299">
        <v>1989255</v>
      </c>
      <c r="BH15" s="299">
        <v>1402494</v>
      </c>
      <c r="BI15" s="129">
        <f t="shared" si="27"/>
        <v>-8</v>
      </c>
      <c r="BJ15" s="299">
        <v>1741363</v>
      </c>
      <c r="BK15" s="129">
        <f t="shared" si="28"/>
        <v>-12.5</v>
      </c>
      <c r="BL15" s="299">
        <f t="shared" si="102"/>
        <v>467118</v>
      </c>
      <c r="BM15" s="299">
        <f t="shared" si="102"/>
        <v>448345</v>
      </c>
      <c r="BN15" s="299">
        <f t="shared" si="102"/>
        <v>301592</v>
      </c>
      <c r="BO15" s="129">
        <f t="shared" si="63"/>
        <v>-35.4</v>
      </c>
      <c r="BP15" s="299">
        <f t="shared" si="103"/>
        <v>329062</v>
      </c>
      <c r="BQ15" s="129">
        <f t="shared" si="29"/>
        <v>-26.6</v>
      </c>
      <c r="BR15" s="299">
        <v>1991883</v>
      </c>
      <c r="BS15" s="299">
        <v>2437600</v>
      </c>
      <c r="BT15" s="299">
        <v>1704086</v>
      </c>
      <c r="BU15" s="129">
        <f t="shared" si="30"/>
        <v>-14.4</v>
      </c>
      <c r="BV15" s="299">
        <v>2070425</v>
      </c>
      <c r="BW15" s="129">
        <f t="shared" si="31"/>
        <v>-15.1</v>
      </c>
      <c r="BX15" s="827">
        <f t="shared" si="104"/>
        <v>366161</v>
      </c>
      <c r="BY15" s="827">
        <f t="shared" si="105"/>
        <v>417572</v>
      </c>
      <c r="BZ15" s="827">
        <f t="shared" si="106"/>
        <v>363477</v>
      </c>
      <c r="CA15" s="828">
        <f t="shared" si="66"/>
        <v>-0.7</v>
      </c>
      <c r="CB15" s="827">
        <f t="shared" si="107"/>
        <v>343704</v>
      </c>
      <c r="CC15" s="828">
        <f t="shared" si="32"/>
        <v>-17.7</v>
      </c>
      <c r="CD15" s="843">
        <v>2358044</v>
      </c>
      <c r="CE15" s="843">
        <v>2855172</v>
      </c>
      <c r="CF15" s="843">
        <v>2067563</v>
      </c>
      <c r="CG15" s="828">
        <f t="shared" si="33"/>
        <v>-12.3</v>
      </c>
      <c r="CH15" s="843">
        <v>2414129</v>
      </c>
      <c r="CI15" s="828">
        <f t="shared" si="34"/>
        <v>-15.4</v>
      </c>
      <c r="CJ15" s="843">
        <f t="shared" si="108"/>
        <v>422194</v>
      </c>
      <c r="CK15" s="843">
        <f t="shared" si="109"/>
        <v>427114</v>
      </c>
      <c r="CL15" s="843">
        <f t="shared" si="110"/>
        <v>427837</v>
      </c>
      <c r="CM15" s="828">
        <f t="shared" si="69"/>
        <v>1.3</v>
      </c>
      <c r="CN15" s="843">
        <f t="shared" si="111"/>
        <v>378480</v>
      </c>
      <c r="CO15" s="828">
        <f t="shared" si="35"/>
        <v>-11.4</v>
      </c>
      <c r="CP15" s="942">
        <v>2780238</v>
      </c>
      <c r="CQ15" s="942">
        <v>3282286</v>
      </c>
      <c r="CR15" s="942">
        <v>2495400</v>
      </c>
      <c r="CS15" s="828">
        <f t="shared" si="36"/>
        <v>-10.199999999999999</v>
      </c>
      <c r="CT15" s="942">
        <v>2792609</v>
      </c>
      <c r="CU15" s="828">
        <f t="shared" si="37"/>
        <v>-14.9</v>
      </c>
      <c r="CV15" s="843">
        <f t="shared" si="112"/>
        <v>355497</v>
      </c>
      <c r="CW15" s="843">
        <f t="shared" si="113"/>
        <v>387728</v>
      </c>
      <c r="CX15" s="843">
        <f t="shared" si="114"/>
        <v>360155</v>
      </c>
      <c r="CY15" s="828">
        <f t="shared" si="72"/>
        <v>1.3</v>
      </c>
      <c r="CZ15" s="843">
        <f t="shared" si="115"/>
        <v>409399</v>
      </c>
      <c r="DA15" s="828">
        <f t="shared" si="38"/>
        <v>5.6</v>
      </c>
      <c r="DB15" s="843">
        <v>3135735</v>
      </c>
      <c r="DC15" s="843">
        <v>3670014</v>
      </c>
      <c r="DD15" s="843">
        <v>2855555</v>
      </c>
      <c r="DE15" s="828">
        <f t="shared" si="39"/>
        <v>-8.9</v>
      </c>
      <c r="DF15" s="843">
        <v>3202008</v>
      </c>
      <c r="DG15" s="828">
        <f t="shared" si="40"/>
        <v>-12.8</v>
      </c>
      <c r="DH15" s="843">
        <f t="shared" si="116"/>
        <v>357984</v>
      </c>
      <c r="DI15" s="843">
        <f t="shared" si="116"/>
        <v>414034</v>
      </c>
      <c r="DJ15" s="843">
        <f t="shared" si="116"/>
        <v>457771</v>
      </c>
      <c r="DK15" s="828">
        <f t="shared" si="75"/>
        <v>27.9</v>
      </c>
      <c r="DL15" s="843">
        <f t="shared" si="117"/>
        <v>442023</v>
      </c>
      <c r="DM15" s="828">
        <f t="shared" si="41"/>
        <v>6.8</v>
      </c>
      <c r="DN15" s="843">
        <v>3493719</v>
      </c>
      <c r="DO15" s="843">
        <v>4084048</v>
      </c>
      <c r="DP15" s="843">
        <v>3313326</v>
      </c>
      <c r="DQ15" s="828">
        <f t="shared" si="42"/>
        <v>-5.2</v>
      </c>
      <c r="DR15" s="843">
        <v>3644031</v>
      </c>
      <c r="DS15" s="828">
        <f t="shared" si="43"/>
        <v>-10.8</v>
      </c>
      <c r="DT15" s="843">
        <f t="shared" si="118"/>
        <v>402572</v>
      </c>
      <c r="DU15" s="843">
        <f t="shared" si="118"/>
        <v>427419</v>
      </c>
      <c r="DV15" s="843">
        <f t="shared" si="118"/>
        <v>478640</v>
      </c>
      <c r="DW15" s="828">
        <f t="shared" si="78"/>
        <v>18.899999999999999</v>
      </c>
      <c r="DX15" s="843">
        <f t="shared" si="119"/>
        <v>465290</v>
      </c>
      <c r="DY15" s="828">
        <f t="shared" si="44"/>
        <v>8.9</v>
      </c>
      <c r="DZ15" s="1065">
        <v>3896291</v>
      </c>
      <c r="EA15" s="843">
        <v>4511467</v>
      </c>
      <c r="EB15" s="843">
        <v>3791966</v>
      </c>
      <c r="EC15" s="828">
        <f t="shared" si="45"/>
        <v>-2.7</v>
      </c>
      <c r="ED15" s="843">
        <v>4109321</v>
      </c>
      <c r="EE15" s="828">
        <f t="shared" si="46"/>
        <v>-8.9</v>
      </c>
      <c r="EF15" s="843">
        <f t="shared" si="120"/>
        <v>373315</v>
      </c>
      <c r="EG15" s="843">
        <f t="shared" si="120"/>
        <v>399428</v>
      </c>
      <c r="EH15" s="843">
        <f t="shared" si="120"/>
        <v>520050</v>
      </c>
      <c r="EI15" s="828">
        <f t="shared" si="81"/>
        <v>39.299999999999997</v>
      </c>
      <c r="EJ15" s="843">
        <f t="shared" si="121"/>
        <v>486090</v>
      </c>
      <c r="EK15" s="828">
        <f t="shared" si="47"/>
        <v>21.7</v>
      </c>
      <c r="EL15" s="1065">
        <v>4269606</v>
      </c>
      <c r="EM15" s="843">
        <v>4910895</v>
      </c>
      <c r="EN15" s="843">
        <v>4312016</v>
      </c>
      <c r="EO15" s="828">
        <f t="shared" si="48"/>
        <v>1</v>
      </c>
      <c r="EP15" s="843">
        <v>4595411</v>
      </c>
      <c r="EQ15" s="828">
        <f t="shared" si="49"/>
        <v>-6.4</v>
      </c>
    </row>
    <row r="16" spans="1:147" ht="21.75" customHeight="1" thickTop="1">
      <c r="A16" s="1130" t="s">
        <v>276</v>
      </c>
      <c r="B16" s="1130" t="s">
        <v>270</v>
      </c>
      <c r="C16" s="130" t="s">
        <v>271</v>
      </c>
      <c r="D16" s="131">
        <v>23</v>
      </c>
      <c r="E16" s="131">
        <v>5132</v>
      </c>
      <c r="F16" s="131">
        <v>115</v>
      </c>
      <c r="G16" s="131">
        <v>15735</v>
      </c>
      <c r="H16" s="131">
        <v>0</v>
      </c>
      <c r="I16" s="131">
        <v>10351</v>
      </c>
      <c r="J16" s="131">
        <v>0</v>
      </c>
      <c r="K16" s="131">
        <v>10226</v>
      </c>
      <c r="L16" s="131">
        <v>20</v>
      </c>
      <c r="M16" s="131">
        <v>13620</v>
      </c>
      <c r="N16" s="131">
        <v>0</v>
      </c>
      <c r="O16" s="131">
        <v>5270</v>
      </c>
      <c r="P16" s="131">
        <v>0</v>
      </c>
      <c r="Q16" s="131">
        <v>5209</v>
      </c>
      <c r="R16" s="300">
        <v>21</v>
      </c>
      <c r="S16" s="300">
        <v>6728</v>
      </c>
      <c r="T16" s="300">
        <v>47</v>
      </c>
      <c r="U16" s="300">
        <v>10412</v>
      </c>
      <c r="V16" s="300">
        <v>0</v>
      </c>
      <c r="W16" s="300">
        <v>535</v>
      </c>
      <c r="X16" s="300">
        <v>0</v>
      </c>
      <c r="Y16" s="132" t="e">
        <f t="shared" si="18"/>
        <v>#DIV/0!</v>
      </c>
      <c r="Z16" s="300">
        <v>116</v>
      </c>
      <c r="AA16" s="132">
        <f t="shared" si="19"/>
        <v>-78.3</v>
      </c>
      <c r="AB16" s="300">
        <f t="shared" si="90"/>
        <v>0</v>
      </c>
      <c r="AC16" s="300">
        <f t="shared" si="91"/>
        <v>907</v>
      </c>
      <c r="AD16" s="300">
        <f t="shared" si="92"/>
        <v>0</v>
      </c>
      <c r="AE16" s="132" t="e">
        <f t="shared" si="54"/>
        <v>#DIV/0!</v>
      </c>
      <c r="AF16" s="300">
        <f t="shared" si="93"/>
        <v>290</v>
      </c>
      <c r="AG16" s="132">
        <f t="shared" si="20"/>
        <v>-68</v>
      </c>
      <c r="AH16" s="300">
        <v>0</v>
      </c>
      <c r="AI16" s="300">
        <v>1442</v>
      </c>
      <c r="AJ16" s="300">
        <v>0</v>
      </c>
      <c r="AK16" s="132" t="e">
        <f t="shared" si="21"/>
        <v>#DIV/0!</v>
      </c>
      <c r="AL16" s="300">
        <v>406</v>
      </c>
      <c r="AM16" s="132">
        <f t="shared" si="22"/>
        <v>-71.8</v>
      </c>
      <c r="AN16" s="300">
        <f t="shared" si="94"/>
        <v>19</v>
      </c>
      <c r="AO16" s="300">
        <f t="shared" si="95"/>
        <v>1151</v>
      </c>
      <c r="AP16" s="300">
        <f t="shared" si="96"/>
        <v>0</v>
      </c>
      <c r="AQ16" s="132">
        <f t="shared" si="57"/>
        <v>-100</v>
      </c>
      <c r="AR16" s="300">
        <f t="shared" si="97"/>
        <v>402</v>
      </c>
      <c r="AS16" s="132">
        <f t="shared" si="23"/>
        <v>-65.099999999999994</v>
      </c>
      <c r="AT16" s="300">
        <v>19</v>
      </c>
      <c r="AU16" s="300">
        <v>2593</v>
      </c>
      <c r="AV16" s="300">
        <v>0</v>
      </c>
      <c r="AW16" s="132">
        <f t="shared" si="24"/>
        <v>-100</v>
      </c>
      <c r="AX16" s="300">
        <v>808</v>
      </c>
      <c r="AY16" s="132">
        <f t="shared" si="25"/>
        <v>-68.8</v>
      </c>
      <c r="AZ16" s="300">
        <f t="shared" si="98"/>
        <v>0</v>
      </c>
      <c r="BA16" s="300">
        <f t="shared" si="99"/>
        <v>663</v>
      </c>
      <c r="BB16" s="300">
        <f t="shared" si="100"/>
        <v>0</v>
      </c>
      <c r="BC16" s="132" t="e">
        <f t="shared" si="60"/>
        <v>#DIV/0!</v>
      </c>
      <c r="BD16" s="300">
        <f t="shared" si="101"/>
        <v>387</v>
      </c>
      <c r="BE16" s="132">
        <f t="shared" si="26"/>
        <v>-41.6</v>
      </c>
      <c r="BF16" s="300">
        <v>19</v>
      </c>
      <c r="BG16" s="300">
        <v>3256</v>
      </c>
      <c r="BH16" s="300">
        <v>0</v>
      </c>
      <c r="BI16" s="132">
        <f t="shared" si="27"/>
        <v>-100</v>
      </c>
      <c r="BJ16" s="300">
        <v>1195</v>
      </c>
      <c r="BK16" s="132">
        <f t="shared" si="28"/>
        <v>-63.3</v>
      </c>
      <c r="BL16" s="300">
        <f t="shared" si="102"/>
        <v>0</v>
      </c>
      <c r="BM16" s="300">
        <f t="shared" si="102"/>
        <v>2166</v>
      </c>
      <c r="BN16" s="300">
        <f t="shared" si="102"/>
        <v>0</v>
      </c>
      <c r="BO16" s="132" t="e">
        <f t="shared" si="63"/>
        <v>#DIV/0!</v>
      </c>
      <c r="BP16" s="300">
        <f t="shared" si="103"/>
        <v>263</v>
      </c>
      <c r="BQ16" s="132">
        <f t="shared" si="29"/>
        <v>-87.9</v>
      </c>
      <c r="BR16" s="300">
        <v>19</v>
      </c>
      <c r="BS16" s="300">
        <v>5422</v>
      </c>
      <c r="BT16" s="300">
        <v>0</v>
      </c>
      <c r="BU16" s="132">
        <f t="shared" si="30"/>
        <v>-100</v>
      </c>
      <c r="BV16" s="300">
        <v>1458</v>
      </c>
      <c r="BW16" s="132">
        <f t="shared" si="31"/>
        <v>-73.099999999999994</v>
      </c>
      <c r="BX16" s="829">
        <f t="shared" si="104"/>
        <v>20</v>
      </c>
      <c r="BY16" s="829">
        <f t="shared" si="105"/>
        <v>1731</v>
      </c>
      <c r="BZ16" s="829">
        <f t="shared" si="106"/>
        <v>0</v>
      </c>
      <c r="CA16" s="830">
        <f t="shared" si="66"/>
        <v>-100</v>
      </c>
      <c r="CB16" s="829">
        <f t="shared" si="107"/>
        <v>207</v>
      </c>
      <c r="CC16" s="830">
        <f t="shared" si="32"/>
        <v>-88</v>
      </c>
      <c r="CD16" s="845">
        <v>39</v>
      </c>
      <c r="CE16" s="845">
        <v>7153</v>
      </c>
      <c r="CF16" s="845">
        <v>0</v>
      </c>
      <c r="CG16" s="830">
        <f t="shared" si="33"/>
        <v>-100</v>
      </c>
      <c r="CH16" s="845">
        <v>1665</v>
      </c>
      <c r="CI16" s="830">
        <f t="shared" si="34"/>
        <v>-76.7</v>
      </c>
      <c r="CJ16" s="845">
        <f t="shared" si="108"/>
        <v>8</v>
      </c>
      <c r="CK16" s="845">
        <f t="shared" si="109"/>
        <v>1653</v>
      </c>
      <c r="CL16" s="845">
        <f t="shared" si="110"/>
        <v>0</v>
      </c>
      <c r="CM16" s="830">
        <f t="shared" si="69"/>
        <v>-100</v>
      </c>
      <c r="CN16" s="845">
        <f t="shared" si="111"/>
        <v>489</v>
      </c>
      <c r="CO16" s="830">
        <f t="shared" si="35"/>
        <v>-70.400000000000006</v>
      </c>
      <c r="CP16" s="943">
        <v>47</v>
      </c>
      <c r="CQ16" s="943">
        <v>8806</v>
      </c>
      <c r="CR16" s="943">
        <v>0</v>
      </c>
      <c r="CS16" s="830">
        <f t="shared" si="36"/>
        <v>-100</v>
      </c>
      <c r="CT16" s="943">
        <v>2154</v>
      </c>
      <c r="CU16" s="830">
        <f t="shared" si="37"/>
        <v>-75.5</v>
      </c>
      <c r="CV16" s="845">
        <f t="shared" si="112"/>
        <v>0</v>
      </c>
      <c r="CW16" s="845">
        <f t="shared" si="113"/>
        <v>350</v>
      </c>
      <c r="CX16" s="845">
        <f t="shared" si="114"/>
        <v>0</v>
      </c>
      <c r="CY16" s="830" t="e">
        <f t="shared" si="72"/>
        <v>#DIV/0!</v>
      </c>
      <c r="CZ16" s="845">
        <f t="shared" si="115"/>
        <v>243</v>
      </c>
      <c r="DA16" s="830">
        <f t="shared" si="38"/>
        <v>-30.6</v>
      </c>
      <c r="DB16" s="845">
        <v>47</v>
      </c>
      <c r="DC16" s="845">
        <v>9156</v>
      </c>
      <c r="DD16" s="845">
        <v>0</v>
      </c>
      <c r="DE16" s="830">
        <f t="shared" si="39"/>
        <v>-100</v>
      </c>
      <c r="DF16" s="845">
        <v>2397</v>
      </c>
      <c r="DG16" s="830">
        <f t="shared" si="40"/>
        <v>-73.8</v>
      </c>
      <c r="DH16" s="845">
        <f t="shared" si="116"/>
        <v>0</v>
      </c>
      <c r="DI16" s="845">
        <f t="shared" si="116"/>
        <v>211</v>
      </c>
      <c r="DJ16" s="845">
        <f t="shared" si="116"/>
        <v>0</v>
      </c>
      <c r="DK16" s="830" t="e">
        <f t="shared" si="75"/>
        <v>#DIV/0!</v>
      </c>
      <c r="DL16" s="845">
        <f t="shared" si="117"/>
        <v>620</v>
      </c>
      <c r="DM16" s="830">
        <f t="shared" si="41"/>
        <v>193.8</v>
      </c>
      <c r="DN16" s="845">
        <v>47</v>
      </c>
      <c r="DO16" s="845">
        <v>9367</v>
      </c>
      <c r="DP16" s="845">
        <v>0</v>
      </c>
      <c r="DQ16" s="830">
        <f t="shared" si="42"/>
        <v>-100</v>
      </c>
      <c r="DR16" s="845">
        <v>3017</v>
      </c>
      <c r="DS16" s="830">
        <f t="shared" si="43"/>
        <v>-67.8</v>
      </c>
      <c r="DT16" s="845">
        <f t="shared" si="118"/>
        <v>0</v>
      </c>
      <c r="DU16" s="845">
        <f t="shared" si="118"/>
        <v>334</v>
      </c>
      <c r="DV16" s="845">
        <f t="shared" si="118"/>
        <v>0</v>
      </c>
      <c r="DW16" s="830" t="e">
        <f t="shared" si="78"/>
        <v>#DIV/0!</v>
      </c>
      <c r="DX16" s="845">
        <f t="shared" si="119"/>
        <v>92</v>
      </c>
      <c r="DY16" s="830">
        <f t="shared" si="44"/>
        <v>-72.5</v>
      </c>
      <c r="DZ16" s="845">
        <v>47</v>
      </c>
      <c r="EA16" s="845">
        <v>9701</v>
      </c>
      <c r="EB16" s="845">
        <v>0</v>
      </c>
      <c r="EC16" s="830">
        <f t="shared" si="45"/>
        <v>-100</v>
      </c>
      <c r="ED16" s="845">
        <v>3109</v>
      </c>
      <c r="EE16" s="830">
        <f t="shared" si="46"/>
        <v>-68</v>
      </c>
      <c r="EF16" s="845">
        <f t="shared" si="120"/>
        <v>0</v>
      </c>
      <c r="EG16" s="845">
        <f t="shared" si="120"/>
        <v>450</v>
      </c>
      <c r="EH16" s="845">
        <f t="shared" si="120"/>
        <v>0</v>
      </c>
      <c r="EI16" s="830" t="e">
        <f t="shared" si="81"/>
        <v>#DIV/0!</v>
      </c>
      <c r="EJ16" s="845">
        <f t="shared" si="121"/>
        <v>191</v>
      </c>
      <c r="EK16" s="830">
        <f t="shared" si="47"/>
        <v>-57.6</v>
      </c>
      <c r="EL16" s="845">
        <v>47</v>
      </c>
      <c r="EM16" s="845">
        <v>10151</v>
      </c>
      <c r="EN16" s="845">
        <v>0</v>
      </c>
      <c r="EO16" s="830">
        <f t="shared" si="48"/>
        <v>-100</v>
      </c>
      <c r="EP16" s="845">
        <v>3300</v>
      </c>
      <c r="EQ16" s="830">
        <f t="shared" si="49"/>
        <v>-67.5</v>
      </c>
    </row>
    <row r="17" spans="1:147" ht="21.75" customHeight="1">
      <c r="A17" s="1129"/>
      <c r="B17" s="1129"/>
      <c r="C17" s="121" t="s">
        <v>272</v>
      </c>
      <c r="D17" s="122">
        <v>37</v>
      </c>
      <c r="E17" s="122">
        <v>16951</v>
      </c>
      <c r="F17" s="122">
        <v>162</v>
      </c>
      <c r="G17" s="122">
        <v>28253</v>
      </c>
      <c r="H17" s="122">
        <v>0</v>
      </c>
      <c r="I17" s="122">
        <v>23685</v>
      </c>
      <c r="J17" s="122">
        <v>0</v>
      </c>
      <c r="K17" s="122">
        <v>19509</v>
      </c>
      <c r="L17" s="122">
        <v>30</v>
      </c>
      <c r="M17" s="122">
        <v>22499</v>
      </c>
      <c r="N17" s="122">
        <v>0</v>
      </c>
      <c r="O17" s="122">
        <v>11062</v>
      </c>
      <c r="P17" s="122">
        <v>0</v>
      </c>
      <c r="Q17" s="122">
        <v>13408</v>
      </c>
      <c r="R17" s="297">
        <v>81</v>
      </c>
      <c r="S17" s="297">
        <v>14949</v>
      </c>
      <c r="T17" s="297">
        <v>71</v>
      </c>
      <c r="U17" s="297">
        <v>17162</v>
      </c>
      <c r="V17" s="297">
        <v>0</v>
      </c>
      <c r="W17" s="297">
        <v>1143</v>
      </c>
      <c r="X17" s="297">
        <v>0</v>
      </c>
      <c r="Y17" s="123" t="e">
        <f t="shared" si="18"/>
        <v>#DIV/0!</v>
      </c>
      <c r="Z17" s="297">
        <v>211</v>
      </c>
      <c r="AA17" s="123">
        <f t="shared" si="19"/>
        <v>-81.5</v>
      </c>
      <c r="AB17" s="297">
        <f t="shared" si="90"/>
        <v>0</v>
      </c>
      <c r="AC17" s="297">
        <f t="shared" si="91"/>
        <v>1737</v>
      </c>
      <c r="AD17" s="297">
        <f t="shared" si="92"/>
        <v>0</v>
      </c>
      <c r="AE17" s="123" t="e">
        <f t="shared" si="54"/>
        <v>#DIV/0!</v>
      </c>
      <c r="AF17" s="297">
        <f t="shared" si="93"/>
        <v>749</v>
      </c>
      <c r="AG17" s="123">
        <f t="shared" si="20"/>
        <v>-56.9</v>
      </c>
      <c r="AH17" s="297">
        <v>0</v>
      </c>
      <c r="AI17" s="297">
        <v>2880</v>
      </c>
      <c r="AJ17" s="297">
        <v>0</v>
      </c>
      <c r="AK17" s="123" t="e">
        <f t="shared" si="21"/>
        <v>#DIV/0!</v>
      </c>
      <c r="AL17" s="297">
        <v>960</v>
      </c>
      <c r="AM17" s="123">
        <f t="shared" si="22"/>
        <v>-66.7</v>
      </c>
      <c r="AN17" s="297">
        <f t="shared" si="94"/>
        <v>20</v>
      </c>
      <c r="AO17" s="297">
        <f t="shared" si="95"/>
        <v>2019</v>
      </c>
      <c r="AP17" s="297">
        <f t="shared" si="96"/>
        <v>0</v>
      </c>
      <c r="AQ17" s="123">
        <f t="shared" si="57"/>
        <v>-100</v>
      </c>
      <c r="AR17" s="297">
        <f t="shared" si="97"/>
        <v>885</v>
      </c>
      <c r="AS17" s="123">
        <f t="shared" si="23"/>
        <v>-56.2</v>
      </c>
      <c r="AT17" s="297">
        <v>20</v>
      </c>
      <c r="AU17" s="297">
        <v>4899</v>
      </c>
      <c r="AV17" s="297">
        <v>0</v>
      </c>
      <c r="AW17" s="123">
        <f t="shared" si="24"/>
        <v>-100</v>
      </c>
      <c r="AX17" s="297">
        <v>1845</v>
      </c>
      <c r="AY17" s="123">
        <f t="shared" si="25"/>
        <v>-62.3</v>
      </c>
      <c r="AZ17" s="297">
        <f t="shared" si="98"/>
        <v>0</v>
      </c>
      <c r="BA17" s="297">
        <f t="shared" si="99"/>
        <v>1299</v>
      </c>
      <c r="BB17" s="297">
        <f t="shared" si="100"/>
        <v>0</v>
      </c>
      <c r="BC17" s="123" t="e">
        <f t="shared" si="60"/>
        <v>#DIV/0!</v>
      </c>
      <c r="BD17" s="297">
        <f t="shared" si="101"/>
        <v>873</v>
      </c>
      <c r="BE17" s="123">
        <f t="shared" si="26"/>
        <v>-32.799999999999997</v>
      </c>
      <c r="BF17" s="297">
        <v>20</v>
      </c>
      <c r="BG17" s="297">
        <v>6198</v>
      </c>
      <c r="BH17" s="297">
        <v>0</v>
      </c>
      <c r="BI17" s="123">
        <f t="shared" si="27"/>
        <v>-100</v>
      </c>
      <c r="BJ17" s="297">
        <v>2718</v>
      </c>
      <c r="BK17" s="123">
        <f t="shared" si="28"/>
        <v>-56.1</v>
      </c>
      <c r="BL17" s="297">
        <f t="shared" si="102"/>
        <v>0</v>
      </c>
      <c r="BM17" s="297">
        <f t="shared" si="102"/>
        <v>2583</v>
      </c>
      <c r="BN17" s="297">
        <f t="shared" si="102"/>
        <v>0</v>
      </c>
      <c r="BO17" s="123" t="e">
        <f t="shared" si="63"/>
        <v>#DIV/0!</v>
      </c>
      <c r="BP17" s="297">
        <f t="shared" si="103"/>
        <v>409</v>
      </c>
      <c r="BQ17" s="123">
        <f t="shared" si="29"/>
        <v>-84.2</v>
      </c>
      <c r="BR17" s="297">
        <v>20</v>
      </c>
      <c r="BS17" s="297">
        <v>8781</v>
      </c>
      <c r="BT17" s="297">
        <v>0</v>
      </c>
      <c r="BU17" s="123">
        <f t="shared" si="30"/>
        <v>-100</v>
      </c>
      <c r="BV17" s="297">
        <v>3127</v>
      </c>
      <c r="BW17" s="123">
        <f t="shared" si="31"/>
        <v>-64.400000000000006</v>
      </c>
      <c r="BX17" s="823">
        <f t="shared" si="104"/>
        <v>39</v>
      </c>
      <c r="BY17" s="823">
        <f t="shared" si="105"/>
        <v>2633</v>
      </c>
      <c r="BZ17" s="823">
        <f t="shared" si="106"/>
        <v>0</v>
      </c>
      <c r="CA17" s="824">
        <f t="shared" si="66"/>
        <v>-100</v>
      </c>
      <c r="CB17" s="823">
        <f t="shared" si="107"/>
        <v>524</v>
      </c>
      <c r="CC17" s="824">
        <f t="shared" si="32"/>
        <v>-80.099999999999994</v>
      </c>
      <c r="CD17" s="844">
        <v>59</v>
      </c>
      <c r="CE17" s="844">
        <v>11414</v>
      </c>
      <c r="CF17" s="844">
        <v>0</v>
      </c>
      <c r="CG17" s="824">
        <f t="shared" si="33"/>
        <v>-100</v>
      </c>
      <c r="CH17" s="844">
        <v>3651</v>
      </c>
      <c r="CI17" s="824">
        <f t="shared" si="34"/>
        <v>-68</v>
      </c>
      <c r="CJ17" s="844">
        <f t="shared" si="108"/>
        <v>12</v>
      </c>
      <c r="CK17" s="844">
        <f t="shared" si="109"/>
        <v>2011</v>
      </c>
      <c r="CL17" s="844">
        <f t="shared" si="110"/>
        <v>0</v>
      </c>
      <c r="CM17" s="824">
        <f t="shared" si="69"/>
        <v>-100</v>
      </c>
      <c r="CN17" s="844">
        <f t="shared" si="111"/>
        <v>960</v>
      </c>
      <c r="CO17" s="824">
        <f t="shared" si="35"/>
        <v>-52.3</v>
      </c>
      <c r="CP17" s="940">
        <v>71</v>
      </c>
      <c r="CQ17" s="940">
        <v>13425</v>
      </c>
      <c r="CR17" s="940">
        <v>0</v>
      </c>
      <c r="CS17" s="824">
        <f t="shared" si="36"/>
        <v>-100</v>
      </c>
      <c r="CT17" s="940">
        <v>4611</v>
      </c>
      <c r="CU17" s="824">
        <f t="shared" si="37"/>
        <v>-65.7</v>
      </c>
      <c r="CV17" s="844">
        <f t="shared" si="112"/>
        <v>0</v>
      </c>
      <c r="CW17" s="844">
        <f t="shared" si="113"/>
        <v>743</v>
      </c>
      <c r="CX17" s="844">
        <f t="shared" si="114"/>
        <v>0</v>
      </c>
      <c r="CY17" s="824" t="e">
        <f t="shared" si="72"/>
        <v>#DIV/0!</v>
      </c>
      <c r="CZ17" s="844">
        <f t="shared" si="115"/>
        <v>592</v>
      </c>
      <c r="DA17" s="824">
        <f t="shared" si="38"/>
        <v>-20.3</v>
      </c>
      <c r="DB17" s="844">
        <v>71</v>
      </c>
      <c r="DC17" s="844">
        <v>14168</v>
      </c>
      <c r="DD17" s="844">
        <v>0</v>
      </c>
      <c r="DE17" s="824">
        <f t="shared" si="39"/>
        <v>-100</v>
      </c>
      <c r="DF17" s="844">
        <v>5203</v>
      </c>
      <c r="DG17" s="824">
        <f t="shared" si="40"/>
        <v>-63.3</v>
      </c>
      <c r="DH17" s="844">
        <f t="shared" si="116"/>
        <v>0</v>
      </c>
      <c r="DI17" s="844">
        <f t="shared" si="116"/>
        <v>392</v>
      </c>
      <c r="DJ17" s="844">
        <f t="shared" si="116"/>
        <v>0</v>
      </c>
      <c r="DK17" s="824" t="e">
        <f t="shared" si="75"/>
        <v>#DIV/0!</v>
      </c>
      <c r="DL17" s="844">
        <f t="shared" si="117"/>
        <v>1331</v>
      </c>
      <c r="DM17" s="824">
        <f t="shared" si="41"/>
        <v>239.5</v>
      </c>
      <c r="DN17" s="844">
        <v>71</v>
      </c>
      <c r="DO17" s="844">
        <v>14560</v>
      </c>
      <c r="DP17" s="844">
        <v>0</v>
      </c>
      <c r="DQ17" s="824">
        <f t="shared" si="42"/>
        <v>-100</v>
      </c>
      <c r="DR17" s="844">
        <v>6534</v>
      </c>
      <c r="DS17" s="824">
        <f t="shared" si="43"/>
        <v>-55.1</v>
      </c>
      <c r="DT17" s="844">
        <f t="shared" si="118"/>
        <v>0</v>
      </c>
      <c r="DU17" s="844">
        <f t="shared" si="118"/>
        <v>819</v>
      </c>
      <c r="DV17" s="844">
        <f t="shared" si="118"/>
        <v>0</v>
      </c>
      <c r="DW17" s="824" t="e">
        <f t="shared" si="78"/>
        <v>#DIV/0!</v>
      </c>
      <c r="DX17" s="844">
        <f t="shared" si="119"/>
        <v>158</v>
      </c>
      <c r="DY17" s="824">
        <f t="shared" si="44"/>
        <v>-80.7</v>
      </c>
      <c r="DZ17" s="844">
        <v>71</v>
      </c>
      <c r="EA17" s="844">
        <v>15379</v>
      </c>
      <c r="EB17" s="844">
        <v>0</v>
      </c>
      <c r="EC17" s="824">
        <f t="shared" si="45"/>
        <v>-100</v>
      </c>
      <c r="ED17" s="844">
        <v>6692</v>
      </c>
      <c r="EE17" s="824">
        <f t="shared" si="46"/>
        <v>-56.5</v>
      </c>
      <c r="EF17" s="844">
        <f t="shared" si="120"/>
        <v>0</v>
      </c>
      <c r="EG17" s="844">
        <f t="shared" si="120"/>
        <v>1084</v>
      </c>
      <c r="EH17" s="844">
        <f t="shared" si="120"/>
        <v>0</v>
      </c>
      <c r="EI17" s="824" t="e">
        <f t="shared" si="81"/>
        <v>#DIV/0!</v>
      </c>
      <c r="EJ17" s="844">
        <f t="shared" si="121"/>
        <v>718</v>
      </c>
      <c r="EK17" s="824">
        <f t="shared" si="47"/>
        <v>-33.799999999999997</v>
      </c>
      <c r="EL17" s="844">
        <v>71</v>
      </c>
      <c r="EM17" s="844">
        <v>16463</v>
      </c>
      <c r="EN17" s="844">
        <v>0</v>
      </c>
      <c r="EO17" s="824">
        <f t="shared" si="48"/>
        <v>-100</v>
      </c>
      <c r="EP17" s="844">
        <v>7410</v>
      </c>
      <c r="EQ17" s="824">
        <f t="shared" si="49"/>
        <v>-55</v>
      </c>
    </row>
    <row r="18" spans="1:147" ht="21.75" customHeight="1">
      <c r="A18" s="1129"/>
      <c r="B18" s="1129" t="s">
        <v>273</v>
      </c>
      <c r="C18" s="118" t="s">
        <v>271</v>
      </c>
      <c r="D18" s="119">
        <v>160690</v>
      </c>
      <c r="E18" s="119">
        <v>157027</v>
      </c>
      <c r="F18" s="119">
        <v>183566</v>
      </c>
      <c r="G18" s="119">
        <v>122828</v>
      </c>
      <c r="H18" s="119">
        <v>195046</v>
      </c>
      <c r="I18" s="119">
        <v>183728</v>
      </c>
      <c r="J18" s="119">
        <v>264749</v>
      </c>
      <c r="K18" s="119">
        <v>181021</v>
      </c>
      <c r="L18" s="119">
        <v>256633</v>
      </c>
      <c r="M18" s="119">
        <v>172177</v>
      </c>
      <c r="N18" s="119">
        <v>380255</v>
      </c>
      <c r="O18" s="119">
        <f>133729.75-477.656</f>
        <v>133252.09400000001</v>
      </c>
      <c r="P18" s="119">
        <v>338933</v>
      </c>
      <c r="Q18" s="119">
        <v>129570</v>
      </c>
      <c r="R18" s="296">
        <v>353256</v>
      </c>
      <c r="S18" s="296">
        <v>143766</v>
      </c>
      <c r="T18" s="436">
        <v>350431</v>
      </c>
      <c r="U18" s="296">
        <v>124960</v>
      </c>
      <c r="V18" s="296">
        <v>24992</v>
      </c>
      <c r="W18" s="296">
        <v>10289</v>
      </c>
      <c r="X18" s="296">
        <v>35142</v>
      </c>
      <c r="Y18" s="120">
        <f t="shared" si="18"/>
        <v>40.6</v>
      </c>
      <c r="Z18" s="296">
        <v>10846</v>
      </c>
      <c r="AA18" s="120">
        <f t="shared" si="19"/>
        <v>5.4</v>
      </c>
      <c r="AB18" s="296">
        <f t="shared" si="90"/>
        <v>35016</v>
      </c>
      <c r="AC18" s="296">
        <f t="shared" si="91"/>
        <v>8213</v>
      </c>
      <c r="AD18" s="296">
        <f t="shared" si="92"/>
        <v>24520</v>
      </c>
      <c r="AE18" s="120">
        <f t="shared" si="54"/>
        <v>-30</v>
      </c>
      <c r="AF18" s="296">
        <f t="shared" si="93"/>
        <v>7508</v>
      </c>
      <c r="AG18" s="120">
        <f t="shared" si="20"/>
        <v>-8.6</v>
      </c>
      <c r="AH18" s="296">
        <v>60008</v>
      </c>
      <c r="AI18" s="296">
        <v>18502</v>
      </c>
      <c r="AJ18" s="296">
        <v>59662</v>
      </c>
      <c r="AK18" s="120">
        <f t="shared" si="21"/>
        <v>-0.6</v>
      </c>
      <c r="AL18" s="296">
        <v>18354</v>
      </c>
      <c r="AM18" s="120">
        <f t="shared" si="22"/>
        <v>-0.8</v>
      </c>
      <c r="AN18" s="296">
        <f t="shared" si="94"/>
        <v>29290</v>
      </c>
      <c r="AO18" s="296">
        <f t="shared" si="95"/>
        <v>8510</v>
      </c>
      <c r="AP18" s="296">
        <f t="shared" si="96"/>
        <v>29877</v>
      </c>
      <c r="AQ18" s="120">
        <f t="shared" si="57"/>
        <v>2</v>
      </c>
      <c r="AR18" s="296">
        <f t="shared" si="97"/>
        <v>10479</v>
      </c>
      <c r="AS18" s="120">
        <f t="shared" si="23"/>
        <v>23.1</v>
      </c>
      <c r="AT18" s="296">
        <v>89298</v>
      </c>
      <c r="AU18" s="296">
        <v>27012</v>
      </c>
      <c r="AV18" s="296">
        <v>89539</v>
      </c>
      <c r="AW18" s="120">
        <f t="shared" si="24"/>
        <v>0.3</v>
      </c>
      <c r="AX18" s="296">
        <v>28833</v>
      </c>
      <c r="AY18" s="120">
        <f t="shared" si="25"/>
        <v>6.7</v>
      </c>
      <c r="AZ18" s="296">
        <f t="shared" si="98"/>
        <v>27462</v>
      </c>
      <c r="BA18" s="296">
        <f t="shared" si="99"/>
        <v>11806</v>
      </c>
      <c r="BB18" s="296">
        <f t="shared" si="100"/>
        <v>29145</v>
      </c>
      <c r="BC18" s="120">
        <f t="shared" si="60"/>
        <v>6.1</v>
      </c>
      <c r="BD18" s="296">
        <f t="shared" si="101"/>
        <v>8926</v>
      </c>
      <c r="BE18" s="120">
        <f t="shared" si="26"/>
        <v>-24.4</v>
      </c>
      <c r="BF18" s="296">
        <v>116760</v>
      </c>
      <c r="BG18" s="296">
        <v>38818</v>
      </c>
      <c r="BH18" s="296">
        <v>118684</v>
      </c>
      <c r="BI18" s="120">
        <f t="shared" si="27"/>
        <v>1.6</v>
      </c>
      <c r="BJ18" s="296">
        <v>37759</v>
      </c>
      <c r="BK18" s="120">
        <f t="shared" si="28"/>
        <v>-2.7</v>
      </c>
      <c r="BL18" s="296">
        <f t="shared" si="102"/>
        <v>37352</v>
      </c>
      <c r="BM18" s="296">
        <f t="shared" si="102"/>
        <v>11030</v>
      </c>
      <c r="BN18" s="296">
        <f t="shared" si="102"/>
        <v>19351</v>
      </c>
      <c r="BO18" s="120">
        <f t="shared" si="63"/>
        <v>-48.2</v>
      </c>
      <c r="BP18" s="296">
        <f t="shared" si="103"/>
        <v>7559</v>
      </c>
      <c r="BQ18" s="120">
        <f t="shared" si="29"/>
        <v>-31.5</v>
      </c>
      <c r="BR18" s="296">
        <v>154112</v>
      </c>
      <c r="BS18" s="296">
        <v>49848</v>
      </c>
      <c r="BT18" s="296">
        <v>138035</v>
      </c>
      <c r="BU18" s="120">
        <f t="shared" si="30"/>
        <v>-10.4</v>
      </c>
      <c r="BV18" s="296">
        <v>45318</v>
      </c>
      <c r="BW18" s="120">
        <f t="shared" si="31"/>
        <v>-9.1</v>
      </c>
      <c r="BX18" s="821">
        <f t="shared" si="104"/>
        <v>32706</v>
      </c>
      <c r="BY18" s="821">
        <f t="shared" si="105"/>
        <v>9259</v>
      </c>
      <c r="BZ18" s="821">
        <f t="shared" si="106"/>
        <v>23609</v>
      </c>
      <c r="CA18" s="822">
        <f t="shared" si="66"/>
        <v>-27.8</v>
      </c>
      <c r="CB18" s="821">
        <f t="shared" si="107"/>
        <v>10693</v>
      </c>
      <c r="CC18" s="822">
        <f t="shared" si="32"/>
        <v>15.5</v>
      </c>
      <c r="CD18" s="840">
        <v>186818</v>
      </c>
      <c r="CE18" s="840">
        <v>59107</v>
      </c>
      <c r="CF18" s="840">
        <v>161644</v>
      </c>
      <c r="CG18" s="822">
        <f t="shared" si="33"/>
        <v>-13.5</v>
      </c>
      <c r="CH18" s="840">
        <v>56011</v>
      </c>
      <c r="CI18" s="822">
        <f t="shared" si="34"/>
        <v>-5.2</v>
      </c>
      <c r="CJ18" s="840">
        <f t="shared" si="108"/>
        <v>26511</v>
      </c>
      <c r="CK18" s="840">
        <f t="shared" si="109"/>
        <v>6592</v>
      </c>
      <c r="CL18" s="840">
        <f t="shared" si="110"/>
        <v>37378</v>
      </c>
      <c r="CM18" s="822">
        <f t="shared" si="69"/>
        <v>41</v>
      </c>
      <c r="CN18" s="840">
        <f t="shared" si="111"/>
        <v>15831</v>
      </c>
      <c r="CO18" s="822">
        <f t="shared" si="35"/>
        <v>140.19999999999999</v>
      </c>
      <c r="CP18" s="939">
        <v>213329</v>
      </c>
      <c r="CQ18" s="939">
        <v>65699</v>
      </c>
      <c r="CR18" s="939">
        <v>199022</v>
      </c>
      <c r="CS18" s="822">
        <f t="shared" si="36"/>
        <v>-6.7</v>
      </c>
      <c r="CT18" s="939">
        <v>71842</v>
      </c>
      <c r="CU18" s="822">
        <f t="shared" si="37"/>
        <v>9.4</v>
      </c>
      <c r="CV18" s="840">
        <f t="shared" si="112"/>
        <v>36168</v>
      </c>
      <c r="CW18" s="840">
        <f t="shared" si="113"/>
        <v>7611</v>
      </c>
      <c r="CX18" s="840">
        <f t="shared" si="114"/>
        <v>21668</v>
      </c>
      <c r="CY18" s="822">
        <f t="shared" si="72"/>
        <v>-40.1</v>
      </c>
      <c r="CZ18" s="840">
        <f t="shared" si="115"/>
        <v>10617</v>
      </c>
      <c r="DA18" s="822">
        <f t="shared" si="38"/>
        <v>39.5</v>
      </c>
      <c r="DB18" s="840">
        <v>249497</v>
      </c>
      <c r="DC18" s="840">
        <v>73310</v>
      </c>
      <c r="DD18" s="840">
        <v>220690</v>
      </c>
      <c r="DE18" s="822">
        <f t="shared" si="39"/>
        <v>-11.5</v>
      </c>
      <c r="DF18" s="840">
        <v>82459</v>
      </c>
      <c r="DG18" s="822">
        <f t="shared" si="40"/>
        <v>12.5</v>
      </c>
      <c r="DH18" s="840">
        <f t="shared" si="116"/>
        <v>19211</v>
      </c>
      <c r="DI18" s="840">
        <f t="shared" si="116"/>
        <v>10285</v>
      </c>
      <c r="DJ18" s="840">
        <f t="shared" si="116"/>
        <v>24573</v>
      </c>
      <c r="DK18" s="822">
        <f t="shared" si="75"/>
        <v>27.9</v>
      </c>
      <c r="DL18" s="840">
        <f t="shared" si="117"/>
        <v>10300</v>
      </c>
      <c r="DM18" s="822">
        <f t="shared" si="41"/>
        <v>0.1</v>
      </c>
      <c r="DN18" s="840">
        <v>268708</v>
      </c>
      <c r="DO18" s="840">
        <v>83595</v>
      </c>
      <c r="DP18" s="840">
        <v>245263</v>
      </c>
      <c r="DQ18" s="822">
        <f t="shared" si="42"/>
        <v>-8.6999999999999993</v>
      </c>
      <c r="DR18" s="840">
        <v>92759</v>
      </c>
      <c r="DS18" s="822">
        <f t="shared" si="43"/>
        <v>11</v>
      </c>
      <c r="DT18" s="840">
        <f t="shared" si="118"/>
        <v>27448</v>
      </c>
      <c r="DU18" s="840">
        <f t="shared" si="118"/>
        <v>12939</v>
      </c>
      <c r="DV18" s="840">
        <f t="shared" si="118"/>
        <v>19517</v>
      </c>
      <c r="DW18" s="822">
        <f t="shared" si="78"/>
        <v>-28.9</v>
      </c>
      <c r="DX18" s="840">
        <f t="shared" si="119"/>
        <v>15632</v>
      </c>
      <c r="DY18" s="822">
        <f t="shared" si="44"/>
        <v>20.8</v>
      </c>
      <c r="DZ18" s="840">
        <v>296156</v>
      </c>
      <c r="EA18" s="840">
        <v>96534</v>
      </c>
      <c r="EB18" s="840">
        <v>264780</v>
      </c>
      <c r="EC18" s="822">
        <f t="shared" si="45"/>
        <v>-10.6</v>
      </c>
      <c r="ED18" s="840">
        <v>108391</v>
      </c>
      <c r="EE18" s="822">
        <f t="shared" si="46"/>
        <v>12.3</v>
      </c>
      <c r="EF18" s="840">
        <f t="shared" si="120"/>
        <v>27697</v>
      </c>
      <c r="EG18" s="840">
        <f t="shared" si="120"/>
        <v>13829</v>
      </c>
      <c r="EH18" s="840">
        <f t="shared" si="120"/>
        <v>39238</v>
      </c>
      <c r="EI18" s="822">
        <f t="shared" si="81"/>
        <v>41.7</v>
      </c>
      <c r="EJ18" s="840">
        <f t="shared" si="121"/>
        <v>13750</v>
      </c>
      <c r="EK18" s="822">
        <f t="shared" si="47"/>
        <v>-0.6</v>
      </c>
      <c r="EL18" s="840">
        <v>323853</v>
      </c>
      <c r="EM18" s="840">
        <v>110363</v>
      </c>
      <c r="EN18" s="840">
        <v>304018</v>
      </c>
      <c r="EO18" s="822">
        <f t="shared" si="48"/>
        <v>-6.1</v>
      </c>
      <c r="EP18" s="840">
        <v>122141</v>
      </c>
      <c r="EQ18" s="822">
        <f t="shared" si="49"/>
        <v>10.7</v>
      </c>
    </row>
    <row r="19" spans="1:147" ht="21.75" customHeight="1">
      <c r="A19" s="1129"/>
      <c r="B19" s="1129"/>
      <c r="C19" s="121" t="s">
        <v>272</v>
      </c>
      <c r="D19" s="122">
        <v>403721</v>
      </c>
      <c r="E19" s="122">
        <v>401567</v>
      </c>
      <c r="F19" s="122">
        <v>404076</v>
      </c>
      <c r="G19" s="122">
        <v>258790</v>
      </c>
      <c r="H19" s="122">
        <v>469033</v>
      </c>
      <c r="I19" s="122">
        <v>416301</v>
      </c>
      <c r="J19" s="122">
        <v>615568</v>
      </c>
      <c r="K19" s="122">
        <v>399203</v>
      </c>
      <c r="L19" s="122">
        <v>508373</v>
      </c>
      <c r="M19" s="122">
        <v>334193</v>
      </c>
      <c r="N19" s="122">
        <v>760565</v>
      </c>
      <c r="O19" s="122">
        <v>245225</v>
      </c>
      <c r="P19" s="122">
        <v>830697</v>
      </c>
      <c r="Q19" s="122">
        <v>298089</v>
      </c>
      <c r="R19" s="297">
        <v>858395</v>
      </c>
      <c r="S19" s="297">
        <v>340225</v>
      </c>
      <c r="T19" s="437">
        <v>755861</v>
      </c>
      <c r="U19" s="297">
        <v>258215</v>
      </c>
      <c r="V19" s="297">
        <v>53138</v>
      </c>
      <c r="W19" s="297">
        <v>20759</v>
      </c>
      <c r="X19" s="297">
        <v>73818</v>
      </c>
      <c r="Y19" s="123">
        <f t="shared" si="18"/>
        <v>38.9</v>
      </c>
      <c r="Z19" s="297">
        <v>22561</v>
      </c>
      <c r="AA19" s="123">
        <f t="shared" si="19"/>
        <v>8.6999999999999993</v>
      </c>
      <c r="AB19" s="297">
        <f t="shared" si="90"/>
        <v>76114</v>
      </c>
      <c r="AC19" s="297">
        <f t="shared" si="91"/>
        <v>17023</v>
      </c>
      <c r="AD19" s="297">
        <f t="shared" si="92"/>
        <v>50788</v>
      </c>
      <c r="AE19" s="123">
        <f t="shared" si="54"/>
        <v>-33.299999999999997</v>
      </c>
      <c r="AF19" s="297">
        <f t="shared" si="93"/>
        <v>15145</v>
      </c>
      <c r="AG19" s="123">
        <f t="shared" si="20"/>
        <v>-11</v>
      </c>
      <c r="AH19" s="297">
        <v>129252</v>
      </c>
      <c r="AI19" s="297">
        <v>37782</v>
      </c>
      <c r="AJ19" s="297">
        <v>124606</v>
      </c>
      <c r="AK19" s="123">
        <f t="shared" si="21"/>
        <v>-3.6</v>
      </c>
      <c r="AL19" s="297">
        <v>37706</v>
      </c>
      <c r="AM19" s="123">
        <f t="shared" si="22"/>
        <v>-0.2</v>
      </c>
      <c r="AN19" s="297">
        <f t="shared" si="94"/>
        <v>64965</v>
      </c>
      <c r="AO19" s="297">
        <f t="shared" si="95"/>
        <v>17718</v>
      </c>
      <c r="AP19" s="297">
        <f t="shared" si="96"/>
        <v>58682</v>
      </c>
      <c r="AQ19" s="123">
        <f t="shared" si="57"/>
        <v>-9.6999999999999993</v>
      </c>
      <c r="AR19" s="297">
        <f t="shared" si="97"/>
        <v>20752</v>
      </c>
      <c r="AS19" s="123">
        <f t="shared" si="23"/>
        <v>17.100000000000001</v>
      </c>
      <c r="AT19" s="297">
        <v>194217</v>
      </c>
      <c r="AU19" s="297">
        <v>55500</v>
      </c>
      <c r="AV19" s="297">
        <v>183288</v>
      </c>
      <c r="AW19" s="123">
        <f t="shared" si="24"/>
        <v>-5.6</v>
      </c>
      <c r="AX19" s="297">
        <v>58458</v>
      </c>
      <c r="AY19" s="123">
        <f t="shared" si="25"/>
        <v>5.3</v>
      </c>
      <c r="AZ19" s="297">
        <f t="shared" si="98"/>
        <v>60233</v>
      </c>
      <c r="BA19" s="297">
        <f t="shared" si="99"/>
        <v>24421</v>
      </c>
      <c r="BB19" s="297">
        <f t="shared" si="100"/>
        <v>53813</v>
      </c>
      <c r="BC19" s="123">
        <f t="shared" si="60"/>
        <v>-10.7</v>
      </c>
      <c r="BD19" s="297">
        <f t="shared" si="101"/>
        <v>16408</v>
      </c>
      <c r="BE19" s="123">
        <f t="shared" si="26"/>
        <v>-32.799999999999997</v>
      </c>
      <c r="BF19" s="297">
        <v>254450</v>
      </c>
      <c r="BG19" s="297">
        <v>79921</v>
      </c>
      <c r="BH19" s="297">
        <v>237101</v>
      </c>
      <c r="BI19" s="123">
        <f t="shared" si="27"/>
        <v>-6.8</v>
      </c>
      <c r="BJ19" s="297">
        <v>74866</v>
      </c>
      <c r="BK19" s="123">
        <f t="shared" si="28"/>
        <v>-6.3</v>
      </c>
      <c r="BL19" s="297">
        <f t="shared" si="102"/>
        <v>77475</v>
      </c>
      <c r="BM19" s="297">
        <f t="shared" si="102"/>
        <v>22652</v>
      </c>
      <c r="BN19" s="297">
        <f t="shared" si="102"/>
        <v>34543</v>
      </c>
      <c r="BO19" s="123">
        <f t="shared" si="63"/>
        <v>-55.4</v>
      </c>
      <c r="BP19" s="297">
        <f t="shared" si="103"/>
        <v>13677</v>
      </c>
      <c r="BQ19" s="123">
        <f t="shared" si="29"/>
        <v>-39.6</v>
      </c>
      <c r="BR19" s="297">
        <v>331925</v>
      </c>
      <c r="BS19" s="297">
        <v>102573</v>
      </c>
      <c r="BT19" s="297">
        <v>271644</v>
      </c>
      <c r="BU19" s="123">
        <f t="shared" si="30"/>
        <v>-18.2</v>
      </c>
      <c r="BV19" s="297">
        <v>88543</v>
      </c>
      <c r="BW19" s="123">
        <f t="shared" si="31"/>
        <v>-13.7</v>
      </c>
      <c r="BX19" s="823">
        <f t="shared" si="104"/>
        <v>66035</v>
      </c>
      <c r="BY19" s="823">
        <f t="shared" si="105"/>
        <v>18130</v>
      </c>
      <c r="BZ19" s="823">
        <f t="shared" si="106"/>
        <v>43410</v>
      </c>
      <c r="CA19" s="824">
        <f t="shared" si="66"/>
        <v>-34.299999999999997</v>
      </c>
      <c r="CB19" s="823">
        <f t="shared" si="107"/>
        <v>18723</v>
      </c>
      <c r="CC19" s="824">
        <f t="shared" si="32"/>
        <v>3.3</v>
      </c>
      <c r="CD19" s="844">
        <v>397960</v>
      </c>
      <c r="CE19" s="844">
        <v>120703</v>
      </c>
      <c r="CF19" s="844">
        <v>315054</v>
      </c>
      <c r="CG19" s="824">
        <f t="shared" si="33"/>
        <v>-20.8</v>
      </c>
      <c r="CH19" s="844">
        <v>107266</v>
      </c>
      <c r="CI19" s="824">
        <f t="shared" si="34"/>
        <v>-11.1</v>
      </c>
      <c r="CJ19" s="844">
        <f t="shared" si="108"/>
        <v>55380</v>
      </c>
      <c r="CK19" s="844">
        <f t="shared" si="109"/>
        <v>12936</v>
      </c>
      <c r="CL19" s="844">
        <f t="shared" si="110"/>
        <v>72657</v>
      </c>
      <c r="CM19" s="824">
        <f t="shared" si="69"/>
        <v>31.2</v>
      </c>
      <c r="CN19" s="844">
        <f t="shared" si="111"/>
        <v>27966</v>
      </c>
      <c r="CO19" s="824">
        <f t="shared" si="35"/>
        <v>116.2</v>
      </c>
      <c r="CP19" s="940">
        <v>453340</v>
      </c>
      <c r="CQ19" s="940">
        <v>133639</v>
      </c>
      <c r="CR19" s="940">
        <v>387711</v>
      </c>
      <c r="CS19" s="824">
        <f t="shared" si="36"/>
        <v>-14.5</v>
      </c>
      <c r="CT19" s="940">
        <v>135232</v>
      </c>
      <c r="CU19" s="824">
        <f t="shared" si="37"/>
        <v>1.2</v>
      </c>
      <c r="CV19" s="844">
        <f t="shared" si="112"/>
        <v>77538</v>
      </c>
      <c r="CW19" s="844">
        <f t="shared" si="113"/>
        <v>15030</v>
      </c>
      <c r="CX19" s="844">
        <f t="shared" si="114"/>
        <v>44709</v>
      </c>
      <c r="CY19" s="824">
        <f t="shared" si="72"/>
        <v>-42.3</v>
      </c>
      <c r="CZ19" s="844">
        <f t="shared" si="115"/>
        <v>19356</v>
      </c>
      <c r="DA19" s="824">
        <f t="shared" si="38"/>
        <v>28.8</v>
      </c>
      <c r="DB19" s="844">
        <v>530878</v>
      </c>
      <c r="DC19" s="844">
        <v>148669</v>
      </c>
      <c r="DD19" s="844">
        <v>432420</v>
      </c>
      <c r="DE19" s="824">
        <f t="shared" si="39"/>
        <v>-18.5</v>
      </c>
      <c r="DF19" s="844">
        <v>154588</v>
      </c>
      <c r="DG19" s="824">
        <f t="shared" si="40"/>
        <v>4</v>
      </c>
      <c r="DH19" s="844">
        <f t="shared" si="116"/>
        <v>42284</v>
      </c>
      <c r="DI19" s="844">
        <f t="shared" si="116"/>
        <v>21206</v>
      </c>
      <c r="DJ19" s="844">
        <f t="shared" si="116"/>
        <v>51290</v>
      </c>
      <c r="DK19" s="824">
        <f t="shared" si="75"/>
        <v>21.3</v>
      </c>
      <c r="DL19" s="844">
        <f t="shared" si="117"/>
        <v>20158</v>
      </c>
      <c r="DM19" s="824">
        <f t="shared" si="41"/>
        <v>-4.9000000000000004</v>
      </c>
      <c r="DN19" s="844">
        <v>573162</v>
      </c>
      <c r="DO19" s="844">
        <v>169875</v>
      </c>
      <c r="DP19" s="844">
        <v>483710</v>
      </c>
      <c r="DQ19" s="824">
        <f t="shared" si="42"/>
        <v>-15.6</v>
      </c>
      <c r="DR19" s="844">
        <v>174746</v>
      </c>
      <c r="DS19" s="824">
        <f t="shared" si="43"/>
        <v>2.9</v>
      </c>
      <c r="DT19" s="844">
        <f t="shared" si="118"/>
        <v>61484</v>
      </c>
      <c r="DU19" s="844">
        <f t="shared" si="118"/>
        <v>27304</v>
      </c>
      <c r="DV19" s="844">
        <f t="shared" si="118"/>
        <v>39996</v>
      </c>
      <c r="DW19" s="824">
        <f t="shared" si="78"/>
        <v>-34.9</v>
      </c>
      <c r="DX19" s="844">
        <f t="shared" si="119"/>
        <v>30289</v>
      </c>
      <c r="DY19" s="824">
        <f t="shared" si="44"/>
        <v>10.9</v>
      </c>
      <c r="DZ19" s="844">
        <v>634646</v>
      </c>
      <c r="EA19" s="844">
        <v>197179</v>
      </c>
      <c r="EB19" s="844">
        <v>523706</v>
      </c>
      <c r="EC19" s="824">
        <f t="shared" si="45"/>
        <v>-17.5</v>
      </c>
      <c r="ED19" s="844">
        <v>205035</v>
      </c>
      <c r="EE19" s="824">
        <f t="shared" si="46"/>
        <v>4</v>
      </c>
      <c r="EF19" s="844">
        <f t="shared" si="120"/>
        <v>63109</v>
      </c>
      <c r="EG19" s="844">
        <f t="shared" si="120"/>
        <v>29843</v>
      </c>
      <c r="EH19" s="844">
        <f t="shared" si="120"/>
        <v>77651</v>
      </c>
      <c r="EI19" s="824">
        <f t="shared" si="81"/>
        <v>23</v>
      </c>
      <c r="EJ19" s="844">
        <f t="shared" si="121"/>
        <v>26013</v>
      </c>
      <c r="EK19" s="824">
        <f t="shared" si="47"/>
        <v>-12.8</v>
      </c>
      <c r="EL19" s="844">
        <v>697755</v>
      </c>
      <c r="EM19" s="844">
        <v>227022</v>
      </c>
      <c r="EN19" s="844">
        <v>601357</v>
      </c>
      <c r="EO19" s="824">
        <f t="shared" si="48"/>
        <v>-13.8</v>
      </c>
      <c r="EP19" s="844">
        <v>231048</v>
      </c>
      <c r="EQ19" s="824">
        <f t="shared" si="49"/>
        <v>1.8</v>
      </c>
    </row>
    <row r="20" spans="1:147" ht="21.75" customHeight="1">
      <c r="A20" s="1129"/>
      <c r="B20" s="1133" t="s">
        <v>274</v>
      </c>
      <c r="C20" s="118" t="s">
        <v>271</v>
      </c>
      <c r="D20" s="119">
        <f t="shared" ref="D20:M20" si="122">D22-D16-D18</f>
        <v>7252</v>
      </c>
      <c r="E20" s="119">
        <f t="shared" si="122"/>
        <v>18733</v>
      </c>
      <c r="F20" s="119">
        <f t="shared" si="122"/>
        <v>3952</v>
      </c>
      <c r="G20" s="119">
        <f t="shared" si="122"/>
        <v>14875</v>
      </c>
      <c r="H20" s="119">
        <f t="shared" si="122"/>
        <v>4087</v>
      </c>
      <c r="I20" s="119">
        <f t="shared" si="122"/>
        <v>10527</v>
      </c>
      <c r="J20" s="119">
        <f t="shared" si="122"/>
        <v>2581</v>
      </c>
      <c r="K20" s="119">
        <f t="shared" si="122"/>
        <v>11163</v>
      </c>
      <c r="L20" s="119">
        <f t="shared" si="122"/>
        <v>3894</v>
      </c>
      <c r="M20" s="119">
        <f t="shared" si="122"/>
        <v>10875</v>
      </c>
      <c r="N20" s="119">
        <f t="shared" ref="N20:P21" si="123">N22-N16-N18</f>
        <v>4925</v>
      </c>
      <c r="O20" s="119">
        <f>O22-O16-O18</f>
        <v>15211.905999999988</v>
      </c>
      <c r="P20" s="119">
        <f t="shared" si="123"/>
        <v>5005</v>
      </c>
      <c r="Q20" s="119">
        <f t="shared" ref="Q20:T21" si="124">Q22-Q16-Q18</f>
        <v>19575</v>
      </c>
      <c r="R20" s="296">
        <f t="shared" si="124"/>
        <v>4393</v>
      </c>
      <c r="S20" s="296">
        <f t="shared" si="124"/>
        <v>16692</v>
      </c>
      <c r="T20" s="296">
        <f t="shared" si="124"/>
        <v>4176</v>
      </c>
      <c r="U20" s="296">
        <f>U22-U16-U18</f>
        <v>16101</v>
      </c>
      <c r="V20" s="296">
        <f t="shared" ref="V20:X21" si="125">V22-V16-V18</f>
        <v>81</v>
      </c>
      <c r="W20" s="296">
        <f t="shared" si="125"/>
        <v>1065</v>
      </c>
      <c r="X20" s="296">
        <f t="shared" si="125"/>
        <v>346</v>
      </c>
      <c r="Y20" s="120">
        <f t="shared" si="18"/>
        <v>327.2</v>
      </c>
      <c r="Z20" s="296">
        <f>Z22-Z16-Z18</f>
        <v>1547</v>
      </c>
      <c r="AA20" s="120">
        <f t="shared" si="19"/>
        <v>45.3</v>
      </c>
      <c r="AB20" s="296">
        <f t="shared" ref="AB20:AD21" si="126">AB22-AB16-AB18</f>
        <v>288</v>
      </c>
      <c r="AC20" s="296">
        <f t="shared" si="126"/>
        <v>1069</v>
      </c>
      <c r="AD20" s="296">
        <f t="shared" si="126"/>
        <v>143</v>
      </c>
      <c r="AE20" s="120">
        <f t="shared" si="54"/>
        <v>-50.3</v>
      </c>
      <c r="AF20" s="296">
        <f>AF22-AF16-AF18</f>
        <v>1443</v>
      </c>
      <c r="AG20" s="120">
        <f t="shared" si="20"/>
        <v>35</v>
      </c>
      <c r="AH20" s="296">
        <f t="shared" ref="AH20:AJ21" si="127">AH22-AH16-AH18</f>
        <v>369</v>
      </c>
      <c r="AI20" s="296">
        <f t="shared" si="127"/>
        <v>2134</v>
      </c>
      <c r="AJ20" s="296">
        <f t="shared" si="127"/>
        <v>489</v>
      </c>
      <c r="AK20" s="120">
        <f t="shared" si="21"/>
        <v>32.5</v>
      </c>
      <c r="AL20" s="296">
        <f>AL22-AL16-AL18</f>
        <v>2990</v>
      </c>
      <c r="AM20" s="120">
        <f t="shared" si="22"/>
        <v>40.1</v>
      </c>
      <c r="AN20" s="296">
        <f t="shared" ref="AN20:AP21" si="128">AN22-AN16-AN18</f>
        <v>322</v>
      </c>
      <c r="AO20" s="296">
        <f t="shared" si="128"/>
        <v>1147</v>
      </c>
      <c r="AP20" s="296">
        <f t="shared" si="128"/>
        <v>432</v>
      </c>
      <c r="AQ20" s="120">
        <f t="shared" si="57"/>
        <v>34.200000000000003</v>
      </c>
      <c r="AR20" s="296">
        <f>AR22-AR16-AR18</f>
        <v>1250</v>
      </c>
      <c r="AS20" s="120">
        <f t="shared" si="23"/>
        <v>9</v>
      </c>
      <c r="AT20" s="296">
        <f t="shared" ref="AT20:AV21" si="129">AT22-AT16-AT18</f>
        <v>691</v>
      </c>
      <c r="AU20" s="296">
        <f t="shared" si="129"/>
        <v>3281</v>
      </c>
      <c r="AV20" s="296">
        <f t="shared" si="129"/>
        <v>921</v>
      </c>
      <c r="AW20" s="120">
        <f t="shared" si="24"/>
        <v>33.299999999999997</v>
      </c>
      <c r="AX20" s="296">
        <f>AX22-AX16-AX18</f>
        <v>4240</v>
      </c>
      <c r="AY20" s="120">
        <f t="shared" si="25"/>
        <v>29.2</v>
      </c>
      <c r="AZ20" s="296">
        <f t="shared" ref="AZ20:BB20" si="130">AZ22-AZ16-AZ18</f>
        <v>276</v>
      </c>
      <c r="BA20" s="296">
        <f t="shared" si="130"/>
        <v>1311</v>
      </c>
      <c r="BB20" s="296">
        <f t="shared" si="130"/>
        <v>427</v>
      </c>
      <c r="BC20" s="120">
        <f t="shared" si="60"/>
        <v>54.7</v>
      </c>
      <c r="BD20" s="296">
        <f>BD22-BD16-BD18</f>
        <v>984</v>
      </c>
      <c r="BE20" s="120">
        <f t="shared" si="26"/>
        <v>-24.9</v>
      </c>
      <c r="BF20" s="296">
        <f t="shared" ref="BF20:BH20" si="131">BF22-BF16-BF18</f>
        <v>967</v>
      </c>
      <c r="BG20" s="296">
        <f t="shared" si="131"/>
        <v>4592</v>
      </c>
      <c r="BH20" s="296">
        <f t="shared" si="131"/>
        <v>1348</v>
      </c>
      <c r="BI20" s="120">
        <f t="shared" si="27"/>
        <v>39.4</v>
      </c>
      <c r="BJ20" s="296">
        <f>BJ22-BJ16-BJ18</f>
        <v>5224</v>
      </c>
      <c r="BK20" s="120">
        <f t="shared" si="28"/>
        <v>13.8</v>
      </c>
      <c r="BL20" s="296">
        <f t="shared" ref="BL20:BN21" si="132">BL22-BL16-BL18</f>
        <v>340</v>
      </c>
      <c r="BM20" s="296">
        <f t="shared" si="132"/>
        <v>1430</v>
      </c>
      <c r="BN20" s="296">
        <f t="shared" si="132"/>
        <v>275</v>
      </c>
      <c r="BO20" s="120">
        <f t="shared" si="63"/>
        <v>-19.100000000000001</v>
      </c>
      <c r="BP20" s="296">
        <f>BP22-BP16-BP18</f>
        <v>1169</v>
      </c>
      <c r="BQ20" s="120">
        <f t="shared" si="29"/>
        <v>-18.3</v>
      </c>
      <c r="BR20" s="296">
        <f t="shared" ref="BR20:BT21" si="133">BR22-BR16-BR18</f>
        <v>1307</v>
      </c>
      <c r="BS20" s="296">
        <f t="shared" si="133"/>
        <v>6022</v>
      </c>
      <c r="BT20" s="296">
        <f t="shared" si="133"/>
        <v>1623</v>
      </c>
      <c r="BU20" s="120">
        <f t="shared" si="30"/>
        <v>24.2</v>
      </c>
      <c r="BV20" s="296">
        <f>BV22-BV16-BV18</f>
        <v>6393</v>
      </c>
      <c r="BW20" s="120">
        <f t="shared" si="31"/>
        <v>6.2</v>
      </c>
      <c r="BX20" s="821">
        <f t="shared" ref="BX20:BZ20" si="134">BX22-BX16-BX18</f>
        <v>458</v>
      </c>
      <c r="BY20" s="821">
        <f t="shared" si="134"/>
        <v>1288</v>
      </c>
      <c r="BZ20" s="821">
        <f t="shared" si="134"/>
        <v>273</v>
      </c>
      <c r="CA20" s="822">
        <f t="shared" si="66"/>
        <v>-40.4</v>
      </c>
      <c r="CB20" s="821">
        <f>CB22-CB16-CB18</f>
        <v>454</v>
      </c>
      <c r="CC20" s="822">
        <f t="shared" si="32"/>
        <v>-64.8</v>
      </c>
      <c r="CD20" s="840">
        <f t="shared" ref="CD20:CF20" si="135">CD22-CD16-CD18</f>
        <v>1765</v>
      </c>
      <c r="CE20" s="840">
        <f t="shared" si="135"/>
        <v>7310</v>
      </c>
      <c r="CF20" s="840">
        <f t="shared" si="135"/>
        <v>1896</v>
      </c>
      <c r="CG20" s="822">
        <f t="shared" si="33"/>
        <v>7.4</v>
      </c>
      <c r="CH20" s="840">
        <f>CH22-CH16-CH18</f>
        <v>6847</v>
      </c>
      <c r="CI20" s="822">
        <f t="shared" si="34"/>
        <v>-6.3</v>
      </c>
      <c r="CJ20" s="840">
        <f t="shared" ref="CJ20:CL20" si="136">CJ22-CJ16-CJ18</f>
        <v>679</v>
      </c>
      <c r="CK20" s="840">
        <f t="shared" si="136"/>
        <v>1058</v>
      </c>
      <c r="CL20" s="840">
        <f t="shared" si="136"/>
        <v>245</v>
      </c>
      <c r="CM20" s="822">
        <f t="shared" si="69"/>
        <v>-63.9</v>
      </c>
      <c r="CN20" s="840">
        <f>CN22-CN16-CN18</f>
        <v>1092</v>
      </c>
      <c r="CO20" s="822">
        <f t="shared" si="35"/>
        <v>3.2</v>
      </c>
      <c r="CP20" s="939">
        <f t="shared" ref="CP20:CR21" si="137">CP22-CP16-CP18</f>
        <v>2444</v>
      </c>
      <c r="CQ20" s="939">
        <f t="shared" si="137"/>
        <v>8368</v>
      </c>
      <c r="CR20" s="939">
        <f t="shared" si="137"/>
        <v>2141</v>
      </c>
      <c r="CS20" s="822">
        <f t="shared" si="36"/>
        <v>-12.4</v>
      </c>
      <c r="CT20" s="939">
        <f>CT22-CT16-CT18</f>
        <v>7939</v>
      </c>
      <c r="CU20" s="822">
        <f t="shared" si="37"/>
        <v>-5.0999999999999996</v>
      </c>
      <c r="CV20" s="840">
        <f t="shared" ref="CV20:CX20" si="138">CV22-CV16-CV18</f>
        <v>684</v>
      </c>
      <c r="CW20" s="840">
        <f t="shared" si="138"/>
        <v>1609</v>
      </c>
      <c r="CX20" s="840">
        <f t="shared" si="138"/>
        <v>320</v>
      </c>
      <c r="CY20" s="822">
        <f t="shared" si="72"/>
        <v>-53.2</v>
      </c>
      <c r="CZ20" s="840">
        <f>CZ22-CZ16-CZ18</f>
        <v>1343</v>
      </c>
      <c r="DA20" s="822">
        <f t="shared" si="38"/>
        <v>-16.5</v>
      </c>
      <c r="DB20" s="840">
        <f t="shared" ref="DB20:DD21" si="139">DB22-DB16-DB18</f>
        <v>3128</v>
      </c>
      <c r="DC20" s="840">
        <f t="shared" si="139"/>
        <v>9977</v>
      </c>
      <c r="DD20" s="840">
        <f t="shared" si="139"/>
        <v>2461</v>
      </c>
      <c r="DE20" s="822">
        <f t="shared" si="39"/>
        <v>-21.3</v>
      </c>
      <c r="DF20" s="840">
        <f>DF22-DF16-DF18</f>
        <v>9282</v>
      </c>
      <c r="DG20" s="822">
        <f t="shared" si="40"/>
        <v>-7</v>
      </c>
      <c r="DH20" s="840">
        <f t="shared" ref="DH20:DJ21" si="140">DH22-DH16-DH18</f>
        <v>90</v>
      </c>
      <c r="DI20" s="840">
        <f t="shared" si="140"/>
        <v>1084</v>
      </c>
      <c r="DJ20" s="840">
        <f t="shared" si="140"/>
        <v>351</v>
      </c>
      <c r="DK20" s="822">
        <f t="shared" si="75"/>
        <v>290</v>
      </c>
      <c r="DL20" s="840">
        <f>DL22-DL16-DL18</f>
        <v>1129</v>
      </c>
      <c r="DM20" s="822">
        <f t="shared" si="41"/>
        <v>4.2</v>
      </c>
      <c r="DN20" s="840">
        <f t="shared" ref="DN20:DP21" si="141">DN22-DN16-DN18</f>
        <v>3218</v>
      </c>
      <c r="DO20" s="840">
        <f t="shared" si="141"/>
        <v>11061</v>
      </c>
      <c r="DP20" s="840">
        <f t="shared" si="141"/>
        <v>2812</v>
      </c>
      <c r="DQ20" s="822">
        <f t="shared" si="42"/>
        <v>-12.6</v>
      </c>
      <c r="DR20" s="840">
        <f>DR22-DR16-DR18</f>
        <v>10411</v>
      </c>
      <c r="DS20" s="822">
        <f t="shared" si="43"/>
        <v>-5.9</v>
      </c>
      <c r="DT20" s="840">
        <f t="shared" ref="DT20:DV21" si="142">DT22-DT16-DT18</f>
        <v>485</v>
      </c>
      <c r="DU20" s="840">
        <f t="shared" si="142"/>
        <v>1330</v>
      </c>
      <c r="DV20" s="840">
        <f t="shared" si="142"/>
        <v>270</v>
      </c>
      <c r="DW20" s="822">
        <f t="shared" si="78"/>
        <v>-44.3</v>
      </c>
      <c r="DX20" s="840">
        <f>DX22-DX16-DX18</f>
        <v>510</v>
      </c>
      <c r="DY20" s="822">
        <f t="shared" si="44"/>
        <v>-61.7</v>
      </c>
      <c r="DZ20" s="840">
        <f t="shared" ref="DZ20:EB21" si="143">DZ22-DZ16-DZ18</f>
        <v>3703</v>
      </c>
      <c r="EA20" s="840">
        <f t="shared" si="143"/>
        <v>12391</v>
      </c>
      <c r="EB20" s="840">
        <f t="shared" si="143"/>
        <v>3082</v>
      </c>
      <c r="EC20" s="822">
        <f t="shared" si="45"/>
        <v>-16.8</v>
      </c>
      <c r="ED20" s="840">
        <f>ED22-ED16-ED18</f>
        <v>10921</v>
      </c>
      <c r="EE20" s="822">
        <f t="shared" si="46"/>
        <v>-11.9</v>
      </c>
      <c r="EF20" s="840">
        <f t="shared" ref="EF20:EH21" si="144">EF22-EF16-EF18</f>
        <v>362</v>
      </c>
      <c r="EG20" s="840">
        <f t="shared" si="144"/>
        <v>1840</v>
      </c>
      <c r="EH20" s="840">
        <f t="shared" si="144"/>
        <v>340</v>
      </c>
      <c r="EI20" s="822">
        <f t="shared" si="81"/>
        <v>-6.1</v>
      </c>
      <c r="EJ20" s="840">
        <f>EJ22-EJ16-EJ18</f>
        <v>130</v>
      </c>
      <c r="EK20" s="822">
        <f t="shared" si="47"/>
        <v>-92.9</v>
      </c>
      <c r="EL20" s="840">
        <f t="shared" ref="EL20:EN21" si="145">EL22-EL16-EL18</f>
        <v>4065</v>
      </c>
      <c r="EM20" s="840">
        <f t="shared" si="145"/>
        <v>14231</v>
      </c>
      <c r="EN20" s="840">
        <f t="shared" si="145"/>
        <v>3422</v>
      </c>
      <c r="EO20" s="822">
        <f t="shared" si="48"/>
        <v>-15.8</v>
      </c>
      <c r="EP20" s="840">
        <f>EP22-EP16-EP18</f>
        <v>11051</v>
      </c>
      <c r="EQ20" s="822">
        <f t="shared" si="49"/>
        <v>-22.3</v>
      </c>
    </row>
    <row r="21" spans="1:147" ht="21.75" customHeight="1">
      <c r="A21" s="1129"/>
      <c r="B21" s="1129"/>
      <c r="C21" s="121" t="s">
        <v>272</v>
      </c>
      <c r="D21" s="122">
        <f t="shared" ref="D21:M21" si="146">D23-D17-D19</f>
        <v>30812</v>
      </c>
      <c r="E21" s="122">
        <f t="shared" si="146"/>
        <v>46214</v>
      </c>
      <c r="F21" s="122">
        <f t="shared" si="146"/>
        <v>14820</v>
      </c>
      <c r="G21" s="122">
        <f t="shared" si="146"/>
        <v>26056</v>
      </c>
      <c r="H21" s="122">
        <f t="shared" si="146"/>
        <v>15842</v>
      </c>
      <c r="I21" s="122">
        <f t="shared" si="146"/>
        <v>22023</v>
      </c>
      <c r="J21" s="122">
        <f t="shared" si="146"/>
        <v>12436</v>
      </c>
      <c r="K21" s="122">
        <f t="shared" si="146"/>
        <v>21347</v>
      </c>
      <c r="L21" s="122">
        <f t="shared" si="146"/>
        <v>13193</v>
      </c>
      <c r="M21" s="122">
        <f t="shared" si="146"/>
        <v>17045</v>
      </c>
      <c r="N21" s="122">
        <f t="shared" si="123"/>
        <v>16946</v>
      </c>
      <c r="O21" s="122">
        <f>O23-O17-O19</f>
        <v>24002</v>
      </c>
      <c r="P21" s="122">
        <f t="shared" si="123"/>
        <v>17666</v>
      </c>
      <c r="Q21" s="122">
        <f t="shared" si="124"/>
        <v>38651</v>
      </c>
      <c r="R21" s="297">
        <f t="shared" si="124"/>
        <v>19303</v>
      </c>
      <c r="S21" s="297">
        <f t="shared" si="124"/>
        <v>34199</v>
      </c>
      <c r="T21" s="297">
        <f t="shared" si="124"/>
        <v>19207</v>
      </c>
      <c r="U21" s="297">
        <f>U23-U17-U19</f>
        <v>30858</v>
      </c>
      <c r="V21" s="297">
        <f t="shared" si="125"/>
        <v>469</v>
      </c>
      <c r="W21" s="297">
        <f t="shared" si="125"/>
        <v>2130</v>
      </c>
      <c r="X21" s="297">
        <f t="shared" si="125"/>
        <v>1716</v>
      </c>
      <c r="Y21" s="123">
        <f t="shared" si="18"/>
        <v>265.89999999999998</v>
      </c>
      <c r="Z21" s="297">
        <f>Z23-Z17-Z19</f>
        <v>3097</v>
      </c>
      <c r="AA21" s="123">
        <f t="shared" si="19"/>
        <v>45.4</v>
      </c>
      <c r="AB21" s="297">
        <f t="shared" si="126"/>
        <v>1287</v>
      </c>
      <c r="AC21" s="297">
        <f t="shared" si="126"/>
        <v>2065</v>
      </c>
      <c r="AD21" s="297">
        <f t="shared" si="126"/>
        <v>649</v>
      </c>
      <c r="AE21" s="123">
        <f t="shared" si="54"/>
        <v>-49.6</v>
      </c>
      <c r="AF21" s="297">
        <f>AF23-AF17-AF19</f>
        <v>2859</v>
      </c>
      <c r="AG21" s="123">
        <f t="shared" si="20"/>
        <v>38.5</v>
      </c>
      <c r="AH21" s="297">
        <f t="shared" si="127"/>
        <v>1756</v>
      </c>
      <c r="AI21" s="297">
        <f t="shared" si="127"/>
        <v>4195</v>
      </c>
      <c r="AJ21" s="297">
        <f t="shared" si="127"/>
        <v>2365</v>
      </c>
      <c r="AK21" s="123">
        <f t="shared" si="21"/>
        <v>34.700000000000003</v>
      </c>
      <c r="AL21" s="297">
        <f>AL23-AL17-AL19</f>
        <v>5956</v>
      </c>
      <c r="AM21" s="123">
        <f t="shared" si="22"/>
        <v>42</v>
      </c>
      <c r="AN21" s="297">
        <f t="shared" si="128"/>
        <v>1188</v>
      </c>
      <c r="AO21" s="297">
        <f t="shared" si="128"/>
        <v>2476</v>
      </c>
      <c r="AP21" s="297">
        <f t="shared" si="128"/>
        <v>2211</v>
      </c>
      <c r="AQ21" s="123">
        <f t="shared" si="57"/>
        <v>86.1</v>
      </c>
      <c r="AR21" s="297">
        <f>AR23-AR17-AR19</f>
        <v>2461</v>
      </c>
      <c r="AS21" s="123">
        <f t="shared" si="23"/>
        <v>-0.6</v>
      </c>
      <c r="AT21" s="297">
        <f t="shared" si="129"/>
        <v>2944</v>
      </c>
      <c r="AU21" s="297">
        <f t="shared" si="129"/>
        <v>6671</v>
      </c>
      <c r="AV21" s="297">
        <f t="shared" si="129"/>
        <v>4576</v>
      </c>
      <c r="AW21" s="123">
        <f t="shared" si="24"/>
        <v>55.4</v>
      </c>
      <c r="AX21" s="297">
        <f>AX23-AX17-AX19</f>
        <v>8417</v>
      </c>
      <c r="AY21" s="123">
        <f t="shared" si="25"/>
        <v>26.2</v>
      </c>
      <c r="AZ21" s="297">
        <f t="shared" ref="AZ21:BB21" si="147">AZ23-AZ17-AZ19</f>
        <v>1149</v>
      </c>
      <c r="BA21" s="297">
        <f t="shared" si="147"/>
        <v>2498</v>
      </c>
      <c r="BB21" s="297">
        <f t="shared" si="147"/>
        <v>1947</v>
      </c>
      <c r="BC21" s="123">
        <f t="shared" si="60"/>
        <v>69.5</v>
      </c>
      <c r="BD21" s="297">
        <f>BD23-BD17-BD19</f>
        <v>1987</v>
      </c>
      <c r="BE21" s="123">
        <f t="shared" si="26"/>
        <v>-20.5</v>
      </c>
      <c r="BF21" s="297">
        <f t="shared" ref="BF21:BH21" si="148">BF23-BF17-BF19</f>
        <v>4093</v>
      </c>
      <c r="BG21" s="297">
        <f t="shared" si="148"/>
        <v>9169</v>
      </c>
      <c r="BH21" s="297">
        <f t="shared" si="148"/>
        <v>6523</v>
      </c>
      <c r="BI21" s="123">
        <f t="shared" si="27"/>
        <v>59.4</v>
      </c>
      <c r="BJ21" s="297">
        <f>BJ23-BJ17-BJ19</f>
        <v>10404</v>
      </c>
      <c r="BK21" s="123">
        <f t="shared" si="28"/>
        <v>13.5</v>
      </c>
      <c r="BL21" s="297">
        <f t="shared" si="132"/>
        <v>1167</v>
      </c>
      <c r="BM21" s="297">
        <f t="shared" si="132"/>
        <v>2406</v>
      </c>
      <c r="BN21" s="297">
        <f t="shared" si="132"/>
        <v>1222</v>
      </c>
      <c r="BO21" s="123">
        <f t="shared" si="63"/>
        <v>4.7</v>
      </c>
      <c r="BP21" s="297">
        <f>BP23-BP17-BP19</f>
        <v>2094</v>
      </c>
      <c r="BQ21" s="123">
        <f t="shared" si="29"/>
        <v>-13</v>
      </c>
      <c r="BR21" s="297">
        <f t="shared" si="133"/>
        <v>5260</v>
      </c>
      <c r="BS21" s="297">
        <f t="shared" si="133"/>
        <v>11575</v>
      </c>
      <c r="BT21" s="297">
        <f t="shared" si="133"/>
        <v>7745</v>
      </c>
      <c r="BU21" s="123">
        <f t="shared" si="30"/>
        <v>47.2</v>
      </c>
      <c r="BV21" s="297">
        <f>BV23-BV17-BV19</f>
        <v>12498</v>
      </c>
      <c r="BW21" s="123">
        <f t="shared" si="31"/>
        <v>8</v>
      </c>
      <c r="BX21" s="823">
        <f t="shared" ref="BX21:BZ21" si="149">BX23-BX17-BX19</f>
        <v>2126</v>
      </c>
      <c r="BY21" s="823">
        <f t="shared" si="149"/>
        <v>2652</v>
      </c>
      <c r="BZ21" s="823">
        <f t="shared" si="149"/>
        <v>1228</v>
      </c>
      <c r="CA21" s="824">
        <f t="shared" si="66"/>
        <v>-42.2</v>
      </c>
      <c r="CB21" s="823">
        <f>CB23-CB17-CB19</f>
        <v>1105</v>
      </c>
      <c r="CC21" s="824">
        <f t="shared" si="32"/>
        <v>-58.3</v>
      </c>
      <c r="CD21" s="844">
        <f t="shared" ref="CD21:CF21" si="150">CD23-CD17-CD19</f>
        <v>7386</v>
      </c>
      <c r="CE21" s="844">
        <f t="shared" si="150"/>
        <v>14227</v>
      </c>
      <c r="CF21" s="844">
        <f t="shared" si="150"/>
        <v>8973</v>
      </c>
      <c r="CG21" s="824">
        <f t="shared" si="33"/>
        <v>21.5</v>
      </c>
      <c r="CH21" s="844">
        <f>CH23-CH17-CH19</f>
        <v>13603</v>
      </c>
      <c r="CI21" s="824">
        <f t="shared" si="34"/>
        <v>-4.4000000000000004</v>
      </c>
      <c r="CJ21" s="844">
        <f t="shared" ref="CJ21:CL21" si="151">CJ23-CJ17-CJ19</f>
        <v>2985</v>
      </c>
      <c r="CK21" s="844">
        <f t="shared" si="151"/>
        <v>1979</v>
      </c>
      <c r="CL21" s="844">
        <f t="shared" si="151"/>
        <v>1116</v>
      </c>
      <c r="CM21" s="824">
        <f t="shared" si="69"/>
        <v>-62.6</v>
      </c>
      <c r="CN21" s="844">
        <f>CN23-CN17-CN19</f>
        <v>2085</v>
      </c>
      <c r="CO21" s="824">
        <f t="shared" si="35"/>
        <v>5.4</v>
      </c>
      <c r="CP21" s="940">
        <f t="shared" si="137"/>
        <v>10371</v>
      </c>
      <c r="CQ21" s="940">
        <f t="shared" si="137"/>
        <v>16206</v>
      </c>
      <c r="CR21" s="940">
        <f t="shared" si="137"/>
        <v>10089</v>
      </c>
      <c r="CS21" s="824">
        <f t="shared" si="36"/>
        <v>-2.7</v>
      </c>
      <c r="CT21" s="940">
        <f>CT23-CT17-CT19</f>
        <v>15688</v>
      </c>
      <c r="CU21" s="824">
        <f t="shared" si="37"/>
        <v>-3.2</v>
      </c>
      <c r="CV21" s="844">
        <f t="shared" ref="CV21:CX21" si="152">CV23-CV17-CV19</f>
        <v>3218</v>
      </c>
      <c r="CW21" s="844">
        <f t="shared" si="152"/>
        <v>2945</v>
      </c>
      <c r="CX21" s="844">
        <f t="shared" si="152"/>
        <v>1905</v>
      </c>
      <c r="CY21" s="824">
        <f t="shared" si="72"/>
        <v>-40.799999999999997</v>
      </c>
      <c r="CZ21" s="844">
        <f>CZ23-CZ17-CZ19</f>
        <v>2701</v>
      </c>
      <c r="DA21" s="824">
        <f t="shared" si="38"/>
        <v>-8.3000000000000007</v>
      </c>
      <c r="DB21" s="844">
        <f t="shared" si="139"/>
        <v>13589</v>
      </c>
      <c r="DC21" s="844">
        <f t="shared" si="139"/>
        <v>19151</v>
      </c>
      <c r="DD21" s="844">
        <f t="shared" si="139"/>
        <v>11994</v>
      </c>
      <c r="DE21" s="824">
        <f t="shared" si="39"/>
        <v>-11.7</v>
      </c>
      <c r="DF21" s="844">
        <f>DF23-DF17-DF19</f>
        <v>18389</v>
      </c>
      <c r="DG21" s="824">
        <f t="shared" si="40"/>
        <v>-4</v>
      </c>
      <c r="DH21" s="844">
        <f t="shared" si="140"/>
        <v>373</v>
      </c>
      <c r="DI21" s="844">
        <f t="shared" si="140"/>
        <v>2157</v>
      </c>
      <c r="DJ21" s="844">
        <f t="shared" si="140"/>
        <v>2016</v>
      </c>
      <c r="DK21" s="824">
        <f t="shared" si="75"/>
        <v>440.5</v>
      </c>
      <c r="DL21" s="844">
        <f>DL23-DL17-DL19</f>
        <v>2220</v>
      </c>
      <c r="DM21" s="824">
        <f t="shared" si="41"/>
        <v>2.9</v>
      </c>
      <c r="DN21" s="844">
        <f t="shared" si="141"/>
        <v>13962</v>
      </c>
      <c r="DO21" s="844">
        <f t="shared" si="141"/>
        <v>21308</v>
      </c>
      <c r="DP21" s="844">
        <f t="shared" si="141"/>
        <v>14010</v>
      </c>
      <c r="DQ21" s="824">
        <f t="shared" si="42"/>
        <v>0.3</v>
      </c>
      <c r="DR21" s="844">
        <f>DR23-DR17-DR19</f>
        <v>20609</v>
      </c>
      <c r="DS21" s="824">
        <f t="shared" si="43"/>
        <v>-3.3</v>
      </c>
      <c r="DT21" s="844">
        <f t="shared" si="142"/>
        <v>2615</v>
      </c>
      <c r="DU21" s="844">
        <f t="shared" si="142"/>
        <v>2375</v>
      </c>
      <c r="DV21" s="844">
        <f t="shared" si="142"/>
        <v>1550</v>
      </c>
      <c r="DW21" s="824">
        <f t="shared" si="78"/>
        <v>-40.700000000000003</v>
      </c>
      <c r="DX21" s="844">
        <f>DX23-DX17-DX19</f>
        <v>1134</v>
      </c>
      <c r="DY21" s="824">
        <f t="shared" si="44"/>
        <v>-52.3</v>
      </c>
      <c r="DZ21" s="844">
        <f t="shared" si="143"/>
        <v>16577</v>
      </c>
      <c r="EA21" s="844">
        <f t="shared" si="143"/>
        <v>23683</v>
      </c>
      <c r="EB21" s="844">
        <f t="shared" si="143"/>
        <v>15560</v>
      </c>
      <c r="EC21" s="824">
        <f t="shared" si="45"/>
        <v>-6.1</v>
      </c>
      <c r="ED21" s="844">
        <f>ED23-ED17-ED19</f>
        <v>21743</v>
      </c>
      <c r="EE21" s="824">
        <f t="shared" si="46"/>
        <v>-8.1999999999999993</v>
      </c>
      <c r="EF21" s="844">
        <f t="shared" si="144"/>
        <v>1997</v>
      </c>
      <c r="EG21" s="844">
        <f t="shared" si="144"/>
        <v>3397</v>
      </c>
      <c r="EH21" s="844">
        <f t="shared" si="144"/>
        <v>1909</v>
      </c>
      <c r="EI21" s="824">
        <f t="shared" si="81"/>
        <v>-4.4000000000000004</v>
      </c>
      <c r="EJ21" s="844">
        <f>EJ23-EJ17-EJ19</f>
        <v>605</v>
      </c>
      <c r="EK21" s="824">
        <f t="shared" si="47"/>
        <v>-82.2</v>
      </c>
      <c r="EL21" s="844">
        <f t="shared" si="145"/>
        <v>18574</v>
      </c>
      <c r="EM21" s="844">
        <f t="shared" si="145"/>
        <v>27080</v>
      </c>
      <c r="EN21" s="844">
        <f t="shared" si="145"/>
        <v>17469</v>
      </c>
      <c r="EO21" s="824">
        <f t="shared" si="48"/>
        <v>-5.9</v>
      </c>
      <c r="EP21" s="844">
        <f>EP23-EP17-EP19</f>
        <v>22348</v>
      </c>
      <c r="EQ21" s="824">
        <f t="shared" si="49"/>
        <v>-17.5</v>
      </c>
    </row>
    <row r="22" spans="1:147" ht="21.75" customHeight="1">
      <c r="A22" s="1129"/>
      <c r="B22" s="1134" t="s">
        <v>275</v>
      </c>
      <c r="C22" s="124" t="s">
        <v>271</v>
      </c>
      <c r="D22" s="125">
        <v>167965</v>
      </c>
      <c r="E22" s="125">
        <v>180892</v>
      </c>
      <c r="F22" s="125">
        <v>187633</v>
      </c>
      <c r="G22" s="125">
        <v>153438</v>
      </c>
      <c r="H22" s="125">
        <v>199133</v>
      </c>
      <c r="I22" s="125">
        <v>204606</v>
      </c>
      <c r="J22" s="125">
        <v>267330</v>
      </c>
      <c r="K22" s="125">
        <v>202410</v>
      </c>
      <c r="L22" s="125">
        <v>260547</v>
      </c>
      <c r="M22" s="125">
        <v>196672</v>
      </c>
      <c r="N22" s="125">
        <v>385180</v>
      </c>
      <c r="O22" s="125">
        <v>153734</v>
      </c>
      <c r="P22" s="125">
        <v>343938</v>
      </c>
      <c r="Q22" s="125">
        <v>154354</v>
      </c>
      <c r="R22" s="298">
        <v>357670</v>
      </c>
      <c r="S22" s="298">
        <v>167186</v>
      </c>
      <c r="T22" s="298">
        <v>354654</v>
      </c>
      <c r="U22" s="313">
        <v>151473</v>
      </c>
      <c r="V22" s="298">
        <v>25073</v>
      </c>
      <c r="W22" s="298">
        <v>11889</v>
      </c>
      <c r="X22" s="298">
        <v>35488</v>
      </c>
      <c r="Y22" s="126">
        <f t="shared" si="18"/>
        <v>41.5</v>
      </c>
      <c r="Z22" s="298">
        <v>12509</v>
      </c>
      <c r="AA22" s="126">
        <f t="shared" si="19"/>
        <v>5.2</v>
      </c>
      <c r="AB22" s="298">
        <f t="shared" ref="AB22:AB27" si="153">AH22-V22</f>
        <v>35304</v>
      </c>
      <c r="AC22" s="298">
        <f t="shared" ref="AC22:AC27" si="154">AI22-W22</f>
        <v>10189</v>
      </c>
      <c r="AD22" s="298">
        <f t="shared" ref="AD22:AD27" si="155">AJ22-X22</f>
        <v>24663</v>
      </c>
      <c r="AE22" s="126">
        <f t="shared" si="54"/>
        <v>-30.1</v>
      </c>
      <c r="AF22" s="298">
        <f t="shared" ref="AF22:AF27" si="156">AL22-Z22</f>
        <v>9241</v>
      </c>
      <c r="AG22" s="126">
        <f t="shared" si="20"/>
        <v>-9.3000000000000007</v>
      </c>
      <c r="AH22" s="298">
        <v>60377</v>
      </c>
      <c r="AI22" s="298">
        <v>22078</v>
      </c>
      <c r="AJ22" s="298">
        <v>60151</v>
      </c>
      <c r="AK22" s="126">
        <f t="shared" si="21"/>
        <v>-0.4</v>
      </c>
      <c r="AL22" s="298">
        <v>21750</v>
      </c>
      <c r="AM22" s="126">
        <f t="shared" si="22"/>
        <v>-1.5</v>
      </c>
      <c r="AN22" s="298">
        <f t="shared" ref="AN22:AN27" si="157">AT22-AH22</f>
        <v>29631</v>
      </c>
      <c r="AO22" s="298">
        <f t="shared" ref="AO22:AO27" si="158">AU22-AI22</f>
        <v>10808</v>
      </c>
      <c r="AP22" s="298">
        <f t="shared" ref="AP22:AP27" si="159">AV22-AJ22</f>
        <v>30309</v>
      </c>
      <c r="AQ22" s="126">
        <f t="shared" si="57"/>
        <v>2.2999999999999998</v>
      </c>
      <c r="AR22" s="298">
        <f t="shared" ref="AR22:AR27" si="160">AX22-AL22</f>
        <v>12131</v>
      </c>
      <c r="AS22" s="126">
        <f t="shared" si="23"/>
        <v>12.2</v>
      </c>
      <c r="AT22" s="298">
        <v>90008</v>
      </c>
      <c r="AU22" s="298">
        <v>32886</v>
      </c>
      <c r="AV22" s="298">
        <v>90460</v>
      </c>
      <c r="AW22" s="126">
        <f t="shared" si="24"/>
        <v>0.5</v>
      </c>
      <c r="AX22" s="298">
        <v>33881</v>
      </c>
      <c r="AY22" s="126">
        <f t="shared" si="25"/>
        <v>3</v>
      </c>
      <c r="AZ22" s="298">
        <f t="shared" ref="AZ22:AZ27" si="161">BF22-AT22</f>
        <v>27738</v>
      </c>
      <c r="BA22" s="298">
        <f t="shared" ref="BA22:BA27" si="162">BG22-AU22</f>
        <v>13780</v>
      </c>
      <c r="BB22" s="298">
        <f t="shared" ref="BB22:BB27" si="163">BH22-AV22</f>
        <v>29572</v>
      </c>
      <c r="BC22" s="126">
        <f t="shared" si="60"/>
        <v>6.6</v>
      </c>
      <c r="BD22" s="298">
        <f t="shared" ref="BD22:BD27" si="164">BJ22-AX22</f>
        <v>10297</v>
      </c>
      <c r="BE22" s="126">
        <f t="shared" si="26"/>
        <v>-25.3</v>
      </c>
      <c r="BF22" s="298">
        <v>117746</v>
      </c>
      <c r="BG22" s="298">
        <v>46666</v>
      </c>
      <c r="BH22" s="298">
        <v>120032</v>
      </c>
      <c r="BI22" s="126">
        <f t="shared" si="27"/>
        <v>1.9</v>
      </c>
      <c r="BJ22" s="298">
        <v>44178</v>
      </c>
      <c r="BK22" s="126">
        <f t="shared" si="28"/>
        <v>-5.3</v>
      </c>
      <c r="BL22" s="298">
        <f t="shared" ref="BL22:BN27" si="165">BR22-BF22</f>
        <v>37692</v>
      </c>
      <c r="BM22" s="298">
        <f t="shared" si="165"/>
        <v>14626</v>
      </c>
      <c r="BN22" s="298">
        <f t="shared" si="165"/>
        <v>19626</v>
      </c>
      <c r="BO22" s="126">
        <f t="shared" si="63"/>
        <v>-47.9</v>
      </c>
      <c r="BP22" s="298">
        <f t="shared" ref="BP22:BP27" si="166">BV22-BJ22</f>
        <v>8991</v>
      </c>
      <c r="BQ22" s="126">
        <f t="shared" si="29"/>
        <v>-38.5</v>
      </c>
      <c r="BR22" s="298">
        <v>155438</v>
      </c>
      <c r="BS22" s="298">
        <v>61292</v>
      </c>
      <c r="BT22" s="298">
        <v>139658</v>
      </c>
      <c r="BU22" s="126">
        <f t="shared" si="30"/>
        <v>-10.199999999999999</v>
      </c>
      <c r="BV22" s="298">
        <v>53169</v>
      </c>
      <c r="BW22" s="126">
        <f t="shared" si="31"/>
        <v>-13.3</v>
      </c>
      <c r="BX22" s="825">
        <f t="shared" ref="BX22:BX27" si="167">CD22-BR22</f>
        <v>33184</v>
      </c>
      <c r="BY22" s="825">
        <f t="shared" ref="BY22:BY27" si="168">CE22-BS22</f>
        <v>12278</v>
      </c>
      <c r="BZ22" s="825">
        <f t="shared" ref="BZ22:BZ27" si="169">CF22-BT22</f>
        <v>23882</v>
      </c>
      <c r="CA22" s="826">
        <f t="shared" si="66"/>
        <v>-28</v>
      </c>
      <c r="CB22" s="825">
        <f t="shared" ref="CB22:CB27" si="170">CH22-BV22</f>
        <v>11354</v>
      </c>
      <c r="CC22" s="826">
        <f t="shared" si="32"/>
        <v>-7.5</v>
      </c>
      <c r="CD22" s="842">
        <v>188622</v>
      </c>
      <c r="CE22" s="842">
        <v>73570</v>
      </c>
      <c r="CF22" s="842">
        <v>163540</v>
      </c>
      <c r="CG22" s="826">
        <f t="shared" si="33"/>
        <v>-13.3</v>
      </c>
      <c r="CH22" s="842">
        <v>64523</v>
      </c>
      <c r="CI22" s="826">
        <f t="shared" si="34"/>
        <v>-12.3</v>
      </c>
      <c r="CJ22" s="842">
        <f t="shared" ref="CJ22:CJ27" si="171">CP22-CD22</f>
        <v>27198</v>
      </c>
      <c r="CK22" s="842">
        <f t="shared" ref="CK22:CK27" si="172">CQ22-CE22</f>
        <v>9303</v>
      </c>
      <c r="CL22" s="842">
        <f t="shared" ref="CL22:CL27" si="173">CR22-CF22</f>
        <v>37623</v>
      </c>
      <c r="CM22" s="826">
        <f t="shared" si="69"/>
        <v>38.299999999999997</v>
      </c>
      <c r="CN22" s="842">
        <f t="shared" ref="CN22:CN27" si="174">CT22-CH22</f>
        <v>17412</v>
      </c>
      <c r="CO22" s="826">
        <f t="shared" si="35"/>
        <v>87.2</v>
      </c>
      <c r="CP22" s="941">
        <v>215820</v>
      </c>
      <c r="CQ22" s="941">
        <v>82873</v>
      </c>
      <c r="CR22" s="941">
        <v>201163</v>
      </c>
      <c r="CS22" s="826">
        <f t="shared" si="36"/>
        <v>-6.8</v>
      </c>
      <c r="CT22" s="941">
        <v>81935</v>
      </c>
      <c r="CU22" s="826">
        <f t="shared" si="37"/>
        <v>-1.1000000000000001</v>
      </c>
      <c r="CV22" s="842">
        <f t="shared" ref="CV22:CV27" si="175">DB22-CP22</f>
        <v>36852</v>
      </c>
      <c r="CW22" s="842">
        <f t="shared" ref="CW22:CW27" si="176">DC22-CQ22</f>
        <v>9570</v>
      </c>
      <c r="CX22" s="842">
        <f t="shared" ref="CX22:CX27" si="177">DD22-CR22</f>
        <v>21988</v>
      </c>
      <c r="CY22" s="826">
        <f t="shared" si="72"/>
        <v>-40.299999999999997</v>
      </c>
      <c r="CZ22" s="842">
        <f t="shared" ref="CZ22:CZ27" si="178">DF22-CT22</f>
        <v>12203</v>
      </c>
      <c r="DA22" s="826">
        <f t="shared" si="38"/>
        <v>27.5</v>
      </c>
      <c r="DB22" s="842">
        <v>252672</v>
      </c>
      <c r="DC22" s="842">
        <v>92443</v>
      </c>
      <c r="DD22" s="842">
        <v>223151</v>
      </c>
      <c r="DE22" s="826">
        <f t="shared" si="39"/>
        <v>-11.7</v>
      </c>
      <c r="DF22" s="842">
        <v>94138</v>
      </c>
      <c r="DG22" s="826">
        <f t="shared" si="40"/>
        <v>1.8</v>
      </c>
      <c r="DH22" s="842">
        <f t="shared" ref="DH22:DJ27" si="179">DN22-DB22</f>
        <v>19301</v>
      </c>
      <c r="DI22" s="842">
        <f t="shared" si="179"/>
        <v>11580</v>
      </c>
      <c r="DJ22" s="842">
        <f t="shared" si="179"/>
        <v>24924</v>
      </c>
      <c r="DK22" s="826">
        <f t="shared" si="75"/>
        <v>29.1</v>
      </c>
      <c r="DL22" s="842">
        <f t="shared" ref="DL22:DL27" si="180">DR22-DF22</f>
        <v>12049</v>
      </c>
      <c r="DM22" s="826">
        <f t="shared" si="41"/>
        <v>4.0999999999999996</v>
      </c>
      <c r="DN22" s="842">
        <v>271973</v>
      </c>
      <c r="DO22" s="842">
        <v>104023</v>
      </c>
      <c r="DP22" s="842">
        <v>248075</v>
      </c>
      <c r="DQ22" s="826">
        <f t="shared" si="42"/>
        <v>-8.8000000000000007</v>
      </c>
      <c r="DR22" s="842">
        <v>106187</v>
      </c>
      <c r="DS22" s="826">
        <f t="shared" si="43"/>
        <v>2.1</v>
      </c>
      <c r="DT22" s="842">
        <f t="shared" ref="DT22:DV27" si="181">DZ22-DN22</f>
        <v>27933</v>
      </c>
      <c r="DU22" s="842">
        <f t="shared" si="181"/>
        <v>14603</v>
      </c>
      <c r="DV22" s="842">
        <f t="shared" si="181"/>
        <v>19787</v>
      </c>
      <c r="DW22" s="826">
        <f t="shared" si="78"/>
        <v>-29.2</v>
      </c>
      <c r="DX22" s="842">
        <f t="shared" ref="DX22:DX27" si="182">ED22-DR22</f>
        <v>16234</v>
      </c>
      <c r="DY22" s="826">
        <f t="shared" si="44"/>
        <v>11.2</v>
      </c>
      <c r="DZ22" s="842">
        <v>299906</v>
      </c>
      <c r="EA22" s="842">
        <v>118626</v>
      </c>
      <c r="EB22" s="842">
        <v>267862</v>
      </c>
      <c r="EC22" s="826">
        <f t="shared" si="45"/>
        <v>-10.7</v>
      </c>
      <c r="ED22" s="842">
        <v>122421</v>
      </c>
      <c r="EE22" s="826">
        <f t="shared" si="46"/>
        <v>3.2</v>
      </c>
      <c r="EF22" s="842">
        <f t="shared" ref="EF22:EH27" si="183">EL22-DZ22</f>
        <v>28059</v>
      </c>
      <c r="EG22" s="842">
        <f t="shared" si="183"/>
        <v>16119</v>
      </c>
      <c r="EH22" s="842">
        <f t="shared" si="183"/>
        <v>39578</v>
      </c>
      <c r="EI22" s="826">
        <f t="shared" si="81"/>
        <v>41.1</v>
      </c>
      <c r="EJ22" s="842">
        <f t="shared" ref="EJ22:EJ27" si="184">EP22-ED22</f>
        <v>14071</v>
      </c>
      <c r="EK22" s="826">
        <f t="shared" si="47"/>
        <v>-12.7</v>
      </c>
      <c r="EL22" s="842">
        <v>327965</v>
      </c>
      <c r="EM22" s="842">
        <v>134745</v>
      </c>
      <c r="EN22" s="842">
        <v>307440</v>
      </c>
      <c r="EO22" s="826">
        <f t="shared" si="48"/>
        <v>-6.3</v>
      </c>
      <c r="EP22" s="842">
        <v>136492</v>
      </c>
      <c r="EQ22" s="826">
        <f t="shared" si="49"/>
        <v>1.3</v>
      </c>
    </row>
    <row r="23" spans="1:147" ht="21.75" customHeight="1" thickBot="1">
      <c r="A23" s="1135"/>
      <c r="B23" s="1136"/>
      <c r="C23" s="127" t="s">
        <v>272</v>
      </c>
      <c r="D23" s="128">
        <v>434570</v>
      </c>
      <c r="E23" s="128">
        <v>464732</v>
      </c>
      <c r="F23" s="128">
        <v>419058</v>
      </c>
      <c r="G23" s="128">
        <v>313099</v>
      </c>
      <c r="H23" s="128">
        <v>484875</v>
      </c>
      <c r="I23" s="128">
        <v>462009</v>
      </c>
      <c r="J23" s="128">
        <v>628004</v>
      </c>
      <c r="K23" s="128">
        <v>440059</v>
      </c>
      <c r="L23" s="128">
        <v>521596</v>
      </c>
      <c r="M23" s="128">
        <v>373737</v>
      </c>
      <c r="N23" s="128">
        <v>777511</v>
      </c>
      <c r="O23" s="128">
        <v>280289</v>
      </c>
      <c r="P23" s="128">
        <v>848363</v>
      </c>
      <c r="Q23" s="128">
        <v>350148</v>
      </c>
      <c r="R23" s="299">
        <v>877779</v>
      </c>
      <c r="S23" s="299">
        <v>389373</v>
      </c>
      <c r="T23" s="299">
        <v>775139</v>
      </c>
      <c r="U23" s="314">
        <v>306235</v>
      </c>
      <c r="V23" s="299">
        <v>53607</v>
      </c>
      <c r="W23" s="299">
        <v>24032</v>
      </c>
      <c r="X23" s="299">
        <v>75534</v>
      </c>
      <c r="Y23" s="129">
        <f t="shared" si="18"/>
        <v>40.9</v>
      </c>
      <c r="Z23" s="299">
        <v>25869</v>
      </c>
      <c r="AA23" s="129">
        <f t="shared" si="19"/>
        <v>7.6</v>
      </c>
      <c r="AB23" s="299">
        <f t="shared" si="153"/>
        <v>77401</v>
      </c>
      <c r="AC23" s="299">
        <f t="shared" si="154"/>
        <v>20825</v>
      </c>
      <c r="AD23" s="299">
        <f t="shared" si="155"/>
        <v>51437</v>
      </c>
      <c r="AE23" s="129">
        <f t="shared" si="54"/>
        <v>-33.5</v>
      </c>
      <c r="AF23" s="299">
        <f t="shared" si="156"/>
        <v>18753</v>
      </c>
      <c r="AG23" s="129">
        <f t="shared" si="20"/>
        <v>-9.9</v>
      </c>
      <c r="AH23" s="299">
        <v>131008</v>
      </c>
      <c r="AI23" s="299">
        <v>44857</v>
      </c>
      <c r="AJ23" s="299">
        <v>126971</v>
      </c>
      <c r="AK23" s="129">
        <f t="shared" si="21"/>
        <v>-3.1</v>
      </c>
      <c r="AL23" s="299">
        <v>44622</v>
      </c>
      <c r="AM23" s="129">
        <f t="shared" si="22"/>
        <v>-0.5</v>
      </c>
      <c r="AN23" s="299">
        <f t="shared" si="157"/>
        <v>66173</v>
      </c>
      <c r="AO23" s="299">
        <f t="shared" si="158"/>
        <v>22213</v>
      </c>
      <c r="AP23" s="299">
        <f t="shared" si="159"/>
        <v>60893</v>
      </c>
      <c r="AQ23" s="129">
        <f t="shared" si="57"/>
        <v>-8</v>
      </c>
      <c r="AR23" s="299">
        <f t="shared" si="160"/>
        <v>24098</v>
      </c>
      <c r="AS23" s="129">
        <f t="shared" si="23"/>
        <v>8.5</v>
      </c>
      <c r="AT23" s="299">
        <v>197181</v>
      </c>
      <c r="AU23" s="299">
        <v>67070</v>
      </c>
      <c r="AV23" s="299">
        <v>187864</v>
      </c>
      <c r="AW23" s="129">
        <f t="shared" si="24"/>
        <v>-4.7</v>
      </c>
      <c r="AX23" s="299">
        <v>68720</v>
      </c>
      <c r="AY23" s="129">
        <f t="shared" si="25"/>
        <v>2.5</v>
      </c>
      <c r="AZ23" s="299">
        <f t="shared" si="161"/>
        <v>61382</v>
      </c>
      <c r="BA23" s="299">
        <f t="shared" si="162"/>
        <v>28218</v>
      </c>
      <c r="BB23" s="299">
        <f t="shared" si="163"/>
        <v>55760</v>
      </c>
      <c r="BC23" s="129">
        <f t="shared" si="60"/>
        <v>-9.1999999999999993</v>
      </c>
      <c r="BD23" s="299">
        <f t="shared" si="164"/>
        <v>19268</v>
      </c>
      <c r="BE23" s="129">
        <f t="shared" si="26"/>
        <v>-31.7</v>
      </c>
      <c r="BF23" s="299">
        <v>258563</v>
      </c>
      <c r="BG23" s="299">
        <v>95288</v>
      </c>
      <c r="BH23" s="299">
        <v>243624</v>
      </c>
      <c r="BI23" s="129">
        <f t="shared" si="27"/>
        <v>-5.8</v>
      </c>
      <c r="BJ23" s="299">
        <v>87988</v>
      </c>
      <c r="BK23" s="129">
        <f t="shared" si="28"/>
        <v>-7.7</v>
      </c>
      <c r="BL23" s="299">
        <f t="shared" si="165"/>
        <v>78642</v>
      </c>
      <c r="BM23" s="299">
        <f t="shared" si="165"/>
        <v>27641</v>
      </c>
      <c r="BN23" s="299">
        <f t="shared" si="165"/>
        <v>35765</v>
      </c>
      <c r="BO23" s="129">
        <f t="shared" si="63"/>
        <v>-54.5</v>
      </c>
      <c r="BP23" s="299">
        <f t="shared" si="166"/>
        <v>16180</v>
      </c>
      <c r="BQ23" s="129">
        <f t="shared" si="29"/>
        <v>-41.5</v>
      </c>
      <c r="BR23" s="299">
        <v>337205</v>
      </c>
      <c r="BS23" s="299">
        <v>122929</v>
      </c>
      <c r="BT23" s="299">
        <v>279389</v>
      </c>
      <c r="BU23" s="129">
        <f t="shared" si="30"/>
        <v>-17.100000000000001</v>
      </c>
      <c r="BV23" s="299">
        <v>104168</v>
      </c>
      <c r="BW23" s="129">
        <f t="shared" si="31"/>
        <v>-15.3</v>
      </c>
      <c r="BX23" s="827">
        <f t="shared" si="167"/>
        <v>68200</v>
      </c>
      <c r="BY23" s="827">
        <f t="shared" si="168"/>
        <v>23415</v>
      </c>
      <c r="BZ23" s="827">
        <f t="shared" si="169"/>
        <v>44638</v>
      </c>
      <c r="CA23" s="828">
        <f t="shared" si="66"/>
        <v>-34.5</v>
      </c>
      <c r="CB23" s="827">
        <f t="shared" si="170"/>
        <v>20352</v>
      </c>
      <c r="CC23" s="828">
        <f t="shared" si="32"/>
        <v>-13.1</v>
      </c>
      <c r="CD23" s="843">
        <v>405405</v>
      </c>
      <c r="CE23" s="843">
        <v>146344</v>
      </c>
      <c r="CF23" s="843">
        <v>324027</v>
      </c>
      <c r="CG23" s="828">
        <f t="shared" si="33"/>
        <v>-20.100000000000001</v>
      </c>
      <c r="CH23" s="843">
        <v>124520</v>
      </c>
      <c r="CI23" s="828">
        <f t="shared" si="34"/>
        <v>-14.9</v>
      </c>
      <c r="CJ23" s="843">
        <f t="shared" si="171"/>
        <v>58377</v>
      </c>
      <c r="CK23" s="843">
        <f t="shared" si="172"/>
        <v>16926</v>
      </c>
      <c r="CL23" s="843">
        <f t="shared" si="173"/>
        <v>73773</v>
      </c>
      <c r="CM23" s="828">
        <f t="shared" si="69"/>
        <v>26.4</v>
      </c>
      <c r="CN23" s="843">
        <f t="shared" si="174"/>
        <v>31011</v>
      </c>
      <c r="CO23" s="828">
        <f t="shared" si="35"/>
        <v>83.2</v>
      </c>
      <c r="CP23" s="942">
        <v>463782</v>
      </c>
      <c r="CQ23" s="942">
        <v>163270</v>
      </c>
      <c r="CR23" s="942">
        <v>397800</v>
      </c>
      <c r="CS23" s="828">
        <f t="shared" si="36"/>
        <v>-14.2</v>
      </c>
      <c r="CT23" s="942">
        <v>155531</v>
      </c>
      <c r="CU23" s="828">
        <f t="shared" si="37"/>
        <v>-4.7</v>
      </c>
      <c r="CV23" s="843">
        <f t="shared" si="175"/>
        <v>80756</v>
      </c>
      <c r="CW23" s="843">
        <f t="shared" si="176"/>
        <v>18718</v>
      </c>
      <c r="CX23" s="843">
        <f t="shared" si="177"/>
        <v>46614</v>
      </c>
      <c r="CY23" s="828">
        <f t="shared" si="72"/>
        <v>-42.3</v>
      </c>
      <c r="CZ23" s="843">
        <f t="shared" si="178"/>
        <v>22649</v>
      </c>
      <c r="DA23" s="828">
        <f t="shared" si="38"/>
        <v>21</v>
      </c>
      <c r="DB23" s="843">
        <v>544538</v>
      </c>
      <c r="DC23" s="843">
        <v>181988</v>
      </c>
      <c r="DD23" s="843">
        <v>444414</v>
      </c>
      <c r="DE23" s="828">
        <f t="shared" si="39"/>
        <v>-18.399999999999999</v>
      </c>
      <c r="DF23" s="843">
        <v>178180</v>
      </c>
      <c r="DG23" s="828">
        <f t="shared" si="40"/>
        <v>-2.1</v>
      </c>
      <c r="DH23" s="843">
        <f t="shared" si="179"/>
        <v>42657</v>
      </c>
      <c r="DI23" s="843">
        <f t="shared" si="179"/>
        <v>23755</v>
      </c>
      <c r="DJ23" s="843">
        <f t="shared" si="179"/>
        <v>53306</v>
      </c>
      <c r="DK23" s="828">
        <f t="shared" si="75"/>
        <v>25</v>
      </c>
      <c r="DL23" s="843">
        <f t="shared" si="180"/>
        <v>23709</v>
      </c>
      <c r="DM23" s="828">
        <f t="shared" si="41"/>
        <v>-0.2</v>
      </c>
      <c r="DN23" s="843">
        <v>587195</v>
      </c>
      <c r="DO23" s="843">
        <v>205743</v>
      </c>
      <c r="DP23" s="843">
        <v>497720</v>
      </c>
      <c r="DQ23" s="828">
        <f t="shared" si="42"/>
        <v>-15.2</v>
      </c>
      <c r="DR23" s="843">
        <v>201889</v>
      </c>
      <c r="DS23" s="828">
        <f t="shared" si="43"/>
        <v>-1.9</v>
      </c>
      <c r="DT23" s="843">
        <f t="shared" si="181"/>
        <v>64099</v>
      </c>
      <c r="DU23" s="843">
        <f t="shared" si="181"/>
        <v>30498</v>
      </c>
      <c r="DV23" s="843">
        <f t="shared" si="181"/>
        <v>41546</v>
      </c>
      <c r="DW23" s="828">
        <f t="shared" si="78"/>
        <v>-35.200000000000003</v>
      </c>
      <c r="DX23" s="843">
        <f t="shared" si="182"/>
        <v>31581</v>
      </c>
      <c r="DY23" s="828">
        <f t="shared" si="44"/>
        <v>3.6</v>
      </c>
      <c r="DZ23" s="843">
        <v>651294</v>
      </c>
      <c r="EA23" s="843">
        <v>236241</v>
      </c>
      <c r="EB23" s="843">
        <v>539266</v>
      </c>
      <c r="EC23" s="828">
        <f t="shared" si="45"/>
        <v>-17.2</v>
      </c>
      <c r="ED23" s="843">
        <v>233470</v>
      </c>
      <c r="EE23" s="828">
        <f t="shared" si="46"/>
        <v>-1.2</v>
      </c>
      <c r="EF23" s="843">
        <f t="shared" si="183"/>
        <v>65106</v>
      </c>
      <c r="EG23" s="843">
        <f t="shared" si="183"/>
        <v>34324</v>
      </c>
      <c r="EH23" s="843">
        <f t="shared" si="183"/>
        <v>79560</v>
      </c>
      <c r="EI23" s="828">
        <f t="shared" si="81"/>
        <v>22.2</v>
      </c>
      <c r="EJ23" s="843">
        <f t="shared" si="184"/>
        <v>27336</v>
      </c>
      <c r="EK23" s="828">
        <f t="shared" si="47"/>
        <v>-20.399999999999999</v>
      </c>
      <c r="EL23" s="843">
        <v>716400</v>
      </c>
      <c r="EM23" s="843">
        <v>270565</v>
      </c>
      <c r="EN23" s="843">
        <v>618826</v>
      </c>
      <c r="EO23" s="828">
        <f t="shared" si="48"/>
        <v>-13.6</v>
      </c>
      <c r="EP23" s="843">
        <v>260806</v>
      </c>
      <c r="EQ23" s="828">
        <f t="shared" si="49"/>
        <v>-3.6</v>
      </c>
    </row>
    <row r="24" spans="1:147" ht="21.75" customHeight="1" thickTop="1">
      <c r="A24" s="1131" t="s">
        <v>277</v>
      </c>
      <c r="B24" s="1132" t="s">
        <v>270</v>
      </c>
      <c r="C24" s="133" t="s">
        <v>271</v>
      </c>
      <c r="D24" s="841">
        <v>338</v>
      </c>
      <c r="E24" s="841">
        <v>2044</v>
      </c>
      <c r="F24" s="841">
        <v>526</v>
      </c>
      <c r="G24" s="841">
        <v>422</v>
      </c>
      <c r="H24" s="841">
        <v>1673</v>
      </c>
      <c r="I24" s="841">
        <v>174</v>
      </c>
      <c r="J24" s="841">
        <v>3696</v>
      </c>
      <c r="K24" s="841">
        <v>10</v>
      </c>
      <c r="L24" s="841">
        <v>2242</v>
      </c>
      <c r="M24" s="841">
        <v>127</v>
      </c>
      <c r="N24" s="841">
        <v>1215</v>
      </c>
      <c r="O24" s="841">
        <v>163</v>
      </c>
      <c r="P24" s="841">
        <v>564</v>
      </c>
      <c r="Q24" s="841">
        <v>360</v>
      </c>
      <c r="R24" s="841">
        <v>264</v>
      </c>
      <c r="S24" s="841">
        <v>473</v>
      </c>
      <c r="T24" s="841">
        <v>23</v>
      </c>
      <c r="U24" s="841">
        <v>1107</v>
      </c>
      <c r="V24" s="841">
        <v>3</v>
      </c>
      <c r="W24" s="841">
        <v>60</v>
      </c>
      <c r="X24" s="841">
        <v>0</v>
      </c>
      <c r="Y24" s="832">
        <f t="shared" si="18"/>
        <v>-100</v>
      </c>
      <c r="Z24" s="841">
        <v>292</v>
      </c>
      <c r="AA24" s="832">
        <f t="shared" si="19"/>
        <v>386.7</v>
      </c>
      <c r="AB24" s="841">
        <f t="shared" si="153"/>
        <v>1</v>
      </c>
      <c r="AC24" s="841">
        <f t="shared" si="154"/>
        <v>66</v>
      </c>
      <c r="AD24" s="841">
        <f t="shared" si="155"/>
        <v>0</v>
      </c>
      <c r="AE24" s="832">
        <f t="shared" si="54"/>
        <v>-100</v>
      </c>
      <c r="AF24" s="841">
        <f t="shared" si="156"/>
        <v>26</v>
      </c>
      <c r="AG24" s="832">
        <f t="shared" si="20"/>
        <v>-60.6</v>
      </c>
      <c r="AH24" s="841">
        <v>4</v>
      </c>
      <c r="AI24" s="841">
        <v>126</v>
      </c>
      <c r="AJ24" s="841">
        <v>0</v>
      </c>
      <c r="AK24" s="832">
        <f t="shared" si="21"/>
        <v>-100</v>
      </c>
      <c r="AL24" s="841">
        <v>318</v>
      </c>
      <c r="AM24" s="832">
        <f t="shared" si="22"/>
        <v>152.4</v>
      </c>
      <c r="AN24" s="841">
        <f t="shared" si="157"/>
        <v>0</v>
      </c>
      <c r="AO24" s="841">
        <f t="shared" si="158"/>
        <v>85</v>
      </c>
      <c r="AP24" s="841">
        <f t="shared" si="159"/>
        <v>6</v>
      </c>
      <c r="AQ24" s="832" t="e">
        <f t="shared" si="57"/>
        <v>#DIV/0!</v>
      </c>
      <c r="AR24" s="841">
        <f t="shared" si="160"/>
        <v>195</v>
      </c>
      <c r="AS24" s="832">
        <f t="shared" si="23"/>
        <v>129.4</v>
      </c>
      <c r="AT24" s="841">
        <v>4</v>
      </c>
      <c r="AU24" s="841">
        <v>211</v>
      </c>
      <c r="AV24" s="841">
        <v>6</v>
      </c>
      <c r="AW24" s="832">
        <f t="shared" si="24"/>
        <v>50</v>
      </c>
      <c r="AX24" s="841">
        <v>513</v>
      </c>
      <c r="AY24" s="832">
        <f t="shared" si="25"/>
        <v>143.1</v>
      </c>
      <c r="AZ24" s="841">
        <f t="shared" si="161"/>
        <v>3</v>
      </c>
      <c r="BA24" s="841">
        <f t="shared" si="162"/>
        <v>77</v>
      </c>
      <c r="BB24" s="841">
        <f t="shared" si="163"/>
        <v>0</v>
      </c>
      <c r="BC24" s="832">
        <f t="shared" si="60"/>
        <v>-100</v>
      </c>
      <c r="BD24" s="841">
        <f t="shared" si="164"/>
        <v>20</v>
      </c>
      <c r="BE24" s="832">
        <f t="shared" si="26"/>
        <v>-74</v>
      </c>
      <c r="BF24" s="841">
        <v>7</v>
      </c>
      <c r="BG24" s="841">
        <v>288</v>
      </c>
      <c r="BH24" s="841">
        <v>6</v>
      </c>
      <c r="BI24" s="832">
        <f t="shared" si="27"/>
        <v>-14.3</v>
      </c>
      <c r="BJ24" s="841">
        <v>533</v>
      </c>
      <c r="BK24" s="832">
        <f t="shared" si="28"/>
        <v>85.1</v>
      </c>
      <c r="BL24" s="841">
        <f t="shared" si="165"/>
        <v>0</v>
      </c>
      <c r="BM24" s="841">
        <f t="shared" si="165"/>
        <v>61</v>
      </c>
      <c r="BN24" s="841">
        <f t="shared" si="165"/>
        <v>0</v>
      </c>
      <c r="BO24" s="832" t="e">
        <f t="shared" si="63"/>
        <v>#DIV/0!</v>
      </c>
      <c r="BP24" s="841">
        <f t="shared" si="166"/>
        <v>0</v>
      </c>
      <c r="BQ24" s="832">
        <f t="shared" si="29"/>
        <v>-100</v>
      </c>
      <c r="BR24" s="841">
        <v>7</v>
      </c>
      <c r="BS24" s="841">
        <v>349</v>
      </c>
      <c r="BT24" s="841">
        <v>6</v>
      </c>
      <c r="BU24" s="832">
        <f t="shared" si="30"/>
        <v>-14.3</v>
      </c>
      <c r="BV24" s="841">
        <v>533</v>
      </c>
      <c r="BW24" s="832">
        <f t="shared" si="31"/>
        <v>52.7</v>
      </c>
      <c r="BX24" s="841">
        <f t="shared" si="167"/>
        <v>0</v>
      </c>
      <c r="BY24" s="841">
        <f t="shared" si="168"/>
        <v>174</v>
      </c>
      <c r="BZ24" s="841">
        <f t="shared" si="169"/>
        <v>0</v>
      </c>
      <c r="CA24" s="832" t="e">
        <f t="shared" si="66"/>
        <v>#DIV/0!</v>
      </c>
      <c r="CB24" s="841">
        <f t="shared" si="170"/>
        <v>19</v>
      </c>
      <c r="CC24" s="832">
        <f t="shared" si="32"/>
        <v>-89.1</v>
      </c>
      <c r="CD24" s="841">
        <v>7</v>
      </c>
      <c r="CE24" s="841">
        <v>523</v>
      </c>
      <c r="CF24" s="841">
        <v>6</v>
      </c>
      <c r="CG24" s="832">
        <f t="shared" si="33"/>
        <v>-14.3</v>
      </c>
      <c r="CH24" s="841">
        <v>552</v>
      </c>
      <c r="CI24" s="832">
        <f t="shared" si="34"/>
        <v>5.5</v>
      </c>
      <c r="CJ24" s="841">
        <f t="shared" si="171"/>
        <v>6</v>
      </c>
      <c r="CK24" s="841">
        <f t="shared" si="172"/>
        <v>124</v>
      </c>
      <c r="CL24" s="841">
        <f t="shared" si="173"/>
        <v>119</v>
      </c>
      <c r="CM24" s="832">
        <f t="shared" si="69"/>
        <v>1883.3</v>
      </c>
      <c r="CN24" s="841">
        <f t="shared" si="174"/>
        <v>28</v>
      </c>
      <c r="CO24" s="832">
        <f t="shared" si="35"/>
        <v>-77.400000000000006</v>
      </c>
      <c r="CP24" s="944">
        <v>13</v>
      </c>
      <c r="CQ24" s="944">
        <v>647</v>
      </c>
      <c r="CR24" s="944">
        <v>125</v>
      </c>
      <c r="CS24" s="832">
        <f t="shared" si="36"/>
        <v>861.5</v>
      </c>
      <c r="CT24" s="944">
        <v>580</v>
      </c>
      <c r="CU24" s="832">
        <f t="shared" si="37"/>
        <v>-10.4</v>
      </c>
      <c r="CV24" s="841">
        <f t="shared" si="175"/>
        <v>0</v>
      </c>
      <c r="CW24" s="841">
        <f t="shared" si="176"/>
        <v>19</v>
      </c>
      <c r="CX24" s="841">
        <f t="shared" si="177"/>
        <v>261</v>
      </c>
      <c r="CY24" s="832" t="e">
        <f t="shared" si="72"/>
        <v>#DIV/0!</v>
      </c>
      <c r="CZ24" s="841">
        <f t="shared" si="178"/>
        <v>20</v>
      </c>
      <c r="DA24" s="832">
        <f t="shared" si="38"/>
        <v>5.3</v>
      </c>
      <c r="DB24" s="841">
        <v>13</v>
      </c>
      <c r="DC24" s="841">
        <v>666</v>
      </c>
      <c r="DD24" s="841">
        <v>386</v>
      </c>
      <c r="DE24" s="832">
        <f t="shared" si="39"/>
        <v>2869.2</v>
      </c>
      <c r="DF24" s="841">
        <v>600</v>
      </c>
      <c r="DG24" s="832">
        <f t="shared" si="40"/>
        <v>-9.9</v>
      </c>
      <c r="DH24" s="841">
        <f t="shared" si="179"/>
        <v>6</v>
      </c>
      <c r="DI24" s="841">
        <f t="shared" si="179"/>
        <v>63</v>
      </c>
      <c r="DJ24" s="841">
        <f t="shared" si="179"/>
        <v>4</v>
      </c>
      <c r="DK24" s="832">
        <f t="shared" si="75"/>
        <v>-33.299999999999997</v>
      </c>
      <c r="DL24" s="841">
        <f t="shared" si="180"/>
        <v>18</v>
      </c>
      <c r="DM24" s="832">
        <f t="shared" si="41"/>
        <v>-71.400000000000006</v>
      </c>
      <c r="DN24" s="841">
        <v>19</v>
      </c>
      <c r="DO24" s="841">
        <v>729</v>
      </c>
      <c r="DP24" s="841">
        <v>390</v>
      </c>
      <c r="DQ24" s="832">
        <f t="shared" si="42"/>
        <v>1952.6</v>
      </c>
      <c r="DR24" s="841">
        <v>618</v>
      </c>
      <c r="DS24" s="832">
        <f t="shared" si="43"/>
        <v>-15.2</v>
      </c>
      <c r="DT24" s="841">
        <f t="shared" si="181"/>
        <v>0</v>
      </c>
      <c r="DU24" s="841">
        <f t="shared" si="181"/>
        <v>103</v>
      </c>
      <c r="DV24" s="841">
        <f t="shared" si="181"/>
        <v>48</v>
      </c>
      <c r="DW24" s="832" t="e">
        <f t="shared" si="78"/>
        <v>#DIV/0!</v>
      </c>
      <c r="DX24" s="841">
        <f t="shared" si="182"/>
        <v>49</v>
      </c>
      <c r="DY24" s="832">
        <f t="shared" si="44"/>
        <v>-52.4</v>
      </c>
      <c r="DZ24" s="841">
        <v>19</v>
      </c>
      <c r="EA24" s="841">
        <v>832</v>
      </c>
      <c r="EB24" s="841">
        <v>438</v>
      </c>
      <c r="EC24" s="832">
        <f t="shared" si="45"/>
        <v>2205.3000000000002</v>
      </c>
      <c r="ED24" s="841">
        <v>667</v>
      </c>
      <c r="EE24" s="832">
        <f t="shared" si="46"/>
        <v>-19.8</v>
      </c>
      <c r="EF24" s="841">
        <f t="shared" si="183"/>
        <v>1</v>
      </c>
      <c r="EG24" s="841">
        <f t="shared" si="183"/>
        <v>118</v>
      </c>
      <c r="EH24" s="841">
        <f t="shared" si="183"/>
        <v>1</v>
      </c>
      <c r="EI24" s="832">
        <f t="shared" si="81"/>
        <v>0</v>
      </c>
      <c r="EJ24" s="841">
        <f t="shared" si="184"/>
        <v>24</v>
      </c>
      <c r="EK24" s="832">
        <f t="shared" si="47"/>
        <v>-79.7</v>
      </c>
      <c r="EL24" s="841">
        <v>20</v>
      </c>
      <c r="EM24" s="841">
        <v>950</v>
      </c>
      <c r="EN24" s="841">
        <v>439</v>
      </c>
      <c r="EO24" s="832">
        <f t="shared" si="48"/>
        <v>2095</v>
      </c>
      <c r="EP24" s="841">
        <v>691</v>
      </c>
      <c r="EQ24" s="832">
        <f t="shared" si="49"/>
        <v>-27.3</v>
      </c>
    </row>
    <row r="25" spans="1:147" ht="21.75" customHeight="1">
      <c r="A25" s="1129"/>
      <c r="B25" s="1129"/>
      <c r="C25" s="1063" t="s">
        <v>272</v>
      </c>
      <c r="D25" s="844">
        <v>511</v>
      </c>
      <c r="E25" s="844">
        <v>1892</v>
      </c>
      <c r="F25" s="844">
        <v>725</v>
      </c>
      <c r="G25" s="844">
        <v>387</v>
      </c>
      <c r="H25" s="844">
        <v>2253</v>
      </c>
      <c r="I25" s="844">
        <v>215</v>
      </c>
      <c r="J25" s="844">
        <v>5584</v>
      </c>
      <c r="K25" s="844">
        <v>17</v>
      </c>
      <c r="L25" s="844">
        <v>3079</v>
      </c>
      <c r="M25" s="844">
        <v>87</v>
      </c>
      <c r="N25" s="844">
        <v>1530</v>
      </c>
      <c r="O25" s="844">
        <v>225</v>
      </c>
      <c r="P25" s="844">
        <v>990</v>
      </c>
      <c r="Q25" s="844">
        <v>673</v>
      </c>
      <c r="R25" s="844">
        <v>399</v>
      </c>
      <c r="S25" s="844">
        <v>882</v>
      </c>
      <c r="T25" s="844">
        <v>19</v>
      </c>
      <c r="U25" s="844">
        <v>1984</v>
      </c>
      <c r="V25" s="844">
        <v>3</v>
      </c>
      <c r="W25" s="844">
        <v>99</v>
      </c>
      <c r="X25" s="844">
        <v>0</v>
      </c>
      <c r="Y25" s="824">
        <f t="shared" si="18"/>
        <v>-100</v>
      </c>
      <c r="Z25" s="844">
        <v>554</v>
      </c>
      <c r="AA25" s="824">
        <f t="shared" si="19"/>
        <v>459.6</v>
      </c>
      <c r="AB25" s="844">
        <f t="shared" si="153"/>
        <v>1</v>
      </c>
      <c r="AC25" s="844">
        <f t="shared" si="154"/>
        <v>119</v>
      </c>
      <c r="AD25" s="844">
        <f t="shared" si="155"/>
        <v>0</v>
      </c>
      <c r="AE25" s="824">
        <f t="shared" si="54"/>
        <v>-100</v>
      </c>
      <c r="AF25" s="844">
        <f t="shared" si="156"/>
        <v>43</v>
      </c>
      <c r="AG25" s="824">
        <f t="shared" si="20"/>
        <v>-63.9</v>
      </c>
      <c r="AH25" s="844">
        <v>4</v>
      </c>
      <c r="AI25" s="844">
        <v>218</v>
      </c>
      <c r="AJ25" s="844">
        <v>0</v>
      </c>
      <c r="AK25" s="824">
        <f t="shared" si="21"/>
        <v>-100</v>
      </c>
      <c r="AL25" s="844">
        <v>597</v>
      </c>
      <c r="AM25" s="824">
        <f t="shared" si="22"/>
        <v>173.9</v>
      </c>
      <c r="AN25" s="844">
        <f t="shared" si="157"/>
        <v>0</v>
      </c>
      <c r="AO25" s="844">
        <f t="shared" si="158"/>
        <v>111</v>
      </c>
      <c r="AP25" s="844">
        <f t="shared" si="159"/>
        <v>3</v>
      </c>
      <c r="AQ25" s="824" t="e">
        <f t="shared" si="57"/>
        <v>#DIV/0!</v>
      </c>
      <c r="AR25" s="844">
        <f t="shared" si="160"/>
        <v>341</v>
      </c>
      <c r="AS25" s="824">
        <f t="shared" si="23"/>
        <v>207.2</v>
      </c>
      <c r="AT25" s="844">
        <v>4</v>
      </c>
      <c r="AU25" s="844">
        <v>329</v>
      </c>
      <c r="AV25" s="844">
        <v>3</v>
      </c>
      <c r="AW25" s="824">
        <f t="shared" si="24"/>
        <v>-25</v>
      </c>
      <c r="AX25" s="844">
        <v>938</v>
      </c>
      <c r="AY25" s="824">
        <f t="shared" si="25"/>
        <v>185.1</v>
      </c>
      <c r="AZ25" s="844">
        <f t="shared" si="161"/>
        <v>4</v>
      </c>
      <c r="BA25" s="844">
        <f t="shared" si="162"/>
        <v>135</v>
      </c>
      <c r="BB25" s="844">
        <f t="shared" si="163"/>
        <v>0</v>
      </c>
      <c r="BC25" s="824">
        <f t="shared" si="60"/>
        <v>-100</v>
      </c>
      <c r="BD25" s="844">
        <f t="shared" si="164"/>
        <v>26</v>
      </c>
      <c r="BE25" s="824">
        <f t="shared" si="26"/>
        <v>-80.7</v>
      </c>
      <c r="BF25" s="844">
        <v>8</v>
      </c>
      <c r="BG25" s="844">
        <v>464</v>
      </c>
      <c r="BH25" s="844">
        <v>3</v>
      </c>
      <c r="BI25" s="824">
        <f t="shared" si="27"/>
        <v>-62.5</v>
      </c>
      <c r="BJ25" s="844">
        <v>964</v>
      </c>
      <c r="BK25" s="824">
        <f t="shared" si="28"/>
        <v>107.8</v>
      </c>
      <c r="BL25" s="844">
        <f t="shared" si="165"/>
        <v>0</v>
      </c>
      <c r="BM25" s="844">
        <f t="shared" si="165"/>
        <v>125</v>
      </c>
      <c r="BN25" s="844">
        <f t="shared" si="165"/>
        <v>0</v>
      </c>
      <c r="BO25" s="824" t="e">
        <f t="shared" si="63"/>
        <v>#DIV/0!</v>
      </c>
      <c r="BP25" s="844">
        <f t="shared" si="166"/>
        <v>0</v>
      </c>
      <c r="BQ25" s="824">
        <f t="shared" si="29"/>
        <v>-100</v>
      </c>
      <c r="BR25" s="844">
        <v>8</v>
      </c>
      <c r="BS25" s="844">
        <v>589</v>
      </c>
      <c r="BT25" s="844">
        <v>3</v>
      </c>
      <c r="BU25" s="824">
        <f t="shared" si="30"/>
        <v>-62.5</v>
      </c>
      <c r="BV25" s="844">
        <v>964</v>
      </c>
      <c r="BW25" s="824">
        <f t="shared" si="31"/>
        <v>63.7</v>
      </c>
      <c r="BX25" s="844">
        <f t="shared" si="167"/>
        <v>0</v>
      </c>
      <c r="BY25" s="844">
        <f t="shared" si="168"/>
        <v>325</v>
      </c>
      <c r="BZ25" s="844">
        <f t="shared" si="169"/>
        <v>0</v>
      </c>
      <c r="CA25" s="824" t="e">
        <f t="shared" si="66"/>
        <v>#DIV/0!</v>
      </c>
      <c r="CB25" s="844">
        <f t="shared" si="170"/>
        <v>25</v>
      </c>
      <c r="CC25" s="824">
        <f t="shared" si="32"/>
        <v>-92.3</v>
      </c>
      <c r="CD25" s="844">
        <v>8</v>
      </c>
      <c r="CE25" s="844">
        <v>914</v>
      </c>
      <c r="CF25" s="844">
        <v>3</v>
      </c>
      <c r="CG25" s="824">
        <f t="shared" si="33"/>
        <v>-62.5</v>
      </c>
      <c r="CH25" s="844">
        <v>989</v>
      </c>
      <c r="CI25" s="824">
        <f t="shared" si="34"/>
        <v>8.1999999999999993</v>
      </c>
      <c r="CJ25" s="844">
        <f t="shared" si="171"/>
        <v>3</v>
      </c>
      <c r="CK25" s="844">
        <f t="shared" si="172"/>
        <v>265</v>
      </c>
      <c r="CL25" s="844">
        <f t="shared" si="173"/>
        <v>4</v>
      </c>
      <c r="CM25" s="824">
        <f t="shared" si="69"/>
        <v>33.299999999999997</v>
      </c>
      <c r="CN25" s="844">
        <f t="shared" si="174"/>
        <v>35</v>
      </c>
      <c r="CO25" s="824">
        <f t="shared" si="35"/>
        <v>-86.8</v>
      </c>
      <c r="CP25" s="940">
        <v>11</v>
      </c>
      <c r="CQ25" s="940">
        <v>1179</v>
      </c>
      <c r="CR25" s="940">
        <v>7</v>
      </c>
      <c r="CS25" s="824">
        <f t="shared" si="36"/>
        <v>-36.4</v>
      </c>
      <c r="CT25" s="940">
        <v>1024</v>
      </c>
      <c r="CU25" s="824">
        <f t="shared" si="37"/>
        <v>-13.1</v>
      </c>
      <c r="CV25" s="844">
        <f t="shared" si="175"/>
        <v>0</v>
      </c>
      <c r="CW25" s="844">
        <f t="shared" si="176"/>
        <v>30</v>
      </c>
      <c r="CX25" s="844">
        <f t="shared" si="177"/>
        <v>6</v>
      </c>
      <c r="CY25" s="824" t="e">
        <f t="shared" si="72"/>
        <v>#DIV/0!</v>
      </c>
      <c r="CZ25" s="844">
        <f t="shared" si="178"/>
        <v>27</v>
      </c>
      <c r="DA25" s="824">
        <f t="shared" si="38"/>
        <v>-10</v>
      </c>
      <c r="DB25" s="844">
        <v>11</v>
      </c>
      <c r="DC25" s="844">
        <v>1209</v>
      </c>
      <c r="DD25" s="844">
        <v>13</v>
      </c>
      <c r="DE25" s="824">
        <f t="shared" si="39"/>
        <v>18.2</v>
      </c>
      <c r="DF25" s="844">
        <v>1051</v>
      </c>
      <c r="DG25" s="824">
        <f t="shared" si="40"/>
        <v>-13.1</v>
      </c>
      <c r="DH25" s="844">
        <f t="shared" si="179"/>
        <v>3</v>
      </c>
      <c r="DI25" s="844">
        <f t="shared" si="179"/>
        <v>99</v>
      </c>
      <c r="DJ25" s="844">
        <f t="shared" si="179"/>
        <v>8</v>
      </c>
      <c r="DK25" s="824">
        <f t="shared" si="75"/>
        <v>166.7</v>
      </c>
      <c r="DL25" s="844">
        <f t="shared" si="180"/>
        <v>29</v>
      </c>
      <c r="DM25" s="824">
        <f t="shared" si="41"/>
        <v>-70.7</v>
      </c>
      <c r="DN25" s="844">
        <v>14</v>
      </c>
      <c r="DO25" s="844">
        <v>1308</v>
      </c>
      <c r="DP25" s="844">
        <v>21</v>
      </c>
      <c r="DQ25" s="824">
        <f t="shared" si="42"/>
        <v>50</v>
      </c>
      <c r="DR25" s="844">
        <v>1080</v>
      </c>
      <c r="DS25" s="824">
        <f t="shared" si="43"/>
        <v>-17.399999999999999</v>
      </c>
      <c r="DT25" s="844">
        <f t="shared" si="181"/>
        <v>0</v>
      </c>
      <c r="DU25" s="844">
        <f t="shared" si="181"/>
        <v>179</v>
      </c>
      <c r="DV25" s="844">
        <f t="shared" si="181"/>
        <v>67</v>
      </c>
      <c r="DW25" s="824" t="e">
        <f t="shared" si="78"/>
        <v>#DIV/0!</v>
      </c>
      <c r="DX25" s="844">
        <f t="shared" si="182"/>
        <v>82</v>
      </c>
      <c r="DY25" s="824">
        <f t="shared" si="44"/>
        <v>-54.2</v>
      </c>
      <c r="DZ25" s="844">
        <v>14</v>
      </c>
      <c r="EA25" s="844">
        <v>1487</v>
      </c>
      <c r="EB25" s="844">
        <v>88</v>
      </c>
      <c r="EC25" s="824">
        <f t="shared" si="45"/>
        <v>528.6</v>
      </c>
      <c r="ED25" s="844">
        <v>1162</v>
      </c>
      <c r="EE25" s="824">
        <f t="shared" si="46"/>
        <v>-21.9</v>
      </c>
      <c r="EF25" s="844">
        <f t="shared" si="183"/>
        <v>3</v>
      </c>
      <c r="EG25" s="844">
        <f t="shared" si="183"/>
        <v>210</v>
      </c>
      <c r="EH25" s="844">
        <f t="shared" si="183"/>
        <v>4</v>
      </c>
      <c r="EI25" s="824">
        <f t="shared" si="81"/>
        <v>33.299999999999997</v>
      </c>
      <c r="EJ25" s="844">
        <f t="shared" si="184"/>
        <v>38</v>
      </c>
      <c r="EK25" s="824">
        <f t="shared" si="47"/>
        <v>-81.900000000000006</v>
      </c>
      <c r="EL25" s="844">
        <v>17</v>
      </c>
      <c r="EM25" s="844">
        <v>1697</v>
      </c>
      <c r="EN25" s="844">
        <v>92</v>
      </c>
      <c r="EO25" s="824">
        <f t="shared" si="48"/>
        <v>441.2</v>
      </c>
      <c r="EP25" s="844">
        <v>1200</v>
      </c>
      <c r="EQ25" s="824">
        <f t="shared" si="49"/>
        <v>-29.3</v>
      </c>
    </row>
    <row r="26" spans="1:147" ht="21.75" customHeight="1">
      <c r="A26" s="1129"/>
      <c r="B26" s="1129" t="s">
        <v>273</v>
      </c>
      <c r="C26" s="118" t="s">
        <v>271</v>
      </c>
      <c r="D26" s="840">
        <v>457666</v>
      </c>
      <c r="E26" s="840">
        <v>92148</v>
      </c>
      <c r="F26" s="840">
        <v>488840</v>
      </c>
      <c r="G26" s="840">
        <v>86213</v>
      </c>
      <c r="H26" s="840">
        <v>481034</v>
      </c>
      <c r="I26" s="840">
        <v>77481</v>
      </c>
      <c r="J26" s="840">
        <v>424106</v>
      </c>
      <c r="K26" s="840">
        <v>62565</v>
      </c>
      <c r="L26" s="840">
        <v>528366</v>
      </c>
      <c r="M26" s="840">
        <v>68711</v>
      </c>
      <c r="N26" s="840">
        <v>572828</v>
      </c>
      <c r="O26" s="840">
        <v>59139</v>
      </c>
      <c r="P26" s="840">
        <v>534026</v>
      </c>
      <c r="Q26" s="840">
        <v>63550</v>
      </c>
      <c r="R26" s="840">
        <v>589791</v>
      </c>
      <c r="S26" s="840">
        <v>60914</v>
      </c>
      <c r="T26" s="840">
        <v>550848</v>
      </c>
      <c r="U26" s="840">
        <v>47837</v>
      </c>
      <c r="V26" s="840">
        <v>38243</v>
      </c>
      <c r="W26" s="840">
        <v>5377</v>
      </c>
      <c r="X26" s="840">
        <v>46224</v>
      </c>
      <c r="Y26" s="822">
        <f t="shared" si="18"/>
        <v>20.9</v>
      </c>
      <c r="Z26" s="840">
        <v>3791</v>
      </c>
      <c r="AA26" s="822">
        <f t="shared" si="19"/>
        <v>-29.5</v>
      </c>
      <c r="AB26" s="840">
        <f t="shared" si="153"/>
        <v>35800</v>
      </c>
      <c r="AC26" s="840">
        <f t="shared" si="154"/>
        <v>2369</v>
      </c>
      <c r="AD26" s="840">
        <f t="shared" si="155"/>
        <v>43875</v>
      </c>
      <c r="AE26" s="822">
        <f t="shared" si="54"/>
        <v>22.6</v>
      </c>
      <c r="AF26" s="840">
        <f t="shared" si="156"/>
        <v>3742</v>
      </c>
      <c r="AG26" s="822">
        <f t="shared" si="20"/>
        <v>58</v>
      </c>
      <c r="AH26" s="840">
        <v>74043</v>
      </c>
      <c r="AI26" s="840">
        <v>7746</v>
      </c>
      <c r="AJ26" s="840">
        <v>90099</v>
      </c>
      <c r="AK26" s="822">
        <f t="shared" si="21"/>
        <v>21.7</v>
      </c>
      <c r="AL26" s="840">
        <v>7533</v>
      </c>
      <c r="AM26" s="822">
        <f t="shared" si="22"/>
        <v>-2.7</v>
      </c>
      <c r="AN26" s="840">
        <f t="shared" si="157"/>
        <v>35751</v>
      </c>
      <c r="AO26" s="840">
        <f t="shared" si="158"/>
        <v>4651</v>
      </c>
      <c r="AP26" s="840">
        <f t="shared" si="159"/>
        <v>61714</v>
      </c>
      <c r="AQ26" s="822">
        <f t="shared" si="57"/>
        <v>72.599999999999994</v>
      </c>
      <c r="AR26" s="840">
        <f t="shared" si="160"/>
        <v>6518</v>
      </c>
      <c r="AS26" s="822">
        <f t="shared" si="23"/>
        <v>40.1</v>
      </c>
      <c r="AT26" s="840">
        <v>109794</v>
      </c>
      <c r="AU26" s="840">
        <v>12397</v>
      </c>
      <c r="AV26" s="840">
        <v>151813</v>
      </c>
      <c r="AW26" s="822">
        <f t="shared" si="24"/>
        <v>38.299999999999997</v>
      </c>
      <c r="AX26" s="840">
        <v>14051</v>
      </c>
      <c r="AY26" s="822">
        <f t="shared" si="25"/>
        <v>13.3</v>
      </c>
      <c r="AZ26" s="840">
        <f t="shared" si="161"/>
        <v>47312</v>
      </c>
      <c r="BA26" s="840">
        <f t="shared" si="162"/>
        <v>4826</v>
      </c>
      <c r="BB26" s="840">
        <f t="shared" si="163"/>
        <v>52497</v>
      </c>
      <c r="BC26" s="822">
        <f t="shared" si="60"/>
        <v>11</v>
      </c>
      <c r="BD26" s="840">
        <f t="shared" si="164"/>
        <v>2527</v>
      </c>
      <c r="BE26" s="822">
        <f t="shared" si="26"/>
        <v>-47.6</v>
      </c>
      <c r="BF26" s="840">
        <v>157106</v>
      </c>
      <c r="BG26" s="840">
        <v>17223</v>
      </c>
      <c r="BH26" s="840">
        <v>204310</v>
      </c>
      <c r="BI26" s="822">
        <f t="shared" si="27"/>
        <v>30</v>
      </c>
      <c r="BJ26" s="840">
        <v>16578</v>
      </c>
      <c r="BK26" s="822">
        <f t="shared" si="28"/>
        <v>-3.7</v>
      </c>
      <c r="BL26" s="840">
        <f t="shared" si="165"/>
        <v>52056</v>
      </c>
      <c r="BM26" s="840">
        <f t="shared" si="165"/>
        <v>4667</v>
      </c>
      <c r="BN26" s="840">
        <f t="shared" si="165"/>
        <v>45011</v>
      </c>
      <c r="BO26" s="822">
        <f t="shared" si="63"/>
        <v>-13.5</v>
      </c>
      <c r="BP26" s="840">
        <f t="shared" si="166"/>
        <v>2947</v>
      </c>
      <c r="BQ26" s="822">
        <f t="shared" si="29"/>
        <v>-36.9</v>
      </c>
      <c r="BR26" s="840">
        <v>209162</v>
      </c>
      <c r="BS26" s="840">
        <v>21890</v>
      </c>
      <c r="BT26" s="840">
        <v>249321</v>
      </c>
      <c r="BU26" s="822">
        <f t="shared" si="30"/>
        <v>19.2</v>
      </c>
      <c r="BV26" s="840">
        <v>19525</v>
      </c>
      <c r="BW26" s="822">
        <f t="shared" si="31"/>
        <v>-10.8</v>
      </c>
      <c r="BX26" s="840">
        <f t="shared" si="167"/>
        <v>49193</v>
      </c>
      <c r="BY26" s="840">
        <f t="shared" si="168"/>
        <v>3835</v>
      </c>
      <c r="BZ26" s="840">
        <f t="shared" si="169"/>
        <v>43709</v>
      </c>
      <c r="CA26" s="822">
        <f t="shared" si="66"/>
        <v>-11.1</v>
      </c>
      <c r="CB26" s="840">
        <f t="shared" si="170"/>
        <v>1833</v>
      </c>
      <c r="CC26" s="822">
        <f t="shared" si="32"/>
        <v>-52.2</v>
      </c>
      <c r="CD26" s="840">
        <v>258355</v>
      </c>
      <c r="CE26" s="840">
        <v>25725</v>
      </c>
      <c r="CF26" s="840">
        <v>293030</v>
      </c>
      <c r="CG26" s="822">
        <f t="shared" si="33"/>
        <v>13.4</v>
      </c>
      <c r="CH26" s="840">
        <v>21358</v>
      </c>
      <c r="CI26" s="822">
        <f t="shared" si="34"/>
        <v>-17</v>
      </c>
      <c r="CJ26" s="840">
        <f t="shared" si="171"/>
        <v>49079</v>
      </c>
      <c r="CK26" s="840">
        <f t="shared" si="172"/>
        <v>4290</v>
      </c>
      <c r="CL26" s="840">
        <f t="shared" si="173"/>
        <v>47646</v>
      </c>
      <c r="CM26" s="822">
        <f t="shared" si="69"/>
        <v>-2.9</v>
      </c>
      <c r="CN26" s="840">
        <f t="shared" si="174"/>
        <v>2817</v>
      </c>
      <c r="CO26" s="822">
        <f t="shared" si="35"/>
        <v>-34.299999999999997</v>
      </c>
      <c r="CP26" s="939">
        <v>307434</v>
      </c>
      <c r="CQ26" s="939">
        <v>30015</v>
      </c>
      <c r="CR26" s="939">
        <v>340676</v>
      </c>
      <c r="CS26" s="822">
        <f t="shared" si="36"/>
        <v>10.8</v>
      </c>
      <c r="CT26" s="939">
        <v>24175</v>
      </c>
      <c r="CU26" s="822">
        <f t="shared" si="37"/>
        <v>-19.5</v>
      </c>
      <c r="CV26" s="840">
        <f t="shared" si="175"/>
        <v>43715</v>
      </c>
      <c r="CW26" s="840">
        <f t="shared" si="176"/>
        <v>3785</v>
      </c>
      <c r="CX26" s="840">
        <f t="shared" si="177"/>
        <v>40401</v>
      </c>
      <c r="CY26" s="822">
        <f t="shared" si="72"/>
        <v>-7.6</v>
      </c>
      <c r="CZ26" s="840">
        <f t="shared" si="178"/>
        <v>2342</v>
      </c>
      <c r="DA26" s="822">
        <f t="shared" si="38"/>
        <v>-38.1</v>
      </c>
      <c r="DB26" s="840">
        <v>351149</v>
      </c>
      <c r="DC26" s="840">
        <v>33800</v>
      </c>
      <c r="DD26" s="840">
        <v>381077</v>
      </c>
      <c r="DE26" s="822">
        <f t="shared" si="39"/>
        <v>8.5</v>
      </c>
      <c r="DF26" s="840">
        <v>26517</v>
      </c>
      <c r="DG26" s="822">
        <f t="shared" si="40"/>
        <v>-21.5</v>
      </c>
      <c r="DH26" s="840">
        <f t="shared" si="179"/>
        <v>44117</v>
      </c>
      <c r="DI26" s="840">
        <f t="shared" si="179"/>
        <v>3121</v>
      </c>
      <c r="DJ26" s="840">
        <f t="shared" si="179"/>
        <v>56081</v>
      </c>
      <c r="DK26" s="822">
        <f t="shared" si="75"/>
        <v>27.1</v>
      </c>
      <c r="DL26" s="840">
        <f t="shared" si="180"/>
        <v>3407</v>
      </c>
      <c r="DM26" s="822">
        <f t="shared" si="41"/>
        <v>9.1999999999999993</v>
      </c>
      <c r="DN26" s="840">
        <v>395266</v>
      </c>
      <c r="DO26" s="840">
        <v>36921</v>
      </c>
      <c r="DP26" s="840">
        <v>437158</v>
      </c>
      <c r="DQ26" s="822">
        <f t="shared" si="42"/>
        <v>10.6</v>
      </c>
      <c r="DR26" s="840">
        <v>29924</v>
      </c>
      <c r="DS26" s="822">
        <f t="shared" si="43"/>
        <v>-19</v>
      </c>
      <c r="DT26" s="840">
        <f t="shared" si="181"/>
        <v>51173</v>
      </c>
      <c r="DU26" s="840">
        <f t="shared" si="181"/>
        <v>3542</v>
      </c>
      <c r="DV26" s="840">
        <f t="shared" si="181"/>
        <v>56895</v>
      </c>
      <c r="DW26" s="822">
        <f t="shared" si="78"/>
        <v>11.2</v>
      </c>
      <c r="DX26" s="840">
        <f t="shared" si="182"/>
        <v>2964</v>
      </c>
      <c r="DY26" s="822">
        <f t="shared" si="44"/>
        <v>-16.3</v>
      </c>
      <c r="DZ26" s="840">
        <v>446439</v>
      </c>
      <c r="EA26" s="840">
        <v>40463</v>
      </c>
      <c r="EB26" s="840">
        <v>494053</v>
      </c>
      <c r="EC26" s="822">
        <f t="shared" si="45"/>
        <v>10.7</v>
      </c>
      <c r="ED26" s="840">
        <v>32888</v>
      </c>
      <c r="EE26" s="822">
        <f t="shared" si="46"/>
        <v>-18.7</v>
      </c>
      <c r="EF26" s="840">
        <f t="shared" si="183"/>
        <v>47792</v>
      </c>
      <c r="EG26" s="840">
        <f t="shared" si="183"/>
        <v>3058</v>
      </c>
      <c r="EH26" s="840">
        <f t="shared" si="183"/>
        <v>54508</v>
      </c>
      <c r="EI26" s="822">
        <f t="shared" si="81"/>
        <v>14.1</v>
      </c>
      <c r="EJ26" s="840">
        <f t="shared" si="184"/>
        <v>3184</v>
      </c>
      <c r="EK26" s="822">
        <f t="shared" si="47"/>
        <v>4.0999999999999996</v>
      </c>
      <c r="EL26" s="840">
        <v>494231</v>
      </c>
      <c r="EM26" s="840">
        <v>43521</v>
      </c>
      <c r="EN26" s="840">
        <v>548561</v>
      </c>
      <c r="EO26" s="822">
        <f t="shared" si="48"/>
        <v>11</v>
      </c>
      <c r="EP26" s="840">
        <v>36072</v>
      </c>
      <c r="EQ26" s="822">
        <f t="shared" si="49"/>
        <v>-17.100000000000001</v>
      </c>
    </row>
    <row r="27" spans="1:147" ht="21.75" customHeight="1">
      <c r="A27" s="1129"/>
      <c r="B27" s="1129"/>
      <c r="C27" s="1063" t="s">
        <v>272</v>
      </c>
      <c r="D27" s="844">
        <v>1052242</v>
      </c>
      <c r="E27" s="844">
        <v>212705</v>
      </c>
      <c r="F27" s="844">
        <v>995888</v>
      </c>
      <c r="G27" s="844">
        <v>172063</v>
      </c>
      <c r="H27" s="844">
        <v>984752</v>
      </c>
      <c r="I27" s="844">
        <v>157871</v>
      </c>
      <c r="J27" s="844">
        <v>998130</v>
      </c>
      <c r="K27" s="844">
        <v>145183</v>
      </c>
      <c r="L27" s="844">
        <v>1127795</v>
      </c>
      <c r="M27" s="844">
        <v>147438</v>
      </c>
      <c r="N27" s="844">
        <v>1267896</v>
      </c>
      <c r="O27" s="844">
        <v>129584</v>
      </c>
      <c r="P27" s="844">
        <v>1609066</v>
      </c>
      <c r="Q27" s="844">
        <v>188448</v>
      </c>
      <c r="R27" s="844">
        <v>1825760</v>
      </c>
      <c r="S27" s="844">
        <v>191919</v>
      </c>
      <c r="T27" s="844">
        <v>1492173</v>
      </c>
      <c r="U27" s="844">
        <v>131267</v>
      </c>
      <c r="V27" s="844">
        <v>107108</v>
      </c>
      <c r="W27" s="844">
        <v>14947</v>
      </c>
      <c r="X27" s="844">
        <v>114631</v>
      </c>
      <c r="Y27" s="824">
        <f t="shared" si="18"/>
        <v>7</v>
      </c>
      <c r="Z27" s="844">
        <v>9556</v>
      </c>
      <c r="AA27" s="824">
        <f t="shared" si="19"/>
        <v>-36.1</v>
      </c>
      <c r="AB27" s="844">
        <f t="shared" si="153"/>
        <v>102306</v>
      </c>
      <c r="AC27" s="844">
        <f t="shared" si="154"/>
        <v>6778</v>
      </c>
      <c r="AD27" s="844">
        <f t="shared" si="155"/>
        <v>106961</v>
      </c>
      <c r="AE27" s="824">
        <f t="shared" si="54"/>
        <v>4.5999999999999996</v>
      </c>
      <c r="AF27" s="844">
        <f t="shared" si="156"/>
        <v>9421</v>
      </c>
      <c r="AG27" s="824">
        <f t="shared" si="20"/>
        <v>39</v>
      </c>
      <c r="AH27" s="844">
        <v>209414</v>
      </c>
      <c r="AI27" s="844">
        <v>21725</v>
      </c>
      <c r="AJ27" s="844">
        <v>221592</v>
      </c>
      <c r="AK27" s="824">
        <f t="shared" si="21"/>
        <v>5.8</v>
      </c>
      <c r="AL27" s="844">
        <v>18977</v>
      </c>
      <c r="AM27" s="824">
        <f t="shared" si="22"/>
        <v>-12.6</v>
      </c>
      <c r="AN27" s="844">
        <f t="shared" si="157"/>
        <v>106292</v>
      </c>
      <c r="AO27" s="844">
        <f t="shared" si="158"/>
        <v>13050</v>
      </c>
      <c r="AP27" s="844">
        <f t="shared" si="159"/>
        <v>130273</v>
      </c>
      <c r="AQ27" s="824">
        <f t="shared" si="57"/>
        <v>22.6</v>
      </c>
      <c r="AR27" s="844">
        <f t="shared" si="160"/>
        <v>15029</v>
      </c>
      <c r="AS27" s="824">
        <f t="shared" si="23"/>
        <v>15.2</v>
      </c>
      <c r="AT27" s="844">
        <v>315706</v>
      </c>
      <c r="AU27" s="844">
        <v>34775</v>
      </c>
      <c r="AV27" s="844">
        <v>351865</v>
      </c>
      <c r="AW27" s="824">
        <f t="shared" si="24"/>
        <v>11.5</v>
      </c>
      <c r="AX27" s="844">
        <v>34006</v>
      </c>
      <c r="AY27" s="824">
        <f t="shared" si="25"/>
        <v>-2.2000000000000002</v>
      </c>
      <c r="AZ27" s="844">
        <f t="shared" si="161"/>
        <v>145267</v>
      </c>
      <c r="BA27" s="844">
        <f t="shared" si="162"/>
        <v>14201</v>
      </c>
      <c r="BB27" s="844">
        <f t="shared" si="163"/>
        <v>107318</v>
      </c>
      <c r="BC27" s="824">
        <f t="shared" si="60"/>
        <v>-26.1</v>
      </c>
      <c r="BD27" s="844">
        <f t="shared" si="164"/>
        <v>5768</v>
      </c>
      <c r="BE27" s="824">
        <f t="shared" si="26"/>
        <v>-59.4</v>
      </c>
      <c r="BF27" s="844">
        <v>460973</v>
      </c>
      <c r="BG27" s="844">
        <v>48976</v>
      </c>
      <c r="BH27" s="844">
        <v>459183</v>
      </c>
      <c r="BI27" s="824">
        <f t="shared" si="27"/>
        <v>-0.4</v>
      </c>
      <c r="BJ27" s="844">
        <v>39774</v>
      </c>
      <c r="BK27" s="824">
        <f t="shared" si="28"/>
        <v>-18.8</v>
      </c>
      <c r="BL27" s="844">
        <f t="shared" si="165"/>
        <v>153958</v>
      </c>
      <c r="BM27" s="844">
        <f t="shared" si="165"/>
        <v>13870</v>
      </c>
      <c r="BN27" s="844">
        <f t="shared" si="165"/>
        <v>86962</v>
      </c>
      <c r="BO27" s="824">
        <f t="shared" si="63"/>
        <v>-43.5</v>
      </c>
      <c r="BP27" s="844">
        <f t="shared" si="166"/>
        <v>6419</v>
      </c>
      <c r="BQ27" s="824">
        <f t="shared" si="29"/>
        <v>-53.7</v>
      </c>
      <c r="BR27" s="844">
        <v>614931</v>
      </c>
      <c r="BS27" s="844">
        <v>62846</v>
      </c>
      <c r="BT27" s="844">
        <v>546145</v>
      </c>
      <c r="BU27" s="824">
        <f t="shared" si="30"/>
        <v>-11.2</v>
      </c>
      <c r="BV27" s="844">
        <v>46193</v>
      </c>
      <c r="BW27" s="824">
        <f t="shared" si="31"/>
        <v>-26.5</v>
      </c>
      <c r="BX27" s="844">
        <f t="shared" si="167"/>
        <v>138333</v>
      </c>
      <c r="BY27" s="844">
        <f t="shared" si="168"/>
        <v>11051</v>
      </c>
      <c r="BZ27" s="844">
        <f t="shared" si="169"/>
        <v>92163</v>
      </c>
      <c r="CA27" s="824">
        <f t="shared" si="66"/>
        <v>-33.4</v>
      </c>
      <c r="CB27" s="844">
        <f t="shared" si="170"/>
        <v>3504</v>
      </c>
      <c r="CC27" s="824">
        <f t="shared" si="32"/>
        <v>-68.3</v>
      </c>
      <c r="CD27" s="844">
        <v>753264</v>
      </c>
      <c r="CE27" s="844">
        <v>73897</v>
      </c>
      <c r="CF27" s="844">
        <v>638308</v>
      </c>
      <c r="CG27" s="824">
        <f t="shared" si="33"/>
        <v>-15.3</v>
      </c>
      <c r="CH27" s="844">
        <v>49697</v>
      </c>
      <c r="CI27" s="824">
        <f t="shared" si="34"/>
        <v>-32.700000000000003</v>
      </c>
      <c r="CJ27" s="844">
        <f t="shared" si="171"/>
        <v>132225</v>
      </c>
      <c r="CK27" s="844">
        <f t="shared" si="172"/>
        <v>11732</v>
      </c>
      <c r="CL27" s="844">
        <f t="shared" si="173"/>
        <v>105343</v>
      </c>
      <c r="CM27" s="824">
        <f t="shared" si="69"/>
        <v>-20.3</v>
      </c>
      <c r="CN27" s="844">
        <f t="shared" si="174"/>
        <v>5985</v>
      </c>
      <c r="CO27" s="824">
        <f t="shared" si="35"/>
        <v>-49</v>
      </c>
      <c r="CP27" s="940">
        <v>885489</v>
      </c>
      <c r="CQ27" s="940">
        <v>85629</v>
      </c>
      <c r="CR27" s="940">
        <v>743651</v>
      </c>
      <c r="CS27" s="824">
        <f t="shared" si="36"/>
        <v>-16</v>
      </c>
      <c r="CT27" s="940">
        <v>55682</v>
      </c>
      <c r="CU27" s="824">
        <f t="shared" si="37"/>
        <v>-35</v>
      </c>
      <c r="CV27" s="844">
        <f t="shared" si="175"/>
        <v>111142</v>
      </c>
      <c r="CW27" s="844">
        <f t="shared" si="176"/>
        <v>9836</v>
      </c>
      <c r="CX27" s="844">
        <f t="shared" si="177"/>
        <v>95932</v>
      </c>
      <c r="CY27" s="824">
        <f t="shared" si="72"/>
        <v>-13.7</v>
      </c>
      <c r="CZ27" s="844">
        <f t="shared" si="178"/>
        <v>5223</v>
      </c>
      <c r="DA27" s="824">
        <f t="shared" si="38"/>
        <v>-46.9</v>
      </c>
      <c r="DB27" s="844">
        <v>996631</v>
      </c>
      <c r="DC27" s="844">
        <v>95465</v>
      </c>
      <c r="DD27" s="844">
        <v>839583</v>
      </c>
      <c r="DE27" s="824">
        <f t="shared" si="39"/>
        <v>-15.8</v>
      </c>
      <c r="DF27" s="844">
        <v>60905</v>
      </c>
      <c r="DG27" s="824">
        <f t="shared" si="40"/>
        <v>-36.200000000000003</v>
      </c>
      <c r="DH27" s="844">
        <f t="shared" si="179"/>
        <v>109552</v>
      </c>
      <c r="DI27" s="844">
        <f t="shared" si="179"/>
        <v>7985</v>
      </c>
      <c r="DJ27" s="844">
        <f t="shared" si="179"/>
        <v>142782</v>
      </c>
      <c r="DK27" s="824">
        <f t="shared" si="75"/>
        <v>30.3</v>
      </c>
      <c r="DL27" s="844">
        <f t="shared" si="180"/>
        <v>8924</v>
      </c>
      <c r="DM27" s="824">
        <f t="shared" si="41"/>
        <v>11.8</v>
      </c>
      <c r="DN27" s="844">
        <v>1106183</v>
      </c>
      <c r="DO27" s="844">
        <v>103450</v>
      </c>
      <c r="DP27" s="844">
        <v>982365</v>
      </c>
      <c r="DQ27" s="824">
        <f t="shared" si="42"/>
        <v>-11.2</v>
      </c>
      <c r="DR27" s="844">
        <v>69829</v>
      </c>
      <c r="DS27" s="824">
        <f t="shared" si="43"/>
        <v>-32.5</v>
      </c>
      <c r="DT27" s="844">
        <f t="shared" si="181"/>
        <v>126174</v>
      </c>
      <c r="DU27" s="844">
        <f t="shared" si="181"/>
        <v>8960</v>
      </c>
      <c r="DV27" s="844">
        <f t="shared" si="181"/>
        <v>145509</v>
      </c>
      <c r="DW27" s="824">
        <f t="shared" si="78"/>
        <v>15.3</v>
      </c>
      <c r="DX27" s="844">
        <f t="shared" si="182"/>
        <v>7420</v>
      </c>
      <c r="DY27" s="824">
        <f t="shared" si="44"/>
        <v>-17.2</v>
      </c>
      <c r="DZ27" s="844">
        <v>1232357</v>
      </c>
      <c r="EA27" s="844">
        <v>112410</v>
      </c>
      <c r="EB27" s="844">
        <v>1127874</v>
      </c>
      <c r="EC27" s="824">
        <f t="shared" si="45"/>
        <v>-8.5</v>
      </c>
      <c r="ED27" s="844">
        <v>77249</v>
      </c>
      <c r="EE27" s="824">
        <f t="shared" si="46"/>
        <v>-31.3</v>
      </c>
      <c r="EF27" s="844">
        <f t="shared" si="183"/>
        <v>119479</v>
      </c>
      <c r="EG27" s="844">
        <f t="shared" si="183"/>
        <v>8084</v>
      </c>
      <c r="EH27" s="844">
        <f t="shared" si="183"/>
        <v>142325</v>
      </c>
      <c r="EI27" s="824">
        <f t="shared" si="81"/>
        <v>19.100000000000001</v>
      </c>
      <c r="EJ27" s="844">
        <f t="shared" si="184"/>
        <v>8110</v>
      </c>
      <c r="EK27" s="824">
        <f t="shared" si="47"/>
        <v>0.3</v>
      </c>
      <c r="EL27" s="844">
        <v>1351836</v>
      </c>
      <c r="EM27" s="844">
        <v>120494</v>
      </c>
      <c r="EN27" s="844">
        <v>1270199</v>
      </c>
      <c r="EO27" s="824">
        <f t="shared" si="48"/>
        <v>-6</v>
      </c>
      <c r="EP27" s="844">
        <v>85359</v>
      </c>
      <c r="EQ27" s="824">
        <f t="shared" si="49"/>
        <v>-29.2</v>
      </c>
    </row>
    <row r="28" spans="1:147" ht="21.75" customHeight="1">
      <c r="A28" s="1129"/>
      <c r="B28" s="1133" t="s">
        <v>274</v>
      </c>
      <c r="C28" s="118" t="s">
        <v>271</v>
      </c>
      <c r="D28" s="840">
        <f t="shared" ref="D28:M28" si="185">D30-D24-D26</f>
        <v>32458</v>
      </c>
      <c r="E28" s="840">
        <f t="shared" si="185"/>
        <v>7084</v>
      </c>
      <c r="F28" s="840">
        <f t="shared" si="185"/>
        <v>45907</v>
      </c>
      <c r="G28" s="840">
        <f t="shared" si="185"/>
        <v>8119</v>
      </c>
      <c r="H28" s="840">
        <f t="shared" si="185"/>
        <v>29747</v>
      </c>
      <c r="I28" s="840">
        <f t="shared" si="185"/>
        <v>7845</v>
      </c>
      <c r="J28" s="840">
        <f t="shared" si="185"/>
        <v>22480</v>
      </c>
      <c r="K28" s="840">
        <f t="shared" si="185"/>
        <v>9746</v>
      </c>
      <c r="L28" s="840">
        <f t="shared" si="185"/>
        <v>19817</v>
      </c>
      <c r="M28" s="840">
        <f t="shared" si="185"/>
        <v>10716</v>
      </c>
      <c r="N28" s="840">
        <f t="shared" ref="N28:P29" si="186">N30-N24-N26</f>
        <v>15902</v>
      </c>
      <c r="O28" s="840">
        <f>O30-O24-O26</f>
        <v>12026</v>
      </c>
      <c r="P28" s="840">
        <f t="shared" si="186"/>
        <v>17287</v>
      </c>
      <c r="Q28" s="840">
        <f t="shared" ref="Q28:X29" si="187">Q30-Q24-Q26</f>
        <v>10006</v>
      </c>
      <c r="R28" s="840">
        <f t="shared" si="187"/>
        <v>20764</v>
      </c>
      <c r="S28" s="840">
        <f t="shared" si="187"/>
        <v>8255</v>
      </c>
      <c r="T28" s="840">
        <f t="shared" si="187"/>
        <v>19252</v>
      </c>
      <c r="U28" s="840">
        <f>U30-U24-U26</f>
        <v>6978</v>
      </c>
      <c r="V28" s="840">
        <f t="shared" si="187"/>
        <v>1848</v>
      </c>
      <c r="W28" s="840">
        <f t="shared" si="187"/>
        <v>1008</v>
      </c>
      <c r="X28" s="840">
        <f t="shared" si="187"/>
        <v>1142</v>
      </c>
      <c r="Y28" s="822">
        <f t="shared" si="18"/>
        <v>-38.200000000000003</v>
      </c>
      <c r="Z28" s="840">
        <f>Z30-Z24-Z26</f>
        <v>472</v>
      </c>
      <c r="AA28" s="822">
        <f t="shared" si="19"/>
        <v>-53.2</v>
      </c>
      <c r="AB28" s="840">
        <f t="shared" ref="AB28:AD29" si="188">AB30-AB24-AB26</f>
        <v>1493</v>
      </c>
      <c r="AC28" s="840">
        <f t="shared" si="188"/>
        <v>479</v>
      </c>
      <c r="AD28" s="840">
        <f t="shared" si="188"/>
        <v>1315</v>
      </c>
      <c r="AE28" s="822">
        <f t="shared" si="54"/>
        <v>-11.9</v>
      </c>
      <c r="AF28" s="840">
        <f>AF30-AF24-AF26</f>
        <v>592</v>
      </c>
      <c r="AG28" s="822">
        <f t="shared" si="20"/>
        <v>23.6</v>
      </c>
      <c r="AH28" s="840">
        <f t="shared" ref="AH28:AJ29" si="189">AH30-AH24-AH26</f>
        <v>3341</v>
      </c>
      <c r="AI28" s="840">
        <f t="shared" si="189"/>
        <v>1487</v>
      </c>
      <c r="AJ28" s="840">
        <f t="shared" si="189"/>
        <v>2457</v>
      </c>
      <c r="AK28" s="822">
        <f t="shared" si="21"/>
        <v>-26.5</v>
      </c>
      <c r="AL28" s="840">
        <f>AL30-AL24-AL26</f>
        <v>1064</v>
      </c>
      <c r="AM28" s="822">
        <f t="shared" si="22"/>
        <v>-28.4</v>
      </c>
      <c r="AN28" s="840">
        <f t="shared" ref="AN28:AP29" si="190">AN30-AN24-AN26</f>
        <v>1352</v>
      </c>
      <c r="AO28" s="840">
        <f t="shared" si="190"/>
        <v>701</v>
      </c>
      <c r="AP28" s="840">
        <f t="shared" si="190"/>
        <v>1487</v>
      </c>
      <c r="AQ28" s="822">
        <f t="shared" si="57"/>
        <v>10</v>
      </c>
      <c r="AR28" s="840">
        <f>AR30-AR24-AR26</f>
        <v>521</v>
      </c>
      <c r="AS28" s="822">
        <f t="shared" si="23"/>
        <v>-25.7</v>
      </c>
      <c r="AT28" s="840">
        <f t="shared" ref="AT28:AV29" si="191">AT30-AT24-AT26</f>
        <v>4693</v>
      </c>
      <c r="AU28" s="840">
        <f t="shared" si="191"/>
        <v>2188</v>
      </c>
      <c r="AV28" s="840">
        <f t="shared" si="191"/>
        <v>3944</v>
      </c>
      <c r="AW28" s="822">
        <f t="shared" si="24"/>
        <v>-16</v>
      </c>
      <c r="AX28" s="840">
        <f>AX30-AX24-AX26</f>
        <v>1585</v>
      </c>
      <c r="AY28" s="822">
        <f t="shared" si="25"/>
        <v>-27.6</v>
      </c>
      <c r="AZ28" s="840">
        <f t="shared" ref="AZ28:BB28" si="192">AZ30-AZ24-AZ26</f>
        <v>1911</v>
      </c>
      <c r="BA28" s="840">
        <f t="shared" si="192"/>
        <v>614</v>
      </c>
      <c r="BB28" s="840">
        <f t="shared" si="192"/>
        <v>1462</v>
      </c>
      <c r="BC28" s="822">
        <f t="shared" si="60"/>
        <v>-23.5</v>
      </c>
      <c r="BD28" s="840">
        <f>BD30-BD24-BD26</f>
        <v>530</v>
      </c>
      <c r="BE28" s="822">
        <f t="shared" si="26"/>
        <v>-13.7</v>
      </c>
      <c r="BF28" s="840">
        <f t="shared" ref="BF28:BH28" si="193">BF30-BF24-BF26</f>
        <v>6604</v>
      </c>
      <c r="BG28" s="840">
        <f t="shared" si="193"/>
        <v>2802</v>
      </c>
      <c r="BH28" s="840">
        <f t="shared" si="193"/>
        <v>5406</v>
      </c>
      <c r="BI28" s="822">
        <f t="shared" si="27"/>
        <v>-18.100000000000001</v>
      </c>
      <c r="BJ28" s="840">
        <f>BJ30-BJ24-BJ26</f>
        <v>2115</v>
      </c>
      <c r="BK28" s="822">
        <f t="shared" si="28"/>
        <v>-24.5</v>
      </c>
      <c r="BL28" s="840">
        <f t="shared" ref="BL28:BN29" si="194">BL30-BL24-BL26</f>
        <v>1830</v>
      </c>
      <c r="BM28" s="840">
        <f t="shared" si="194"/>
        <v>558</v>
      </c>
      <c r="BN28" s="840">
        <f t="shared" si="194"/>
        <v>1027</v>
      </c>
      <c r="BO28" s="822">
        <f t="shared" si="63"/>
        <v>-43.9</v>
      </c>
      <c r="BP28" s="840">
        <f>BP30-BP24-BP26</f>
        <v>455</v>
      </c>
      <c r="BQ28" s="822">
        <f t="shared" si="29"/>
        <v>-18.5</v>
      </c>
      <c r="BR28" s="840">
        <f t="shared" ref="BR28:BT29" si="195">BR30-BR24-BR26</f>
        <v>8434</v>
      </c>
      <c r="BS28" s="840">
        <f t="shared" si="195"/>
        <v>3360</v>
      </c>
      <c r="BT28" s="840">
        <f t="shared" si="195"/>
        <v>6433</v>
      </c>
      <c r="BU28" s="822">
        <f t="shared" si="30"/>
        <v>-23.7</v>
      </c>
      <c r="BV28" s="840">
        <f>BV30-BV24-BV26</f>
        <v>2570</v>
      </c>
      <c r="BW28" s="822">
        <f t="shared" si="31"/>
        <v>-23.5</v>
      </c>
      <c r="BX28" s="840">
        <f t="shared" ref="BX28:BZ28" si="196">BX30-BX24-BX26</f>
        <v>1322</v>
      </c>
      <c r="BY28" s="840">
        <f t="shared" si="196"/>
        <v>578</v>
      </c>
      <c r="BZ28" s="840">
        <f t="shared" si="196"/>
        <v>1235</v>
      </c>
      <c r="CA28" s="822">
        <f t="shared" si="66"/>
        <v>-6.6</v>
      </c>
      <c r="CB28" s="840">
        <f>CB30-CB24-CB26</f>
        <v>463</v>
      </c>
      <c r="CC28" s="822">
        <f t="shared" si="32"/>
        <v>-19.899999999999999</v>
      </c>
      <c r="CD28" s="840">
        <f t="shared" ref="CD28:CF28" si="197">CD30-CD24-CD26</f>
        <v>9756</v>
      </c>
      <c r="CE28" s="840">
        <f t="shared" si="197"/>
        <v>3938</v>
      </c>
      <c r="CF28" s="840">
        <f t="shared" si="197"/>
        <v>7668</v>
      </c>
      <c r="CG28" s="822">
        <f t="shared" si="33"/>
        <v>-21.4</v>
      </c>
      <c r="CH28" s="840">
        <f>CH30-CH24-CH26</f>
        <v>3033</v>
      </c>
      <c r="CI28" s="822">
        <f t="shared" si="34"/>
        <v>-23</v>
      </c>
      <c r="CJ28" s="840">
        <f t="shared" ref="CJ28:CL28" si="198">CJ30-CJ24-CJ26</f>
        <v>1564</v>
      </c>
      <c r="CK28" s="840">
        <f t="shared" si="198"/>
        <v>546</v>
      </c>
      <c r="CL28" s="840">
        <f t="shared" si="198"/>
        <v>1246</v>
      </c>
      <c r="CM28" s="822">
        <f t="shared" si="69"/>
        <v>-20.3</v>
      </c>
      <c r="CN28" s="840">
        <f>CN30-CN24-CN26</f>
        <v>593</v>
      </c>
      <c r="CO28" s="822">
        <f t="shared" si="35"/>
        <v>8.6</v>
      </c>
      <c r="CP28" s="939">
        <f t="shared" ref="CP28:CR29" si="199">CP30-CP24-CP26</f>
        <v>11320</v>
      </c>
      <c r="CQ28" s="939">
        <f t="shared" si="199"/>
        <v>4484</v>
      </c>
      <c r="CR28" s="939">
        <f t="shared" si="199"/>
        <v>8914</v>
      </c>
      <c r="CS28" s="822">
        <f t="shared" si="36"/>
        <v>-21.3</v>
      </c>
      <c r="CT28" s="939">
        <f>CT30-CT24-CT26</f>
        <v>3626</v>
      </c>
      <c r="CU28" s="822">
        <f t="shared" si="37"/>
        <v>-19.100000000000001</v>
      </c>
      <c r="CV28" s="840">
        <f t="shared" ref="CV28:CX28" si="200">CV30-CV24-CV26</f>
        <v>1523</v>
      </c>
      <c r="CW28" s="840">
        <f t="shared" si="200"/>
        <v>558</v>
      </c>
      <c r="CX28" s="840">
        <f t="shared" si="200"/>
        <v>999</v>
      </c>
      <c r="CY28" s="822">
        <f t="shared" si="72"/>
        <v>-34.4</v>
      </c>
      <c r="CZ28" s="840">
        <f>CZ30-CZ24-CZ26</f>
        <v>560</v>
      </c>
      <c r="DA28" s="822">
        <f t="shared" si="38"/>
        <v>0.4</v>
      </c>
      <c r="DB28" s="840">
        <f t="shared" ref="DB28:DD29" si="201">DB30-DB24-DB26</f>
        <v>12843</v>
      </c>
      <c r="DC28" s="840">
        <f t="shared" si="201"/>
        <v>5042</v>
      </c>
      <c r="DD28" s="840">
        <f t="shared" si="201"/>
        <v>9913</v>
      </c>
      <c r="DE28" s="822">
        <f t="shared" si="39"/>
        <v>-22.8</v>
      </c>
      <c r="DF28" s="840">
        <f>DF30-DF24-DF26</f>
        <v>4186</v>
      </c>
      <c r="DG28" s="822">
        <f t="shared" si="40"/>
        <v>-17</v>
      </c>
      <c r="DH28" s="840">
        <f t="shared" ref="DH28:DJ29" si="202">DH30-DH24-DH26</f>
        <v>1481</v>
      </c>
      <c r="DI28" s="840">
        <f t="shared" si="202"/>
        <v>401</v>
      </c>
      <c r="DJ28" s="840">
        <f t="shared" si="202"/>
        <v>1330</v>
      </c>
      <c r="DK28" s="822">
        <f t="shared" si="75"/>
        <v>-10.199999999999999</v>
      </c>
      <c r="DL28" s="840">
        <f>DL30-DL24-DL26</f>
        <v>459</v>
      </c>
      <c r="DM28" s="822">
        <f t="shared" si="41"/>
        <v>14.5</v>
      </c>
      <c r="DN28" s="840">
        <f t="shared" ref="DN28:DP29" si="203">DN30-DN24-DN26</f>
        <v>14324</v>
      </c>
      <c r="DO28" s="840">
        <f t="shared" si="203"/>
        <v>5443</v>
      </c>
      <c r="DP28" s="840">
        <f t="shared" si="203"/>
        <v>11243</v>
      </c>
      <c r="DQ28" s="822">
        <f t="shared" si="42"/>
        <v>-21.5</v>
      </c>
      <c r="DR28" s="840">
        <f>DR30-DR24-DR26</f>
        <v>4645</v>
      </c>
      <c r="DS28" s="822">
        <f t="shared" si="43"/>
        <v>-14.7</v>
      </c>
      <c r="DT28" s="840">
        <f t="shared" ref="DT28:DV29" si="204">DT30-DT24-DT26</f>
        <v>1871</v>
      </c>
      <c r="DU28" s="840">
        <f t="shared" si="204"/>
        <v>502</v>
      </c>
      <c r="DV28" s="840">
        <f t="shared" si="204"/>
        <v>1709</v>
      </c>
      <c r="DW28" s="822">
        <f t="shared" si="78"/>
        <v>-8.6999999999999993</v>
      </c>
      <c r="DX28" s="840">
        <f>DX30-DX24-DX26</f>
        <v>468</v>
      </c>
      <c r="DY28" s="822">
        <f t="shared" si="44"/>
        <v>-6.8</v>
      </c>
      <c r="DZ28" s="840">
        <f t="shared" ref="DZ28:EB29" si="205">DZ30-DZ24-DZ26</f>
        <v>16195</v>
      </c>
      <c r="EA28" s="840">
        <f t="shared" si="205"/>
        <v>5945</v>
      </c>
      <c r="EB28" s="840">
        <f t="shared" si="205"/>
        <v>12952</v>
      </c>
      <c r="EC28" s="822">
        <f t="shared" si="45"/>
        <v>-20</v>
      </c>
      <c r="ED28" s="840">
        <f>ED30-ED24-ED26</f>
        <v>5113</v>
      </c>
      <c r="EE28" s="822">
        <f t="shared" si="46"/>
        <v>-14</v>
      </c>
      <c r="EF28" s="840">
        <f t="shared" ref="EF28:EH29" si="206">EF30-EF24-EF26</f>
        <v>1310</v>
      </c>
      <c r="EG28" s="840">
        <f t="shared" si="206"/>
        <v>498</v>
      </c>
      <c r="EH28" s="840">
        <f t="shared" si="206"/>
        <v>1353</v>
      </c>
      <c r="EI28" s="822">
        <f t="shared" si="81"/>
        <v>3.3</v>
      </c>
      <c r="EJ28" s="840">
        <f>EJ30-EJ24-EJ26</f>
        <v>558</v>
      </c>
      <c r="EK28" s="822">
        <f t="shared" si="47"/>
        <v>12</v>
      </c>
      <c r="EL28" s="840">
        <f t="shared" ref="EL28:EN29" si="207">EL30-EL24-EL26</f>
        <v>17505</v>
      </c>
      <c r="EM28" s="840">
        <f t="shared" si="207"/>
        <v>6443</v>
      </c>
      <c r="EN28" s="840">
        <f t="shared" si="207"/>
        <v>14305</v>
      </c>
      <c r="EO28" s="822">
        <f t="shared" si="48"/>
        <v>-18.3</v>
      </c>
      <c r="EP28" s="840">
        <f>EP30-EP24-EP26</f>
        <v>5671</v>
      </c>
      <c r="EQ28" s="822">
        <f t="shared" si="49"/>
        <v>-12</v>
      </c>
    </row>
    <row r="29" spans="1:147" ht="21.75" customHeight="1">
      <c r="A29" s="1129"/>
      <c r="B29" s="1129"/>
      <c r="C29" s="1063" t="s">
        <v>272</v>
      </c>
      <c r="D29" s="844">
        <f t="shared" ref="D29:M29" si="208">D31-D25-D27</f>
        <v>47743</v>
      </c>
      <c r="E29" s="844">
        <f t="shared" si="208"/>
        <v>25419</v>
      </c>
      <c r="F29" s="844">
        <f t="shared" si="208"/>
        <v>42075</v>
      </c>
      <c r="G29" s="844">
        <f t="shared" si="208"/>
        <v>26094</v>
      </c>
      <c r="H29" s="844">
        <f t="shared" si="208"/>
        <v>42120</v>
      </c>
      <c r="I29" s="844">
        <f t="shared" si="208"/>
        <v>25495</v>
      </c>
      <c r="J29" s="844">
        <f t="shared" si="208"/>
        <v>48885</v>
      </c>
      <c r="K29" s="844">
        <f t="shared" si="208"/>
        <v>31961</v>
      </c>
      <c r="L29" s="844">
        <f t="shared" si="208"/>
        <v>37977</v>
      </c>
      <c r="M29" s="844">
        <f t="shared" si="208"/>
        <v>33048</v>
      </c>
      <c r="N29" s="844">
        <f t="shared" si="186"/>
        <v>31413</v>
      </c>
      <c r="O29" s="844">
        <f>O31-O25-O27</f>
        <v>34044</v>
      </c>
      <c r="P29" s="844">
        <f t="shared" si="186"/>
        <v>43800</v>
      </c>
      <c r="Q29" s="844">
        <f t="shared" si="187"/>
        <v>34067</v>
      </c>
      <c r="R29" s="844">
        <f t="shared" si="187"/>
        <v>53033</v>
      </c>
      <c r="S29" s="844">
        <f t="shared" si="187"/>
        <v>34506</v>
      </c>
      <c r="T29" s="844">
        <f t="shared" si="187"/>
        <v>41713</v>
      </c>
      <c r="U29" s="844">
        <f>U31-U25-U27</f>
        <v>27900</v>
      </c>
      <c r="V29" s="844">
        <f t="shared" si="187"/>
        <v>4028</v>
      </c>
      <c r="W29" s="844">
        <f t="shared" si="187"/>
        <v>3965</v>
      </c>
      <c r="X29" s="844">
        <f t="shared" si="187"/>
        <v>2714</v>
      </c>
      <c r="Y29" s="824">
        <f t="shared" si="18"/>
        <v>-32.6</v>
      </c>
      <c r="Z29" s="844">
        <f>Z31-Z25-Z27</f>
        <v>2196</v>
      </c>
      <c r="AA29" s="824">
        <f t="shared" si="19"/>
        <v>-44.6</v>
      </c>
      <c r="AB29" s="844">
        <f t="shared" si="188"/>
        <v>2914</v>
      </c>
      <c r="AC29" s="844">
        <f t="shared" si="188"/>
        <v>1731</v>
      </c>
      <c r="AD29" s="844">
        <f t="shared" si="188"/>
        <v>2933</v>
      </c>
      <c r="AE29" s="824">
        <f t="shared" si="54"/>
        <v>0.7</v>
      </c>
      <c r="AF29" s="844">
        <f>AF31-AF25-AF27</f>
        <v>2226</v>
      </c>
      <c r="AG29" s="824">
        <f t="shared" si="20"/>
        <v>28.6</v>
      </c>
      <c r="AH29" s="844">
        <f t="shared" si="189"/>
        <v>6942</v>
      </c>
      <c r="AI29" s="844">
        <f t="shared" si="189"/>
        <v>5696</v>
      </c>
      <c r="AJ29" s="844">
        <f t="shared" si="189"/>
        <v>5647</v>
      </c>
      <c r="AK29" s="824">
        <f t="shared" si="21"/>
        <v>-18.7</v>
      </c>
      <c r="AL29" s="844">
        <f>AL31-AL25-AL27</f>
        <v>4422</v>
      </c>
      <c r="AM29" s="824">
        <f t="shared" si="22"/>
        <v>-22.4</v>
      </c>
      <c r="AN29" s="844">
        <f t="shared" si="190"/>
        <v>3237</v>
      </c>
      <c r="AO29" s="844">
        <f t="shared" si="190"/>
        <v>2294</v>
      </c>
      <c r="AP29" s="844">
        <f t="shared" si="190"/>
        <v>3381</v>
      </c>
      <c r="AQ29" s="824">
        <f t="shared" si="57"/>
        <v>4.4000000000000004</v>
      </c>
      <c r="AR29" s="844">
        <f>AR31-AR25-AR27</f>
        <v>1836</v>
      </c>
      <c r="AS29" s="824">
        <f t="shared" si="23"/>
        <v>-20</v>
      </c>
      <c r="AT29" s="844">
        <f t="shared" si="191"/>
        <v>10179</v>
      </c>
      <c r="AU29" s="844">
        <f t="shared" si="191"/>
        <v>7990</v>
      </c>
      <c r="AV29" s="844">
        <f t="shared" si="191"/>
        <v>9028</v>
      </c>
      <c r="AW29" s="824">
        <f t="shared" si="24"/>
        <v>-11.3</v>
      </c>
      <c r="AX29" s="844">
        <f>AX31-AX25-AX27</f>
        <v>6258</v>
      </c>
      <c r="AY29" s="824">
        <f t="shared" si="25"/>
        <v>-21.7</v>
      </c>
      <c r="AZ29" s="844">
        <f t="shared" ref="AZ29:BB29" si="209">AZ31-AZ25-AZ27</f>
        <v>4852</v>
      </c>
      <c r="BA29" s="844">
        <f t="shared" si="209"/>
        <v>2510</v>
      </c>
      <c r="BB29" s="844">
        <f t="shared" si="209"/>
        <v>3357</v>
      </c>
      <c r="BC29" s="824">
        <f t="shared" si="60"/>
        <v>-30.8</v>
      </c>
      <c r="BD29" s="844">
        <f>BD31-BD25-BD27</f>
        <v>2214</v>
      </c>
      <c r="BE29" s="824">
        <f t="shared" si="26"/>
        <v>-11.8</v>
      </c>
      <c r="BF29" s="844">
        <f t="shared" ref="BF29:BH29" si="210">BF31-BF25-BF27</f>
        <v>15031</v>
      </c>
      <c r="BG29" s="844">
        <f t="shared" si="210"/>
        <v>10500</v>
      </c>
      <c r="BH29" s="844">
        <f t="shared" si="210"/>
        <v>12385</v>
      </c>
      <c r="BI29" s="824">
        <f t="shared" si="27"/>
        <v>-17.600000000000001</v>
      </c>
      <c r="BJ29" s="844">
        <f>BJ31-BJ25-BJ27</f>
        <v>8472</v>
      </c>
      <c r="BK29" s="824">
        <f t="shared" si="28"/>
        <v>-19.3</v>
      </c>
      <c r="BL29" s="844">
        <f t="shared" si="194"/>
        <v>3878</v>
      </c>
      <c r="BM29" s="844">
        <f t="shared" si="194"/>
        <v>2711</v>
      </c>
      <c r="BN29" s="844">
        <f t="shared" si="194"/>
        <v>2709</v>
      </c>
      <c r="BO29" s="824">
        <f t="shared" si="63"/>
        <v>-30.1</v>
      </c>
      <c r="BP29" s="844">
        <f>BP31-BP25-BP27</f>
        <v>2094</v>
      </c>
      <c r="BQ29" s="824">
        <f t="shared" si="29"/>
        <v>-22.8</v>
      </c>
      <c r="BR29" s="844">
        <f t="shared" si="195"/>
        <v>18909</v>
      </c>
      <c r="BS29" s="844">
        <f t="shared" si="195"/>
        <v>13211</v>
      </c>
      <c r="BT29" s="844">
        <f t="shared" si="195"/>
        <v>15094</v>
      </c>
      <c r="BU29" s="824">
        <f t="shared" si="30"/>
        <v>-20.2</v>
      </c>
      <c r="BV29" s="844">
        <f>BV31-BV25-BV27</f>
        <v>10566</v>
      </c>
      <c r="BW29" s="824">
        <f t="shared" si="31"/>
        <v>-20</v>
      </c>
      <c r="BX29" s="844">
        <f t="shared" ref="BX29:BZ29" si="211">BX31-BX25-BX27</f>
        <v>3505</v>
      </c>
      <c r="BY29" s="844">
        <f t="shared" si="211"/>
        <v>2696</v>
      </c>
      <c r="BZ29" s="844">
        <f t="shared" si="211"/>
        <v>2895</v>
      </c>
      <c r="CA29" s="824">
        <f t="shared" si="66"/>
        <v>-17.399999999999999</v>
      </c>
      <c r="CB29" s="844">
        <f>CB31-CB25-CB27</f>
        <v>1976</v>
      </c>
      <c r="CC29" s="824">
        <f t="shared" si="32"/>
        <v>-26.7</v>
      </c>
      <c r="CD29" s="844">
        <f t="shared" ref="CD29:CF29" si="212">CD31-CD25-CD27</f>
        <v>22414</v>
      </c>
      <c r="CE29" s="844">
        <f t="shared" si="212"/>
        <v>15907</v>
      </c>
      <c r="CF29" s="844">
        <f t="shared" si="212"/>
        <v>17989</v>
      </c>
      <c r="CG29" s="824">
        <f t="shared" si="33"/>
        <v>-19.7</v>
      </c>
      <c r="CH29" s="844">
        <f>CH31-CH25-CH27</f>
        <v>12542</v>
      </c>
      <c r="CI29" s="824">
        <f t="shared" si="34"/>
        <v>-21.2</v>
      </c>
      <c r="CJ29" s="844">
        <f t="shared" ref="CJ29:CL29" si="213">CJ31-CJ25-CJ27</f>
        <v>3631</v>
      </c>
      <c r="CK29" s="844">
        <f t="shared" si="213"/>
        <v>2362</v>
      </c>
      <c r="CL29" s="844">
        <f t="shared" si="213"/>
        <v>2812</v>
      </c>
      <c r="CM29" s="824">
        <f t="shared" si="69"/>
        <v>-22.6</v>
      </c>
      <c r="CN29" s="844">
        <f>CN31-CN25-CN27</f>
        <v>2059</v>
      </c>
      <c r="CO29" s="824">
        <f t="shared" si="35"/>
        <v>-12.8</v>
      </c>
      <c r="CP29" s="940">
        <f t="shared" si="199"/>
        <v>26045</v>
      </c>
      <c r="CQ29" s="940">
        <f t="shared" si="199"/>
        <v>18269</v>
      </c>
      <c r="CR29" s="940">
        <f t="shared" si="199"/>
        <v>20801</v>
      </c>
      <c r="CS29" s="824">
        <f t="shared" si="36"/>
        <v>-20.100000000000001</v>
      </c>
      <c r="CT29" s="940">
        <f>CT31-CT25-CT27</f>
        <v>14601</v>
      </c>
      <c r="CU29" s="824">
        <f t="shared" si="37"/>
        <v>-20.100000000000001</v>
      </c>
      <c r="CV29" s="844">
        <f t="shared" ref="CV29:CX29" si="214">CV31-CV25-CV27</f>
        <v>3258</v>
      </c>
      <c r="CW29" s="844">
        <f t="shared" si="214"/>
        <v>2140</v>
      </c>
      <c r="CX29" s="844">
        <f t="shared" si="214"/>
        <v>2289</v>
      </c>
      <c r="CY29" s="824">
        <f t="shared" si="72"/>
        <v>-29.7</v>
      </c>
      <c r="CZ29" s="844">
        <f>CZ31-CZ25-CZ27</f>
        <v>1958</v>
      </c>
      <c r="DA29" s="824">
        <f t="shared" si="38"/>
        <v>-8.5</v>
      </c>
      <c r="DB29" s="844">
        <f t="shared" si="201"/>
        <v>29303</v>
      </c>
      <c r="DC29" s="844">
        <f t="shared" si="201"/>
        <v>20409</v>
      </c>
      <c r="DD29" s="844">
        <f t="shared" si="201"/>
        <v>23090</v>
      </c>
      <c r="DE29" s="824">
        <f t="shared" si="39"/>
        <v>-21.2</v>
      </c>
      <c r="DF29" s="844">
        <f>DF31-DF25-DF27</f>
        <v>16559</v>
      </c>
      <c r="DG29" s="824">
        <f t="shared" si="40"/>
        <v>-18.899999999999999</v>
      </c>
      <c r="DH29" s="844">
        <f t="shared" si="202"/>
        <v>2836</v>
      </c>
      <c r="DI29" s="844">
        <f t="shared" si="202"/>
        <v>1679</v>
      </c>
      <c r="DJ29" s="844">
        <f t="shared" si="202"/>
        <v>3376</v>
      </c>
      <c r="DK29" s="824">
        <f t="shared" si="75"/>
        <v>19</v>
      </c>
      <c r="DL29" s="844">
        <f>DL31-DL25-DL27</f>
        <v>1690</v>
      </c>
      <c r="DM29" s="824">
        <f t="shared" si="41"/>
        <v>0.7</v>
      </c>
      <c r="DN29" s="844">
        <f t="shared" si="203"/>
        <v>32139</v>
      </c>
      <c r="DO29" s="844">
        <f t="shared" si="203"/>
        <v>22088</v>
      </c>
      <c r="DP29" s="844">
        <f t="shared" si="203"/>
        <v>26466</v>
      </c>
      <c r="DQ29" s="824">
        <f t="shared" si="42"/>
        <v>-17.7</v>
      </c>
      <c r="DR29" s="844">
        <f>DR31-DR25-DR27</f>
        <v>18249</v>
      </c>
      <c r="DS29" s="824">
        <f t="shared" si="43"/>
        <v>-17.399999999999999</v>
      </c>
      <c r="DT29" s="844">
        <f t="shared" si="204"/>
        <v>3873</v>
      </c>
      <c r="DU29" s="844">
        <f t="shared" si="204"/>
        <v>1972</v>
      </c>
      <c r="DV29" s="844">
        <f t="shared" si="204"/>
        <v>4071</v>
      </c>
      <c r="DW29" s="824">
        <f t="shared" si="78"/>
        <v>5.0999999999999996</v>
      </c>
      <c r="DX29" s="844">
        <f>DX31-DX25-DX27</f>
        <v>1575</v>
      </c>
      <c r="DY29" s="824">
        <f t="shared" si="44"/>
        <v>-20.100000000000001</v>
      </c>
      <c r="DZ29" s="844">
        <f t="shared" si="205"/>
        <v>36012</v>
      </c>
      <c r="EA29" s="844">
        <f t="shared" si="205"/>
        <v>24060</v>
      </c>
      <c r="EB29" s="844">
        <f t="shared" si="205"/>
        <v>30537</v>
      </c>
      <c r="EC29" s="824">
        <f t="shared" si="45"/>
        <v>-15.2</v>
      </c>
      <c r="ED29" s="844">
        <f>ED31-ED25-ED27</f>
        <v>19824</v>
      </c>
      <c r="EE29" s="824">
        <f t="shared" si="46"/>
        <v>-17.600000000000001</v>
      </c>
      <c r="EF29" s="844">
        <f t="shared" si="206"/>
        <v>2882</v>
      </c>
      <c r="EG29" s="844">
        <f t="shared" si="206"/>
        <v>1828</v>
      </c>
      <c r="EH29" s="844">
        <f t="shared" si="206"/>
        <v>2778</v>
      </c>
      <c r="EI29" s="824">
        <f t="shared" si="81"/>
        <v>-3.6</v>
      </c>
      <c r="EJ29" s="844">
        <f>EJ31-EJ25-EJ27</f>
        <v>2365</v>
      </c>
      <c r="EK29" s="824">
        <f t="shared" si="47"/>
        <v>29.4</v>
      </c>
      <c r="EL29" s="844">
        <f t="shared" si="207"/>
        <v>38894</v>
      </c>
      <c r="EM29" s="844">
        <f t="shared" si="207"/>
        <v>25888</v>
      </c>
      <c r="EN29" s="844">
        <f t="shared" si="207"/>
        <v>33315</v>
      </c>
      <c r="EO29" s="824">
        <f t="shared" si="48"/>
        <v>-14.3</v>
      </c>
      <c r="EP29" s="844">
        <f>EP31-EP25-EP27</f>
        <v>22189</v>
      </c>
      <c r="EQ29" s="824">
        <f t="shared" si="49"/>
        <v>-14.3</v>
      </c>
    </row>
    <row r="30" spans="1:147" ht="21.75" customHeight="1">
      <c r="A30" s="1129"/>
      <c r="B30" s="1134" t="s">
        <v>275</v>
      </c>
      <c r="C30" s="124" t="s">
        <v>271</v>
      </c>
      <c r="D30" s="842">
        <v>490462</v>
      </c>
      <c r="E30" s="842">
        <v>101276</v>
      </c>
      <c r="F30" s="842">
        <v>535273</v>
      </c>
      <c r="G30" s="842">
        <v>94754</v>
      </c>
      <c r="H30" s="842">
        <v>512454</v>
      </c>
      <c r="I30" s="842">
        <v>85500</v>
      </c>
      <c r="J30" s="842">
        <v>450282</v>
      </c>
      <c r="K30" s="842">
        <v>72321</v>
      </c>
      <c r="L30" s="842">
        <v>550425</v>
      </c>
      <c r="M30" s="842">
        <v>79554</v>
      </c>
      <c r="N30" s="842">
        <v>589945</v>
      </c>
      <c r="O30" s="842">
        <v>71328</v>
      </c>
      <c r="P30" s="842">
        <v>551877</v>
      </c>
      <c r="Q30" s="842">
        <v>73916</v>
      </c>
      <c r="R30" s="842">
        <v>610819</v>
      </c>
      <c r="S30" s="842">
        <v>69642</v>
      </c>
      <c r="T30" s="842">
        <v>570123</v>
      </c>
      <c r="U30" s="842">
        <v>55922</v>
      </c>
      <c r="V30" s="842">
        <v>40094</v>
      </c>
      <c r="W30" s="842">
        <v>6445</v>
      </c>
      <c r="X30" s="842">
        <v>47366</v>
      </c>
      <c r="Y30" s="826">
        <f t="shared" si="18"/>
        <v>18.100000000000001</v>
      </c>
      <c r="Z30" s="842">
        <v>4555</v>
      </c>
      <c r="AA30" s="826">
        <f t="shared" si="19"/>
        <v>-29.3</v>
      </c>
      <c r="AB30" s="842">
        <f t="shared" ref="AB30:AB35" si="215">AH30-V30</f>
        <v>37294</v>
      </c>
      <c r="AC30" s="842">
        <f t="shared" ref="AC30:AC35" si="216">AI30-W30</f>
        <v>2914</v>
      </c>
      <c r="AD30" s="842">
        <f t="shared" ref="AD30:AD35" si="217">AJ30-X30</f>
        <v>45190</v>
      </c>
      <c r="AE30" s="826">
        <f t="shared" si="54"/>
        <v>21.2</v>
      </c>
      <c r="AF30" s="842">
        <f t="shared" ref="AF30:AF35" si="218">AL30-Z30</f>
        <v>4360</v>
      </c>
      <c r="AG30" s="826">
        <f t="shared" si="20"/>
        <v>49.6</v>
      </c>
      <c r="AH30" s="842">
        <v>77388</v>
      </c>
      <c r="AI30" s="842">
        <v>9359</v>
      </c>
      <c r="AJ30" s="842">
        <v>92556</v>
      </c>
      <c r="AK30" s="826">
        <f t="shared" si="21"/>
        <v>19.600000000000001</v>
      </c>
      <c r="AL30" s="842">
        <v>8915</v>
      </c>
      <c r="AM30" s="826">
        <f t="shared" si="22"/>
        <v>-4.7</v>
      </c>
      <c r="AN30" s="842">
        <f t="shared" ref="AN30:AN35" si="219">AT30-AH30</f>
        <v>37103</v>
      </c>
      <c r="AO30" s="842">
        <f t="shared" ref="AO30:AO35" si="220">AU30-AI30</f>
        <v>5437</v>
      </c>
      <c r="AP30" s="842">
        <f t="shared" ref="AP30:AP35" si="221">AV30-AJ30</f>
        <v>63207</v>
      </c>
      <c r="AQ30" s="826">
        <f t="shared" si="57"/>
        <v>70.400000000000006</v>
      </c>
      <c r="AR30" s="842">
        <f t="shared" ref="AR30:AR35" si="222">AX30-AL30</f>
        <v>7234</v>
      </c>
      <c r="AS30" s="826">
        <f t="shared" si="23"/>
        <v>33.1</v>
      </c>
      <c r="AT30" s="842">
        <v>114491</v>
      </c>
      <c r="AU30" s="842">
        <v>14796</v>
      </c>
      <c r="AV30" s="842">
        <v>155763</v>
      </c>
      <c r="AW30" s="826">
        <f t="shared" si="24"/>
        <v>36</v>
      </c>
      <c r="AX30" s="842">
        <v>16149</v>
      </c>
      <c r="AY30" s="826">
        <f t="shared" si="25"/>
        <v>9.1</v>
      </c>
      <c r="AZ30" s="842">
        <f t="shared" ref="AZ30:AZ35" si="223">BF30-AT30</f>
        <v>49226</v>
      </c>
      <c r="BA30" s="842">
        <f t="shared" ref="BA30:BA35" si="224">BG30-AU30</f>
        <v>5517</v>
      </c>
      <c r="BB30" s="842">
        <f t="shared" ref="BB30:BB35" si="225">BH30-AV30</f>
        <v>53959</v>
      </c>
      <c r="BC30" s="826">
        <f t="shared" si="60"/>
        <v>9.6</v>
      </c>
      <c r="BD30" s="842">
        <f t="shared" ref="BD30:BD35" si="226">BJ30-AX30</f>
        <v>3077</v>
      </c>
      <c r="BE30" s="826">
        <f t="shared" si="26"/>
        <v>-44.2</v>
      </c>
      <c r="BF30" s="842">
        <v>163717</v>
      </c>
      <c r="BG30" s="842">
        <v>20313</v>
      </c>
      <c r="BH30" s="842">
        <v>209722</v>
      </c>
      <c r="BI30" s="826">
        <f t="shared" si="27"/>
        <v>28.1</v>
      </c>
      <c r="BJ30" s="842">
        <v>19226</v>
      </c>
      <c r="BK30" s="826">
        <f t="shared" si="28"/>
        <v>-5.4</v>
      </c>
      <c r="BL30" s="842">
        <f t="shared" ref="BL30:BN35" si="227">BR30-BF30</f>
        <v>53886</v>
      </c>
      <c r="BM30" s="842">
        <f t="shared" si="227"/>
        <v>5286</v>
      </c>
      <c r="BN30" s="842">
        <f t="shared" si="227"/>
        <v>46038</v>
      </c>
      <c r="BO30" s="826">
        <f t="shared" si="63"/>
        <v>-14.6</v>
      </c>
      <c r="BP30" s="842">
        <f t="shared" ref="BP30:BP35" si="228">BV30-BJ30</f>
        <v>3402</v>
      </c>
      <c r="BQ30" s="826">
        <f t="shared" si="29"/>
        <v>-35.6</v>
      </c>
      <c r="BR30" s="842">
        <v>217603</v>
      </c>
      <c r="BS30" s="842">
        <v>25599</v>
      </c>
      <c r="BT30" s="842">
        <v>255760</v>
      </c>
      <c r="BU30" s="826">
        <f t="shared" si="30"/>
        <v>17.5</v>
      </c>
      <c r="BV30" s="842">
        <v>22628</v>
      </c>
      <c r="BW30" s="826">
        <f t="shared" si="31"/>
        <v>-11.6</v>
      </c>
      <c r="BX30" s="842">
        <f t="shared" ref="BX30:BX35" si="229">CD30-BR30</f>
        <v>50515</v>
      </c>
      <c r="BY30" s="842">
        <f t="shared" ref="BY30:BY35" si="230">CE30-BS30</f>
        <v>4587</v>
      </c>
      <c r="BZ30" s="842">
        <f t="shared" ref="BZ30:BZ35" si="231">CF30-BT30</f>
        <v>44944</v>
      </c>
      <c r="CA30" s="826">
        <f t="shared" si="66"/>
        <v>-11</v>
      </c>
      <c r="CB30" s="842">
        <f t="shared" ref="CB30:CB35" si="232">CH30-BV30</f>
        <v>2315</v>
      </c>
      <c r="CC30" s="826">
        <f t="shared" si="32"/>
        <v>-49.5</v>
      </c>
      <c r="CD30" s="842">
        <v>268118</v>
      </c>
      <c r="CE30" s="842">
        <v>30186</v>
      </c>
      <c r="CF30" s="842">
        <v>300704</v>
      </c>
      <c r="CG30" s="826">
        <f t="shared" si="33"/>
        <v>12.2</v>
      </c>
      <c r="CH30" s="842">
        <v>24943</v>
      </c>
      <c r="CI30" s="826">
        <f t="shared" si="34"/>
        <v>-17.399999999999999</v>
      </c>
      <c r="CJ30" s="842">
        <f t="shared" ref="CJ30:CJ35" si="233">CP30-CD30</f>
        <v>50649</v>
      </c>
      <c r="CK30" s="842">
        <f t="shared" ref="CK30:CK35" si="234">CQ30-CE30</f>
        <v>4960</v>
      </c>
      <c r="CL30" s="842">
        <f t="shared" ref="CL30:CL35" si="235">CR30-CF30</f>
        <v>49011</v>
      </c>
      <c r="CM30" s="826">
        <f t="shared" si="69"/>
        <v>-3.2</v>
      </c>
      <c r="CN30" s="842">
        <f t="shared" ref="CN30:CN35" si="236">CT30-CH30</f>
        <v>3438</v>
      </c>
      <c r="CO30" s="826">
        <f t="shared" si="35"/>
        <v>-30.7</v>
      </c>
      <c r="CP30" s="941">
        <v>318767</v>
      </c>
      <c r="CQ30" s="941">
        <v>35146</v>
      </c>
      <c r="CR30" s="941">
        <v>349715</v>
      </c>
      <c r="CS30" s="826">
        <f t="shared" si="36"/>
        <v>9.6999999999999993</v>
      </c>
      <c r="CT30" s="941">
        <v>28381</v>
      </c>
      <c r="CU30" s="826">
        <f t="shared" si="37"/>
        <v>-19.2</v>
      </c>
      <c r="CV30" s="842">
        <f t="shared" ref="CV30:CV35" si="237">DB30-CP30</f>
        <v>45238</v>
      </c>
      <c r="CW30" s="842">
        <f t="shared" ref="CW30:CW35" si="238">DC30-CQ30</f>
        <v>4362</v>
      </c>
      <c r="CX30" s="842">
        <f t="shared" ref="CX30:CX35" si="239">DD30-CR30</f>
        <v>41661</v>
      </c>
      <c r="CY30" s="826">
        <f t="shared" si="72"/>
        <v>-7.9</v>
      </c>
      <c r="CZ30" s="842">
        <f t="shared" ref="CZ30:CZ35" si="240">DF30-CT30</f>
        <v>2922</v>
      </c>
      <c r="DA30" s="826">
        <f t="shared" si="38"/>
        <v>-33</v>
      </c>
      <c r="DB30" s="842">
        <v>364005</v>
      </c>
      <c r="DC30" s="842">
        <v>39508</v>
      </c>
      <c r="DD30" s="842">
        <v>391376</v>
      </c>
      <c r="DE30" s="826">
        <f t="shared" si="39"/>
        <v>7.5</v>
      </c>
      <c r="DF30" s="842">
        <v>31303</v>
      </c>
      <c r="DG30" s="826">
        <f t="shared" si="40"/>
        <v>-20.8</v>
      </c>
      <c r="DH30" s="842">
        <f t="shared" ref="DH30:DJ35" si="241">DN30-DB30</f>
        <v>45604</v>
      </c>
      <c r="DI30" s="842">
        <f t="shared" si="241"/>
        <v>3585</v>
      </c>
      <c r="DJ30" s="842">
        <f t="shared" si="241"/>
        <v>57415</v>
      </c>
      <c r="DK30" s="826">
        <f t="shared" si="75"/>
        <v>25.9</v>
      </c>
      <c r="DL30" s="842">
        <f t="shared" ref="DL30:DL35" si="242">DR30-DF30</f>
        <v>3884</v>
      </c>
      <c r="DM30" s="826">
        <f t="shared" si="41"/>
        <v>8.3000000000000007</v>
      </c>
      <c r="DN30" s="842">
        <v>409609</v>
      </c>
      <c r="DO30" s="842">
        <v>43093</v>
      </c>
      <c r="DP30" s="842">
        <v>448791</v>
      </c>
      <c r="DQ30" s="826">
        <f t="shared" si="42"/>
        <v>9.6</v>
      </c>
      <c r="DR30" s="842">
        <v>35187</v>
      </c>
      <c r="DS30" s="826">
        <f t="shared" si="43"/>
        <v>-18.3</v>
      </c>
      <c r="DT30" s="842">
        <f t="shared" ref="DT30:DV35" si="243">DZ30-DN30</f>
        <v>53044</v>
      </c>
      <c r="DU30" s="842">
        <f t="shared" si="243"/>
        <v>4147</v>
      </c>
      <c r="DV30" s="842">
        <f t="shared" si="243"/>
        <v>58652</v>
      </c>
      <c r="DW30" s="826">
        <f t="shared" si="78"/>
        <v>10.6</v>
      </c>
      <c r="DX30" s="842">
        <f t="shared" ref="DX30:DX35" si="244">ED30-DR30</f>
        <v>3481</v>
      </c>
      <c r="DY30" s="826">
        <f t="shared" si="44"/>
        <v>-16.100000000000001</v>
      </c>
      <c r="DZ30" s="842">
        <v>462653</v>
      </c>
      <c r="EA30" s="842">
        <v>47240</v>
      </c>
      <c r="EB30" s="842">
        <v>507443</v>
      </c>
      <c r="EC30" s="826">
        <f t="shared" si="45"/>
        <v>9.6999999999999993</v>
      </c>
      <c r="ED30" s="842">
        <v>38668</v>
      </c>
      <c r="EE30" s="826">
        <f t="shared" si="46"/>
        <v>-18.100000000000001</v>
      </c>
      <c r="EF30" s="842">
        <f t="shared" ref="EF30:EH35" si="245">EL30-DZ30</f>
        <v>49103</v>
      </c>
      <c r="EG30" s="842">
        <f t="shared" si="245"/>
        <v>3674</v>
      </c>
      <c r="EH30" s="842">
        <f t="shared" si="245"/>
        <v>55862</v>
      </c>
      <c r="EI30" s="826">
        <f t="shared" si="81"/>
        <v>13.8</v>
      </c>
      <c r="EJ30" s="842">
        <f t="shared" ref="EJ30:EJ35" si="246">EP30-ED30</f>
        <v>3766</v>
      </c>
      <c r="EK30" s="826">
        <f t="shared" si="47"/>
        <v>2.5</v>
      </c>
      <c r="EL30" s="842">
        <v>511756</v>
      </c>
      <c r="EM30" s="842">
        <v>50914</v>
      </c>
      <c r="EN30" s="842">
        <v>563305</v>
      </c>
      <c r="EO30" s="826">
        <f t="shared" si="48"/>
        <v>10.1</v>
      </c>
      <c r="EP30" s="842">
        <v>42434</v>
      </c>
      <c r="EQ30" s="826">
        <f t="shared" si="49"/>
        <v>-16.7</v>
      </c>
    </row>
    <row r="31" spans="1:147" ht="21.75" customHeight="1">
      <c r="A31" s="1129"/>
      <c r="B31" s="1134"/>
      <c r="C31" s="1066" t="s">
        <v>272</v>
      </c>
      <c r="D31" s="1067">
        <v>1100496</v>
      </c>
      <c r="E31" s="1067">
        <v>240016</v>
      </c>
      <c r="F31" s="1067">
        <v>1038688</v>
      </c>
      <c r="G31" s="1067">
        <v>198544</v>
      </c>
      <c r="H31" s="1067">
        <v>1029125</v>
      </c>
      <c r="I31" s="1067">
        <v>183581</v>
      </c>
      <c r="J31" s="1067">
        <v>1052599</v>
      </c>
      <c r="K31" s="1067">
        <v>177161</v>
      </c>
      <c r="L31" s="1067">
        <v>1168851</v>
      </c>
      <c r="M31" s="1067">
        <v>180573</v>
      </c>
      <c r="N31" s="1067">
        <v>1300839</v>
      </c>
      <c r="O31" s="1067">
        <v>163853</v>
      </c>
      <c r="P31" s="1067">
        <v>1653856</v>
      </c>
      <c r="Q31" s="1067">
        <v>223188</v>
      </c>
      <c r="R31" s="1067">
        <v>1879192</v>
      </c>
      <c r="S31" s="1067">
        <v>227307</v>
      </c>
      <c r="T31" s="1067">
        <v>1533905</v>
      </c>
      <c r="U31" s="1067">
        <v>161151</v>
      </c>
      <c r="V31" s="1067">
        <v>111139</v>
      </c>
      <c r="W31" s="1067">
        <v>19011</v>
      </c>
      <c r="X31" s="1067">
        <v>117345</v>
      </c>
      <c r="Y31" s="1068">
        <f t="shared" si="18"/>
        <v>5.6</v>
      </c>
      <c r="Z31" s="1067">
        <v>12306</v>
      </c>
      <c r="AA31" s="1068">
        <f t="shared" si="19"/>
        <v>-35.299999999999997</v>
      </c>
      <c r="AB31" s="1067">
        <f t="shared" si="215"/>
        <v>105221</v>
      </c>
      <c r="AC31" s="1067">
        <f t="shared" si="216"/>
        <v>8628</v>
      </c>
      <c r="AD31" s="1067">
        <f t="shared" si="217"/>
        <v>109894</v>
      </c>
      <c r="AE31" s="1068">
        <f t="shared" si="54"/>
        <v>4.4000000000000004</v>
      </c>
      <c r="AF31" s="1067">
        <f t="shared" si="218"/>
        <v>11690</v>
      </c>
      <c r="AG31" s="1068">
        <f t="shared" si="20"/>
        <v>35.5</v>
      </c>
      <c r="AH31" s="1067">
        <v>216360</v>
      </c>
      <c r="AI31" s="1067">
        <v>27639</v>
      </c>
      <c r="AJ31" s="1067">
        <v>227239</v>
      </c>
      <c r="AK31" s="1068">
        <f t="shared" si="21"/>
        <v>5</v>
      </c>
      <c r="AL31" s="1067">
        <v>23996</v>
      </c>
      <c r="AM31" s="1068">
        <f t="shared" si="22"/>
        <v>-13.2</v>
      </c>
      <c r="AN31" s="1067">
        <f t="shared" si="219"/>
        <v>109529</v>
      </c>
      <c r="AO31" s="1067">
        <f t="shared" si="220"/>
        <v>15455</v>
      </c>
      <c r="AP31" s="1067">
        <f t="shared" si="221"/>
        <v>133657</v>
      </c>
      <c r="AQ31" s="1068">
        <f t="shared" si="57"/>
        <v>22</v>
      </c>
      <c r="AR31" s="1067">
        <f t="shared" si="222"/>
        <v>17206</v>
      </c>
      <c r="AS31" s="1068">
        <f t="shared" si="23"/>
        <v>11.3</v>
      </c>
      <c r="AT31" s="1067">
        <v>325889</v>
      </c>
      <c r="AU31" s="1067">
        <v>43094</v>
      </c>
      <c r="AV31" s="1067">
        <v>360896</v>
      </c>
      <c r="AW31" s="1068">
        <f t="shared" si="24"/>
        <v>10.7</v>
      </c>
      <c r="AX31" s="1067">
        <v>41202</v>
      </c>
      <c r="AY31" s="1068">
        <f t="shared" si="25"/>
        <v>-4.4000000000000004</v>
      </c>
      <c r="AZ31" s="1067">
        <f t="shared" si="223"/>
        <v>150123</v>
      </c>
      <c r="BA31" s="1067">
        <f t="shared" si="224"/>
        <v>16846</v>
      </c>
      <c r="BB31" s="1067">
        <f t="shared" si="225"/>
        <v>110675</v>
      </c>
      <c r="BC31" s="1068">
        <f t="shared" si="60"/>
        <v>-26.3</v>
      </c>
      <c r="BD31" s="1067">
        <f t="shared" si="226"/>
        <v>8008</v>
      </c>
      <c r="BE31" s="1068">
        <f t="shared" si="26"/>
        <v>-52.5</v>
      </c>
      <c r="BF31" s="1067">
        <v>476012</v>
      </c>
      <c r="BG31" s="1067">
        <v>59940</v>
      </c>
      <c r="BH31" s="1067">
        <v>471571</v>
      </c>
      <c r="BI31" s="1068">
        <f t="shared" si="27"/>
        <v>-0.9</v>
      </c>
      <c r="BJ31" s="1067">
        <v>49210</v>
      </c>
      <c r="BK31" s="1068">
        <f t="shared" si="28"/>
        <v>-17.899999999999999</v>
      </c>
      <c r="BL31" s="1067">
        <f t="shared" si="227"/>
        <v>157836</v>
      </c>
      <c r="BM31" s="1067">
        <f t="shared" si="227"/>
        <v>16706</v>
      </c>
      <c r="BN31" s="1067">
        <f t="shared" si="227"/>
        <v>89671</v>
      </c>
      <c r="BO31" s="1068">
        <f t="shared" si="63"/>
        <v>-43.2</v>
      </c>
      <c r="BP31" s="1067">
        <f t="shared" si="228"/>
        <v>8513</v>
      </c>
      <c r="BQ31" s="1068">
        <f t="shared" si="29"/>
        <v>-49</v>
      </c>
      <c r="BR31" s="1067">
        <v>633848</v>
      </c>
      <c r="BS31" s="1067">
        <v>76646</v>
      </c>
      <c r="BT31" s="1067">
        <v>561242</v>
      </c>
      <c r="BU31" s="1068">
        <f t="shared" si="30"/>
        <v>-11.5</v>
      </c>
      <c r="BV31" s="1067">
        <v>57723</v>
      </c>
      <c r="BW31" s="1068">
        <f t="shared" si="31"/>
        <v>-24.7</v>
      </c>
      <c r="BX31" s="1067">
        <f t="shared" si="229"/>
        <v>141838</v>
      </c>
      <c r="BY31" s="1067">
        <f t="shared" si="230"/>
        <v>14072</v>
      </c>
      <c r="BZ31" s="1067">
        <f t="shared" si="231"/>
        <v>95058</v>
      </c>
      <c r="CA31" s="1068">
        <f t="shared" si="66"/>
        <v>-33</v>
      </c>
      <c r="CB31" s="1067">
        <f t="shared" si="232"/>
        <v>5505</v>
      </c>
      <c r="CC31" s="1068">
        <f t="shared" si="32"/>
        <v>-60.9</v>
      </c>
      <c r="CD31" s="1067">
        <v>775686</v>
      </c>
      <c r="CE31" s="1067">
        <v>90718</v>
      </c>
      <c r="CF31" s="1067">
        <v>656300</v>
      </c>
      <c r="CG31" s="1068">
        <f t="shared" si="33"/>
        <v>-15.4</v>
      </c>
      <c r="CH31" s="1067">
        <v>63228</v>
      </c>
      <c r="CI31" s="1068">
        <f t="shared" si="34"/>
        <v>-30.3</v>
      </c>
      <c r="CJ31" s="1067">
        <f t="shared" si="233"/>
        <v>135859</v>
      </c>
      <c r="CK31" s="1067">
        <f t="shared" si="234"/>
        <v>14359</v>
      </c>
      <c r="CL31" s="1067">
        <f t="shared" si="235"/>
        <v>108159</v>
      </c>
      <c r="CM31" s="1068">
        <f t="shared" si="69"/>
        <v>-20.399999999999999</v>
      </c>
      <c r="CN31" s="1067">
        <f t="shared" si="236"/>
        <v>8079</v>
      </c>
      <c r="CO31" s="1068">
        <f t="shared" si="35"/>
        <v>-43.7</v>
      </c>
      <c r="CP31" s="1069">
        <v>911545</v>
      </c>
      <c r="CQ31" s="1069">
        <v>105077</v>
      </c>
      <c r="CR31" s="1069">
        <v>764459</v>
      </c>
      <c r="CS31" s="1068">
        <f t="shared" si="36"/>
        <v>-16.100000000000001</v>
      </c>
      <c r="CT31" s="1069">
        <v>71307</v>
      </c>
      <c r="CU31" s="1068">
        <f t="shared" si="37"/>
        <v>-32.1</v>
      </c>
      <c r="CV31" s="1067">
        <f t="shared" si="237"/>
        <v>114400</v>
      </c>
      <c r="CW31" s="1067">
        <f t="shared" si="238"/>
        <v>12006</v>
      </c>
      <c r="CX31" s="1067">
        <f t="shared" si="239"/>
        <v>98227</v>
      </c>
      <c r="CY31" s="1068">
        <f t="shared" si="72"/>
        <v>-14.1</v>
      </c>
      <c r="CZ31" s="1067">
        <f t="shared" si="240"/>
        <v>7208</v>
      </c>
      <c r="DA31" s="1068">
        <f t="shared" si="38"/>
        <v>-40</v>
      </c>
      <c r="DB31" s="1067">
        <v>1025945</v>
      </c>
      <c r="DC31" s="1067">
        <v>117083</v>
      </c>
      <c r="DD31" s="1067">
        <v>862686</v>
      </c>
      <c r="DE31" s="1068">
        <f t="shared" si="39"/>
        <v>-15.9</v>
      </c>
      <c r="DF31" s="1067">
        <v>78515</v>
      </c>
      <c r="DG31" s="1068">
        <f t="shared" si="40"/>
        <v>-32.9</v>
      </c>
      <c r="DH31" s="1067">
        <f t="shared" si="241"/>
        <v>112391</v>
      </c>
      <c r="DI31" s="1067">
        <f t="shared" si="241"/>
        <v>9763</v>
      </c>
      <c r="DJ31" s="1067">
        <f t="shared" si="241"/>
        <v>146166</v>
      </c>
      <c r="DK31" s="1068">
        <f t="shared" si="75"/>
        <v>30.1</v>
      </c>
      <c r="DL31" s="1067">
        <f t="shared" si="242"/>
        <v>10643</v>
      </c>
      <c r="DM31" s="1068">
        <f t="shared" si="41"/>
        <v>9</v>
      </c>
      <c r="DN31" s="1067">
        <v>1138336</v>
      </c>
      <c r="DO31" s="1067">
        <v>126846</v>
      </c>
      <c r="DP31" s="1067">
        <v>1008852</v>
      </c>
      <c r="DQ31" s="1068">
        <f t="shared" si="42"/>
        <v>-11.4</v>
      </c>
      <c r="DR31" s="1067">
        <v>89158</v>
      </c>
      <c r="DS31" s="1068">
        <f t="shared" si="43"/>
        <v>-29.7</v>
      </c>
      <c r="DT31" s="1067">
        <f t="shared" si="243"/>
        <v>130047</v>
      </c>
      <c r="DU31" s="1067">
        <f t="shared" si="243"/>
        <v>11111</v>
      </c>
      <c r="DV31" s="1067">
        <f t="shared" si="243"/>
        <v>149647</v>
      </c>
      <c r="DW31" s="1068">
        <f t="shared" si="78"/>
        <v>15.1</v>
      </c>
      <c r="DX31" s="1067">
        <f t="shared" si="244"/>
        <v>9077</v>
      </c>
      <c r="DY31" s="1068">
        <f t="shared" si="44"/>
        <v>-18.3</v>
      </c>
      <c r="DZ31" s="1067">
        <v>1268383</v>
      </c>
      <c r="EA31" s="1067">
        <v>137957</v>
      </c>
      <c r="EB31" s="1067">
        <v>1158499</v>
      </c>
      <c r="EC31" s="1068">
        <f t="shared" si="45"/>
        <v>-8.6999999999999993</v>
      </c>
      <c r="ED31" s="1067">
        <v>98235</v>
      </c>
      <c r="EE31" s="1068">
        <f t="shared" si="46"/>
        <v>-28.8</v>
      </c>
      <c r="EF31" s="1067">
        <f t="shared" si="245"/>
        <v>122364</v>
      </c>
      <c r="EG31" s="1067">
        <f t="shared" si="245"/>
        <v>10122</v>
      </c>
      <c r="EH31" s="1067">
        <f t="shared" si="245"/>
        <v>145107</v>
      </c>
      <c r="EI31" s="1068">
        <f t="shared" si="81"/>
        <v>18.600000000000001</v>
      </c>
      <c r="EJ31" s="1067">
        <f t="shared" si="246"/>
        <v>10513</v>
      </c>
      <c r="EK31" s="1068">
        <f t="shared" si="47"/>
        <v>3.9</v>
      </c>
      <c r="EL31" s="1067">
        <v>1390747</v>
      </c>
      <c r="EM31" s="1067">
        <v>148079</v>
      </c>
      <c r="EN31" s="1067">
        <v>1303606</v>
      </c>
      <c r="EO31" s="1068">
        <f t="shared" si="48"/>
        <v>-6.3</v>
      </c>
      <c r="EP31" s="1067">
        <v>108748</v>
      </c>
      <c r="EQ31" s="1068">
        <f t="shared" si="49"/>
        <v>-26.6</v>
      </c>
    </row>
    <row r="32" spans="1:147" ht="21.75" customHeight="1">
      <c r="A32" s="1128" t="s">
        <v>278</v>
      </c>
      <c r="B32" s="1130" t="s">
        <v>270</v>
      </c>
      <c r="C32" s="130" t="s">
        <v>271</v>
      </c>
      <c r="D32" s="845">
        <v>21372</v>
      </c>
      <c r="E32" s="845">
        <v>566953</v>
      </c>
      <c r="F32" s="845">
        <v>12949</v>
      </c>
      <c r="G32" s="845">
        <v>641800</v>
      </c>
      <c r="H32" s="845">
        <v>11023</v>
      </c>
      <c r="I32" s="845">
        <v>711174</v>
      </c>
      <c r="J32" s="845">
        <v>10978</v>
      </c>
      <c r="K32" s="845">
        <v>801171</v>
      </c>
      <c r="L32" s="845">
        <v>14624</v>
      </c>
      <c r="M32" s="845">
        <v>745958</v>
      </c>
      <c r="N32" s="845">
        <v>22240</v>
      </c>
      <c r="O32" s="845">
        <v>715173</v>
      </c>
      <c r="P32" s="845">
        <v>17187</v>
      </c>
      <c r="Q32" s="845">
        <v>797149</v>
      </c>
      <c r="R32" s="845">
        <v>13431</v>
      </c>
      <c r="S32" s="845">
        <v>773566</v>
      </c>
      <c r="T32" s="845">
        <v>27805</v>
      </c>
      <c r="U32" s="845">
        <v>885947</v>
      </c>
      <c r="V32" s="845">
        <v>1747</v>
      </c>
      <c r="W32" s="845">
        <v>68728</v>
      </c>
      <c r="X32" s="845">
        <v>2133</v>
      </c>
      <c r="Y32" s="830">
        <f t="shared" si="18"/>
        <v>22.1</v>
      </c>
      <c r="Z32" s="845">
        <v>78474</v>
      </c>
      <c r="AA32" s="830">
        <f t="shared" si="19"/>
        <v>14.2</v>
      </c>
      <c r="AB32" s="845">
        <f t="shared" si="215"/>
        <v>1683</v>
      </c>
      <c r="AC32" s="845">
        <f t="shared" si="216"/>
        <v>63048</v>
      </c>
      <c r="AD32" s="845">
        <f t="shared" si="217"/>
        <v>1180</v>
      </c>
      <c r="AE32" s="830">
        <f t="shared" si="54"/>
        <v>-29.9</v>
      </c>
      <c r="AF32" s="845">
        <f t="shared" si="218"/>
        <v>76949</v>
      </c>
      <c r="AG32" s="830">
        <f t="shared" si="20"/>
        <v>22</v>
      </c>
      <c r="AH32" s="845">
        <v>3430</v>
      </c>
      <c r="AI32" s="845">
        <v>131776</v>
      </c>
      <c r="AJ32" s="845">
        <v>3313</v>
      </c>
      <c r="AK32" s="830">
        <f t="shared" si="21"/>
        <v>-3.4</v>
      </c>
      <c r="AL32" s="845">
        <v>155423</v>
      </c>
      <c r="AM32" s="830">
        <f t="shared" si="22"/>
        <v>17.899999999999999</v>
      </c>
      <c r="AN32" s="845">
        <f t="shared" si="219"/>
        <v>2374</v>
      </c>
      <c r="AO32" s="845">
        <f t="shared" si="220"/>
        <v>73135</v>
      </c>
      <c r="AP32" s="845">
        <f t="shared" si="221"/>
        <v>1699</v>
      </c>
      <c r="AQ32" s="830">
        <f t="shared" si="57"/>
        <v>-28.4</v>
      </c>
      <c r="AR32" s="845">
        <f t="shared" si="222"/>
        <v>76556</v>
      </c>
      <c r="AS32" s="830">
        <f t="shared" si="23"/>
        <v>4.7</v>
      </c>
      <c r="AT32" s="845">
        <v>5804</v>
      </c>
      <c r="AU32" s="845">
        <v>204911</v>
      </c>
      <c r="AV32" s="845">
        <v>5012</v>
      </c>
      <c r="AW32" s="830">
        <f t="shared" si="24"/>
        <v>-13.6</v>
      </c>
      <c r="AX32" s="845">
        <v>231979</v>
      </c>
      <c r="AY32" s="830">
        <f t="shared" si="25"/>
        <v>13.2</v>
      </c>
      <c r="AZ32" s="845">
        <f t="shared" si="223"/>
        <v>2882</v>
      </c>
      <c r="BA32" s="845">
        <f t="shared" si="224"/>
        <v>80576</v>
      </c>
      <c r="BB32" s="845">
        <f t="shared" si="225"/>
        <v>2064</v>
      </c>
      <c r="BC32" s="830">
        <f t="shared" si="60"/>
        <v>-28.4</v>
      </c>
      <c r="BD32" s="845">
        <f t="shared" si="226"/>
        <v>83957</v>
      </c>
      <c r="BE32" s="830">
        <f t="shared" si="26"/>
        <v>4.2</v>
      </c>
      <c r="BF32" s="845">
        <v>8686</v>
      </c>
      <c r="BG32" s="845">
        <v>285487</v>
      </c>
      <c r="BH32" s="845">
        <v>7076</v>
      </c>
      <c r="BI32" s="830">
        <f t="shared" si="27"/>
        <v>-18.5</v>
      </c>
      <c r="BJ32" s="845">
        <v>315936</v>
      </c>
      <c r="BK32" s="830">
        <f t="shared" si="28"/>
        <v>10.7</v>
      </c>
      <c r="BL32" s="845">
        <f t="shared" si="227"/>
        <v>3020</v>
      </c>
      <c r="BM32" s="845">
        <f t="shared" si="227"/>
        <v>76059</v>
      </c>
      <c r="BN32" s="845">
        <f t="shared" si="227"/>
        <v>2339</v>
      </c>
      <c r="BO32" s="830">
        <f t="shared" si="63"/>
        <v>-22.5</v>
      </c>
      <c r="BP32" s="845">
        <f t="shared" si="228"/>
        <v>73899</v>
      </c>
      <c r="BQ32" s="830">
        <f t="shared" si="29"/>
        <v>-2.8</v>
      </c>
      <c r="BR32" s="845">
        <v>11706</v>
      </c>
      <c r="BS32" s="845">
        <v>361546</v>
      </c>
      <c r="BT32" s="845">
        <v>9415</v>
      </c>
      <c r="BU32" s="830">
        <f t="shared" si="30"/>
        <v>-19.600000000000001</v>
      </c>
      <c r="BV32" s="845">
        <v>389835</v>
      </c>
      <c r="BW32" s="830">
        <f t="shared" si="31"/>
        <v>7.8</v>
      </c>
      <c r="BX32" s="845">
        <f t="shared" si="229"/>
        <v>2075</v>
      </c>
      <c r="BY32" s="845">
        <f t="shared" si="230"/>
        <v>66205</v>
      </c>
      <c r="BZ32" s="845">
        <f t="shared" si="231"/>
        <v>2752</v>
      </c>
      <c r="CA32" s="830">
        <f t="shared" si="66"/>
        <v>32.6</v>
      </c>
      <c r="CB32" s="845">
        <f t="shared" si="232"/>
        <v>85317</v>
      </c>
      <c r="CC32" s="830">
        <f t="shared" si="32"/>
        <v>28.9</v>
      </c>
      <c r="CD32" s="845">
        <v>13781</v>
      </c>
      <c r="CE32" s="845">
        <v>427751</v>
      </c>
      <c r="CF32" s="845">
        <v>12167</v>
      </c>
      <c r="CG32" s="830">
        <f t="shared" si="33"/>
        <v>-11.7</v>
      </c>
      <c r="CH32" s="845">
        <v>475152</v>
      </c>
      <c r="CI32" s="830">
        <f t="shared" si="34"/>
        <v>11.1</v>
      </c>
      <c r="CJ32" s="845">
        <f t="shared" si="233"/>
        <v>2509</v>
      </c>
      <c r="CK32" s="845">
        <f t="shared" si="234"/>
        <v>73435</v>
      </c>
      <c r="CL32" s="845">
        <f t="shared" si="235"/>
        <v>2619</v>
      </c>
      <c r="CM32" s="830">
        <f t="shared" si="69"/>
        <v>4.4000000000000004</v>
      </c>
      <c r="CN32" s="845">
        <f t="shared" si="236"/>
        <v>84621</v>
      </c>
      <c r="CO32" s="830">
        <f t="shared" si="35"/>
        <v>15.2</v>
      </c>
      <c r="CP32" s="943">
        <v>16290</v>
      </c>
      <c r="CQ32" s="943">
        <v>501186</v>
      </c>
      <c r="CR32" s="943">
        <v>14786</v>
      </c>
      <c r="CS32" s="830">
        <f t="shared" si="36"/>
        <v>-9.1999999999999993</v>
      </c>
      <c r="CT32" s="943">
        <v>559773</v>
      </c>
      <c r="CU32" s="830">
        <f t="shared" si="37"/>
        <v>11.7</v>
      </c>
      <c r="CV32" s="845">
        <f t="shared" si="237"/>
        <v>2746</v>
      </c>
      <c r="CW32" s="845">
        <f t="shared" si="238"/>
        <v>69163</v>
      </c>
      <c r="CX32" s="845">
        <f t="shared" si="239"/>
        <v>2998</v>
      </c>
      <c r="CY32" s="830">
        <f t="shared" si="72"/>
        <v>9.1999999999999993</v>
      </c>
      <c r="CZ32" s="845">
        <f t="shared" si="240"/>
        <v>74107</v>
      </c>
      <c r="DA32" s="830">
        <f t="shared" si="38"/>
        <v>7.1</v>
      </c>
      <c r="DB32" s="845">
        <v>19036</v>
      </c>
      <c r="DC32" s="845">
        <v>570349</v>
      </c>
      <c r="DD32" s="845">
        <v>17784</v>
      </c>
      <c r="DE32" s="830">
        <f t="shared" si="39"/>
        <v>-6.6</v>
      </c>
      <c r="DF32" s="845">
        <v>633880</v>
      </c>
      <c r="DG32" s="830">
        <f t="shared" si="40"/>
        <v>11.1</v>
      </c>
      <c r="DH32" s="845">
        <f t="shared" si="241"/>
        <v>2222</v>
      </c>
      <c r="DI32" s="845">
        <f t="shared" si="241"/>
        <v>64666</v>
      </c>
      <c r="DJ32" s="845">
        <f t="shared" si="241"/>
        <v>3863</v>
      </c>
      <c r="DK32" s="830">
        <f t="shared" si="75"/>
        <v>73.900000000000006</v>
      </c>
      <c r="DL32" s="845">
        <f t="shared" si="242"/>
        <v>77942</v>
      </c>
      <c r="DM32" s="830">
        <f t="shared" si="41"/>
        <v>20.5</v>
      </c>
      <c r="DN32" s="845">
        <v>21258</v>
      </c>
      <c r="DO32" s="845">
        <v>635015</v>
      </c>
      <c r="DP32" s="845">
        <v>21647</v>
      </c>
      <c r="DQ32" s="830">
        <f t="shared" si="42"/>
        <v>1.8</v>
      </c>
      <c r="DR32" s="845">
        <v>711822</v>
      </c>
      <c r="DS32" s="830">
        <f t="shared" si="43"/>
        <v>12.1</v>
      </c>
      <c r="DT32" s="845">
        <f t="shared" si="243"/>
        <v>2539</v>
      </c>
      <c r="DU32" s="845">
        <f t="shared" si="243"/>
        <v>84348</v>
      </c>
      <c r="DV32" s="845">
        <f t="shared" si="243"/>
        <v>2462</v>
      </c>
      <c r="DW32" s="830">
        <f t="shared" si="78"/>
        <v>-3</v>
      </c>
      <c r="DX32" s="845">
        <f t="shared" si="244"/>
        <v>80725</v>
      </c>
      <c r="DY32" s="830">
        <f t="shared" si="44"/>
        <v>-4.3</v>
      </c>
      <c r="DZ32" s="845">
        <v>23797</v>
      </c>
      <c r="EA32" s="845">
        <v>719363</v>
      </c>
      <c r="EB32" s="845">
        <v>24109</v>
      </c>
      <c r="EC32" s="830">
        <f t="shared" si="45"/>
        <v>1.3</v>
      </c>
      <c r="ED32" s="845">
        <v>792547</v>
      </c>
      <c r="EE32" s="830">
        <f t="shared" si="46"/>
        <v>10.199999999999999</v>
      </c>
      <c r="EF32" s="845">
        <f t="shared" si="245"/>
        <v>2426</v>
      </c>
      <c r="EG32" s="845">
        <f t="shared" si="245"/>
        <v>82155</v>
      </c>
      <c r="EH32" s="845">
        <f t="shared" si="245"/>
        <v>2141</v>
      </c>
      <c r="EI32" s="830">
        <f t="shared" si="81"/>
        <v>-11.7</v>
      </c>
      <c r="EJ32" s="845">
        <f t="shared" si="246"/>
        <v>84058</v>
      </c>
      <c r="EK32" s="830">
        <f t="shared" si="47"/>
        <v>2.2999999999999998</v>
      </c>
      <c r="EL32" s="845">
        <v>26223</v>
      </c>
      <c r="EM32" s="845">
        <v>801518</v>
      </c>
      <c r="EN32" s="845">
        <v>26250</v>
      </c>
      <c r="EO32" s="830">
        <f t="shared" si="48"/>
        <v>0.1</v>
      </c>
      <c r="EP32" s="845">
        <v>876605</v>
      </c>
      <c r="EQ32" s="830">
        <f t="shared" si="49"/>
        <v>9.4</v>
      </c>
    </row>
    <row r="33" spans="1:147" ht="21.75" customHeight="1">
      <c r="A33" s="1129"/>
      <c r="B33" s="1129"/>
      <c r="C33" s="121" t="s">
        <v>272</v>
      </c>
      <c r="D33" s="122">
        <v>35068</v>
      </c>
      <c r="E33" s="122">
        <v>1098176</v>
      </c>
      <c r="F33" s="122">
        <v>13839</v>
      </c>
      <c r="G33" s="122">
        <v>1108548</v>
      </c>
      <c r="H33" s="122">
        <v>13177</v>
      </c>
      <c r="I33" s="122">
        <v>1177584</v>
      </c>
      <c r="J33" s="122">
        <v>11850</v>
      </c>
      <c r="K33" s="122">
        <v>1333430</v>
      </c>
      <c r="L33" s="122">
        <v>10823</v>
      </c>
      <c r="M33" s="122">
        <v>1107457</v>
      </c>
      <c r="N33" s="122">
        <v>15210</v>
      </c>
      <c r="O33" s="122">
        <v>894719</v>
      </c>
      <c r="P33" s="122">
        <v>15146</v>
      </c>
      <c r="Q33" s="122">
        <v>1132521</v>
      </c>
      <c r="R33" s="297">
        <v>21546</v>
      </c>
      <c r="S33" s="297">
        <v>1165392</v>
      </c>
      <c r="T33" s="297">
        <v>33861</v>
      </c>
      <c r="U33" s="297">
        <v>1091571</v>
      </c>
      <c r="V33" s="297">
        <v>2459</v>
      </c>
      <c r="W33" s="297">
        <v>91139</v>
      </c>
      <c r="X33" s="297">
        <v>2752</v>
      </c>
      <c r="Y33" s="123">
        <f t="shared" si="18"/>
        <v>11.9</v>
      </c>
      <c r="Z33" s="297">
        <v>90108</v>
      </c>
      <c r="AA33" s="123">
        <f t="shared" si="19"/>
        <v>-1.1000000000000001</v>
      </c>
      <c r="AB33" s="297">
        <f t="shared" si="215"/>
        <v>1919</v>
      </c>
      <c r="AC33" s="297">
        <f t="shared" si="216"/>
        <v>80331</v>
      </c>
      <c r="AD33" s="297">
        <f t="shared" si="217"/>
        <v>1748</v>
      </c>
      <c r="AE33" s="123">
        <f t="shared" si="54"/>
        <v>-8.9</v>
      </c>
      <c r="AF33" s="297">
        <f t="shared" si="218"/>
        <v>89813</v>
      </c>
      <c r="AG33" s="123">
        <f t="shared" si="20"/>
        <v>11.8</v>
      </c>
      <c r="AH33" s="297">
        <v>4378</v>
      </c>
      <c r="AI33" s="297">
        <v>171470</v>
      </c>
      <c r="AJ33" s="297">
        <v>4500</v>
      </c>
      <c r="AK33" s="123">
        <f t="shared" si="21"/>
        <v>2.8</v>
      </c>
      <c r="AL33" s="297">
        <v>179921</v>
      </c>
      <c r="AM33" s="123">
        <f t="shared" si="22"/>
        <v>4.9000000000000004</v>
      </c>
      <c r="AN33" s="297">
        <f t="shared" si="219"/>
        <v>2712</v>
      </c>
      <c r="AO33" s="297">
        <f t="shared" si="220"/>
        <v>93180</v>
      </c>
      <c r="AP33" s="297">
        <f t="shared" si="221"/>
        <v>2063</v>
      </c>
      <c r="AQ33" s="123">
        <f t="shared" si="57"/>
        <v>-23.9</v>
      </c>
      <c r="AR33" s="297">
        <f t="shared" si="222"/>
        <v>89340</v>
      </c>
      <c r="AS33" s="123">
        <f t="shared" si="23"/>
        <v>-4.0999999999999996</v>
      </c>
      <c r="AT33" s="297">
        <v>7090</v>
      </c>
      <c r="AU33" s="297">
        <v>264650</v>
      </c>
      <c r="AV33" s="297">
        <v>6563</v>
      </c>
      <c r="AW33" s="123">
        <f t="shared" si="24"/>
        <v>-7.4</v>
      </c>
      <c r="AX33" s="297">
        <v>269261</v>
      </c>
      <c r="AY33" s="123">
        <f t="shared" si="25"/>
        <v>1.7</v>
      </c>
      <c r="AZ33" s="297">
        <f t="shared" si="223"/>
        <v>3516</v>
      </c>
      <c r="BA33" s="297">
        <f t="shared" si="224"/>
        <v>103316</v>
      </c>
      <c r="BB33" s="297">
        <f t="shared" si="225"/>
        <v>2053</v>
      </c>
      <c r="BC33" s="123">
        <f t="shared" si="60"/>
        <v>-41.6</v>
      </c>
      <c r="BD33" s="297">
        <f t="shared" si="226"/>
        <v>96167</v>
      </c>
      <c r="BE33" s="123">
        <f t="shared" si="26"/>
        <v>-6.9</v>
      </c>
      <c r="BF33" s="297">
        <v>10606</v>
      </c>
      <c r="BG33" s="297">
        <v>367966</v>
      </c>
      <c r="BH33" s="297">
        <v>8616</v>
      </c>
      <c r="BI33" s="123">
        <f t="shared" si="27"/>
        <v>-18.8</v>
      </c>
      <c r="BJ33" s="297">
        <v>365428</v>
      </c>
      <c r="BK33" s="123">
        <f t="shared" si="28"/>
        <v>-0.7</v>
      </c>
      <c r="BL33" s="297">
        <f t="shared" si="227"/>
        <v>3169</v>
      </c>
      <c r="BM33" s="297">
        <f t="shared" si="227"/>
        <v>96717</v>
      </c>
      <c r="BN33" s="297">
        <f t="shared" si="227"/>
        <v>2125</v>
      </c>
      <c r="BO33" s="123">
        <f t="shared" si="63"/>
        <v>-32.9</v>
      </c>
      <c r="BP33" s="297">
        <f t="shared" si="228"/>
        <v>80823</v>
      </c>
      <c r="BQ33" s="123">
        <f t="shared" si="29"/>
        <v>-16.399999999999999</v>
      </c>
      <c r="BR33" s="297">
        <v>13775</v>
      </c>
      <c r="BS33" s="297">
        <v>464683</v>
      </c>
      <c r="BT33" s="297">
        <v>10741</v>
      </c>
      <c r="BU33" s="123">
        <f t="shared" si="30"/>
        <v>-22</v>
      </c>
      <c r="BV33" s="297">
        <v>446251</v>
      </c>
      <c r="BW33" s="123">
        <f t="shared" si="31"/>
        <v>-4</v>
      </c>
      <c r="BX33" s="823">
        <f t="shared" si="229"/>
        <v>2729</v>
      </c>
      <c r="BY33" s="823">
        <f t="shared" si="230"/>
        <v>82196</v>
      </c>
      <c r="BZ33" s="823">
        <f t="shared" si="231"/>
        <v>2438</v>
      </c>
      <c r="CA33" s="824">
        <f t="shared" si="66"/>
        <v>-10.7</v>
      </c>
      <c r="CB33" s="823">
        <f t="shared" si="232"/>
        <v>91120</v>
      </c>
      <c r="CC33" s="824">
        <f t="shared" si="32"/>
        <v>10.9</v>
      </c>
      <c r="CD33" s="844">
        <v>16504</v>
      </c>
      <c r="CE33" s="844">
        <v>546879</v>
      </c>
      <c r="CF33" s="844">
        <v>13179</v>
      </c>
      <c r="CG33" s="824">
        <f t="shared" si="33"/>
        <v>-20.100000000000001</v>
      </c>
      <c r="CH33" s="844">
        <v>537371</v>
      </c>
      <c r="CI33" s="824">
        <f t="shared" si="34"/>
        <v>-1.7</v>
      </c>
      <c r="CJ33" s="844">
        <f t="shared" si="233"/>
        <v>2851</v>
      </c>
      <c r="CK33" s="844">
        <f t="shared" si="234"/>
        <v>89350</v>
      </c>
      <c r="CL33" s="844">
        <f t="shared" si="235"/>
        <v>2747</v>
      </c>
      <c r="CM33" s="824">
        <f t="shared" si="69"/>
        <v>-3.6</v>
      </c>
      <c r="CN33" s="844">
        <f t="shared" si="236"/>
        <v>89792</v>
      </c>
      <c r="CO33" s="824">
        <f t="shared" si="35"/>
        <v>0.5</v>
      </c>
      <c r="CP33" s="940">
        <v>19355</v>
      </c>
      <c r="CQ33" s="940">
        <v>636229</v>
      </c>
      <c r="CR33" s="940">
        <v>15926</v>
      </c>
      <c r="CS33" s="824">
        <f t="shared" si="36"/>
        <v>-17.7</v>
      </c>
      <c r="CT33" s="940">
        <v>627163</v>
      </c>
      <c r="CU33" s="824">
        <f t="shared" si="37"/>
        <v>-1.4</v>
      </c>
      <c r="CV33" s="844">
        <f t="shared" si="237"/>
        <v>3258</v>
      </c>
      <c r="CW33" s="844">
        <f t="shared" si="238"/>
        <v>82518</v>
      </c>
      <c r="CX33" s="844">
        <f t="shared" si="239"/>
        <v>3297</v>
      </c>
      <c r="CY33" s="824">
        <f t="shared" si="72"/>
        <v>1.2</v>
      </c>
      <c r="CZ33" s="844">
        <f t="shared" si="240"/>
        <v>80520</v>
      </c>
      <c r="DA33" s="824">
        <f t="shared" si="38"/>
        <v>-2.4</v>
      </c>
      <c r="DB33" s="844">
        <v>22613</v>
      </c>
      <c r="DC33" s="844">
        <v>718747</v>
      </c>
      <c r="DD33" s="844">
        <v>19223</v>
      </c>
      <c r="DE33" s="824">
        <f t="shared" si="39"/>
        <v>-15</v>
      </c>
      <c r="DF33" s="844">
        <v>707683</v>
      </c>
      <c r="DG33" s="824">
        <f t="shared" si="40"/>
        <v>-1.5</v>
      </c>
      <c r="DH33" s="844">
        <f t="shared" si="241"/>
        <v>2948</v>
      </c>
      <c r="DI33" s="844">
        <f t="shared" si="241"/>
        <v>77624</v>
      </c>
      <c r="DJ33" s="844">
        <f t="shared" si="241"/>
        <v>4258</v>
      </c>
      <c r="DK33" s="824">
        <f t="shared" si="75"/>
        <v>44.4</v>
      </c>
      <c r="DL33" s="844">
        <f t="shared" si="242"/>
        <v>86030</v>
      </c>
      <c r="DM33" s="824">
        <f t="shared" si="41"/>
        <v>10.8</v>
      </c>
      <c r="DN33" s="844">
        <v>25561</v>
      </c>
      <c r="DO33" s="844">
        <v>796371</v>
      </c>
      <c r="DP33" s="844">
        <v>23481</v>
      </c>
      <c r="DQ33" s="824">
        <f t="shared" si="42"/>
        <v>-8.1</v>
      </c>
      <c r="DR33" s="844">
        <v>793713</v>
      </c>
      <c r="DS33" s="824">
        <f t="shared" si="43"/>
        <v>-0.3</v>
      </c>
      <c r="DT33" s="844">
        <f t="shared" si="243"/>
        <v>3034</v>
      </c>
      <c r="DU33" s="844">
        <f t="shared" si="243"/>
        <v>99804</v>
      </c>
      <c r="DV33" s="844">
        <f t="shared" si="243"/>
        <v>2855</v>
      </c>
      <c r="DW33" s="824">
        <f t="shared" si="78"/>
        <v>-5.9</v>
      </c>
      <c r="DX33" s="844">
        <f t="shared" si="244"/>
        <v>92469</v>
      </c>
      <c r="DY33" s="824">
        <f t="shared" si="44"/>
        <v>-7.3</v>
      </c>
      <c r="DZ33" s="844">
        <v>28595</v>
      </c>
      <c r="EA33" s="844">
        <v>896175</v>
      </c>
      <c r="EB33" s="844">
        <v>26336</v>
      </c>
      <c r="EC33" s="824">
        <f t="shared" si="45"/>
        <v>-7.9</v>
      </c>
      <c r="ED33" s="844">
        <v>886182</v>
      </c>
      <c r="EE33" s="824">
        <f t="shared" si="46"/>
        <v>-1.1000000000000001</v>
      </c>
      <c r="EF33" s="844">
        <f t="shared" si="245"/>
        <v>3153</v>
      </c>
      <c r="EG33" s="844">
        <f t="shared" si="245"/>
        <v>96769</v>
      </c>
      <c r="EH33" s="844">
        <f t="shared" si="245"/>
        <v>2853</v>
      </c>
      <c r="EI33" s="824">
        <f t="shared" si="81"/>
        <v>-9.5</v>
      </c>
      <c r="EJ33" s="844">
        <f t="shared" si="246"/>
        <v>101411</v>
      </c>
      <c r="EK33" s="824">
        <f t="shared" si="47"/>
        <v>4.8</v>
      </c>
      <c r="EL33" s="844">
        <v>31748</v>
      </c>
      <c r="EM33" s="844">
        <v>992944</v>
      </c>
      <c r="EN33" s="844">
        <v>29189</v>
      </c>
      <c r="EO33" s="824">
        <f t="shared" si="48"/>
        <v>-8.1</v>
      </c>
      <c r="EP33" s="844">
        <v>987593</v>
      </c>
      <c r="EQ33" s="824">
        <f t="shared" si="49"/>
        <v>-0.5</v>
      </c>
    </row>
    <row r="34" spans="1:147" ht="21.75" customHeight="1">
      <c r="A34" s="1129"/>
      <c r="B34" s="1129" t="s">
        <v>273</v>
      </c>
      <c r="C34" s="118" t="s">
        <v>271</v>
      </c>
      <c r="D34" s="119">
        <v>31616</v>
      </c>
      <c r="E34" s="119">
        <v>1318094</v>
      </c>
      <c r="F34" s="119">
        <v>56919</v>
      </c>
      <c r="G34" s="119">
        <v>1429118</v>
      </c>
      <c r="H34" s="119">
        <v>81370</v>
      </c>
      <c r="I34" s="119">
        <v>1430115</v>
      </c>
      <c r="J34" s="119">
        <v>90005</v>
      </c>
      <c r="K34" s="119">
        <v>1490516</v>
      </c>
      <c r="L34" s="119">
        <v>76548</v>
      </c>
      <c r="M34" s="119">
        <v>1512360</v>
      </c>
      <c r="N34" s="119">
        <v>93607</v>
      </c>
      <c r="O34" s="119">
        <v>1655344</v>
      </c>
      <c r="P34" s="119">
        <v>133260</v>
      </c>
      <c r="Q34" s="119">
        <v>1621431</v>
      </c>
      <c r="R34" s="296">
        <v>216004</v>
      </c>
      <c r="S34" s="296">
        <v>1446299</v>
      </c>
      <c r="T34" s="296">
        <v>216968</v>
      </c>
      <c r="U34" s="296">
        <v>1508451</v>
      </c>
      <c r="V34" s="296">
        <v>18000</v>
      </c>
      <c r="W34" s="296">
        <v>128191</v>
      </c>
      <c r="X34" s="296">
        <v>24433</v>
      </c>
      <c r="Y34" s="120">
        <f t="shared" si="18"/>
        <v>35.700000000000003</v>
      </c>
      <c r="Z34" s="296">
        <v>123442</v>
      </c>
      <c r="AA34" s="120">
        <f t="shared" si="19"/>
        <v>-3.7</v>
      </c>
      <c r="AB34" s="296">
        <f t="shared" si="215"/>
        <v>15845</v>
      </c>
      <c r="AC34" s="296">
        <f t="shared" si="216"/>
        <v>97928</v>
      </c>
      <c r="AD34" s="296">
        <f t="shared" si="217"/>
        <v>28631</v>
      </c>
      <c r="AE34" s="120">
        <f t="shared" si="54"/>
        <v>80.7</v>
      </c>
      <c r="AF34" s="296">
        <f t="shared" si="218"/>
        <v>110484</v>
      </c>
      <c r="AG34" s="120">
        <f t="shared" si="20"/>
        <v>12.8</v>
      </c>
      <c r="AH34" s="296">
        <v>33845</v>
      </c>
      <c r="AI34" s="296">
        <v>226119</v>
      </c>
      <c r="AJ34" s="296">
        <v>53064</v>
      </c>
      <c r="AK34" s="120">
        <f t="shared" si="21"/>
        <v>56.8</v>
      </c>
      <c r="AL34" s="296">
        <v>233926</v>
      </c>
      <c r="AM34" s="120">
        <f t="shared" si="22"/>
        <v>3.5</v>
      </c>
      <c r="AN34" s="296">
        <f t="shared" si="219"/>
        <v>21872</v>
      </c>
      <c r="AO34" s="296">
        <f t="shared" si="220"/>
        <v>115955</v>
      </c>
      <c r="AP34" s="296">
        <f t="shared" si="221"/>
        <v>27028</v>
      </c>
      <c r="AQ34" s="120">
        <f t="shared" si="57"/>
        <v>23.6</v>
      </c>
      <c r="AR34" s="296">
        <f t="shared" si="222"/>
        <v>117382</v>
      </c>
      <c r="AS34" s="120">
        <f t="shared" si="23"/>
        <v>1.2</v>
      </c>
      <c r="AT34" s="296">
        <v>55717</v>
      </c>
      <c r="AU34" s="296">
        <v>342074</v>
      </c>
      <c r="AV34" s="296">
        <v>80092</v>
      </c>
      <c r="AW34" s="120">
        <f t="shared" si="24"/>
        <v>43.7</v>
      </c>
      <c r="AX34" s="296">
        <v>351308</v>
      </c>
      <c r="AY34" s="120">
        <f t="shared" si="25"/>
        <v>2.7</v>
      </c>
      <c r="AZ34" s="296">
        <f t="shared" si="223"/>
        <v>17038</v>
      </c>
      <c r="BA34" s="296">
        <f t="shared" si="224"/>
        <v>129991</v>
      </c>
      <c r="BB34" s="296">
        <f t="shared" si="225"/>
        <v>17293</v>
      </c>
      <c r="BC34" s="120">
        <f t="shared" si="60"/>
        <v>1.5</v>
      </c>
      <c r="BD34" s="296">
        <f t="shared" si="226"/>
        <v>121100</v>
      </c>
      <c r="BE34" s="120">
        <f t="shared" si="26"/>
        <v>-6.8</v>
      </c>
      <c r="BF34" s="296">
        <v>72755</v>
      </c>
      <c r="BG34" s="296">
        <v>472065</v>
      </c>
      <c r="BH34" s="296">
        <v>97385</v>
      </c>
      <c r="BI34" s="120">
        <f t="shared" si="27"/>
        <v>33.9</v>
      </c>
      <c r="BJ34" s="296">
        <v>472408</v>
      </c>
      <c r="BK34" s="120">
        <f t="shared" si="28"/>
        <v>0.1</v>
      </c>
      <c r="BL34" s="296">
        <f t="shared" si="227"/>
        <v>19313</v>
      </c>
      <c r="BM34" s="296">
        <f t="shared" si="227"/>
        <v>138480</v>
      </c>
      <c r="BN34" s="296">
        <f t="shared" si="227"/>
        <v>29674</v>
      </c>
      <c r="BO34" s="120">
        <f t="shared" si="63"/>
        <v>53.6</v>
      </c>
      <c r="BP34" s="296">
        <f t="shared" si="228"/>
        <v>113599</v>
      </c>
      <c r="BQ34" s="120">
        <f t="shared" si="29"/>
        <v>-18</v>
      </c>
      <c r="BR34" s="296">
        <v>92068</v>
      </c>
      <c r="BS34" s="296">
        <v>610545</v>
      </c>
      <c r="BT34" s="296">
        <v>127059</v>
      </c>
      <c r="BU34" s="120">
        <f t="shared" si="30"/>
        <v>38</v>
      </c>
      <c r="BV34" s="296">
        <v>586007</v>
      </c>
      <c r="BW34" s="120">
        <f t="shared" si="31"/>
        <v>-4</v>
      </c>
      <c r="BX34" s="821">
        <f t="shared" si="229"/>
        <v>19052</v>
      </c>
      <c r="BY34" s="821">
        <f t="shared" si="230"/>
        <v>130478</v>
      </c>
      <c r="BZ34" s="821">
        <f t="shared" si="231"/>
        <v>37847</v>
      </c>
      <c r="CA34" s="822">
        <f t="shared" si="66"/>
        <v>98.7</v>
      </c>
      <c r="CB34" s="821">
        <f t="shared" si="232"/>
        <v>116395</v>
      </c>
      <c r="CC34" s="822">
        <f t="shared" si="32"/>
        <v>-10.8</v>
      </c>
      <c r="CD34" s="840">
        <v>111120</v>
      </c>
      <c r="CE34" s="840">
        <v>741023</v>
      </c>
      <c r="CF34" s="840">
        <v>164906</v>
      </c>
      <c r="CG34" s="822">
        <f t="shared" si="33"/>
        <v>48.4</v>
      </c>
      <c r="CH34" s="840">
        <v>702402</v>
      </c>
      <c r="CI34" s="822">
        <f t="shared" si="34"/>
        <v>-5.2</v>
      </c>
      <c r="CJ34" s="840">
        <f t="shared" si="233"/>
        <v>19211</v>
      </c>
      <c r="CK34" s="840">
        <f t="shared" si="234"/>
        <v>122922</v>
      </c>
      <c r="CL34" s="840">
        <f t="shared" si="235"/>
        <v>37067</v>
      </c>
      <c r="CM34" s="822">
        <f t="shared" si="69"/>
        <v>92.9</v>
      </c>
      <c r="CN34" s="840">
        <f t="shared" si="236"/>
        <v>106657</v>
      </c>
      <c r="CO34" s="822">
        <f t="shared" si="35"/>
        <v>-13.2</v>
      </c>
      <c r="CP34" s="939">
        <v>130331</v>
      </c>
      <c r="CQ34" s="939">
        <v>863945</v>
      </c>
      <c r="CR34" s="939">
        <v>201973</v>
      </c>
      <c r="CS34" s="822">
        <f t="shared" si="36"/>
        <v>55</v>
      </c>
      <c r="CT34" s="939">
        <v>809059</v>
      </c>
      <c r="CU34" s="822">
        <f t="shared" si="37"/>
        <v>-6.4</v>
      </c>
      <c r="CV34" s="840">
        <f t="shared" si="237"/>
        <v>15919</v>
      </c>
      <c r="CW34" s="840">
        <f t="shared" si="238"/>
        <v>131336</v>
      </c>
      <c r="CX34" s="840">
        <f t="shared" si="239"/>
        <v>33606</v>
      </c>
      <c r="CY34" s="822">
        <f t="shared" si="72"/>
        <v>111.1</v>
      </c>
      <c r="CZ34" s="840">
        <f t="shared" si="240"/>
        <v>99519</v>
      </c>
      <c r="DA34" s="822">
        <f t="shared" si="38"/>
        <v>-24.2</v>
      </c>
      <c r="DB34" s="840">
        <v>146250</v>
      </c>
      <c r="DC34" s="840">
        <v>995281</v>
      </c>
      <c r="DD34" s="840">
        <v>235579</v>
      </c>
      <c r="DE34" s="822">
        <f t="shared" si="39"/>
        <v>61.1</v>
      </c>
      <c r="DF34" s="840">
        <v>908578</v>
      </c>
      <c r="DG34" s="822">
        <f t="shared" si="40"/>
        <v>-8.6999999999999993</v>
      </c>
      <c r="DH34" s="840">
        <f t="shared" si="241"/>
        <v>14976</v>
      </c>
      <c r="DI34" s="840">
        <f t="shared" si="241"/>
        <v>121463</v>
      </c>
      <c r="DJ34" s="840">
        <f t="shared" si="241"/>
        <v>34681</v>
      </c>
      <c r="DK34" s="822">
        <f t="shared" si="75"/>
        <v>131.6</v>
      </c>
      <c r="DL34" s="840">
        <f t="shared" si="242"/>
        <v>118807</v>
      </c>
      <c r="DM34" s="822">
        <f t="shared" si="41"/>
        <v>-2.2000000000000002</v>
      </c>
      <c r="DN34" s="840">
        <v>161226</v>
      </c>
      <c r="DO34" s="840">
        <v>1116744</v>
      </c>
      <c r="DP34" s="840">
        <v>270260</v>
      </c>
      <c r="DQ34" s="822">
        <f t="shared" si="42"/>
        <v>67.599999999999994</v>
      </c>
      <c r="DR34" s="840">
        <v>1027385</v>
      </c>
      <c r="DS34" s="822">
        <f t="shared" si="43"/>
        <v>-8</v>
      </c>
      <c r="DT34" s="840">
        <f t="shared" si="243"/>
        <v>17785</v>
      </c>
      <c r="DU34" s="840">
        <f t="shared" si="243"/>
        <v>130023</v>
      </c>
      <c r="DV34" s="840">
        <f t="shared" si="243"/>
        <v>28877</v>
      </c>
      <c r="DW34" s="822">
        <f t="shared" si="78"/>
        <v>62.4</v>
      </c>
      <c r="DX34" s="840">
        <f t="shared" si="244"/>
        <v>111739</v>
      </c>
      <c r="DY34" s="822">
        <f t="shared" si="44"/>
        <v>-14.1</v>
      </c>
      <c r="DZ34" s="840">
        <v>179011</v>
      </c>
      <c r="EA34" s="840">
        <v>1246767</v>
      </c>
      <c r="EB34" s="840">
        <v>299137</v>
      </c>
      <c r="EC34" s="822">
        <f t="shared" si="45"/>
        <v>67.099999999999994</v>
      </c>
      <c r="ED34" s="840">
        <v>1139124</v>
      </c>
      <c r="EE34" s="822">
        <f t="shared" si="46"/>
        <v>-8.6</v>
      </c>
      <c r="EF34" s="840">
        <f t="shared" si="245"/>
        <v>14463</v>
      </c>
      <c r="EG34" s="840">
        <f t="shared" si="245"/>
        <v>131330</v>
      </c>
      <c r="EH34" s="840">
        <f t="shared" si="245"/>
        <v>27421</v>
      </c>
      <c r="EI34" s="822">
        <f t="shared" si="81"/>
        <v>89.6</v>
      </c>
      <c r="EJ34" s="840">
        <f t="shared" si="246"/>
        <v>116687</v>
      </c>
      <c r="EK34" s="822">
        <f t="shared" si="47"/>
        <v>-11.1</v>
      </c>
      <c r="EL34" s="840">
        <v>193474</v>
      </c>
      <c r="EM34" s="840">
        <v>1378097</v>
      </c>
      <c r="EN34" s="840">
        <v>326558</v>
      </c>
      <c r="EO34" s="822">
        <f t="shared" si="48"/>
        <v>68.8</v>
      </c>
      <c r="EP34" s="840">
        <v>1255811</v>
      </c>
      <c r="EQ34" s="822">
        <f t="shared" si="49"/>
        <v>-8.9</v>
      </c>
    </row>
    <row r="35" spans="1:147" ht="21.75" customHeight="1">
      <c r="A35" s="1129"/>
      <c r="B35" s="1129"/>
      <c r="C35" s="121" t="s">
        <v>272</v>
      </c>
      <c r="D35" s="122">
        <v>85883</v>
      </c>
      <c r="E35" s="122">
        <v>3395279</v>
      </c>
      <c r="F35" s="122">
        <v>135155</v>
      </c>
      <c r="G35" s="122">
        <v>3165118</v>
      </c>
      <c r="H35" s="122">
        <v>183844</v>
      </c>
      <c r="I35" s="122">
        <v>3086838</v>
      </c>
      <c r="J35" s="122">
        <v>224053</v>
      </c>
      <c r="K35" s="122">
        <v>3309563</v>
      </c>
      <c r="L35" s="122">
        <v>172918</v>
      </c>
      <c r="M35" s="122">
        <v>3045686</v>
      </c>
      <c r="N35" s="122">
        <v>192156</v>
      </c>
      <c r="O35" s="122">
        <v>2861003</v>
      </c>
      <c r="P35" s="122">
        <v>298234</v>
      </c>
      <c r="Q35" s="122">
        <v>3356874</v>
      </c>
      <c r="R35" s="297">
        <v>520780</v>
      </c>
      <c r="S35" s="297">
        <v>3280302</v>
      </c>
      <c r="T35" s="297">
        <v>445528</v>
      </c>
      <c r="U35" s="297">
        <v>2944236</v>
      </c>
      <c r="V35" s="297">
        <v>40195</v>
      </c>
      <c r="W35" s="297">
        <v>264008</v>
      </c>
      <c r="X35" s="297">
        <v>44633</v>
      </c>
      <c r="Y35" s="123">
        <f t="shared" si="18"/>
        <v>11</v>
      </c>
      <c r="Z35" s="297">
        <v>234911</v>
      </c>
      <c r="AA35" s="123">
        <f t="shared" si="19"/>
        <v>-11</v>
      </c>
      <c r="AB35" s="297">
        <f t="shared" si="215"/>
        <v>34181</v>
      </c>
      <c r="AC35" s="297">
        <f t="shared" si="216"/>
        <v>196919</v>
      </c>
      <c r="AD35" s="297">
        <f t="shared" si="217"/>
        <v>53055</v>
      </c>
      <c r="AE35" s="123">
        <f t="shared" si="54"/>
        <v>55.2</v>
      </c>
      <c r="AF35" s="297">
        <f t="shared" si="218"/>
        <v>209478</v>
      </c>
      <c r="AG35" s="123">
        <f t="shared" si="20"/>
        <v>6.4</v>
      </c>
      <c r="AH35" s="297">
        <v>74376</v>
      </c>
      <c r="AI35" s="297">
        <v>460927</v>
      </c>
      <c r="AJ35" s="297">
        <v>97688</v>
      </c>
      <c r="AK35" s="123">
        <f t="shared" si="21"/>
        <v>31.3</v>
      </c>
      <c r="AL35" s="297">
        <v>444389</v>
      </c>
      <c r="AM35" s="123">
        <f t="shared" si="22"/>
        <v>-3.6</v>
      </c>
      <c r="AN35" s="297">
        <f t="shared" si="219"/>
        <v>47028</v>
      </c>
      <c r="AO35" s="297">
        <f t="shared" si="220"/>
        <v>231055</v>
      </c>
      <c r="AP35" s="297">
        <f t="shared" si="221"/>
        <v>49090</v>
      </c>
      <c r="AQ35" s="123">
        <f t="shared" si="57"/>
        <v>4.4000000000000004</v>
      </c>
      <c r="AR35" s="297">
        <f t="shared" si="222"/>
        <v>217050</v>
      </c>
      <c r="AS35" s="123">
        <f t="shared" si="23"/>
        <v>-6.1</v>
      </c>
      <c r="AT35" s="297">
        <v>121404</v>
      </c>
      <c r="AU35" s="297">
        <v>691982</v>
      </c>
      <c r="AV35" s="297">
        <v>146778</v>
      </c>
      <c r="AW35" s="123">
        <f t="shared" si="24"/>
        <v>20.9</v>
      </c>
      <c r="AX35" s="297">
        <v>661439</v>
      </c>
      <c r="AY35" s="123">
        <f t="shared" si="25"/>
        <v>-4.4000000000000004</v>
      </c>
      <c r="AZ35" s="297">
        <f t="shared" si="223"/>
        <v>36493</v>
      </c>
      <c r="BA35" s="297">
        <f t="shared" si="224"/>
        <v>258486</v>
      </c>
      <c r="BB35" s="297">
        <f t="shared" si="225"/>
        <v>29415</v>
      </c>
      <c r="BC35" s="123">
        <f t="shared" si="60"/>
        <v>-19.399999999999999</v>
      </c>
      <c r="BD35" s="297">
        <f t="shared" si="226"/>
        <v>211139</v>
      </c>
      <c r="BE35" s="123">
        <f t="shared" si="26"/>
        <v>-18.3</v>
      </c>
      <c r="BF35" s="297">
        <v>157897</v>
      </c>
      <c r="BG35" s="297">
        <v>950468</v>
      </c>
      <c r="BH35" s="297">
        <v>176193</v>
      </c>
      <c r="BI35" s="123">
        <f t="shared" si="27"/>
        <v>11.6</v>
      </c>
      <c r="BJ35" s="297">
        <v>872578</v>
      </c>
      <c r="BK35" s="123">
        <f t="shared" si="28"/>
        <v>-8.1999999999999993</v>
      </c>
      <c r="BL35" s="297">
        <f t="shared" si="227"/>
        <v>40839</v>
      </c>
      <c r="BM35" s="297">
        <f t="shared" si="227"/>
        <v>270673</v>
      </c>
      <c r="BN35" s="297">
        <f t="shared" si="227"/>
        <v>46494</v>
      </c>
      <c r="BO35" s="123">
        <f t="shared" si="63"/>
        <v>13.8</v>
      </c>
      <c r="BP35" s="297">
        <f t="shared" si="228"/>
        <v>190423</v>
      </c>
      <c r="BQ35" s="123">
        <f t="shared" si="29"/>
        <v>-29.6</v>
      </c>
      <c r="BR35" s="297">
        <v>198736</v>
      </c>
      <c r="BS35" s="297">
        <v>1221141</v>
      </c>
      <c r="BT35" s="297">
        <v>222687</v>
      </c>
      <c r="BU35" s="123">
        <f t="shared" si="30"/>
        <v>12.1</v>
      </c>
      <c r="BV35" s="297">
        <v>1063001</v>
      </c>
      <c r="BW35" s="123">
        <f t="shared" si="31"/>
        <v>-13</v>
      </c>
      <c r="BX35" s="823">
        <f t="shared" si="229"/>
        <v>38079</v>
      </c>
      <c r="BY35" s="823">
        <f t="shared" si="230"/>
        <v>257281</v>
      </c>
      <c r="BZ35" s="823">
        <f t="shared" si="231"/>
        <v>60061</v>
      </c>
      <c r="CA35" s="824">
        <f t="shared" si="66"/>
        <v>57.7</v>
      </c>
      <c r="CB35" s="823">
        <f t="shared" si="232"/>
        <v>188404</v>
      </c>
      <c r="CC35" s="824">
        <f t="shared" si="32"/>
        <v>-26.8</v>
      </c>
      <c r="CD35" s="844">
        <v>236815</v>
      </c>
      <c r="CE35" s="844">
        <v>1478422</v>
      </c>
      <c r="CF35" s="844">
        <v>282748</v>
      </c>
      <c r="CG35" s="824">
        <f t="shared" si="33"/>
        <v>19.399999999999999</v>
      </c>
      <c r="CH35" s="844">
        <v>1251405</v>
      </c>
      <c r="CI35" s="824">
        <f t="shared" si="34"/>
        <v>-15.4</v>
      </c>
      <c r="CJ35" s="844">
        <f t="shared" si="233"/>
        <v>37942</v>
      </c>
      <c r="CK35" s="844">
        <f t="shared" si="234"/>
        <v>239403</v>
      </c>
      <c r="CL35" s="844">
        <f t="shared" si="235"/>
        <v>59230</v>
      </c>
      <c r="CM35" s="824">
        <f t="shared" si="69"/>
        <v>56.1</v>
      </c>
      <c r="CN35" s="844">
        <f t="shared" si="236"/>
        <v>178207</v>
      </c>
      <c r="CO35" s="824">
        <f t="shared" si="35"/>
        <v>-25.6</v>
      </c>
      <c r="CP35" s="940">
        <v>274757</v>
      </c>
      <c r="CQ35" s="940">
        <v>1717825</v>
      </c>
      <c r="CR35" s="940">
        <v>341978</v>
      </c>
      <c r="CS35" s="824">
        <f t="shared" si="36"/>
        <v>24.5</v>
      </c>
      <c r="CT35" s="940">
        <v>1429612</v>
      </c>
      <c r="CU35" s="824">
        <f t="shared" si="37"/>
        <v>-16.8</v>
      </c>
      <c r="CV35" s="844">
        <f t="shared" si="237"/>
        <v>31856</v>
      </c>
      <c r="CW35" s="844">
        <f t="shared" si="238"/>
        <v>252744</v>
      </c>
      <c r="CX35" s="844">
        <f t="shared" si="239"/>
        <v>56901</v>
      </c>
      <c r="CY35" s="824">
        <f t="shared" si="72"/>
        <v>78.599999999999994</v>
      </c>
      <c r="CZ35" s="844">
        <f t="shared" si="240"/>
        <v>173441</v>
      </c>
      <c r="DA35" s="824">
        <f t="shared" si="38"/>
        <v>-31.4</v>
      </c>
      <c r="DB35" s="844">
        <v>306613</v>
      </c>
      <c r="DC35" s="844">
        <v>1970569</v>
      </c>
      <c r="DD35" s="844">
        <v>398879</v>
      </c>
      <c r="DE35" s="824">
        <f t="shared" si="39"/>
        <v>30.1</v>
      </c>
      <c r="DF35" s="844">
        <v>1603053</v>
      </c>
      <c r="DG35" s="824">
        <f t="shared" si="40"/>
        <v>-18.7</v>
      </c>
      <c r="DH35" s="844">
        <f t="shared" si="241"/>
        <v>30404</v>
      </c>
      <c r="DI35" s="844">
        <f t="shared" si="241"/>
        <v>232856</v>
      </c>
      <c r="DJ35" s="844">
        <f t="shared" si="241"/>
        <v>60635</v>
      </c>
      <c r="DK35" s="824">
        <f t="shared" si="75"/>
        <v>99.4</v>
      </c>
      <c r="DL35" s="844">
        <f t="shared" si="242"/>
        <v>217400</v>
      </c>
      <c r="DM35" s="824">
        <f t="shared" si="41"/>
        <v>-6.6</v>
      </c>
      <c r="DN35" s="844">
        <v>337017</v>
      </c>
      <c r="DO35" s="844">
        <v>2203425</v>
      </c>
      <c r="DP35" s="844">
        <v>459514</v>
      </c>
      <c r="DQ35" s="824">
        <f t="shared" si="42"/>
        <v>36.299999999999997</v>
      </c>
      <c r="DR35" s="844">
        <v>1820453</v>
      </c>
      <c r="DS35" s="824">
        <f t="shared" si="43"/>
        <v>-17.399999999999999</v>
      </c>
      <c r="DT35" s="844">
        <f t="shared" si="243"/>
        <v>35888</v>
      </c>
      <c r="DU35" s="844">
        <f t="shared" si="243"/>
        <v>244553</v>
      </c>
      <c r="DV35" s="844">
        <f t="shared" si="243"/>
        <v>53028</v>
      </c>
      <c r="DW35" s="824">
        <f t="shared" si="78"/>
        <v>47.8</v>
      </c>
      <c r="DX35" s="844">
        <f t="shared" si="244"/>
        <v>205784</v>
      </c>
      <c r="DY35" s="824">
        <f t="shared" si="44"/>
        <v>-15.9</v>
      </c>
      <c r="DZ35" s="844">
        <v>372905</v>
      </c>
      <c r="EA35" s="844">
        <v>2447978</v>
      </c>
      <c r="EB35" s="844">
        <v>512542</v>
      </c>
      <c r="EC35" s="824">
        <f t="shared" si="45"/>
        <v>37.4</v>
      </c>
      <c r="ED35" s="844">
        <v>2026237</v>
      </c>
      <c r="EE35" s="824">
        <f t="shared" si="46"/>
        <v>-17.2</v>
      </c>
      <c r="EF35" s="844">
        <f t="shared" si="245"/>
        <v>28933</v>
      </c>
      <c r="EG35" s="844">
        <f t="shared" si="245"/>
        <v>249216</v>
      </c>
      <c r="EH35" s="844">
        <f t="shared" si="245"/>
        <v>52979</v>
      </c>
      <c r="EI35" s="824">
        <f t="shared" si="81"/>
        <v>83.1</v>
      </c>
      <c r="EJ35" s="844">
        <f t="shared" si="246"/>
        <v>227860</v>
      </c>
      <c r="EK35" s="824">
        <f t="shared" si="47"/>
        <v>-8.6</v>
      </c>
      <c r="EL35" s="844">
        <v>401838</v>
      </c>
      <c r="EM35" s="844">
        <v>2697194</v>
      </c>
      <c r="EN35" s="844">
        <v>565521</v>
      </c>
      <c r="EO35" s="824">
        <f t="shared" si="48"/>
        <v>40.700000000000003</v>
      </c>
      <c r="EP35" s="844">
        <v>2254097</v>
      </c>
      <c r="EQ35" s="824">
        <f t="shared" si="49"/>
        <v>-16.399999999999999</v>
      </c>
    </row>
    <row r="36" spans="1:147" ht="21.75" customHeight="1">
      <c r="A36" s="1129"/>
      <c r="B36" s="1133" t="s">
        <v>274</v>
      </c>
      <c r="C36" s="118" t="s">
        <v>271</v>
      </c>
      <c r="D36" s="119">
        <f t="shared" ref="D36:M36" si="247">D38-D32-D34</f>
        <v>569167</v>
      </c>
      <c r="E36" s="119">
        <f t="shared" si="247"/>
        <v>315837</v>
      </c>
      <c r="F36" s="119">
        <f t="shared" si="247"/>
        <v>557718</v>
      </c>
      <c r="G36" s="119">
        <f t="shared" si="247"/>
        <v>226516</v>
      </c>
      <c r="H36" s="119">
        <f t="shared" si="247"/>
        <v>599389</v>
      </c>
      <c r="I36" s="119">
        <f t="shared" si="247"/>
        <v>324206</v>
      </c>
      <c r="J36" s="119">
        <f t="shared" si="247"/>
        <v>675342</v>
      </c>
      <c r="K36" s="119">
        <f t="shared" si="247"/>
        <v>329109</v>
      </c>
      <c r="L36" s="119">
        <f t="shared" si="247"/>
        <v>725790</v>
      </c>
      <c r="M36" s="119">
        <f t="shared" si="247"/>
        <v>416571</v>
      </c>
      <c r="N36" s="119">
        <f t="shared" ref="N36:P37" si="248">N38-N32-N34</f>
        <v>682678</v>
      </c>
      <c r="O36" s="119">
        <f>O38-O32-O34</f>
        <v>339772</v>
      </c>
      <c r="P36" s="119">
        <f t="shared" si="248"/>
        <v>732958</v>
      </c>
      <c r="Q36" s="119">
        <f t="shared" ref="Q36:T37" si="249">Q38-Q32-Q34</f>
        <v>441457</v>
      </c>
      <c r="R36" s="296">
        <f t="shared" si="249"/>
        <v>793121</v>
      </c>
      <c r="S36" s="296">
        <f t="shared" si="249"/>
        <v>609903</v>
      </c>
      <c r="T36" s="296">
        <f t="shared" si="249"/>
        <v>839459</v>
      </c>
      <c r="U36" s="296">
        <f>U38-U32-U34</f>
        <v>547238</v>
      </c>
      <c r="V36" s="296">
        <f t="shared" ref="V36:X37" si="250">V38-V32-V34</f>
        <v>76847</v>
      </c>
      <c r="W36" s="296">
        <f t="shared" si="250"/>
        <v>59370</v>
      </c>
      <c r="X36" s="296">
        <f t="shared" si="250"/>
        <v>67953</v>
      </c>
      <c r="Y36" s="120">
        <f t="shared" si="18"/>
        <v>-11.6</v>
      </c>
      <c r="Z36" s="296">
        <f>Z38-Z32-Z34</f>
        <v>40760</v>
      </c>
      <c r="AA36" s="120">
        <f t="shared" si="19"/>
        <v>-31.3</v>
      </c>
      <c r="AB36" s="296">
        <f t="shared" ref="AB36:AD37" si="251">AB38-AB32-AB34</f>
        <v>63652</v>
      </c>
      <c r="AC36" s="296">
        <f t="shared" si="251"/>
        <v>40229</v>
      </c>
      <c r="AD36" s="296">
        <f t="shared" si="251"/>
        <v>69239</v>
      </c>
      <c r="AE36" s="120">
        <f t="shared" si="54"/>
        <v>8.8000000000000007</v>
      </c>
      <c r="AF36" s="296">
        <f>AF38-AF32-AF34</f>
        <v>28557</v>
      </c>
      <c r="AG36" s="120">
        <f t="shared" si="20"/>
        <v>-29</v>
      </c>
      <c r="AH36" s="296">
        <f t="shared" ref="AH36:AJ37" si="252">AH38-AH32-AH34</f>
        <v>140499</v>
      </c>
      <c r="AI36" s="296">
        <f t="shared" si="252"/>
        <v>99599</v>
      </c>
      <c r="AJ36" s="296">
        <f t="shared" si="252"/>
        <v>137192</v>
      </c>
      <c r="AK36" s="120">
        <f t="shared" si="21"/>
        <v>-2.4</v>
      </c>
      <c r="AL36" s="296">
        <f>AL38-AL32-AL34</f>
        <v>69317</v>
      </c>
      <c r="AM36" s="120">
        <f t="shared" si="22"/>
        <v>-30.4</v>
      </c>
      <c r="AN36" s="296">
        <f t="shared" ref="AN36:AP37" si="253">AN38-AN32-AN34</f>
        <v>71453</v>
      </c>
      <c r="AO36" s="296">
        <f t="shared" si="253"/>
        <v>54804</v>
      </c>
      <c r="AP36" s="296">
        <f t="shared" si="253"/>
        <v>76666</v>
      </c>
      <c r="AQ36" s="120">
        <f t="shared" si="57"/>
        <v>7.3</v>
      </c>
      <c r="AR36" s="296">
        <f>AR38-AR32-AR34</f>
        <v>45138</v>
      </c>
      <c r="AS36" s="120">
        <f t="shared" si="23"/>
        <v>-17.600000000000001</v>
      </c>
      <c r="AT36" s="296">
        <f t="shared" ref="AT36:AV37" si="254">AT38-AT32-AT34</f>
        <v>211952</v>
      </c>
      <c r="AU36" s="296">
        <f t="shared" si="254"/>
        <v>154403</v>
      </c>
      <c r="AV36" s="296">
        <f t="shared" si="254"/>
        <v>213858</v>
      </c>
      <c r="AW36" s="120">
        <f t="shared" si="24"/>
        <v>0.9</v>
      </c>
      <c r="AX36" s="296">
        <f>AX38-AX32-AX34</f>
        <v>114455</v>
      </c>
      <c r="AY36" s="120">
        <f t="shared" si="25"/>
        <v>-25.9</v>
      </c>
      <c r="AZ36" s="296">
        <f t="shared" ref="AZ36:BB36" si="255">AZ38-AZ32-AZ34</f>
        <v>76197</v>
      </c>
      <c r="BA36" s="296">
        <f t="shared" si="255"/>
        <v>56844</v>
      </c>
      <c r="BB36" s="296">
        <f t="shared" si="255"/>
        <v>70570</v>
      </c>
      <c r="BC36" s="120">
        <f t="shared" si="60"/>
        <v>-7.4</v>
      </c>
      <c r="BD36" s="296">
        <f>BD38-BD32-BD34</f>
        <v>48624</v>
      </c>
      <c r="BE36" s="120">
        <f t="shared" si="26"/>
        <v>-14.5</v>
      </c>
      <c r="BF36" s="296">
        <f t="shared" ref="BF36:BH36" si="256">BF38-BF32-BF34</f>
        <v>288149</v>
      </c>
      <c r="BG36" s="296">
        <f t="shared" si="256"/>
        <v>211247</v>
      </c>
      <c r="BH36" s="296">
        <f t="shared" si="256"/>
        <v>284428</v>
      </c>
      <c r="BI36" s="120">
        <f t="shared" si="27"/>
        <v>-1.3</v>
      </c>
      <c r="BJ36" s="296">
        <f>BJ38-BJ32-BJ34</f>
        <v>163079</v>
      </c>
      <c r="BK36" s="120">
        <f t="shared" si="28"/>
        <v>-22.8</v>
      </c>
      <c r="BL36" s="296">
        <f t="shared" ref="BL36:BN37" si="257">BL38-BL32-BL34</f>
        <v>73661</v>
      </c>
      <c r="BM36" s="296">
        <f t="shared" si="257"/>
        <v>48911</v>
      </c>
      <c r="BN36" s="296">
        <f t="shared" si="257"/>
        <v>61494</v>
      </c>
      <c r="BO36" s="120">
        <f t="shared" si="63"/>
        <v>-16.5</v>
      </c>
      <c r="BP36" s="296">
        <f>BP38-BP32-BP34</f>
        <v>45252</v>
      </c>
      <c r="BQ36" s="120">
        <f t="shared" si="29"/>
        <v>-7.5</v>
      </c>
      <c r="BR36" s="296">
        <f t="shared" ref="BR36:BT37" si="258">BR38-BR32-BR34</f>
        <v>361810</v>
      </c>
      <c r="BS36" s="296">
        <f t="shared" si="258"/>
        <v>260158</v>
      </c>
      <c r="BT36" s="296">
        <f t="shared" si="258"/>
        <v>345922</v>
      </c>
      <c r="BU36" s="120">
        <f t="shared" si="30"/>
        <v>-4.4000000000000004</v>
      </c>
      <c r="BV36" s="296">
        <f>BV38-BV32-BV34</f>
        <v>208331</v>
      </c>
      <c r="BW36" s="120">
        <f t="shared" si="31"/>
        <v>-19.899999999999999</v>
      </c>
      <c r="BX36" s="821">
        <f t="shared" ref="BX36:BZ36" si="259">BX38-BX32-BX34</f>
        <v>65106</v>
      </c>
      <c r="BY36" s="821">
        <f t="shared" si="259"/>
        <v>43134</v>
      </c>
      <c r="BZ36" s="821">
        <f t="shared" si="259"/>
        <v>64992</v>
      </c>
      <c r="CA36" s="822">
        <f t="shared" si="66"/>
        <v>-0.2</v>
      </c>
      <c r="CB36" s="821">
        <f>CB38-CB32-CB34</f>
        <v>43184</v>
      </c>
      <c r="CC36" s="822">
        <f t="shared" si="32"/>
        <v>0.1</v>
      </c>
      <c r="CD36" s="840">
        <f t="shared" ref="CD36:CF36" si="260">CD38-CD32-CD34</f>
        <v>426916</v>
      </c>
      <c r="CE36" s="840">
        <f t="shared" si="260"/>
        <v>303292</v>
      </c>
      <c r="CF36" s="840">
        <f t="shared" si="260"/>
        <v>410914</v>
      </c>
      <c r="CG36" s="822">
        <f t="shared" si="33"/>
        <v>-3.7</v>
      </c>
      <c r="CH36" s="840">
        <f>CH38-CH32-CH34</f>
        <v>251515</v>
      </c>
      <c r="CI36" s="822">
        <f t="shared" si="34"/>
        <v>-17.100000000000001</v>
      </c>
      <c r="CJ36" s="840">
        <f t="shared" ref="CJ36:CL36" si="261">CJ38-CJ32-CJ34</f>
        <v>65255</v>
      </c>
      <c r="CK36" s="840">
        <f t="shared" si="261"/>
        <v>45287</v>
      </c>
      <c r="CL36" s="840">
        <f t="shared" si="261"/>
        <v>71971</v>
      </c>
      <c r="CM36" s="822">
        <f t="shared" si="69"/>
        <v>10.3</v>
      </c>
      <c r="CN36" s="840">
        <f>CN38-CN32-CN34</f>
        <v>43668</v>
      </c>
      <c r="CO36" s="822">
        <f t="shared" si="35"/>
        <v>-3.6</v>
      </c>
      <c r="CP36" s="939">
        <f t="shared" ref="CP36:CR37" si="262">CP38-CP32-CP34</f>
        <v>492171</v>
      </c>
      <c r="CQ36" s="939">
        <f t="shared" si="262"/>
        <v>348579</v>
      </c>
      <c r="CR36" s="939">
        <f t="shared" si="262"/>
        <v>482885</v>
      </c>
      <c r="CS36" s="822">
        <f t="shared" si="36"/>
        <v>-1.9</v>
      </c>
      <c r="CT36" s="939">
        <f>CT38-CT32-CT34</f>
        <v>295183</v>
      </c>
      <c r="CU36" s="822">
        <f t="shared" si="37"/>
        <v>-15.3</v>
      </c>
      <c r="CV36" s="840">
        <f t="shared" ref="CV36:CX36" si="263">CV38-CV32-CV34</f>
        <v>66681</v>
      </c>
      <c r="CW36" s="840">
        <f t="shared" si="263"/>
        <v>43232</v>
      </c>
      <c r="CX36" s="840">
        <f t="shared" si="263"/>
        <v>66552</v>
      </c>
      <c r="CY36" s="822">
        <f t="shared" si="72"/>
        <v>-0.2</v>
      </c>
      <c r="CZ36" s="840">
        <f>CZ38-CZ32-CZ34</f>
        <v>35779</v>
      </c>
      <c r="DA36" s="822">
        <f t="shared" si="38"/>
        <v>-17.2</v>
      </c>
      <c r="DB36" s="840">
        <f t="shared" ref="DB36:DD37" si="264">DB38-DB32-DB34</f>
        <v>558852</v>
      </c>
      <c r="DC36" s="840">
        <f t="shared" si="264"/>
        <v>391811</v>
      </c>
      <c r="DD36" s="840">
        <f t="shared" si="264"/>
        <v>549437</v>
      </c>
      <c r="DE36" s="822">
        <f t="shared" si="39"/>
        <v>-1.7</v>
      </c>
      <c r="DF36" s="840">
        <f>DF38-DF32-DF34</f>
        <v>330962</v>
      </c>
      <c r="DG36" s="822">
        <f t="shared" si="40"/>
        <v>-15.5</v>
      </c>
      <c r="DH36" s="840">
        <f t="shared" ref="DH36:DJ37" si="265">DH38-DH32-DH34</f>
        <v>67421</v>
      </c>
      <c r="DI36" s="840">
        <f t="shared" si="265"/>
        <v>36584</v>
      </c>
      <c r="DJ36" s="840">
        <f t="shared" si="265"/>
        <v>68810</v>
      </c>
      <c r="DK36" s="822">
        <f t="shared" si="75"/>
        <v>2.1</v>
      </c>
      <c r="DL36" s="840">
        <f>DL38-DL32-DL34</f>
        <v>39727</v>
      </c>
      <c r="DM36" s="822">
        <f t="shared" si="41"/>
        <v>8.6</v>
      </c>
      <c r="DN36" s="840">
        <f t="shared" ref="DN36:DP37" si="266">DN38-DN32-DN34</f>
        <v>626273</v>
      </c>
      <c r="DO36" s="840">
        <f t="shared" si="266"/>
        <v>428395</v>
      </c>
      <c r="DP36" s="840">
        <f t="shared" si="266"/>
        <v>618247</v>
      </c>
      <c r="DQ36" s="822">
        <f t="shared" si="42"/>
        <v>-1.3</v>
      </c>
      <c r="DR36" s="840">
        <f>DR38-DR32-DR34</f>
        <v>370689</v>
      </c>
      <c r="DS36" s="822">
        <f t="shared" si="43"/>
        <v>-13.5</v>
      </c>
      <c r="DT36" s="840">
        <f t="shared" ref="DT36:DV37" si="267">DT38-DT32-DT34</f>
        <v>74410</v>
      </c>
      <c r="DU36" s="840">
        <f t="shared" si="267"/>
        <v>38591</v>
      </c>
      <c r="DV36" s="840">
        <f t="shared" si="267"/>
        <v>67206</v>
      </c>
      <c r="DW36" s="822">
        <f t="shared" si="78"/>
        <v>-9.6999999999999993</v>
      </c>
      <c r="DX36" s="840">
        <f>DX38-DX32-DX34</f>
        <v>39559</v>
      </c>
      <c r="DY36" s="822">
        <f t="shared" si="44"/>
        <v>2.5</v>
      </c>
      <c r="DZ36" s="840">
        <f t="shared" ref="DZ36:EB37" si="268">DZ38-DZ32-DZ34</f>
        <v>700683</v>
      </c>
      <c r="EA36" s="840">
        <f t="shared" si="268"/>
        <v>466986</v>
      </c>
      <c r="EB36" s="840">
        <f t="shared" si="268"/>
        <v>685453</v>
      </c>
      <c r="EC36" s="822">
        <f t="shared" si="45"/>
        <v>-2.2000000000000002</v>
      </c>
      <c r="ED36" s="840">
        <f>ED38-ED32-ED34</f>
        <v>410248</v>
      </c>
      <c r="EE36" s="822">
        <f t="shared" si="46"/>
        <v>-12.1</v>
      </c>
      <c r="EF36" s="840">
        <f t="shared" ref="EF36:EH37" si="269">EF38-EF32-EF34</f>
        <v>64229</v>
      </c>
      <c r="EG36" s="840">
        <f t="shared" si="269"/>
        <v>39612</v>
      </c>
      <c r="EH36" s="840">
        <f t="shared" si="269"/>
        <v>65352</v>
      </c>
      <c r="EI36" s="822">
        <f t="shared" si="81"/>
        <v>1.7</v>
      </c>
      <c r="EJ36" s="840">
        <f>EJ38-EJ32-EJ34</f>
        <v>40442</v>
      </c>
      <c r="EK36" s="822">
        <f t="shared" si="47"/>
        <v>2.1</v>
      </c>
      <c r="EL36" s="840">
        <f t="shared" ref="EL36:EN37" si="270">EL38-EL32-EL34</f>
        <v>764912</v>
      </c>
      <c r="EM36" s="840">
        <f t="shared" si="270"/>
        <v>506598</v>
      </c>
      <c r="EN36" s="840">
        <f t="shared" si="270"/>
        <v>750805</v>
      </c>
      <c r="EO36" s="822">
        <f t="shared" si="48"/>
        <v>-1.8</v>
      </c>
      <c r="EP36" s="840">
        <f>EP38-EP32-EP34</f>
        <v>450690</v>
      </c>
      <c r="EQ36" s="822">
        <f t="shared" si="49"/>
        <v>-11</v>
      </c>
    </row>
    <row r="37" spans="1:147" ht="21.75" customHeight="1">
      <c r="A37" s="1129"/>
      <c r="B37" s="1129"/>
      <c r="C37" s="121" t="s">
        <v>272</v>
      </c>
      <c r="D37" s="122">
        <f t="shared" ref="D37:M37" si="271">D39-D33-D35</f>
        <v>2577285</v>
      </c>
      <c r="E37" s="122">
        <f t="shared" si="271"/>
        <v>1565837</v>
      </c>
      <c r="F37" s="122">
        <f t="shared" si="271"/>
        <v>2412830</v>
      </c>
      <c r="G37" s="122">
        <f t="shared" si="271"/>
        <v>1278044</v>
      </c>
      <c r="H37" s="122">
        <f t="shared" si="271"/>
        <v>2447551</v>
      </c>
      <c r="I37" s="122">
        <f t="shared" si="271"/>
        <v>1461000</v>
      </c>
      <c r="J37" s="122">
        <f t="shared" si="271"/>
        <v>2644369</v>
      </c>
      <c r="K37" s="122">
        <f t="shared" si="271"/>
        <v>1588324</v>
      </c>
      <c r="L37" s="122">
        <f t="shared" si="271"/>
        <v>2677840</v>
      </c>
      <c r="M37" s="122">
        <f t="shared" si="271"/>
        <v>1839002</v>
      </c>
      <c r="N37" s="122">
        <f t="shared" si="248"/>
        <v>2370318</v>
      </c>
      <c r="O37" s="122">
        <f>O39-O33-O35</f>
        <v>1665976</v>
      </c>
      <c r="P37" s="122">
        <f t="shared" si="248"/>
        <v>2710277</v>
      </c>
      <c r="Q37" s="122">
        <f t="shared" si="249"/>
        <v>1972882</v>
      </c>
      <c r="R37" s="297">
        <f t="shared" si="249"/>
        <v>3111700</v>
      </c>
      <c r="S37" s="297">
        <f t="shared" si="249"/>
        <v>2511187</v>
      </c>
      <c r="T37" s="297">
        <f t="shared" si="249"/>
        <v>3043021</v>
      </c>
      <c r="U37" s="297">
        <f>U39-U33-U35</f>
        <v>2260179</v>
      </c>
      <c r="V37" s="297">
        <f t="shared" si="250"/>
        <v>280423</v>
      </c>
      <c r="W37" s="297">
        <f t="shared" si="250"/>
        <v>227413</v>
      </c>
      <c r="X37" s="297">
        <f t="shared" si="250"/>
        <v>244532</v>
      </c>
      <c r="Y37" s="123">
        <f t="shared" si="18"/>
        <v>-12.8</v>
      </c>
      <c r="Z37" s="297">
        <f>Z39-Z33-Z35</f>
        <v>176200</v>
      </c>
      <c r="AA37" s="123">
        <f t="shared" si="19"/>
        <v>-22.5</v>
      </c>
      <c r="AB37" s="297">
        <f t="shared" si="251"/>
        <v>228207</v>
      </c>
      <c r="AC37" s="297">
        <f t="shared" si="251"/>
        <v>159785</v>
      </c>
      <c r="AD37" s="297">
        <f t="shared" si="251"/>
        <v>241060</v>
      </c>
      <c r="AE37" s="123">
        <f t="shared" si="54"/>
        <v>5.6</v>
      </c>
      <c r="AF37" s="297">
        <f>AF39-AF33-AF35</f>
        <v>137397</v>
      </c>
      <c r="AG37" s="123">
        <f t="shared" si="20"/>
        <v>-14</v>
      </c>
      <c r="AH37" s="297">
        <f t="shared" si="252"/>
        <v>508630</v>
      </c>
      <c r="AI37" s="297">
        <f t="shared" si="252"/>
        <v>387198</v>
      </c>
      <c r="AJ37" s="297">
        <f t="shared" si="252"/>
        <v>485592</v>
      </c>
      <c r="AK37" s="123">
        <f t="shared" si="21"/>
        <v>-4.5</v>
      </c>
      <c r="AL37" s="297">
        <f>AL39-AL33-AL35</f>
        <v>313597</v>
      </c>
      <c r="AM37" s="123">
        <f t="shared" si="22"/>
        <v>-19</v>
      </c>
      <c r="AN37" s="297">
        <f t="shared" si="253"/>
        <v>263447</v>
      </c>
      <c r="AO37" s="297">
        <f t="shared" si="253"/>
        <v>209420</v>
      </c>
      <c r="AP37" s="297">
        <f t="shared" si="253"/>
        <v>271830</v>
      </c>
      <c r="AQ37" s="123">
        <f t="shared" si="57"/>
        <v>3.2</v>
      </c>
      <c r="AR37" s="297">
        <f>AR39-AR33-AR35</f>
        <v>198380</v>
      </c>
      <c r="AS37" s="123">
        <f t="shared" si="23"/>
        <v>-5.3</v>
      </c>
      <c r="AT37" s="297">
        <f t="shared" si="254"/>
        <v>772077</v>
      </c>
      <c r="AU37" s="297">
        <f t="shared" si="254"/>
        <v>596618</v>
      </c>
      <c r="AV37" s="297">
        <f t="shared" si="254"/>
        <v>757422</v>
      </c>
      <c r="AW37" s="123">
        <f t="shared" si="24"/>
        <v>-1.9</v>
      </c>
      <c r="AX37" s="297">
        <f>AX39-AX33-AX35</f>
        <v>511977</v>
      </c>
      <c r="AY37" s="123">
        <f t="shared" si="25"/>
        <v>-14.2</v>
      </c>
      <c r="AZ37" s="297">
        <f t="shared" ref="AZ37:BB37" si="272">AZ39-AZ33-AZ35</f>
        <v>273560</v>
      </c>
      <c r="BA37" s="297">
        <f t="shared" si="272"/>
        <v>225735</v>
      </c>
      <c r="BB37" s="297">
        <f t="shared" si="272"/>
        <v>238632</v>
      </c>
      <c r="BC37" s="123">
        <f t="shared" si="60"/>
        <v>-12.8</v>
      </c>
      <c r="BD37" s="297">
        <f>BD39-BD33-BD35</f>
        <v>192814</v>
      </c>
      <c r="BE37" s="123">
        <f t="shared" si="26"/>
        <v>-14.6</v>
      </c>
      <c r="BF37" s="297">
        <f t="shared" ref="BF37:BH37" si="273">BF39-BF33-BF35</f>
        <v>1045637</v>
      </c>
      <c r="BG37" s="297">
        <f t="shared" si="273"/>
        <v>822353</v>
      </c>
      <c r="BH37" s="297">
        <f t="shared" si="273"/>
        <v>996054</v>
      </c>
      <c r="BI37" s="123">
        <f t="shared" si="27"/>
        <v>-4.7</v>
      </c>
      <c r="BJ37" s="297">
        <f>BJ39-BJ33-BJ35</f>
        <v>704791</v>
      </c>
      <c r="BK37" s="123">
        <f t="shared" si="28"/>
        <v>-14.3</v>
      </c>
      <c r="BL37" s="297">
        <f t="shared" si="257"/>
        <v>273909</v>
      </c>
      <c r="BM37" s="297">
        <f t="shared" si="257"/>
        <v>198260</v>
      </c>
      <c r="BN37" s="297">
        <f t="shared" si="257"/>
        <v>203280</v>
      </c>
      <c r="BO37" s="123">
        <f t="shared" si="63"/>
        <v>-25.8</v>
      </c>
      <c r="BP37" s="297">
        <f>BP39-BP33-BP35</f>
        <v>180255</v>
      </c>
      <c r="BQ37" s="123">
        <f t="shared" si="29"/>
        <v>-9.1</v>
      </c>
      <c r="BR37" s="297">
        <f t="shared" si="258"/>
        <v>1319546</v>
      </c>
      <c r="BS37" s="297">
        <f t="shared" si="258"/>
        <v>1020613</v>
      </c>
      <c r="BT37" s="297">
        <f t="shared" si="258"/>
        <v>1199334</v>
      </c>
      <c r="BU37" s="123">
        <f t="shared" si="30"/>
        <v>-9.1</v>
      </c>
      <c r="BV37" s="297">
        <f>BV39-BV33-BV35</f>
        <v>885046</v>
      </c>
      <c r="BW37" s="123">
        <f t="shared" si="31"/>
        <v>-13.3</v>
      </c>
      <c r="BX37" s="823">
        <f t="shared" ref="BX37:BZ37" si="274">BX39-BX33-BX35</f>
        <v>235391</v>
      </c>
      <c r="BY37" s="823">
        <f t="shared" si="274"/>
        <v>177601</v>
      </c>
      <c r="BZ37" s="823">
        <f t="shared" si="274"/>
        <v>215836</v>
      </c>
      <c r="CA37" s="824">
        <f t="shared" si="66"/>
        <v>-8.3000000000000007</v>
      </c>
      <c r="CB37" s="823">
        <f>CB39-CB33-CB35</f>
        <v>178477</v>
      </c>
      <c r="CC37" s="824">
        <f t="shared" si="32"/>
        <v>0.5</v>
      </c>
      <c r="CD37" s="844">
        <f t="shared" ref="CD37:CF37" si="275">CD39-CD33-CD35</f>
        <v>1554937</v>
      </c>
      <c r="CE37" s="844">
        <f t="shared" si="275"/>
        <v>1198214</v>
      </c>
      <c r="CF37" s="844">
        <f t="shared" si="275"/>
        <v>1415170</v>
      </c>
      <c r="CG37" s="824">
        <f t="shared" si="33"/>
        <v>-9</v>
      </c>
      <c r="CH37" s="844">
        <f>CH39-CH33-CH35</f>
        <v>1063523</v>
      </c>
      <c r="CI37" s="824">
        <f t="shared" si="34"/>
        <v>-11.2</v>
      </c>
      <c r="CJ37" s="844">
        <f t="shared" ref="CJ37:CL37" si="276">CJ39-CJ33-CJ35</f>
        <v>245198</v>
      </c>
      <c r="CK37" s="844">
        <f t="shared" si="276"/>
        <v>196001</v>
      </c>
      <c r="CL37" s="844">
        <f t="shared" si="276"/>
        <v>243428</v>
      </c>
      <c r="CM37" s="824">
        <f t="shared" si="69"/>
        <v>-0.7</v>
      </c>
      <c r="CN37" s="844">
        <f>CN39-CN33-CN35</f>
        <v>187473</v>
      </c>
      <c r="CO37" s="824">
        <f t="shared" si="35"/>
        <v>-4.4000000000000004</v>
      </c>
      <c r="CP37" s="940">
        <f t="shared" si="262"/>
        <v>1800135</v>
      </c>
      <c r="CQ37" s="940">
        <f t="shared" si="262"/>
        <v>1394215</v>
      </c>
      <c r="CR37" s="940">
        <f t="shared" si="262"/>
        <v>1658598</v>
      </c>
      <c r="CS37" s="824">
        <f t="shared" si="36"/>
        <v>-7.9</v>
      </c>
      <c r="CT37" s="940">
        <f>CT39-CT33-CT35</f>
        <v>1250996</v>
      </c>
      <c r="CU37" s="824">
        <f t="shared" si="37"/>
        <v>-10.3</v>
      </c>
      <c r="CV37" s="844">
        <f t="shared" ref="CV37:CX37" si="277">CV39-CV33-CV35</f>
        <v>243737</v>
      </c>
      <c r="CW37" s="844">
        <f t="shared" si="277"/>
        <v>184921</v>
      </c>
      <c r="CX37" s="844">
        <f t="shared" si="277"/>
        <v>227884</v>
      </c>
      <c r="CY37" s="824">
        <f t="shared" si="72"/>
        <v>-6.5</v>
      </c>
      <c r="CZ37" s="844">
        <f>CZ39-CZ33-CZ35</f>
        <v>157239</v>
      </c>
      <c r="DA37" s="824">
        <f t="shared" si="38"/>
        <v>-15</v>
      </c>
      <c r="DB37" s="844">
        <f t="shared" si="264"/>
        <v>2043872</v>
      </c>
      <c r="DC37" s="844">
        <f t="shared" si="264"/>
        <v>1579136</v>
      </c>
      <c r="DD37" s="844">
        <f t="shared" si="264"/>
        <v>1886482</v>
      </c>
      <c r="DE37" s="824">
        <f t="shared" si="39"/>
        <v>-7.7</v>
      </c>
      <c r="DF37" s="844">
        <f>DF39-DF33-DF35</f>
        <v>1408235</v>
      </c>
      <c r="DG37" s="824">
        <f t="shared" si="40"/>
        <v>-10.8</v>
      </c>
      <c r="DH37" s="844">
        <f t="shared" si="265"/>
        <v>237825</v>
      </c>
      <c r="DI37" s="844">
        <f t="shared" si="265"/>
        <v>163055</v>
      </c>
      <c r="DJ37" s="844">
        <f t="shared" si="265"/>
        <v>252396</v>
      </c>
      <c r="DK37" s="824">
        <f t="shared" si="75"/>
        <v>6.1</v>
      </c>
      <c r="DL37" s="844">
        <f>DL39-DL33-DL35</f>
        <v>177340</v>
      </c>
      <c r="DM37" s="824">
        <f t="shared" si="41"/>
        <v>8.8000000000000007</v>
      </c>
      <c r="DN37" s="844">
        <f t="shared" si="266"/>
        <v>2281697</v>
      </c>
      <c r="DO37" s="844">
        <f t="shared" si="266"/>
        <v>1742191</v>
      </c>
      <c r="DP37" s="844">
        <f t="shared" si="266"/>
        <v>2138878</v>
      </c>
      <c r="DQ37" s="824">
        <f t="shared" si="42"/>
        <v>-6.3</v>
      </c>
      <c r="DR37" s="844">
        <f>DR39-DR33-DR35</f>
        <v>1585575</v>
      </c>
      <c r="DS37" s="824">
        <f t="shared" si="43"/>
        <v>-9</v>
      </c>
      <c r="DT37" s="844">
        <f t="shared" si="267"/>
        <v>266145</v>
      </c>
      <c r="DU37" s="844">
        <f t="shared" si="267"/>
        <v>165546</v>
      </c>
      <c r="DV37" s="844">
        <f t="shared" si="267"/>
        <v>244693</v>
      </c>
      <c r="DW37" s="824">
        <f t="shared" si="78"/>
        <v>-8.1</v>
      </c>
      <c r="DX37" s="844">
        <f>DX39-DX33-DX35</f>
        <v>168968</v>
      </c>
      <c r="DY37" s="824">
        <f t="shared" si="44"/>
        <v>2.1</v>
      </c>
      <c r="DZ37" s="844">
        <f t="shared" si="268"/>
        <v>2547842</v>
      </c>
      <c r="EA37" s="844">
        <f t="shared" si="268"/>
        <v>1907737</v>
      </c>
      <c r="EB37" s="844">
        <f t="shared" si="268"/>
        <v>2383571</v>
      </c>
      <c r="EC37" s="824">
        <f t="shared" si="45"/>
        <v>-6.4</v>
      </c>
      <c r="ED37" s="844">
        <f>ED39-ED33-ED35</f>
        <v>1754543</v>
      </c>
      <c r="EE37" s="824">
        <f t="shared" si="46"/>
        <v>-8</v>
      </c>
      <c r="EF37" s="844">
        <f t="shared" si="269"/>
        <v>231966</v>
      </c>
      <c r="EG37" s="844">
        <f t="shared" si="269"/>
        <v>179116</v>
      </c>
      <c r="EH37" s="844">
        <f t="shared" si="269"/>
        <v>252282</v>
      </c>
      <c r="EI37" s="824">
        <f t="shared" si="81"/>
        <v>8.8000000000000007</v>
      </c>
      <c r="EJ37" s="844">
        <f>EJ39-EJ33-EJ35</f>
        <v>177870</v>
      </c>
      <c r="EK37" s="824">
        <f t="shared" si="47"/>
        <v>-0.7</v>
      </c>
      <c r="EL37" s="844">
        <f t="shared" si="270"/>
        <v>2779808</v>
      </c>
      <c r="EM37" s="844">
        <f t="shared" si="270"/>
        <v>2086853</v>
      </c>
      <c r="EN37" s="844">
        <f t="shared" si="270"/>
        <v>2635853</v>
      </c>
      <c r="EO37" s="824">
        <f t="shared" si="48"/>
        <v>-5.2</v>
      </c>
      <c r="EP37" s="844">
        <f>EP39-EP33-EP35</f>
        <v>1932413</v>
      </c>
      <c r="EQ37" s="824">
        <f t="shared" si="49"/>
        <v>-7.4</v>
      </c>
    </row>
    <row r="38" spans="1:147" ht="21.75" customHeight="1">
      <c r="A38" s="1129"/>
      <c r="B38" s="1134" t="s">
        <v>275</v>
      </c>
      <c r="C38" s="124" t="s">
        <v>13</v>
      </c>
      <c r="D38" s="298">
        <v>622155</v>
      </c>
      <c r="E38" s="298">
        <v>2200884</v>
      </c>
      <c r="F38" s="298">
        <v>627586</v>
      </c>
      <c r="G38" s="298">
        <v>2297434</v>
      </c>
      <c r="H38" s="298">
        <v>691782</v>
      </c>
      <c r="I38" s="298">
        <v>2465495</v>
      </c>
      <c r="J38" s="298">
        <v>776325</v>
      </c>
      <c r="K38" s="298">
        <v>2620796</v>
      </c>
      <c r="L38" s="298">
        <v>816962</v>
      </c>
      <c r="M38" s="298">
        <v>2674889</v>
      </c>
      <c r="N38" s="298">
        <v>798525</v>
      </c>
      <c r="O38" s="298">
        <v>2710289</v>
      </c>
      <c r="P38" s="298">
        <v>883405</v>
      </c>
      <c r="Q38" s="298">
        <v>2860037</v>
      </c>
      <c r="R38" s="298">
        <v>1022556</v>
      </c>
      <c r="S38" s="298">
        <v>2829768</v>
      </c>
      <c r="T38" s="298">
        <v>1084232</v>
      </c>
      <c r="U38" s="298">
        <v>2941636</v>
      </c>
      <c r="V38" s="298">
        <v>96594</v>
      </c>
      <c r="W38" s="298">
        <v>256289</v>
      </c>
      <c r="X38" s="298">
        <v>94519</v>
      </c>
      <c r="Y38" s="126">
        <f t="shared" si="18"/>
        <v>-2.1</v>
      </c>
      <c r="Z38" s="298">
        <v>242676</v>
      </c>
      <c r="AA38" s="126">
        <f t="shared" si="19"/>
        <v>-5.3</v>
      </c>
      <c r="AB38" s="298">
        <f t="shared" ref="AB38:AB43" si="278">AH38-V38</f>
        <v>81180</v>
      </c>
      <c r="AC38" s="298">
        <f t="shared" ref="AC38:AC43" si="279">AI38-W38</f>
        <v>201205</v>
      </c>
      <c r="AD38" s="298">
        <f t="shared" ref="AD38:AD43" si="280">AJ38-X38</f>
        <v>99050</v>
      </c>
      <c r="AE38" s="126">
        <f t="shared" si="54"/>
        <v>22</v>
      </c>
      <c r="AF38" s="298">
        <f t="shared" ref="AF38:AF43" si="281">AL38-Z38</f>
        <v>215990</v>
      </c>
      <c r="AG38" s="126">
        <f t="shared" si="20"/>
        <v>7.3</v>
      </c>
      <c r="AH38" s="298">
        <v>177774</v>
      </c>
      <c r="AI38" s="298">
        <v>457494</v>
      </c>
      <c r="AJ38" s="298">
        <v>193569</v>
      </c>
      <c r="AK38" s="126">
        <f t="shared" si="21"/>
        <v>8.9</v>
      </c>
      <c r="AL38" s="298">
        <v>458666</v>
      </c>
      <c r="AM38" s="126">
        <f t="shared" si="22"/>
        <v>0.3</v>
      </c>
      <c r="AN38" s="298">
        <f t="shared" ref="AN38:AN43" si="282">AT38-AH38</f>
        <v>95699</v>
      </c>
      <c r="AO38" s="298">
        <f t="shared" ref="AO38:AO43" si="283">AU38-AI38</f>
        <v>243894</v>
      </c>
      <c r="AP38" s="298">
        <f t="shared" ref="AP38:AP43" si="284">AV38-AJ38</f>
        <v>105393</v>
      </c>
      <c r="AQ38" s="126">
        <f t="shared" si="57"/>
        <v>10.1</v>
      </c>
      <c r="AR38" s="298">
        <f t="shared" ref="AR38:AR43" si="285">AX38-AL38</f>
        <v>239076</v>
      </c>
      <c r="AS38" s="126">
        <f t="shared" si="23"/>
        <v>-2</v>
      </c>
      <c r="AT38" s="298">
        <v>273473</v>
      </c>
      <c r="AU38" s="298">
        <v>701388</v>
      </c>
      <c r="AV38" s="298">
        <v>298962</v>
      </c>
      <c r="AW38" s="126">
        <f t="shared" si="24"/>
        <v>9.3000000000000007</v>
      </c>
      <c r="AX38" s="298">
        <v>697742</v>
      </c>
      <c r="AY38" s="126">
        <f t="shared" si="25"/>
        <v>-0.5</v>
      </c>
      <c r="AZ38" s="298">
        <f t="shared" ref="AZ38:AZ43" si="286">BF38-AT38</f>
        <v>96117</v>
      </c>
      <c r="BA38" s="298">
        <f t="shared" ref="BA38:BA43" si="287">BG38-AU38</f>
        <v>267411</v>
      </c>
      <c r="BB38" s="298">
        <f t="shared" ref="BB38:BB43" si="288">BH38-AV38</f>
        <v>89927</v>
      </c>
      <c r="BC38" s="126">
        <f t="shared" si="60"/>
        <v>-6.4</v>
      </c>
      <c r="BD38" s="298">
        <f t="shared" ref="BD38:BD43" si="289">BJ38-AX38</f>
        <v>253681</v>
      </c>
      <c r="BE38" s="126">
        <f t="shared" si="26"/>
        <v>-5.0999999999999996</v>
      </c>
      <c r="BF38" s="298">
        <v>369590</v>
      </c>
      <c r="BG38" s="298">
        <v>968799</v>
      </c>
      <c r="BH38" s="298">
        <v>388889</v>
      </c>
      <c r="BI38" s="126">
        <f t="shared" si="27"/>
        <v>5.2</v>
      </c>
      <c r="BJ38" s="298">
        <v>951423</v>
      </c>
      <c r="BK38" s="126">
        <f t="shared" si="28"/>
        <v>-1.8</v>
      </c>
      <c r="BL38" s="298">
        <f t="shared" ref="BL38:BN43" si="290">BR38-BF38</f>
        <v>95994</v>
      </c>
      <c r="BM38" s="298">
        <f t="shared" si="290"/>
        <v>263450</v>
      </c>
      <c r="BN38" s="298">
        <f t="shared" si="290"/>
        <v>93507</v>
      </c>
      <c r="BO38" s="126">
        <f t="shared" si="63"/>
        <v>-2.6</v>
      </c>
      <c r="BP38" s="298">
        <f t="shared" ref="BP38:BP43" si="291">BV38-BJ38</f>
        <v>232750</v>
      </c>
      <c r="BQ38" s="126">
        <f t="shared" si="29"/>
        <v>-11.7</v>
      </c>
      <c r="BR38" s="298">
        <v>465584</v>
      </c>
      <c r="BS38" s="298">
        <v>1232249</v>
      </c>
      <c r="BT38" s="298">
        <v>482396</v>
      </c>
      <c r="BU38" s="126">
        <f t="shared" si="30"/>
        <v>3.6</v>
      </c>
      <c r="BV38" s="298">
        <v>1184173</v>
      </c>
      <c r="BW38" s="126">
        <f t="shared" si="31"/>
        <v>-3.9</v>
      </c>
      <c r="BX38" s="825">
        <f t="shared" ref="BX38:BX43" si="292">CD38-BR38</f>
        <v>86233</v>
      </c>
      <c r="BY38" s="825">
        <f t="shared" ref="BY38:BY43" si="293">CE38-BS38</f>
        <v>239817</v>
      </c>
      <c r="BZ38" s="825">
        <f t="shared" ref="BZ38:BZ43" si="294">CF38-BT38</f>
        <v>105591</v>
      </c>
      <c r="CA38" s="826">
        <f t="shared" si="66"/>
        <v>22.4</v>
      </c>
      <c r="CB38" s="825">
        <f t="shared" ref="CB38:CB43" si="295">CH38-BV38</f>
        <v>244896</v>
      </c>
      <c r="CC38" s="826">
        <f t="shared" si="32"/>
        <v>2.1</v>
      </c>
      <c r="CD38" s="842">
        <v>551817</v>
      </c>
      <c r="CE38" s="842">
        <v>1472066</v>
      </c>
      <c r="CF38" s="842">
        <v>587987</v>
      </c>
      <c r="CG38" s="826">
        <f t="shared" si="33"/>
        <v>6.6</v>
      </c>
      <c r="CH38" s="842">
        <v>1429069</v>
      </c>
      <c r="CI38" s="826">
        <f t="shared" si="34"/>
        <v>-2.9</v>
      </c>
      <c r="CJ38" s="842">
        <f t="shared" ref="CJ38:CJ43" si="296">CP38-CD38</f>
        <v>86975</v>
      </c>
      <c r="CK38" s="842">
        <f t="shared" ref="CK38:CK43" si="297">CQ38-CE38</f>
        <v>241644</v>
      </c>
      <c r="CL38" s="842">
        <f t="shared" ref="CL38:CL43" si="298">CR38-CF38</f>
        <v>111657</v>
      </c>
      <c r="CM38" s="826">
        <f t="shared" si="69"/>
        <v>28.4</v>
      </c>
      <c r="CN38" s="842">
        <f t="shared" ref="CN38:CN43" si="299">CT38-CH38</f>
        <v>234946</v>
      </c>
      <c r="CO38" s="826">
        <f t="shared" si="35"/>
        <v>-2.8</v>
      </c>
      <c r="CP38" s="941">
        <v>638792</v>
      </c>
      <c r="CQ38" s="941">
        <v>1713710</v>
      </c>
      <c r="CR38" s="941">
        <v>699644</v>
      </c>
      <c r="CS38" s="826">
        <f t="shared" si="36"/>
        <v>9.5</v>
      </c>
      <c r="CT38" s="941">
        <v>1664015</v>
      </c>
      <c r="CU38" s="826">
        <f t="shared" si="37"/>
        <v>-2.9</v>
      </c>
      <c r="CV38" s="842">
        <f t="shared" ref="CV38:CV43" si="300">DB38-CP38</f>
        <v>85346</v>
      </c>
      <c r="CW38" s="842">
        <f t="shared" ref="CW38:CW43" si="301">DC38-CQ38</f>
        <v>243731</v>
      </c>
      <c r="CX38" s="842">
        <f t="shared" ref="CX38:CX43" si="302">DD38-CR38</f>
        <v>103156</v>
      </c>
      <c r="CY38" s="826">
        <f t="shared" si="72"/>
        <v>20.9</v>
      </c>
      <c r="CZ38" s="842">
        <f t="shared" ref="CZ38:CZ43" si="303">DF38-CT38</f>
        <v>209405</v>
      </c>
      <c r="DA38" s="826">
        <f t="shared" si="38"/>
        <v>-14.1</v>
      </c>
      <c r="DB38" s="842">
        <v>724138</v>
      </c>
      <c r="DC38" s="842">
        <v>1957441</v>
      </c>
      <c r="DD38" s="842">
        <v>802800</v>
      </c>
      <c r="DE38" s="826">
        <f t="shared" si="39"/>
        <v>10.9</v>
      </c>
      <c r="DF38" s="842">
        <v>1873420</v>
      </c>
      <c r="DG38" s="826">
        <f t="shared" si="40"/>
        <v>-4.3</v>
      </c>
      <c r="DH38" s="842">
        <f t="shared" ref="DH38:DJ43" si="304">DN38-DB38</f>
        <v>84619</v>
      </c>
      <c r="DI38" s="842">
        <f t="shared" si="304"/>
        <v>222713</v>
      </c>
      <c r="DJ38" s="842">
        <f t="shared" si="304"/>
        <v>107354</v>
      </c>
      <c r="DK38" s="826">
        <f t="shared" si="75"/>
        <v>26.9</v>
      </c>
      <c r="DL38" s="842">
        <f t="shared" ref="DL38:DL43" si="305">DR38-DF38</f>
        <v>236476</v>
      </c>
      <c r="DM38" s="826">
        <f t="shared" si="41"/>
        <v>6.2</v>
      </c>
      <c r="DN38" s="842">
        <v>808757</v>
      </c>
      <c r="DO38" s="842">
        <v>2180154</v>
      </c>
      <c r="DP38" s="842">
        <v>910154</v>
      </c>
      <c r="DQ38" s="826">
        <f t="shared" si="42"/>
        <v>12.5</v>
      </c>
      <c r="DR38" s="842">
        <v>2109896</v>
      </c>
      <c r="DS38" s="826">
        <f t="shared" si="43"/>
        <v>-3.2</v>
      </c>
      <c r="DT38" s="842">
        <f t="shared" ref="DT38:DV43" si="306">DZ38-DN38</f>
        <v>94734</v>
      </c>
      <c r="DU38" s="842">
        <f t="shared" si="306"/>
        <v>252962</v>
      </c>
      <c r="DV38" s="842">
        <f t="shared" si="306"/>
        <v>98545</v>
      </c>
      <c r="DW38" s="826">
        <f t="shared" si="78"/>
        <v>4</v>
      </c>
      <c r="DX38" s="842">
        <f t="shared" ref="DX38:DX43" si="307">ED38-DR38</f>
        <v>232023</v>
      </c>
      <c r="DY38" s="826">
        <f t="shared" si="44"/>
        <v>-8.3000000000000007</v>
      </c>
      <c r="DZ38" s="842">
        <v>903491</v>
      </c>
      <c r="EA38" s="842">
        <v>2433116</v>
      </c>
      <c r="EB38" s="842">
        <v>1008699</v>
      </c>
      <c r="EC38" s="826">
        <f t="shared" si="45"/>
        <v>11.6</v>
      </c>
      <c r="ED38" s="842">
        <v>2341919</v>
      </c>
      <c r="EE38" s="826">
        <f t="shared" si="46"/>
        <v>-3.7</v>
      </c>
      <c r="EF38" s="842">
        <f t="shared" ref="EF38:EH43" si="308">EL38-DZ38</f>
        <v>81118</v>
      </c>
      <c r="EG38" s="842">
        <f t="shared" si="308"/>
        <v>253097</v>
      </c>
      <c r="EH38" s="842">
        <f t="shared" si="308"/>
        <v>94914</v>
      </c>
      <c r="EI38" s="826">
        <f t="shared" si="81"/>
        <v>17</v>
      </c>
      <c r="EJ38" s="842">
        <f t="shared" ref="EJ38:EJ43" si="309">EP38-ED38</f>
        <v>241187</v>
      </c>
      <c r="EK38" s="826">
        <f t="shared" si="47"/>
        <v>-4.7</v>
      </c>
      <c r="EL38" s="842">
        <v>984609</v>
      </c>
      <c r="EM38" s="842">
        <v>2686213</v>
      </c>
      <c r="EN38" s="842">
        <v>1103613</v>
      </c>
      <c r="EO38" s="826">
        <f t="shared" si="48"/>
        <v>12.1</v>
      </c>
      <c r="EP38" s="842">
        <v>2583106</v>
      </c>
      <c r="EQ38" s="826">
        <f t="shared" si="49"/>
        <v>-3.8</v>
      </c>
    </row>
    <row r="39" spans="1:147" ht="21.75" customHeight="1" thickBot="1">
      <c r="A39" s="1135"/>
      <c r="B39" s="1136"/>
      <c r="C39" s="127" t="s">
        <v>14</v>
      </c>
      <c r="D39" s="299">
        <v>2698236</v>
      </c>
      <c r="E39" s="299">
        <v>6059292</v>
      </c>
      <c r="F39" s="299">
        <v>2561824</v>
      </c>
      <c r="G39" s="299">
        <v>5551710</v>
      </c>
      <c r="H39" s="299">
        <v>2644572</v>
      </c>
      <c r="I39" s="299">
        <v>5725422</v>
      </c>
      <c r="J39" s="299">
        <v>2880272</v>
      </c>
      <c r="K39" s="299">
        <v>6231317</v>
      </c>
      <c r="L39" s="299">
        <v>2861581</v>
      </c>
      <c r="M39" s="299">
        <v>5992145</v>
      </c>
      <c r="N39" s="299">
        <v>2577684</v>
      </c>
      <c r="O39" s="299">
        <v>5421698</v>
      </c>
      <c r="P39" s="299">
        <v>3023657</v>
      </c>
      <c r="Q39" s="299">
        <v>6462277</v>
      </c>
      <c r="R39" s="299">
        <v>3654026</v>
      </c>
      <c r="S39" s="299">
        <v>6956881</v>
      </c>
      <c r="T39" s="299">
        <v>3522410</v>
      </c>
      <c r="U39" s="299">
        <v>6295986</v>
      </c>
      <c r="V39" s="299">
        <v>323077</v>
      </c>
      <c r="W39" s="299">
        <v>582560</v>
      </c>
      <c r="X39" s="299">
        <v>291917</v>
      </c>
      <c r="Y39" s="129">
        <f t="shared" si="18"/>
        <v>-9.6</v>
      </c>
      <c r="Z39" s="299">
        <v>501219</v>
      </c>
      <c r="AA39" s="129">
        <f t="shared" si="19"/>
        <v>-14</v>
      </c>
      <c r="AB39" s="299">
        <f t="shared" si="278"/>
        <v>264307</v>
      </c>
      <c r="AC39" s="299">
        <f t="shared" si="279"/>
        <v>437035</v>
      </c>
      <c r="AD39" s="299">
        <f t="shared" si="280"/>
        <v>295863</v>
      </c>
      <c r="AE39" s="129">
        <f t="shared" si="54"/>
        <v>11.9</v>
      </c>
      <c r="AF39" s="299">
        <f t="shared" si="281"/>
        <v>436688</v>
      </c>
      <c r="AG39" s="129">
        <f t="shared" si="20"/>
        <v>-0.1</v>
      </c>
      <c r="AH39" s="299">
        <v>587384</v>
      </c>
      <c r="AI39" s="299">
        <v>1019595</v>
      </c>
      <c r="AJ39" s="299">
        <v>587780</v>
      </c>
      <c r="AK39" s="129">
        <f t="shared" si="21"/>
        <v>0.1</v>
      </c>
      <c r="AL39" s="299">
        <v>937907</v>
      </c>
      <c r="AM39" s="129">
        <f t="shared" si="22"/>
        <v>-8</v>
      </c>
      <c r="AN39" s="299">
        <f t="shared" si="282"/>
        <v>313187</v>
      </c>
      <c r="AO39" s="299">
        <f t="shared" si="283"/>
        <v>533655</v>
      </c>
      <c r="AP39" s="299">
        <f t="shared" si="284"/>
        <v>322983</v>
      </c>
      <c r="AQ39" s="129">
        <f t="shared" si="57"/>
        <v>3.1</v>
      </c>
      <c r="AR39" s="299">
        <f t="shared" si="285"/>
        <v>504770</v>
      </c>
      <c r="AS39" s="129">
        <f t="shared" si="23"/>
        <v>-5.4</v>
      </c>
      <c r="AT39" s="299">
        <v>900571</v>
      </c>
      <c r="AU39" s="299">
        <v>1553250</v>
      </c>
      <c r="AV39" s="299">
        <v>910763</v>
      </c>
      <c r="AW39" s="129">
        <f t="shared" si="24"/>
        <v>1.1000000000000001</v>
      </c>
      <c r="AX39" s="299">
        <v>1442677</v>
      </c>
      <c r="AY39" s="129">
        <f t="shared" si="25"/>
        <v>-7.1</v>
      </c>
      <c r="AZ39" s="299">
        <f t="shared" si="286"/>
        <v>313569</v>
      </c>
      <c r="BA39" s="299">
        <f t="shared" si="287"/>
        <v>587537</v>
      </c>
      <c r="BB39" s="299">
        <f t="shared" si="288"/>
        <v>270100</v>
      </c>
      <c r="BC39" s="129">
        <f t="shared" si="60"/>
        <v>-13.9</v>
      </c>
      <c r="BD39" s="299">
        <f t="shared" si="289"/>
        <v>500120</v>
      </c>
      <c r="BE39" s="129">
        <f t="shared" si="26"/>
        <v>-14.9</v>
      </c>
      <c r="BF39" s="299">
        <v>1214140</v>
      </c>
      <c r="BG39" s="299">
        <v>2140787</v>
      </c>
      <c r="BH39" s="299">
        <v>1180863</v>
      </c>
      <c r="BI39" s="129">
        <f t="shared" si="27"/>
        <v>-2.7</v>
      </c>
      <c r="BJ39" s="299">
        <v>1942797</v>
      </c>
      <c r="BK39" s="129">
        <f t="shared" si="28"/>
        <v>-9.1999999999999993</v>
      </c>
      <c r="BL39" s="299">
        <f t="shared" si="290"/>
        <v>317917</v>
      </c>
      <c r="BM39" s="299">
        <f t="shared" si="290"/>
        <v>565650</v>
      </c>
      <c r="BN39" s="299">
        <f t="shared" si="290"/>
        <v>251899</v>
      </c>
      <c r="BO39" s="129">
        <f t="shared" si="63"/>
        <v>-20.8</v>
      </c>
      <c r="BP39" s="299">
        <f t="shared" si="291"/>
        <v>451501</v>
      </c>
      <c r="BQ39" s="129">
        <f t="shared" si="29"/>
        <v>-20.2</v>
      </c>
      <c r="BR39" s="299">
        <v>1532057</v>
      </c>
      <c r="BS39" s="299">
        <v>2706437</v>
      </c>
      <c r="BT39" s="299">
        <v>1432762</v>
      </c>
      <c r="BU39" s="129">
        <f t="shared" si="30"/>
        <v>-6.5</v>
      </c>
      <c r="BV39" s="299">
        <v>2394298</v>
      </c>
      <c r="BW39" s="129">
        <f t="shared" si="31"/>
        <v>-11.5</v>
      </c>
      <c r="BX39" s="827">
        <f t="shared" si="292"/>
        <v>276199</v>
      </c>
      <c r="BY39" s="827">
        <f t="shared" si="293"/>
        <v>517078</v>
      </c>
      <c r="BZ39" s="827">
        <f t="shared" si="294"/>
        <v>278335</v>
      </c>
      <c r="CA39" s="828">
        <f t="shared" si="66"/>
        <v>0.8</v>
      </c>
      <c r="CB39" s="827">
        <f t="shared" si="295"/>
        <v>458001</v>
      </c>
      <c r="CC39" s="828">
        <f t="shared" si="32"/>
        <v>-11.4</v>
      </c>
      <c r="CD39" s="843">
        <v>1808256</v>
      </c>
      <c r="CE39" s="843">
        <v>3223515</v>
      </c>
      <c r="CF39" s="843">
        <v>1711097</v>
      </c>
      <c r="CG39" s="828">
        <f t="shared" si="33"/>
        <v>-5.4</v>
      </c>
      <c r="CH39" s="843">
        <v>2852299</v>
      </c>
      <c r="CI39" s="828">
        <f t="shared" si="34"/>
        <v>-11.5</v>
      </c>
      <c r="CJ39" s="843">
        <f t="shared" si="296"/>
        <v>285991</v>
      </c>
      <c r="CK39" s="843">
        <f t="shared" si="297"/>
        <v>524754</v>
      </c>
      <c r="CL39" s="843">
        <f t="shared" si="298"/>
        <v>305405</v>
      </c>
      <c r="CM39" s="828">
        <f t="shared" si="69"/>
        <v>6.8</v>
      </c>
      <c r="CN39" s="843">
        <f t="shared" si="299"/>
        <v>455472</v>
      </c>
      <c r="CO39" s="828">
        <f t="shared" si="35"/>
        <v>-13.2</v>
      </c>
      <c r="CP39" s="942">
        <v>2094247</v>
      </c>
      <c r="CQ39" s="942">
        <v>3748269</v>
      </c>
      <c r="CR39" s="942">
        <v>2016502</v>
      </c>
      <c r="CS39" s="828">
        <f t="shared" si="36"/>
        <v>-3.7</v>
      </c>
      <c r="CT39" s="942">
        <v>3307771</v>
      </c>
      <c r="CU39" s="828">
        <f t="shared" si="37"/>
        <v>-11.8</v>
      </c>
      <c r="CV39" s="843">
        <f t="shared" si="300"/>
        <v>278851</v>
      </c>
      <c r="CW39" s="843">
        <f t="shared" si="301"/>
        <v>520183</v>
      </c>
      <c r="CX39" s="843">
        <f t="shared" si="302"/>
        <v>288082</v>
      </c>
      <c r="CY39" s="828">
        <f t="shared" si="72"/>
        <v>3.3</v>
      </c>
      <c r="CZ39" s="843">
        <f t="shared" si="303"/>
        <v>411200</v>
      </c>
      <c r="DA39" s="828">
        <f t="shared" si="38"/>
        <v>-21</v>
      </c>
      <c r="DB39" s="843">
        <v>2373098</v>
      </c>
      <c r="DC39" s="843">
        <v>4268452</v>
      </c>
      <c r="DD39" s="843">
        <v>2304584</v>
      </c>
      <c r="DE39" s="828">
        <f t="shared" si="39"/>
        <v>-2.9</v>
      </c>
      <c r="DF39" s="843">
        <v>3718971</v>
      </c>
      <c r="DG39" s="828">
        <f t="shared" si="40"/>
        <v>-12.9</v>
      </c>
      <c r="DH39" s="843">
        <f t="shared" si="304"/>
        <v>271177</v>
      </c>
      <c r="DI39" s="843">
        <f t="shared" si="304"/>
        <v>473535</v>
      </c>
      <c r="DJ39" s="843">
        <f t="shared" si="304"/>
        <v>317289</v>
      </c>
      <c r="DK39" s="828">
        <f t="shared" si="75"/>
        <v>17</v>
      </c>
      <c r="DL39" s="843">
        <f t="shared" si="305"/>
        <v>480770</v>
      </c>
      <c r="DM39" s="828">
        <f t="shared" si="41"/>
        <v>1.5</v>
      </c>
      <c r="DN39" s="843">
        <v>2644275</v>
      </c>
      <c r="DO39" s="843">
        <v>4741987</v>
      </c>
      <c r="DP39" s="843">
        <v>2621873</v>
      </c>
      <c r="DQ39" s="828">
        <f t="shared" si="42"/>
        <v>-0.8</v>
      </c>
      <c r="DR39" s="843">
        <v>4199741</v>
      </c>
      <c r="DS39" s="828">
        <f t="shared" si="43"/>
        <v>-11.4</v>
      </c>
      <c r="DT39" s="843">
        <f t="shared" si="306"/>
        <v>305067</v>
      </c>
      <c r="DU39" s="843">
        <f t="shared" si="306"/>
        <v>509903</v>
      </c>
      <c r="DV39" s="843">
        <f t="shared" si="306"/>
        <v>300576</v>
      </c>
      <c r="DW39" s="828">
        <f t="shared" si="78"/>
        <v>-1.5</v>
      </c>
      <c r="DX39" s="843">
        <f t="shared" si="307"/>
        <v>467221</v>
      </c>
      <c r="DY39" s="828">
        <f t="shared" si="44"/>
        <v>-8.4</v>
      </c>
      <c r="DZ39" s="843">
        <v>2949342</v>
      </c>
      <c r="EA39" s="843">
        <v>5251890</v>
      </c>
      <c r="EB39" s="843">
        <v>2922449</v>
      </c>
      <c r="EC39" s="828">
        <f t="shared" si="45"/>
        <v>-0.9</v>
      </c>
      <c r="ED39" s="843">
        <v>4666962</v>
      </c>
      <c r="EE39" s="828">
        <f t="shared" si="46"/>
        <v>-11.1</v>
      </c>
      <c r="EF39" s="843">
        <f t="shared" si="308"/>
        <v>264052</v>
      </c>
      <c r="EG39" s="843">
        <f t="shared" si="308"/>
        <v>525101</v>
      </c>
      <c r="EH39" s="843">
        <f t="shared" si="308"/>
        <v>308114</v>
      </c>
      <c r="EI39" s="828">
        <f t="shared" si="81"/>
        <v>16.7</v>
      </c>
      <c r="EJ39" s="843">
        <f t="shared" si="309"/>
        <v>507141</v>
      </c>
      <c r="EK39" s="828">
        <f t="shared" si="47"/>
        <v>-3.4</v>
      </c>
      <c r="EL39" s="843">
        <v>3213394</v>
      </c>
      <c r="EM39" s="843">
        <v>5776991</v>
      </c>
      <c r="EN39" s="843">
        <v>3230563</v>
      </c>
      <c r="EO39" s="828">
        <f t="shared" si="48"/>
        <v>0.5</v>
      </c>
      <c r="EP39" s="843">
        <v>5174103</v>
      </c>
      <c r="EQ39" s="828">
        <f t="shared" si="49"/>
        <v>-10.4</v>
      </c>
    </row>
    <row r="40" spans="1:147" ht="21.75" customHeight="1" thickTop="1">
      <c r="A40" s="1131" t="s">
        <v>279</v>
      </c>
      <c r="B40" s="1132" t="s">
        <v>270</v>
      </c>
      <c r="C40" s="133" t="s">
        <v>271</v>
      </c>
      <c r="D40" s="134">
        <v>6043</v>
      </c>
      <c r="E40" s="134">
        <v>573</v>
      </c>
      <c r="F40" s="134">
        <v>4440</v>
      </c>
      <c r="G40" s="134">
        <v>374</v>
      </c>
      <c r="H40" s="134">
        <v>4457</v>
      </c>
      <c r="I40" s="134">
        <v>313</v>
      </c>
      <c r="J40" s="134">
        <v>7488</v>
      </c>
      <c r="K40" s="134">
        <v>676</v>
      </c>
      <c r="L40" s="134">
        <v>8429</v>
      </c>
      <c r="M40" s="134">
        <v>1358</v>
      </c>
      <c r="N40" s="134">
        <v>7102</v>
      </c>
      <c r="O40" s="134">
        <v>1048</v>
      </c>
      <c r="P40" s="134">
        <v>7294</v>
      </c>
      <c r="Q40" s="134">
        <v>1389</v>
      </c>
      <c r="R40" s="301">
        <v>7619</v>
      </c>
      <c r="S40" s="301">
        <v>2123</v>
      </c>
      <c r="T40" s="301">
        <v>11012</v>
      </c>
      <c r="U40" s="301">
        <v>2660</v>
      </c>
      <c r="V40" s="301">
        <v>625</v>
      </c>
      <c r="W40" s="301">
        <v>82</v>
      </c>
      <c r="X40" s="301">
        <v>538</v>
      </c>
      <c r="Y40" s="135">
        <f t="shared" si="18"/>
        <v>-13.9</v>
      </c>
      <c r="Z40" s="301">
        <v>484</v>
      </c>
      <c r="AA40" s="135">
        <f t="shared" si="19"/>
        <v>490.2</v>
      </c>
      <c r="AB40" s="301">
        <f t="shared" si="278"/>
        <v>799</v>
      </c>
      <c r="AC40" s="301">
        <f t="shared" si="279"/>
        <v>483</v>
      </c>
      <c r="AD40" s="301">
        <f t="shared" si="280"/>
        <v>624</v>
      </c>
      <c r="AE40" s="135">
        <f t="shared" si="54"/>
        <v>-21.9</v>
      </c>
      <c r="AF40" s="301">
        <f t="shared" si="281"/>
        <v>367</v>
      </c>
      <c r="AG40" s="135">
        <f t="shared" si="20"/>
        <v>-24</v>
      </c>
      <c r="AH40" s="301">
        <v>1424</v>
      </c>
      <c r="AI40" s="301">
        <v>565</v>
      </c>
      <c r="AJ40" s="301">
        <v>1162</v>
      </c>
      <c r="AK40" s="135">
        <f t="shared" si="21"/>
        <v>-18.399999999999999</v>
      </c>
      <c r="AL40" s="301">
        <v>851</v>
      </c>
      <c r="AM40" s="135">
        <f t="shared" si="22"/>
        <v>50.6</v>
      </c>
      <c r="AN40" s="301">
        <f t="shared" si="282"/>
        <v>842</v>
      </c>
      <c r="AO40" s="301">
        <f t="shared" si="283"/>
        <v>238</v>
      </c>
      <c r="AP40" s="301">
        <f t="shared" si="284"/>
        <v>784</v>
      </c>
      <c r="AQ40" s="135">
        <f t="shared" si="57"/>
        <v>-6.9</v>
      </c>
      <c r="AR40" s="301">
        <f t="shared" si="285"/>
        <v>98</v>
      </c>
      <c r="AS40" s="135">
        <f t="shared" si="23"/>
        <v>-58.8</v>
      </c>
      <c r="AT40" s="301">
        <v>2266</v>
      </c>
      <c r="AU40" s="301">
        <v>803</v>
      </c>
      <c r="AV40" s="301">
        <v>1946</v>
      </c>
      <c r="AW40" s="135">
        <f t="shared" si="24"/>
        <v>-14.1</v>
      </c>
      <c r="AX40" s="301">
        <v>949</v>
      </c>
      <c r="AY40" s="135">
        <f t="shared" si="25"/>
        <v>18.2</v>
      </c>
      <c r="AZ40" s="301">
        <f t="shared" si="286"/>
        <v>1006</v>
      </c>
      <c r="BA40" s="301">
        <f t="shared" si="287"/>
        <v>64</v>
      </c>
      <c r="BB40" s="301">
        <f t="shared" si="288"/>
        <v>973</v>
      </c>
      <c r="BC40" s="135">
        <f t="shared" si="60"/>
        <v>-3.3</v>
      </c>
      <c r="BD40" s="301">
        <f t="shared" si="289"/>
        <v>379</v>
      </c>
      <c r="BE40" s="135">
        <f t="shared" si="26"/>
        <v>492.2</v>
      </c>
      <c r="BF40" s="301">
        <v>3272</v>
      </c>
      <c r="BG40" s="301">
        <v>867</v>
      </c>
      <c r="BH40" s="301">
        <v>2919</v>
      </c>
      <c r="BI40" s="135">
        <f t="shared" si="27"/>
        <v>-10.8</v>
      </c>
      <c r="BJ40" s="301">
        <v>1328</v>
      </c>
      <c r="BK40" s="135">
        <f t="shared" si="28"/>
        <v>53.2</v>
      </c>
      <c r="BL40" s="301">
        <f t="shared" si="290"/>
        <v>906</v>
      </c>
      <c r="BM40" s="301">
        <f t="shared" si="290"/>
        <v>34</v>
      </c>
      <c r="BN40" s="301">
        <f t="shared" si="290"/>
        <v>741</v>
      </c>
      <c r="BO40" s="135">
        <f t="shared" si="63"/>
        <v>-18.2</v>
      </c>
      <c r="BP40" s="301">
        <f t="shared" si="291"/>
        <v>734</v>
      </c>
      <c r="BQ40" s="135">
        <f t="shared" si="29"/>
        <v>2058.8000000000002</v>
      </c>
      <c r="BR40" s="301">
        <v>4178</v>
      </c>
      <c r="BS40" s="301">
        <v>901</v>
      </c>
      <c r="BT40" s="301">
        <v>3660</v>
      </c>
      <c r="BU40" s="135">
        <f t="shared" si="30"/>
        <v>-12.4</v>
      </c>
      <c r="BV40" s="301">
        <v>2062</v>
      </c>
      <c r="BW40" s="135">
        <f t="shared" si="31"/>
        <v>128.9</v>
      </c>
      <c r="BX40" s="831">
        <f t="shared" si="292"/>
        <v>900</v>
      </c>
      <c r="BY40" s="831">
        <f t="shared" si="293"/>
        <v>139</v>
      </c>
      <c r="BZ40" s="831">
        <f t="shared" si="294"/>
        <v>731</v>
      </c>
      <c r="CA40" s="832">
        <f t="shared" si="66"/>
        <v>-18.8</v>
      </c>
      <c r="CB40" s="831">
        <f t="shared" si="295"/>
        <v>233</v>
      </c>
      <c r="CC40" s="832">
        <f t="shared" si="32"/>
        <v>67.599999999999994</v>
      </c>
      <c r="CD40" s="841">
        <v>5078</v>
      </c>
      <c r="CE40" s="841">
        <v>1040</v>
      </c>
      <c r="CF40" s="841">
        <v>4391</v>
      </c>
      <c r="CG40" s="832">
        <f t="shared" si="33"/>
        <v>-13.5</v>
      </c>
      <c r="CH40" s="841">
        <v>2295</v>
      </c>
      <c r="CI40" s="832">
        <f t="shared" si="34"/>
        <v>120.7</v>
      </c>
      <c r="CJ40" s="841">
        <f t="shared" si="296"/>
        <v>1079</v>
      </c>
      <c r="CK40" s="841">
        <f t="shared" si="297"/>
        <v>254</v>
      </c>
      <c r="CL40" s="841">
        <f t="shared" si="298"/>
        <v>932</v>
      </c>
      <c r="CM40" s="832">
        <f t="shared" si="69"/>
        <v>-13.6</v>
      </c>
      <c r="CN40" s="841">
        <f t="shared" si="299"/>
        <v>394</v>
      </c>
      <c r="CO40" s="832">
        <f t="shared" si="35"/>
        <v>55.1</v>
      </c>
      <c r="CP40" s="944">
        <v>6157</v>
      </c>
      <c r="CQ40" s="944">
        <v>1294</v>
      </c>
      <c r="CR40" s="944">
        <v>5323</v>
      </c>
      <c r="CS40" s="832">
        <f t="shared" si="36"/>
        <v>-13.5</v>
      </c>
      <c r="CT40" s="944">
        <v>2689</v>
      </c>
      <c r="CU40" s="832">
        <f t="shared" si="37"/>
        <v>107.8</v>
      </c>
      <c r="CV40" s="841">
        <f t="shared" si="300"/>
        <v>966</v>
      </c>
      <c r="CW40" s="841">
        <f t="shared" si="301"/>
        <v>61</v>
      </c>
      <c r="CX40" s="841">
        <f t="shared" si="302"/>
        <v>638</v>
      </c>
      <c r="CY40" s="832">
        <f t="shared" si="72"/>
        <v>-34</v>
      </c>
      <c r="CZ40" s="841">
        <f t="shared" si="303"/>
        <v>346</v>
      </c>
      <c r="DA40" s="832">
        <f t="shared" si="38"/>
        <v>467.2</v>
      </c>
      <c r="DB40" s="841">
        <v>7123</v>
      </c>
      <c r="DC40" s="841">
        <v>1355</v>
      </c>
      <c r="DD40" s="841">
        <v>5961</v>
      </c>
      <c r="DE40" s="832">
        <f t="shared" si="39"/>
        <v>-16.3</v>
      </c>
      <c r="DF40" s="841">
        <v>3035</v>
      </c>
      <c r="DG40" s="832">
        <f t="shared" si="40"/>
        <v>124</v>
      </c>
      <c r="DH40" s="841">
        <f t="shared" si="304"/>
        <v>774</v>
      </c>
      <c r="DI40" s="841">
        <f t="shared" si="304"/>
        <v>81</v>
      </c>
      <c r="DJ40" s="841">
        <f t="shared" si="304"/>
        <v>726</v>
      </c>
      <c r="DK40" s="832">
        <f t="shared" si="75"/>
        <v>-6.2</v>
      </c>
      <c r="DL40" s="841">
        <f t="shared" si="305"/>
        <v>271</v>
      </c>
      <c r="DM40" s="832">
        <f t="shared" si="41"/>
        <v>234.6</v>
      </c>
      <c r="DN40" s="841">
        <v>7897</v>
      </c>
      <c r="DO40" s="841">
        <v>1436</v>
      </c>
      <c r="DP40" s="841">
        <v>6687</v>
      </c>
      <c r="DQ40" s="832">
        <f t="shared" si="42"/>
        <v>-15.3</v>
      </c>
      <c r="DR40" s="841">
        <v>3306</v>
      </c>
      <c r="DS40" s="832">
        <f t="shared" si="43"/>
        <v>130.19999999999999</v>
      </c>
      <c r="DT40" s="841">
        <f t="shared" si="306"/>
        <v>1095</v>
      </c>
      <c r="DU40" s="841">
        <f t="shared" si="306"/>
        <v>575</v>
      </c>
      <c r="DV40" s="841">
        <f t="shared" si="306"/>
        <v>646</v>
      </c>
      <c r="DW40" s="832">
        <f t="shared" si="78"/>
        <v>-41</v>
      </c>
      <c r="DX40" s="841">
        <f t="shared" si="307"/>
        <v>379</v>
      </c>
      <c r="DY40" s="832">
        <f t="shared" si="44"/>
        <v>-34.1</v>
      </c>
      <c r="DZ40" s="841">
        <v>8992</v>
      </c>
      <c r="EA40" s="841">
        <v>2011</v>
      </c>
      <c r="EB40" s="841">
        <v>7333</v>
      </c>
      <c r="EC40" s="832">
        <f t="shared" si="45"/>
        <v>-18.399999999999999</v>
      </c>
      <c r="ED40" s="841">
        <v>3685</v>
      </c>
      <c r="EE40" s="832">
        <f t="shared" si="46"/>
        <v>83.2</v>
      </c>
      <c r="EF40" s="841">
        <f t="shared" si="308"/>
        <v>1012</v>
      </c>
      <c r="EG40" s="841">
        <f t="shared" si="308"/>
        <v>252</v>
      </c>
      <c r="EH40" s="841">
        <f t="shared" si="308"/>
        <v>709</v>
      </c>
      <c r="EI40" s="832">
        <f t="shared" si="81"/>
        <v>-29.9</v>
      </c>
      <c r="EJ40" s="841">
        <f t="shared" si="309"/>
        <v>548</v>
      </c>
      <c r="EK40" s="832">
        <f t="shared" si="47"/>
        <v>117.5</v>
      </c>
      <c r="EL40" s="841">
        <v>10004</v>
      </c>
      <c r="EM40" s="841">
        <v>2263</v>
      </c>
      <c r="EN40" s="841">
        <v>8042</v>
      </c>
      <c r="EO40" s="832">
        <f t="shared" si="48"/>
        <v>-19.600000000000001</v>
      </c>
      <c r="EP40" s="841">
        <v>4233</v>
      </c>
      <c r="EQ40" s="832">
        <f t="shared" si="49"/>
        <v>87.1</v>
      </c>
    </row>
    <row r="41" spans="1:147" ht="21.75" customHeight="1">
      <c r="A41" s="1129"/>
      <c r="B41" s="1129"/>
      <c r="C41" s="121" t="s">
        <v>272</v>
      </c>
      <c r="D41" s="122">
        <v>32416</v>
      </c>
      <c r="E41" s="122">
        <v>2958</v>
      </c>
      <c r="F41" s="122">
        <v>25816</v>
      </c>
      <c r="G41" s="122">
        <v>2366</v>
      </c>
      <c r="H41" s="122">
        <v>21451</v>
      </c>
      <c r="I41" s="122">
        <v>2328</v>
      </c>
      <c r="J41" s="122">
        <v>42695</v>
      </c>
      <c r="K41" s="122">
        <v>3545</v>
      </c>
      <c r="L41" s="122">
        <v>33187</v>
      </c>
      <c r="M41" s="122">
        <v>5635</v>
      </c>
      <c r="N41" s="122">
        <v>25703</v>
      </c>
      <c r="O41" s="122">
        <v>5570</v>
      </c>
      <c r="P41" s="122">
        <v>32257</v>
      </c>
      <c r="Q41" s="122">
        <v>7510</v>
      </c>
      <c r="R41" s="297">
        <v>41588</v>
      </c>
      <c r="S41" s="297">
        <v>9829</v>
      </c>
      <c r="T41" s="297">
        <v>51208</v>
      </c>
      <c r="U41" s="297">
        <v>10806</v>
      </c>
      <c r="V41" s="297">
        <v>2295</v>
      </c>
      <c r="W41" s="297">
        <v>470</v>
      </c>
      <c r="X41" s="297">
        <v>2384</v>
      </c>
      <c r="Y41" s="123">
        <f t="shared" si="18"/>
        <v>3.9</v>
      </c>
      <c r="Z41" s="297">
        <v>1702</v>
      </c>
      <c r="AA41" s="123">
        <f t="shared" si="19"/>
        <v>262.10000000000002</v>
      </c>
      <c r="AB41" s="297">
        <f t="shared" si="278"/>
        <v>3549</v>
      </c>
      <c r="AC41" s="297">
        <f t="shared" si="279"/>
        <v>850</v>
      </c>
      <c r="AD41" s="297">
        <f t="shared" si="280"/>
        <v>2811</v>
      </c>
      <c r="AE41" s="123">
        <f t="shared" si="54"/>
        <v>-20.8</v>
      </c>
      <c r="AF41" s="297">
        <f t="shared" si="281"/>
        <v>1646</v>
      </c>
      <c r="AG41" s="123">
        <f t="shared" si="20"/>
        <v>93.6</v>
      </c>
      <c r="AH41" s="297">
        <v>5844</v>
      </c>
      <c r="AI41" s="297">
        <v>1320</v>
      </c>
      <c r="AJ41" s="297">
        <v>5195</v>
      </c>
      <c r="AK41" s="123">
        <f t="shared" si="21"/>
        <v>-11.1</v>
      </c>
      <c r="AL41" s="297">
        <v>3348</v>
      </c>
      <c r="AM41" s="123">
        <f t="shared" si="22"/>
        <v>153.6</v>
      </c>
      <c r="AN41" s="297">
        <f t="shared" si="282"/>
        <v>3487</v>
      </c>
      <c r="AO41" s="297">
        <f t="shared" si="283"/>
        <v>992</v>
      </c>
      <c r="AP41" s="297">
        <f t="shared" si="284"/>
        <v>3457</v>
      </c>
      <c r="AQ41" s="123">
        <f t="shared" si="57"/>
        <v>-0.9</v>
      </c>
      <c r="AR41" s="297">
        <f t="shared" si="285"/>
        <v>429</v>
      </c>
      <c r="AS41" s="123">
        <f t="shared" si="23"/>
        <v>-56.8</v>
      </c>
      <c r="AT41" s="297">
        <v>9331</v>
      </c>
      <c r="AU41" s="297">
        <v>2312</v>
      </c>
      <c r="AV41" s="297">
        <v>8652</v>
      </c>
      <c r="AW41" s="123">
        <f t="shared" si="24"/>
        <v>-7.3</v>
      </c>
      <c r="AX41" s="297">
        <v>3777</v>
      </c>
      <c r="AY41" s="123">
        <f t="shared" si="25"/>
        <v>63.4</v>
      </c>
      <c r="AZ41" s="297">
        <f t="shared" si="286"/>
        <v>4709</v>
      </c>
      <c r="BA41" s="297">
        <f t="shared" si="287"/>
        <v>313</v>
      </c>
      <c r="BB41" s="297">
        <f t="shared" si="288"/>
        <v>2797</v>
      </c>
      <c r="BC41" s="123">
        <f t="shared" si="60"/>
        <v>-40.6</v>
      </c>
      <c r="BD41" s="297">
        <f t="shared" si="289"/>
        <v>1565</v>
      </c>
      <c r="BE41" s="123">
        <f t="shared" si="26"/>
        <v>400</v>
      </c>
      <c r="BF41" s="297">
        <v>14040</v>
      </c>
      <c r="BG41" s="297">
        <v>2625</v>
      </c>
      <c r="BH41" s="297">
        <v>11449</v>
      </c>
      <c r="BI41" s="123">
        <f t="shared" si="27"/>
        <v>-18.5</v>
      </c>
      <c r="BJ41" s="297">
        <v>5342</v>
      </c>
      <c r="BK41" s="123">
        <f t="shared" si="28"/>
        <v>103.5</v>
      </c>
      <c r="BL41" s="297">
        <f t="shared" si="290"/>
        <v>3359</v>
      </c>
      <c r="BM41" s="297">
        <f t="shared" si="290"/>
        <v>118</v>
      </c>
      <c r="BN41" s="297">
        <f t="shared" si="290"/>
        <v>2641</v>
      </c>
      <c r="BO41" s="123">
        <f t="shared" si="63"/>
        <v>-21.4</v>
      </c>
      <c r="BP41" s="297">
        <f t="shared" si="291"/>
        <v>2298</v>
      </c>
      <c r="BQ41" s="123">
        <f t="shared" si="29"/>
        <v>1847.5</v>
      </c>
      <c r="BR41" s="297">
        <v>17399</v>
      </c>
      <c r="BS41" s="297">
        <v>2743</v>
      </c>
      <c r="BT41" s="297">
        <v>14090</v>
      </c>
      <c r="BU41" s="123">
        <f t="shared" si="30"/>
        <v>-19</v>
      </c>
      <c r="BV41" s="297">
        <v>7640</v>
      </c>
      <c r="BW41" s="123">
        <f t="shared" si="31"/>
        <v>178.5</v>
      </c>
      <c r="BX41" s="823">
        <f t="shared" si="292"/>
        <v>3290</v>
      </c>
      <c r="BY41" s="823">
        <f t="shared" si="293"/>
        <v>360</v>
      </c>
      <c r="BZ41" s="823">
        <f t="shared" si="294"/>
        <v>2864</v>
      </c>
      <c r="CA41" s="824">
        <f t="shared" si="66"/>
        <v>-12.9</v>
      </c>
      <c r="CB41" s="823">
        <f t="shared" si="295"/>
        <v>637</v>
      </c>
      <c r="CC41" s="824">
        <f t="shared" si="32"/>
        <v>76.900000000000006</v>
      </c>
      <c r="CD41" s="844">
        <v>20689</v>
      </c>
      <c r="CE41" s="844">
        <v>3103</v>
      </c>
      <c r="CF41" s="844">
        <v>16954</v>
      </c>
      <c r="CG41" s="824">
        <f t="shared" si="33"/>
        <v>-18.100000000000001</v>
      </c>
      <c r="CH41" s="844">
        <v>8277</v>
      </c>
      <c r="CI41" s="824">
        <f t="shared" si="34"/>
        <v>166.7</v>
      </c>
      <c r="CJ41" s="844">
        <f t="shared" si="296"/>
        <v>4319</v>
      </c>
      <c r="CK41" s="844">
        <f t="shared" si="297"/>
        <v>1103</v>
      </c>
      <c r="CL41" s="844">
        <f t="shared" si="298"/>
        <v>2816</v>
      </c>
      <c r="CM41" s="824">
        <f t="shared" si="69"/>
        <v>-34.799999999999997</v>
      </c>
      <c r="CN41" s="844">
        <f t="shared" si="299"/>
        <v>1187</v>
      </c>
      <c r="CO41" s="824">
        <f t="shared" si="35"/>
        <v>7.6</v>
      </c>
      <c r="CP41" s="940">
        <v>25008</v>
      </c>
      <c r="CQ41" s="940">
        <v>4206</v>
      </c>
      <c r="CR41" s="940">
        <v>19770</v>
      </c>
      <c r="CS41" s="824">
        <f t="shared" si="36"/>
        <v>-20.9</v>
      </c>
      <c r="CT41" s="940">
        <v>9464</v>
      </c>
      <c r="CU41" s="824">
        <f t="shared" si="37"/>
        <v>125</v>
      </c>
      <c r="CV41" s="844">
        <f t="shared" si="300"/>
        <v>4486</v>
      </c>
      <c r="CW41" s="844">
        <f t="shared" si="301"/>
        <v>226</v>
      </c>
      <c r="CX41" s="844">
        <f t="shared" si="302"/>
        <v>3107</v>
      </c>
      <c r="CY41" s="824">
        <f t="shared" si="72"/>
        <v>-30.7</v>
      </c>
      <c r="CZ41" s="844">
        <f t="shared" si="303"/>
        <v>988</v>
      </c>
      <c r="DA41" s="824">
        <f t="shared" si="38"/>
        <v>337.2</v>
      </c>
      <c r="DB41" s="844">
        <v>29494</v>
      </c>
      <c r="DC41" s="844">
        <v>4432</v>
      </c>
      <c r="DD41" s="844">
        <v>22877</v>
      </c>
      <c r="DE41" s="824">
        <f t="shared" si="39"/>
        <v>-22.4</v>
      </c>
      <c r="DF41" s="844">
        <v>10452</v>
      </c>
      <c r="DG41" s="824">
        <f t="shared" si="40"/>
        <v>135.80000000000001</v>
      </c>
      <c r="DH41" s="844">
        <f t="shared" si="304"/>
        <v>4570</v>
      </c>
      <c r="DI41" s="844">
        <f t="shared" si="304"/>
        <v>307</v>
      </c>
      <c r="DJ41" s="844">
        <f t="shared" si="304"/>
        <v>3112</v>
      </c>
      <c r="DK41" s="824">
        <f t="shared" si="75"/>
        <v>-31.9</v>
      </c>
      <c r="DL41" s="844">
        <f t="shared" si="305"/>
        <v>948</v>
      </c>
      <c r="DM41" s="824">
        <f t="shared" si="41"/>
        <v>208.8</v>
      </c>
      <c r="DN41" s="844">
        <v>34064</v>
      </c>
      <c r="DO41" s="844">
        <v>4739</v>
      </c>
      <c r="DP41" s="844">
        <v>25989</v>
      </c>
      <c r="DQ41" s="824">
        <f t="shared" si="42"/>
        <v>-23.7</v>
      </c>
      <c r="DR41" s="844">
        <v>11400</v>
      </c>
      <c r="DS41" s="824">
        <f t="shared" si="43"/>
        <v>140.6</v>
      </c>
      <c r="DT41" s="844">
        <f t="shared" si="306"/>
        <v>6137</v>
      </c>
      <c r="DU41" s="844">
        <f t="shared" si="306"/>
        <v>2508</v>
      </c>
      <c r="DV41" s="844">
        <f t="shared" si="306"/>
        <v>2905</v>
      </c>
      <c r="DW41" s="824">
        <f t="shared" si="78"/>
        <v>-52.7</v>
      </c>
      <c r="DX41" s="844">
        <f t="shared" si="307"/>
        <v>1536</v>
      </c>
      <c r="DY41" s="824">
        <f t="shared" si="44"/>
        <v>-38.799999999999997</v>
      </c>
      <c r="DZ41" s="844">
        <v>40201</v>
      </c>
      <c r="EA41" s="844">
        <v>7247</v>
      </c>
      <c r="EB41" s="844">
        <v>28894</v>
      </c>
      <c r="EC41" s="824">
        <f t="shared" si="45"/>
        <v>-28.1</v>
      </c>
      <c r="ED41" s="844">
        <v>12936</v>
      </c>
      <c r="EE41" s="824">
        <f t="shared" si="46"/>
        <v>78.5</v>
      </c>
      <c r="EF41" s="844">
        <f t="shared" si="308"/>
        <v>5886</v>
      </c>
      <c r="EG41" s="844">
        <f t="shared" si="308"/>
        <v>1264</v>
      </c>
      <c r="EH41" s="844">
        <f t="shared" si="308"/>
        <v>2951</v>
      </c>
      <c r="EI41" s="824">
        <f t="shared" si="81"/>
        <v>-49.9</v>
      </c>
      <c r="EJ41" s="844">
        <f t="shared" si="309"/>
        <v>1657</v>
      </c>
      <c r="EK41" s="824">
        <f t="shared" si="47"/>
        <v>31.1</v>
      </c>
      <c r="EL41" s="844">
        <v>46087</v>
      </c>
      <c r="EM41" s="844">
        <v>8511</v>
      </c>
      <c r="EN41" s="844">
        <v>31845</v>
      </c>
      <c r="EO41" s="824">
        <f t="shared" si="48"/>
        <v>-30.9</v>
      </c>
      <c r="EP41" s="844">
        <v>14593</v>
      </c>
      <c r="EQ41" s="824">
        <f t="shared" si="49"/>
        <v>71.5</v>
      </c>
    </row>
    <row r="42" spans="1:147" ht="21.75" customHeight="1">
      <c r="A42" s="1129"/>
      <c r="B42" s="1129" t="s">
        <v>273</v>
      </c>
      <c r="C42" s="118" t="s">
        <v>271</v>
      </c>
      <c r="D42" s="119">
        <v>4944</v>
      </c>
      <c r="E42" s="119">
        <v>24415</v>
      </c>
      <c r="F42" s="119">
        <v>4964</v>
      </c>
      <c r="G42" s="119">
        <v>17056</v>
      </c>
      <c r="H42" s="119">
        <v>14475</v>
      </c>
      <c r="I42" s="119">
        <v>18895</v>
      </c>
      <c r="J42" s="119">
        <v>4114</v>
      </c>
      <c r="K42" s="119">
        <v>19121</v>
      </c>
      <c r="L42" s="119">
        <v>5333</v>
      </c>
      <c r="M42" s="119">
        <v>18205</v>
      </c>
      <c r="N42" s="119">
        <v>13284</v>
      </c>
      <c r="O42" s="119">
        <v>24934</v>
      </c>
      <c r="P42" s="119">
        <v>6328</v>
      </c>
      <c r="Q42" s="119">
        <v>23280</v>
      </c>
      <c r="R42" s="296">
        <v>1902</v>
      </c>
      <c r="S42" s="296">
        <v>29120</v>
      </c>
      <c r="T42" s="296">
        <v>1945</v>
      </c>
      <c r="U42" s="296">
        <v>33849</v>
      </c>
      <c r="V42" s="296">
        <v>209</v>
      </c>
      <c r="W42" s="296">
        <v>3649</v>
      </c>
      <c r="X42" s="296">
        <v>80</v>
      </c>
      <c r="Y42" s="120">
        <f t="shared" si="18"/>
        <v>-61.7</v>
      </c>
      <c r="Z42" s="296">
        <v>2897</v>
      </c>
      <c r="AA42" s="120">
        <f t="shared" si="19"/>
        <v>-20.6</v>
      </c>
      <c r="AB42" s="296">
        <f t="shared" si="278"/>
        <v>142</v>
      </c>
      <c r="AC42" s="296">
        <f t="shared" si="279"/>
        <v>2849</v>
      </c>
      <c r="AD42" s="296">
        <f t="shared" si="280"/>
        <v>222</v>
      </c>
      <c r="AE42" s="120">
        <f t="shared" si="54"/>
        <v>56.3</v>
      </c>
      <c r="AF42" s="296">
        <f t="shared" si="281"/>
        <v>2279</v>
      </c>
      <c r="AG42" s="120">
        <f t="shared" si="20"/>
        <v>-20</v>
      </c>
      <c r="AH42" s="296">
        <v>351</v>
      </c>
      <c r="AI42" s="436">
        <v>6498</v>
      </c>
      <c r="AJ42" s="296">
        <v>302</v>
      </c>
      <c r="AK42" s="120">
        <f t="shared" si="21"/>
        <v>-14</v>
      </c>
      <c r="AL42" s="296">
        <v>5176</v>
      </c>
      <c r="AM42" s="120">
        <f t="shared" si="22"/>
        <v>-20.3</v>
      </c>
      <c r="AN42" s="296">
        <f t="shared" si="282"/>
        <v>207</v>
      </c>
      <c r="AO42" s="296">
        <f t="shared" si="283"/>
        <v>2828</v>
      </c>
      <c r="AP42" s="296">
        <f t="shared" si="284"/>
        <v>24</v>
      </c>
      <c r="AQ42" s="120">
        <f t="shared" si="57"/>
        <v>-88.4</v>
      </c>
      <c r="AR42" s="296">
        <f t="shared" si="285"/>
        <v>1830</v>
      </c>
      <c r="AS42" s="120">
        <f t="shared" si="23"/>
        <v>-35.299999999999997</v>
      </c>
      <c r="AT42" s="296">
        <v>558</v>
      </c>
      <c r="AU42" s="436">
        <v>9326</v>
      </c>
      <c r="AV42" s="296">
        <v>326</v>
      </c>
      <c r="AW42" s="120">
        <f t="shared" si="24"/>
        <v>-41.6</v>
      </c>
      <c r="AX42" s="296">
        <v>7006</v>
      </c>
      <c r="AY42" s="120">
        <f t="shared" si="25"/>
        <v>-24.9</v>
      </c>
      <c r="AZ42" s="296">
        <f t="shared" si="286"/>
        <v>103</v>
      </c>
      <c r="BA42" s="296">
        <f t="shared" si="287"/>
        <v>2931</v>
      </c>
      <c r="BB42" s="296">
        <f t="shared" si="288"/>
        <v>14</v>
      </c>
      <c r="BC42" s="120">
        <f t="shared" si="60"/>
        <v>-86.4</v>
      </c>
      <c r="BD42" s="296">
        <f t="shared" si="289"/>
        <v>2194</v>
      </c>
      <c r="BE42" s="120">
        <f t="shared" si="26"/>
        <v>-25.1</v>
      </c>
      <c r="BF42" s="296">
        <v>661</v>
      </c>
      <c r="BG42" s="436">
        <v>12257</v>
      </c>
      <c r="BH42" s="296">
        <v>340</v>
      </c>
      <c r="BI42" s="120">
        <f t="shared" si="27"/>
        <v>-48.6</v>
      </c>
      <c r="BJ42" s="296">
        <v>9200</v>
      </c>
      <c r="BK42" s="120">
        <f t="shared" si="28"/>
        <v>-24.9</v>
      </c>
      <c r="BL42" s="296">
        <f t="shared" si="290"/>
        <v>225</v>
      </c>
      <c r="BM42" s="296">
        <f t="shared" si="290"/>
        <v>3352</v>
      </c>
      <c r="BN42" s="296">
        <f t="shared" si="290"/>
        <v>29</v>
      </c>
      <c r="BO42" s="120">
        <f t="shared" si="63"/>
        <v>-87.1</v>
      </c>
      <c r="BP42" s="296">
        <f t="shared" si="291"/>
        <v>1945</v>
      </c>
      <c r="BQ42" s="120">
        <f t="shared" si="29"/>
        <v>-42</v>
      </c>
      <c r="BR42" s="296">
        <v>886</v>
      </c>
      <c r="BS42" s="436">
        <v>15609</v>
      </c>
      <c r="BT42" s="296">
        <v>369</v>
      </c>
      <c r="BU42" s="120">
        <f t="shared" si="30"/>
        <v>-58.4</v>
      </c>
      <c r="BV42" s="296">
        <v>11145</v>
      </c>
      <c r="BW42" s="120">
        <f t="shared" si="31"/>
        <v>-28.6</v>
      </c>
      <c r="BX42" s="821">
        <f t="shared" si="292"/>
        <v>177</v>
      </c>
      <c r="BY42" s="821">
        <f t="shared" si="293"/>
        <v>2472</v>
      </c>
      <c r="BZ42" s="821">
        <f t="shared" si="294"/>
        <v>208</v>
      </c>
      <c r="CA42" s="822">
        <f t="shared" si="66"/>
        <v>17.5</v>
      </c>
      <c r="CB42" s="821">
        <f t="shared" si="295"/>
        <v>2567</v>
      </c>
      <c r="CC42" s="822">
        <f t="shared" si="32"/>
        <v>3.8</v>
      </c>
      <c r="CD42" s="840">
        <v>1063</v>
      </c>
      <c r="CE42" s="838">
        <v>18081</v>
      </c>
      <c r="CF42" s="840">
        <v>577</v>
      </c>
      <c r="CG42" s="822">
        <f t="shared" si="33"/>
        <v>-45.7</v>
      </c>
      <c r="CH42" s="840">
        <v>13712</v>
      </c>
      <c r="CI42" s="822">
        <f t="shared" si="34"/>
        <v>-24.2</v>
      </c>
      <c r="CJ42" s="840">
        <f t="shared" si="296"/>
        <v>35</v>
      </c>
      <c r="CK42" s="840">
        <f t="shared" si="297"/>
        <v>2537</v>
      </c>
      <c r="CL42" s="840">
        <f t="shared" si="298"/>
        <v>337</v>
      </c>
      <c r="CM42" s="822">
        <f t="shared" si="69"/>
        <v>862.9</v>
      </c>
      <c r="CN42" s="840">
        <f t="shared" si="299"/>
        <v>1888</v>
      </c>
      <c r="CO42" s="822">
        <f t="shared" si="35"/>
        <v>-25.6</v>
      </c>
      <c r="CP42" s="939">
        <v>1098</v>
      </c>
      <c r="CQ42" s="945">
        <v>20618</v>
      </c>
      <c r="CR42" s="939">
        <v>914</v>
      </c>
      <c r="CS42" s="822">
        <f t="shared" si="36"/>
        <v>-16.8</v>
      </c>
      <c r="CT42" s="939">
        <v>15600</v>
      </c>
      <c r="CU42" s="822">
        <f t="shared" si="37"/>
        <v>-24.3</v>
      </c>
      <c r="CV42" s="840">
        <f t="shared" si="300"/>
        <v>221</v>
      </c>
      <c r="CW42" s="840">
        <f t="shared" si="301"/>
        <v>2927</v>
      </c>
      <c r="CX42" s="840">
        <f t="shared" si="302"/>
        <v>132</v>
      </c>
      <c r="CY42" s="822">
        <f t="shared" si="72"/>
        <v>-40.299999999999997</v>
      </c>
      <c r="CZ42" s="840">
        <f t="shared" si="303"/>
        <v>2447</v>
      </c>
      <c r="DA42" s="822">
        <f t="shared" si="38"/>
        <v>-16.399999999999999</v>
      </c>
      <c r="DB42" s="840">
        <v>1319</v>
      </c>
      <c r="DC42" s="838">
        <v>23545</v>
      </c>
      <c r="DD42" s="840">
        <v>1046</v>
      </c>
      <c r="DE42" s="822">
        <f t="shared" si="39"/>
        <v>-20.7</v>
      </c>
      <c r="DF42" s="840">
        <v>18047</v>
      </c>
      <c r="DG42" s="822">
        <f t="shared" si="40"/>
        <v>-23.4</v>
      </c>
      <c r="DH42" s="840">
        <f t="shared" si="304"/>
        <v>211</v>
      </c>
      <c r="DI42" s="840">
        <f t="shared" si="304"/>
        <v>2014</v>
      </c>
      <c r="DJ42" s="840">
        <f t="shared" si="304"/>
        <v>165</v>
      </c>
      <c r="DK42" s="822">
        <f t="shared" si="75"/>
        <v>-21.8</v>
      </c>
      <c r="DL42" s="840">
        <f t="shared" si="305"/>
        <v>2289</v>
      </c>
      <c r="DM42" s="822">
        <f t="shared" si="41"/>
        <v>13.7</v>
      </c>
      <c r="DN42" s="840">
        <v>1530</v>
      </c>
      <c r="DO42" s="838">
        <v>25559</v>
      </c>
      <c r="DP42" s="840">
        <v>1211</v>
      </c>
      <c r="DQ42" s="822">
        <f t="shared" si="42"/>
        <v>-20.8</v>
      </c>
      <c r="DR42" s="840">
        <v>20336</v>
      </c>
      <c r="DS42" s="822">
        <f t="shared" si="43"/>
        <v>-20.399999999999999</v>
      </c>
      <c r="DT42" s="840">
        <f t="shared" si="306"/>
        <v>142</v>
      </c>
      <c r="DU42" s="840">
        <f t="shared" si="306"/>
        <v>3081</v>
      </c>
      <c r="DV42" s="840">
        <f t="shared" si="306"/>
        <v>186</v>
      </c>
      <c r="DW42" s="822">
        <f t="shared" si="78"/>
        <v>31</v>
      </c>
      <c r="DX42" s="840">
        <f t="shared" si="307"/>
        <v>2615</v>
      </c>
      <c r="DY42" s="822">
        <f t="shared" si="44"/>
        <v>-15.1</v>
      </c>
      <c r="DZ42" s="840">
        <v>1672</v>
      </c>
      <c r="EA42" s="838">
        <v>28640</v>
      </c>
      <c r="EB42" s="840">
        <v>1397</v>
      </c>
      <c r="EC42" s="822">
        <f t="shared" si="45"/>
        <v>-16.399999999999999</v>
      </c>
      <c r="ED42" s="840">
        <v>22951</v>
      </c>
      <c r="EE42" s="822">
        <f t="shared" si="46"/>
        <v>-19.899999999999999</v>
      </c>
      <c r="EF42" s="840">
        <f t="shared" si="308"/>
        <v>116</v>
      </c>
      <c r="EG42" s="840">
        <f t="shared" si="308"/>
        <v>2580</v>
      </c>
      <c r="EH42" s="840">
        <f t="shared" si="308"/>
        <v>178</v>
      </c>
      <c r="EI42" s="822">
        <f t="shared" si="81"/>
        <v>53.4</v>
      </c>
      <c r="EJ42" s="840">
        <f t="shared" si="309"/>
        <v>2324</v>
      </c>
      <c r="EK42" s="822">
        <f t="shared" si="47"/>
        <v>-9.9</v>
      </c>
      <c r="EL42" s="840">
        <v>1788</v>
      </c>
      <c r="EM42" s="838">
        <v>31220</v>
      </c>
      <c r="EN42" s="840">
        <v>1575</v>
      </c>
      <c r="EO42" s="822">
        <f t="shared" si="48"/>
        <v>-11.9</v>
      </c>
      <c r="EP42" s="840">
        <v>25275</v>
      </c>
      <c r="EQ42" s="822">
        <f t="shared" si="49"/>
        <v>-19</v>
      </c>
    </row>
    <row r="43" spans="1:147" ht="21.75" customHeight="1">
      <c r="A43" s="1129"/>
      <c r="B43" s="1129"/>
      <c r="C43" s="121" t="s">
        <v>272</v>
      </c>
      <c r="D43" s="122">
        <v>97136</v>
      </c>
      <c r="E43" s="122">
        <v>604976</v>
      </c>
      <c r="F43" s="122">
        <v>79509</v>
      </c>
      <c r="G43" s="122">
        <v>313527</v>
      </c>
      <c r="H43" s="122">
        <v>209121</v>
      </c>
      <c r="I43" s="122">
        <v>292474</v>
      </c>
      <c r="J43" s="122">
        <v>70644</v>
      </c>
      <c r="K43" s="122">
        <v>324935</v>
      </c>
      <c r="L43" s="122">
        <v>54346</v>
      </c>
      <c r="M43" s="122">
        <v>233949</v>
      </c>
      <c r="N43" s="122">
        <v>117392</v>
      </c>
      <c r="O43" s="122">
        <v>235525</v>
      </c>
      <c r="P43" s="122">
        <v>65853</v>
      </c>
      <c r="Q43" s="122">
        <v>251766</v>
      </c>
      <c r="R43" s="297">
        <v>28052</v>
      </c>
      <c r="S43" s="297">
        <v>402545</v>
      </c>
      <c r="T43" s="297">
        <v>28403</v>
      </c>
      <c r="U43" s="297">
        <v>471344</v>
      </c>
      <c r="V43" s="297">
        <v>2485</v>
      </c>
      <c r="W43" s="297">
        <v>43905</v>
      </c>
      <c r="X43" s="297">
        <v>1204</v>
      </c>
      <c r="Y43" s="123">
        <f t="shared" si="18"/>
        <v>-51.5</v>
      </c>
      <c r="Z43" s="297">
        <v>44000</v>
      </c>
      <c r="AA43" s="123">
        <f t="shared" si="19"/>
        <v>0.2</v>
      </c>
      <c r="AB43" s="297">
        <f t="shared" si="278"/>
        <v>1815</v>
      </c>
      <c r="AC43" s="297">
        <f t="shared" si="279"/>
        <v>35055</v>
      </c>
      <c r="AD43" s="297">
        <f t="shared" si="280"/>
        <v>2939</v>
      </c>
      <c r="AE43" s="123">
        <f t="shared" si="54"/>
        <v>61.9</v>
      </c>
      <c r="AF43" s="297">
        <f t="shared" si="281"/>
        <v>33432</v>
      </c>
      <c r="AG43" s="123">
        <f t="shared" si="20"/>
        <v>-4.5999999999999996</v>
      </c>
      <c r="AH43" s="297">
        <v>4300</v>
      </c>
      <c r="AI43" s="437">
        <v>78960</v>
      </c>
      <c r="AJ43" s="297">
        <v>4143</v>
      </c>
      <c r="AK43" s="123">
        <f t="shared" si="21"/>
        <v>-3.7</v>
      </c>
      <c r="AL43" s="297">
        <v>77432</v>
      </c>
      <c r="AM43" s="123">
        <f t="shared" si="22"/>
        <v>-1.9</v>
      </c>
      <c r="AN43" s="297">
        <f t="shared" si="282"/>
        <v>2918</v>
      </c>
      <c r="AO43" s="297">
        <f t="shared" si="283"/>
        <v>35538</v>
      </c>
      <c r="AP43" s="297">
        <f t="shared" si="284"/>
        <v>420</v>
      </c>
      <c r="AQ43" s="123">
        <f t="shared" si="57"/>
        <v>-85.6</v>
      </c>
      <c r="AR43" s="297">
        <f t="shared" si="285"/>
        <v>24863</v>
      </c>
      <c r="AS43" s="123">
        <f t="shared" si="23"/>
        <v>-30</v>
      </c>
      <c r="AT43" s="297">
        <v>7218</v>
      </c>
      <c r="AU43" s="437">
        <v>114498</v>
      </c>
      <c r="AV43" s="297">
        <v>4563</v>
      </c>
      <c r="AW43" s="123">
        <f t="shared" si="24"/>
        <v>-36.799999999999997</v>
      </c>
      <c r="AX43" s="297">
        <v>102295</v>
      </c>
      <c r="AY43" s="123">
        <f t="shared" si="25"/>
        <v>-10.7</v>
      </c>
      <c r="AZ43" s="297">
        <f t="shared" si="286"/>
        <v>1407</v>
      </c>
      <c r="BA43" s="297">
        <f t="shared" si="287"/>
        <v>39023</v>
      </c>
      <c r="BB43" s="297">
        <f t="shared" si="288"/>
        <v>206</v>
      </c>
      <c r="BC43" s="123">
        <f t="shared" si="60"/>
        <v>-85.4</v>
      </c>
      <c r="BD43" s="297">
        <f t="shared" si="289"/>
        <v>28117</v>
      </c>
      <c r="BE43" s="123">
        <f t="shared" si="26"/>
        <v>-27.9</v>
      </c>
      <c r="BF43" s="297">
        <v>8625</v>
      </c>
      <c r="BG43" s="437">
        <v>153521</v>
      </c>
      <c r="BH43" s="297">
        <v>4769</v>
      </c>
      <c r="BI43" s="123">
        <f t="shared" si="27"/>
        <v>-44.7</v>
      </c>
      <c r="BJ43" s="297">
        <v>130412</v>
      </c>
      <c r="BK43" s="123">
        <f t="shared" si="28"/>
        <v>-15.1</v>
      </c>
      <c r="BL43" s="297">
        <f t="shared" si="290"/>
        <v>2857</v>
      </c>
      <c r="BM43" s="297">
        <f t="shared" si="290"/>
        <v>43309</v>
      </c>
      <c r="BN43" s="297">
        <f t="shared" si="290"/>
        <v>358</v>
      </c>
      <c r="BO43" s="123">
        <f t="shared" si="63"/>
        <v>-87.5</v>
      </c>
      <c r="BP43" s="297">
        <f t="shared" si="291"/>
        <v>24653</v>
      </c>
      <c r="BQ43" s="123">
        <f t="shared" si="29"/>
        <v>-43.1</v>
      </c>
      <c r="BR43" s="297">
        <v>11482</v>
      </c>
      <c r="BS43" s="437">
        <v>196830</v>
      </c>
      <c r="BT43" s="297">
        <v>5127</v>
      </c>
      <c r="BU43" s="123">
        <f t="shared" si="30"/>
        <v>-55.3</v>
      </c>
      <c r="BV43" s="297">
        <v>155065</v>
      </c>
      <c r="BW43" s="123">
        <f t="shared" si="31"/>
        <v>-21.2</v>
      </c>
      <c r="BX43" s="823">
        <f t="shared" si="292"/>
        <v>2239</v>
      </c>
      <c r="BY43" s="823">
        <f t="shared" si="293"/>
        <v>33357</v>
      </c>
      <c r="BZ43" s="823">
        <f t="shared" si="294"/>
        <v>2683</v>
      </c>
      <c r="CA43" s="824">
        <f t="shared" si="66"/>
        <v>19.8</v>
      </c>
      <c r="CB43" s="823">
        <f t="shared" si="295"/>
        <v>31845</v>
      </c>
      <c r="CC43" s="824">
        <f t="shared" si="32"/>
        <v>-4.5</v>
      </c>
      <c r="CD43" s="844">
        <v>13721</v>
      </c>
      <c r="CE43" s="839">
        <v>230187</v>
      </c>
      <c r="CF43" s="844">
        <v>7810</v>
      </c>
      <c r="CG43" s="824">
        <f t="shared" si="33"/>
        <v>-43.1</v>
      </c>
      <c r="CH43" s="844">
        <v>186910</v>
      </c>
      <c r="CI43" s="824">
        <f t="shared" si="34"/>
        <v>-18.8</v>
      </c>
      <c r="CJ43" s="844">
        <f t="shared" si="296"/>
        <v>591</v>
      </c>
      <c r="CK43" s="844">
        <f t="shared" si="297"/>
        <v>32934</v>
      </c>
      <c r="CL43" s="844">
        <f t="shared" si="298"/>
        <v>4401</v>
      </c>
      <c r="CM43" s="824">
        <f t="shared" si="69"/>
        <v>644.70000000000005</v>
      </c>
      <c r="CN43" s="844">
        <f t="shared" si="299"/>
        <v>25363</v>
      </c>
      <c r="CO43" s="824">
        <f t="shared" si="35"/>
        <v>-23</v>
      </c>
      <c r="CP43" s="940">
        <v>14312</v>
      </c>
      <c r="CQ43" s="946">
        <v>263121</v>
      </c>
      <c r="CR43" s="940">
        <v>12211</v>
      </c>
      <c r="CS43" s="824">
        <f t="shared" si="36"/>
        <v>-14.7</v>
      </c>
      <c r="CT43" s="940">
        <v>212273</v>
      </c>
      <c r="CU43" s="824">
        <f t="shared" si="37"/>
        <v>-19.3</v>
      </c>
      <c r="CV43" s="844">
        <f t="shared" si="300"/>
        <v>3734</v>
      </c>
      <c r="CW43" s="844">
        <f t="shared" si="301"/>
        <v>41056</v>
      </c>
      <c r="CX43" s="844">
        <f t="shared" si="302"/>
        <v>1958</v>
      </c>
      <c r="CY43" s="824">
        <f t="shared" si="72"/>
        <v>-47.6</v>
      </c>
      <c r="CZ43" s="844">
        <f t="shared" si="303"/>
        <v>34203</v>
      </c>
      <c r="DA43" s="824">
        <f t="shared" si="38"/>
        <v>-16.7</v>
      </c>
      <c r="DB43" s="844">
        <v>18046</v>
      </c>
      <c r="DC43" s="839">
        <v>304177</v>
      </c>
      <c r="DD43" s="844">
        <v>14169</v>
      </c>
      <c r="DE43" s="824">
        <f t="shared" si="39"/>
        <v>-21.5</v>
      </c>
      <c r="DF43" s="844">
        <v>246476</v>
      </c>
      <c r="DG43" s="824">
        <f t="shared" si="40"/>
        <v>-19</v>
      </c>
      <c r="DH43" s="844">
        <f t="shared" si="304"/>
        <v>3636</v>
      </c>
      <c r="DI43" s="844">
        <f t="shared" si="304"/>
        <v>29080</v>
      </c>
      <c r="DJ43" s="844">
        <f t="shared" si="304"/>
        <v>2533</v>
      </c>
      <c r="DK43" s="824">
        <f t="shared" si="75"/>
        <v>-30.3</v>
      </c>
      <c r="DL43" s="844">
        <f t="shared" si="305"/>
        <v>33585</v>
      </c>
      <c r="DM43" s="824">
        <f t="shared" si="41"/>
        <v>15.5</v>
      </c>
      <c r="DN43" s="844">
        <v>21682</v>
      </c>
      <c r="DO43" s="839">
        <v>333257</v>
      </c>
      <c r="DP43" s="844">
        <v>16702</v>
      </c>
      <c r="DQ43" s="824">
        <f t="shared" si="42"/>
        <v>-23</v>
      </c>
      <c r="DR43" s="844">
        <v>280061</v>
      </c>
      <c r="DS43" s="824">
        <f t="shared" si="43"/>
        <v>-16</v>
      </c>
      <c r="DT43" s="844">
        <f t="shared" si="306"/>
        <v>2549</v>
      </c>
      <c r="DU43" s="844">
        <f t="shared" si="306"/>
        <v>50345</v>
      </c>
      <c r="DV43" s="844">
        <f t="shared" si="306"/>
        <v>2963</v>
      </c>
      <c r="DW43" s="824">
        <f t="shared" si="78"/>
        <v>16.2</v>
      </c>
      <c r="DX43" s="844">
        <f t="shared" si="307"/>
        <v>40696</v>
      </c>
      <c r="DY43" s="824">
        <f t="shared" si="44"/>
        <v>-19.2</v>
      </c>
      <c r="DZ43" s="844">
        <v>24231</v>
      </c>
      <c r="EA43" s="839">
        <v>383602</v>
      </c>
      <c r="EB43" s="844">
        <v>19665</v>
      </c>
      <c r="EC43" s="824">
        <f t="shared" si="45"/>
        <v>-18.8</v>
      </c>
      <c r="ED43" s="844">
        <v>320757</v>
      </c>
      <c r="EE43" s="824">
        <f t="shared" si="46"/>
        <v>-16.399999999999999</v>
      </c>
      <c r="EF43" s="844">
        <f t="shared" si="308"/>
        <v>1888</v>
      </c>
      <c r="EG43" s="844">
        <f t="shared" si="308"/>
        <v>43477</v>
      </c>
      <c r="EH43" s="844">
        <f t="shared" si="308"/>
        <v>2788</v>
      </c>
      <c r="EI43" s="824">
        <f t="shared" si="81"/>
        <v>47.7</v>
      </c>
      <c r="EJ43" s="844">
        <f t="shared" si="309"/>
        <v>36592</v>
      </c>
      <c r="EK43" s="824">
        <f t="shared" si="47"/>
        <v>-15.8</v>
      </c>
      <c r="EL43" s="844">
        <v>26119</v>
      </c>
      <c r="EM43" s="839">
        <v>427079</v>
      </c>
      <c r="EN43" s="844">
        <v>22453</v>
      </c>
      <c r="EO43" s="824">
        <f t="shared" si="48"/>
        <v>-14</v>
      </c>
      <c r="EP43" s="844">
        <v>357349</v>
      </c>
      <c r="EQ43" s="824">
        <f t="shared" si="49"/>
        <v>-16.3</v>
      </c>
    </row>
    <row r="44" spans="1:147" ht="21.75" customHeight="1">
      <c r="A44" s="1129"/>
      <c r="B44" s="1133" t="s">
        <v>274</v>
      </c>
      <c r="C44" s="118" t="s">
        <v>271</v>
      </c>
      <c r="D44" s="119">
        <f t="shared" ref="D44:M44" si="310">D46-D40-D42</f>
        <v>6650</v>
      </c>
      <c r="E44" s="119">
        <f t="shared" si="310"/>
        <v>36205</v>
      </c>
      <c r="F44" s="119">
        <f t="shared" si="310"/>
        <v>3074</v>
      </c>
      <c r="G44" s="119">
        <f t="shared" si="310"/>
        <v>32957</v>
      </c>
      <c r="H44" s="119">
        <f t="shared" si="310"/>
        <v>2078</v>
      </c>
      <c r="I44" s="119">
        <f t="shared" si="310"/>
        <v>38297</v>
      </c>
      <c r="J44" s="119">
        <f t="shared" si="310"/>
        <v>2262</v>
      </c>
      <c r="K44" s="119">
        <f t="shared" si="310"/>
        <v>25774</v>
      </c>
      <c r="L44" s="119">
        <f t="shared" si="310"/>
        <v>2411</v>
      </c>
      <c r="M44" s="119">
        <f t="shared" si="310"/>
        <v>25423</v>
      </c>
      <c r="N44" s="119">
        <f t="shared" ref="N44:P45" si="311">N46-N40-N42</f>
        <v>2688</v>
      </c>
      <c r="O44" s="119">
        <f>O46-O40-O42</f>
        <v>36007</v>
      </c>
      <c r="P44" s="119">
        <f t="shared" si="311"/>
        <v>2947</v>
      </c>
      <c r="Q44" s="119">
        <f t="shared" ref="Q44:X45" si="312">Q46-Q40-Q42</f>
        <v>30776</v>
      </c>
      <c r="R44" s="296">
        <f t="shared" si="312"/>
        <v>2924</v>
      </c>
      <c r="S44" s="296">
        <f t="shared" si="312"/>
        <v>25406</v>
      </c>
      <c r="T44" s="296">
        <f t="shared" si="312"/>
        <v>8835</v>
      </c>
      <c r="U44" s="296">
        <f>U46-U40-U42</f>
        <v>24614</v>
      </c>
      <c r="V44" s="296">
        <f t="shared" si="312"/>
        <v>459</v>
      </c>
      <c r="W44" s="296">
        <f t="shared" si="312"/>
        <v>2115</v>
      </c>
      <c r="X44" s="296">
        <f t="shared" si="312"/>
        <v>457</v>
      </c>
      <c r="Y44" s="120">
        <f t="shared" si="18"/>
        <v>-0.4</v>
      </c>
      <c r="Z44" s="296">
        <f>Z46-Z40-Z42</f>
        <v>1520</v>
      </c>
      <c r="AA44" s="120">
        <f t="shared" si="19"/>
        <v>-28.1</v>
      </c>
      <c r="AB44" s="296">
        <f t="shared" ref="AB44:AD45" si="313">AB46-AB40-AB42</f>
        <v>471</v>
      </c>
      <c r="AC44" s="296">
        <f t="shared" si="313"/>
        <v>1253</v>
      </c>
      <c r="AD44" s="296">
        <f t="shared" si="313"/>
        <v>127</v>
      </c>
      <c r="AE44" s="120">
        <f t="shared" si="54"/>
        <v>-73</v>
      </c>
      <c r="AF44" s="296">
        <f>AF46-AF40-AF42</f>
        <v>2697</v>
      </c>
      <c r="AG44" s="120">
        <f t="shared" si="20"/>
        <v>115.2</v>
      </c>
      <c r="AH44" s="296">
        <f t="shared" ref="AH44:AJ45" si="314">AH46-AH40-AH42</f>
        <v>930</v>
      </c>
      <c r="AI44" s="296">
        <f t="shared" si="314"/>
        <v>3368</v>
      </c>
      <c r="AJ44" s="296">
        <f t="shared" si="314"/>
        <v>584</v>
      </c>
      <c r="AK44" s="120">
        <f t="shared" si="21"/>
        <v>-37.200000000000003</v>
      </c>
      <c r="AL44" s="296">
        <f>AL46-AL40-AL42</f>
        <v>4217</v>
      </c>
      <c r="AM44" s="120">
        <f t="shared" si="22"/>
        <v>25.2</v>
      </c>
      <c r="AN44" s="296">
        <f t="shared" ref="AN44:AP45" si="315">AN46-AN40-AN42</f>
        <v>1088</v>
      </c>
      <c r="AO44" s="296">
        <f t="shared" si="315"/>
        <v>1973</v>
      </c>
      <c r="AP44" s="296">
        <f t="shared" si="315"/>
        <v>653</v>
      </c>
      <c r="AQ44" s="120">
        <f t="shared" si="57"/>
        <v>-40</v>
      </c>
      <c r="AR44" s="296">
        <f>AR46-AR40-AR42</f>
        <v>2525</v>
      </c>
      <c r="AS44" s="120">
        <f t="shared" si="23"/>
        <v>28</v>
      </c>
      <c r="AT44" s="296">
        <f t="shared" ref="AT44:AV45" si="316">AT46-AT40-AT42</f>
        <v>2018</v>
      </c>
      <c r="AU44" s="296">
        <f t="shared" si="316"/>
        <v>5341</v>
      </c>
      <c r="AV44" s="296">
        <f t="shared" si="316"/>
        <v>1237</v>
      </c>
      <c r="AW44" s="120">
        <f t="shared" si="24"/>
        <v>-38.700000000000003</v>
      </c>
      <c r="AX44" s="296">
        <f>AX46-AX40-AX42</f>
        <v>6742</v>
      </c>
      <c r="AY44" s="120">
        <f t="shared" si="25"/>
        <v>26.2</v>
      </c>
      <c r="AZ44" s="296">
        <f t="shared" ref="AZ44:BB44" si="317">AZ46-AZ40-AZ42</f>
        <v>719</v>
      </c>
      <c r="BA44" s="296">
        <f t="shared" si="317"/>
        <v>2085</v>
      </c>
      <c r="BB44" s="296">
        <f t="shared" si="317"/>
        <v>412</v>
      </c>
      <c r="BC44" s="120">
        <f t="shared" si="60"/>
        <v>-42.7</v>
      </c>
      <c r="BD44" s="296">
        <f>BD46-BD40-BD42</f>
        <v>2788</v>
      </c>
      <c r="BE44" s="120">
        <f t="shared" si="26"/>
        <v>33.700000000000003</v>
      </c>
      <c r="BF44" s="296">
        <f t="shared" ref="BF44:BH44" si="318">BF46-BF40-BF42</f>
        <v>2737</v>
      </c>
      <c r="BG44" s="296">
        <f t="shared" si="318"/>
        <v>7426</v>
      </c>
      <c r="BH44" s="296">
        <f t="shared" si="318"/>
        <v>1649</v>
      </c>
      <c r="BI44" s="120">
        <f t="shared" si="27"/>
        <v>-39.799999999999997</v>
      </c>
      <c r="BJ44" s="296">
        <f>BJ46-BJ40-BJ42</f>
        <v>9530</v>
      </c>
      <c r="BK44" s="120">
        <f t="shared" si="28"/>
        <v>28.3</v>
      </c>
      <c r="BL44" s="296">
        <f t="shared" ref="BL44:BN45" si="319">BL46-BL40-BL42</f>
        <v>571</v>
      </c>
      <c r="BM44" s="296">
        <f t="shared" si="319"/>
        <v>2453</v>
      </c>
      <c r="BN44" s="296">
        <f t="shared" si="319"/>
        <v>523</v>
      </c>
      <c r="BO44" s="120">
        <f t="shared" si="63"/>
        <v>-8.4</v>
      </c>
      <c r="BP44" s="296">
        <f>BP46-BP40-BP42</f>
        <v>1605</v>
      </c>
      <c r="BQ44" s="120">
        <f t="shared" si="29"/>
        <v>-34.6</v>
      </c>
      <c r="BR44" s="296">
        <f t="shared" ref="BR44:BT45" si="320">BR46-BR40-BR42</f>
        <v>3308</v>
      </c>
      <c r="BS44" s="296">
        <f t="shared" si="320"/>
        <v>9879</v>
      </c>
      <c r="BT44" s="296">
        <f t="shared" si="320"/>
        <v>2172</v>
      </c>
      <c r="BU44" s="120">
        <f t="shared" si="30"/>
        <v>-34.299999999999997</v>
      </c>
      <c r="BV44" s="296">
        <f>BV46-BV40-BV42</f>
        <v>11135</v>
      </c>
      <c r="BW44" s="120">
        <f t="shared" si="31"/>
        <v>12.7</v>
      </c>
      <c r="BX44" s="821">
        <f t="shared" ref="BX44:BZ44" si="321">BX46-BX40-BX42</f>
        <v>352</v>
      </c>
      <c r="BY44" s="821">
        <f t="shared" si="321"/>
        <v>1186</v>
      </c>
      <c r="BZ44" s="821">
        <f t="shared" si="321"/>
        <v>160</v>
      </c>
      <c r="CA44" s="822">
        <f t="shared" si="66"/>
        <v>-54.5</v>
      </c>
      <c r="CB44" s="821">
        <f>CB46-CB40-CB42</f>
        <v>2019</v>
      </c>
      <c r="CC44" s="822">
        <f t="shared" si="32"/>
        <v>70.2</v>
      </c>
      <c r="CD44" s="840">
        <f t="shared" ref="CD44:CF44" si="322">CD46-CD40-CD42</f>
        <v>3660</v>
      </c>
      <c r="CE44" s="840">
        <f t="shared" si="322"/>
        <v>11065</v>
      </c>
      <c r="CF44" s="840">
        <f t="shared" si="322"/>
        <v>2332</v>
      </c>
      <c r="CG44" s="822">
        <f t="shared" si="33"/>
        <v>-36.299999999999997</v>
      </c>
      <c r="CH44" s="840">
        <f>CH46-CH40-CH42</f>
        <v>13154</v>
      </c>
      <c r="CI44" s="822">
        <f t="shared" si="34"/>
        <v>18.899999999999999</v>
      </c>
      <c r="CJ44" s="840">
        <f t="shared" ref="CJ44:CL44" si="323">CJ46-CJ40-CJ42</f>
        <v>627</v>
      </c>
      <c r="CK44" s="840">
        <f t="shared" si="323"/>
        <v>1983</v>
      </c>
      <c r="CL44" s="840">
        <f t="shared" si="323"/>
        <v>307</v>
      </c>
      <c r="CM44" s="822">
        <f t="shared" si="69"/>
        <v>-51</v>
      </c>
      <c r="CN44" s="840">
        <f>CN46-CN40-CN42</f>
        <v>1636</v>
      </c>
      <c r="CO44" s="822">
        <f t="shared" si="35"/>
        <v>-17.5</v>
      </c>
      <c r="CP44" s="939">
        <f t="shared" ref="CP44:CR45" si="324">CP46-CP40-CP42</f>
        <v>4287</v>
      </c>
      <c r="CQ44" s="939">
        <f t="shared" si="324"/>
        <v>13048</v>
      </c>
      <c r="CR44" s="939">
        <f t="shared" si="324"/>
        <v>2639</v>
      </c>
      <c r="CS44" s="822">
        <f t="shared" si="36"/>
        <v>-38.4</v>
      </c>
      <c r="CT44" s="939">
        <f>CT46-CT40-CT42</f>
        <v>14790</v>
      </c>
      <c r="CU44" s="822">
        <f t="shared" si="37"/>
        <v>13.4</v>
      </c>
      <c r="CV44" s="840">
        <f t="shared" ref="CV44:CX44" si="325">CV46-CV40-CV42</f>
        <v>668</v>
      </c>
      <c r="CW44" s="840">
        <f t="shared" si="325"/>
        <v>2500</v>
      </c>
      <c r="CX44" s="840">
        <f t="shared" si="325"/>
        <v>125</v>
      </c>
      <c r="CY44" s="822">
        <f t="shared" si="72"/>
        <v>-81.3</v>
      </c>
      <c r="CZ44" s="840">
        <f>CZ46-CZ40-CZ42</f>
        <v>2590</v>
      </c>
      <c r="DA44" s="822">
        <f t="shared" si="38"/>
        <v>3.6</v>
      </c>
      <c r="DB44" s="840">
        <f t="shared" ref="DB44:DD45" si="326">DB46-DB40-DB42</f>
        <v>4955</v>
      </c>
      <c r="DC44" s="840">
        <f t="shared" si="326"/>
        <v>15548</v>
      </c>
      <c r="DD44" s="840">
        <f t="shared" si="326"/>
        <v>2764</v>
      </c>
      <c r="DE44" s="822">
        <f t="shared" si="39"/>
        <v>-44.2</v>
      </c>
      <c r="DF44" s="840">
        <f>DF46-DF40-DF42</f>
        <v>17380</v>
      </c>
      <c r="DG44" s="822">
        <f t="shared" si="40"/>
        <v>11.8</v>
      </c>
      <c r="DH44" s="840">
        <f t="shared" ref="DH44:DJ45" si="327">DH46-DH40-DH42</f>
        <v>963</v>
      </c>
      <c r="DI44" s="840">
        <f t="shared" si="327"/>
        <v>1539</v>
      </c>
      <c r="DJ44" s="840">
        <f t="shared" si="327"/>
        <v>337</v>
      </c>
      <c r="DK44" s="822">
        <f t="shared" si="75"/>
        <v>-65</v>
      </c>
      <c r="DL44" s="840">
        <f>DL46-DL40-DL42</f>
        <v>3142</v>
      </c>
      <c r="DM44" s="822">
        <f t="shared" si="41"/>
        <v>104.2</v>
      </c>
      <c r="DN44" s="840">
        <f t="shared" ref="DN44:DP45" si="328">DN46-DN40-DN42</f>
        <v>5918</v>
      </c>
      <c r="DO44" s="840">
        <f t="shared" si="328"/>
        <v>17087</v>
      </c>
      <c r="DP44" s="840">
        <f t="shared" si="328"/>
        <v>3101</v>
      </c>
      <c r="DQ44" s="822">
        <f t="shared" si="42"/>
        <v>-47.6</v>
      </c>
      <c r="DR44" s="840">
        <f>DR46-DR40-DR42</f>
        <v>20522</v>
      </c>
      <c r="DS44" s="822">
        <f t="shared" si="43"/>
        <v>20.100000000000001</v>
      </c>
      <c r="DT44" s="840">
        <f t="shared" ref="DT44:DV45" si="329">DT46-DT40-DT42</f>
        <v>754</v>
      </c>
      <c r="DU44" s="840">
        <f t="shared" si="329"/>
        <v>1944</v>
      </c>
      <c r="DV44" s="840">
        <f t="shared" si="329"/>
        <v>265</v>
      </c>
      <c r="DW44" s="822">
        <f t="shared" si="78"/>
        <v>-64.900000000000006</v>
      </c>
      <c r="DX44" s="840">
        <f>DX46-DX40-DX42</f>
        <v>880</v>
      </c>
      <c r="DY44" s="822">
        <f t="shared" si="44"/>
        <v>-54.7</v>
      </c>
      <c r="DZ44" s="840">
        <f t="shared" ref="DZ44:EB45" si="330">DZ46-DZ40-DZ42</f>
        <v>6672</v>
      </c>
      <c r="EA44" s="840">
        <f t="shared" si="330"/>
        <v>19031</v>
      </c>
      <c r="EB44" s="840">
        <f t="shared" si="330"/>
        <v>3366</v>
      </c>
      <c r="EC44" s="822">
        <f t="shared" si="45"/>
        <v>-49.6</v>
      </c>
      <c r="ED44" s="840">
        <f>ED46-ED40-ED42</f>
        <v>21402</v>
      </c>
      <c r="EE44" s="822">
        <f t="shared" si="46"/>
        <v>12.5</v>
      </c>
      <c r="EF44" s="840">
        <f t="shared" ref="EF44:EH45" si="331">EF46-EF40-EF42</f>
        <v>797</v>
      </c>
      <c r="EG44" s="840">
        <f t="shared" si="331"/>
        <v>2405</v>
      </c>
      <c r="EH44" s="840">
        <f t="shared" si="331"/>
        <v>546</v>
      </c>
      <c r="EI44" s="822">
        <f t="shared" si="81"/>
        <v>-31.5</v>
      </c>
      <c r="EJ44" s="840">
        <f>EJ46-EJ40-EJ42</f>
        <v>1820</v>
      </c>
      <c r="EK44" s="822">
        <f t="shared" si="47"/>
        <v>-24.3</v>
      </c>
      <c r="EL44" s="840">
        <f t="shared" ref="EL44:EN45" si="332">EL46-EL40-EL42</f>
        <v>7469</v>
      </c>
      <c r="EM44" s="840">
        <f t="shared" si="332"/>
        <v>21436</v>
      </c>
      <c r="EN44" s="840">
        <f t="shared" si="332"/>
        <v>3912</v>
      </c>
      <c r="EO44" s="822">
        <f t="shared" si="48"/>
        <v>-47.6</v>
      </c>
      <c r="EP44" s="840">
        <f>EP46-EP40-EP42</f>
        <v>23222</v>
      </c>
      <c r="EQ44" s="822">
        <f t="shared" si="49"/>
        <v>8.3000000000000007</v>
      </c>
    </row>
    <row r="45" spans="1:147" ht="21.75" customHeight="1">
      <c r="A45" s="1129"/>
      <c r="B45" s="1129"/>
      <c r="C45" s="121" t="s">
        <v>272</v>
      </c>
      <c r="D45" s="122">
        <f t="shared" ref="D45:M45" si="333">D47-D41-D43</f>
        <v>69142</v>
      </c>
      <c r="E45" s="122">
        <f t="shared" si="333"/>
        <v>943516</v>
      </c>
      <c r="F45" s="122">
        <f t="shared" si="333"/>
        <v>40927</v>
      </c>
      <c r="G45" s="122">
        <f t="shared" si="333"/>
        <v>789782</v>
      </c>
      <c r="H45" s="122">
        <f t="shared" si="333"/>
        <v>36405</v>
      </c>
      <c r="I45" s="122">
        <f t="shared" si="333"/>
        <v>820525</v>
      </c>
      <c r="J45" s="122">
        <f t="shared" si="333"/>
        <v>47110</v>
      </c>
      <c r="K45" s="122">
        <f t="shared" si="333"/>
        <v>652006</v>
      </c>
      <c r="L45" s="122">
        <f t="shared" si="333"/>
        <v>43032</v>
      </c>
      <c r="M45" s="122">
        <f t="shared" si="333"/>
        <v>538576</v>
      </c>
      <c r="N45" s="122">
        <f t="shared" si="311"/>
        <v>39082</v>
      </c>
      <c r="O45" s="122">
        <f>O47-O41-O43</f>
        <v>506389</v>
      </c>
      <c r="P45" s="122">
        <f t="shared" si="311"/>
        <v>52829</v>
      </c>
      <c r="Q45" s="122">
        <f t="shared" si="312"/>
        <v>542348</v>
      </c>
      <c r="R45" s="297">
        <f t="shared" si="312"/>
        <v>72643</v>
      </c>
      <c r="S45" s="297">
        <f t="shared" si="312"/>
        <v>593919</v>
      </c>
      <c r="T45" s="297">
        <f t="shared" si="312"/>
        <v>106398</v>
      </c>
      <c r="U45" s="297">
        <f>U47-U41-U43</f>
        <v>613642</v>
      </c>
      <c r="V45" s="297">
        <f t="shared" si="312"/>
        <v>9523</v>
      </c>
      <c r="W45" s="297">
        <f t="shared" si="312"/>
        <v>50152</v>
      </c>
      <c r="X45" s="297">
        <f t="shared" si="312"/>
        <v>6829</v>
      </c>
      <c r="Y45" s="123">
        <f t="shared" si="18"/>
        <v>-28.3</v>
      </c>
      <c r="Z45" s="297">
        <f>Z47-Z41-Z43</f>
        <v>44388</v>
      </c>
      <c r="AA45" s="123">
        <f t="shared" si="19"/>
        <v>-11.5</v>
      </c>
      <c r="AB45" s="297">
        <f t="shared" si="313"/>
        <v>9985</v>
      </c>
      <c r="AC45" s="297">
        <f t="shared" si="313"/>
        <v>36684</v>
      </c>
      <c r="AD45" s="297">
        <f t="shared" si="313"/>
        <v>5364</v>
      </c>
      <c r="AE45" s="123">
        <f t="shared" si="54"/>
        <v>-46.3</v>
      </c>
      <c r="AF45" s="297">
        <f>AF47-AF41-AF43</f>
        <v>55187</v>
      </c>
      <c r="AG45" s="123">
        <f t="shared" si="20"/>
        <v>50.4</v>
      </c>
      <c r="AH45" s="297">
        <f t="shared" si="314"/>
        <v>19508</v>
      </c>
      <c r="AI45" s="297">
        <f t="shared" si="314"/>
        <v>86836</v>
      </c>
      <c r="AJ45" s="297">
        <f t="shared" si="314"/>
        <v>12193</v>
      </c>
      <c r="AK45" s="123">
        <f t="shared" si="21"/>
        <v>-37.5</v>
      </c>
      <c r="AL45" s="297">
        <f>AL47-AL41-AL43</f>
        <v>99575</v>
      </c>
      <c r="AM45" s="123">
        <f t="shared" si="22"/>
        <v>14.7</v>
      </c>
      <c r="AN45" s="297">
        <f t="shared" si="315"/>
        <v>9996</v>
      </c>
      <c r="AO45" s="297">
        <f t="shared" si="315"/>
        <v>48403</v>
      </c>
      <c r="AP45" s="297">
        <f t="shared" si="315"/>
        <v>7991</v>
      </c>
      <c r="AQ45" s="123">
        <f t="shared" si="57"/>
        <v>-20.100000000000001</v>
      </c>
      <c r="AR45" s="297">
        <f>AR47-AR41-AR43</f>
        <v>57541</v>
      </c>
      <c r="AS45" s="123">
        <f t="shared" si="23"/>
        <v>18.899999999999999</v>
      </c>
      <c r="AT45" s="297">
        <f t="shared" si="316"/>
        <v>29504</v>
      </c>
      <c r="AU45" s="297">
        <f t="shared" si="316"/>
        <v>135239</v>
      </c>
      <c r="AV45" s="297">
        <f t="shared" si="316"/>
        <v>20184</v>
      </c>
      <c r="AW45" s="123">
        <f t="shared" si="24"/>
        <v>-31.6</v>
      </c>
      <c r="AX45" s="297">
        <f>AX47-AX41-AX43</f>
        <v>157116</v>
      </c>
      <c r="AY45" s="123">
        <f t="shared" si="25"/>
        <v>16.2</v>
      </c>
      <c r="AZ45" s="297">
        <f t="shared" ref="AZ45:BB45" si="334">AZ47-AZ41-AZ43</f>
        <v>8718</v>
      </c>
      <c r="BA45" s="297">
        <f t="shared" si="334"/>
        <v>45401</v>
      </c>
      <c r="BB45" s="297">
        <f t="shared" si="334"/>
        <v>5947</v>
      </c>
      <c r="BC45" s="123">
        <f t="shared" si="60"/>
        <v>-31.8</v>
      </c>
      <c r="BD45" s="297">
        <f>BD47-BD41-BD43</f>
        <v>55123</v>
      </c>
      <c r="BE45" s="123">
        <f t="shared" si="26"/>
        <v>21.4</v>
      </c>
      <c r="BF45" s="297">
        <f t="shared" ref="BF45:BH45" si="335">BF47-BF41-BF43</f>
        <v>38222</v>
      </c>
      <c r="BG45" s="297">
        <f t="shared" si="335"/>
        <v>180640</v>
      </c>
      <c r="BH45" s="297">
        <f t="shared" si="335"/>
        <v>26131</v>
      </c>
      <c r="BI45" s="123">
        <f t="shared" si="27"/>
        <v>-31.6</v>
      </c>
      <c r="BJ45" s="297">
        <f>BJ47-BJ41-BJ43</f>
        <v>212239</v>
      </c>
      <c r="BK45" s="123">
        <f t="shared" si="28"/>
        <v>17.5</v>
      </c>
      <c r="BL45" s="297">
        <f t="shared" si="319"/>
        <v>8557</v>
      </c>
      <c r="BM45" s="297">
        <f t="shared" si="319"/>
        <v>55929</v>
      </c>
      <c r="BN45" s="297">
        <f t="shared" si="319"/>
        <v>9073</v>
      </c>
      <c r="BO45" s="123">
        <f t="shared" si="63"/>
        <v>6</v>
      </c>
      <c r="BP45" s="297">
        <f>BP47-BP41-BP43</f>
        <v>39763</v>
      </c>
      <c r="BQ45" s="123">
        <f t="shared" si="29"/>
        <v>-28.9</v>
      </c>
      <c r="BR45" s="297">
        <f t="shared" si="320"/>
        <v>46779</v>
      </c>
      <c r="BS45" s="297">
        <f t="shared" si="320"/>
        <v>236569</v>
      </c>
      <c r="BT45" s="297">
        <f t="shared" si="320"/>
        <v>35204</v>
      </c>
      <c r="BU45" s="123">
        <f t="shared" si="30"/>
        <v>-24.7</v>
      </c>
      <c r="BV45" s="297">
        <f>BV47-BV41-BV43</f>
        <v>252002</v>
      </c>
      <c r="BW45" s="123">
        <f t="shared" si="31"/>
        <v>6.5</v>
      </c>
      <c r="BX45" s="823">
        <f t="shared" ref="BX45:BZ45" si="336">BX47-BX41-BX43</f>
        <v>7325</v>
      </c>
      <c r="BY45" s="823">
        <f t="shared" si="336"/>
        <v>38995</v>
      </c>
      <c r="BZ45" s="823">
        <f t="shared" si="336"/>
        <v>6578</v>
      </c>
      <c r="CA45" s="824">
        <f t="shared" si="66"/>
        <v>-10.199999999999999</v>
      </c>
      <c r="CB45" s="823">
        <f>CB47-CB41-CB43</f>
        <v>55573</v>
      </c>
      <c r="CC45" s="824">
        <f t="shared" si="32"/>
        <v>42.5</v>
      </c>
      <c r="CD45" s="844">
        <f t="shared" ref="CD45:CF45" si="337">CD47-CD41-CD43</f>
        <v>54104</v>
      </c>
      <c r="CE45" s="844">
        <f t="shared" si="337"/>
        <v>275564</v>
      </c>
      <c r="CF45" s="844">
        <f t="shared" si="337"/>
        <v>41782</v>
      </c>
      <c r="CG45" s="824">
        <f t="shared" si="33"/>
        <v>-22.8</v>
      </c>
      <c r="CH45" s="844">
        <f>CH47-CH41-CH43</f>
        <v>307575</v>
      </c>
      <c r="CI45" s="824">
        <f t="shared" si="34"/>
        <v>11.6</v>
      </c>
      <c r="CJ45" s="844">
        <f t="shared" ref="CJ45:CL45" si="338">CJ47-CJ41-CJ43</f>
        <v>9764</v>
      </c>
      <c r="CK45" s="844">
        <f t="shared" si="338"/>
        <v>52950</v>
      </c>
      <c r="CL45" s="844">
        <f t="shared" si="338"/>
        <v>9469</v>
      </c>
      <c r="CM45" s="824">
        <f t="shared" si="69"/>
        <v>-3</v>
      </c>
      <c r="CN45" s="844">
        <f>CN47-CN41-CN43</f>
        <v>38053</v>
      </c>
      <c r="CO45" s="824">
        <f t="shared" si="35"/>
        <v>-28.1</v>
      </c>
      <c r="CP45" s="940">
        <f t="shared" si="324"/>
        <v>63868</v>
      </c>
      <c r="CQ45" s="940">
        <f t="shared" si="324"/>
        <v>328514</v>
      </c>
      <c r="CR45" s="940">
        <f t="shared" si="324"/>
        <v>51251</v>
      </c>
      <c r="CS45" s="824">
        <f t="shared" si="36"/>
        <v>-19.8</v>
      </c>
      <c r="CT45" s="940">
        <f>CT47-CT41-CT43</f>
        <v>345628</v>
      </c>
      <c r="CU45" s="824">
        <f t="shared" si="37"/>
        <v>5.2</v>
      </c>
      <c r="CV45" s="844">
        <f t="shared" ref="CV45:CX45" si="339">CV47-CV41-CV43</f>
        <v>9064</v>
      </c>
      <c r="CW45" s="844">
        <f t="shared" si="339"/>
        <v>62149</v>
      </c>
      <c r="CX45" s="844">
        <f t="shared" si="339"/>
        <v>7113</v>
      </c>
      <c r="CY45" s="824">
        <f t="shared" si="72"/>
        <v>-21.5</v>
      </c>
      <c r="CZ45" s="844">
        <f>CZ47-CZ41-CZ43</f>
        <v>47823</v>
      </c>
      <c r="DA45" s="824">
        <f t="shared" si="38"/>
        <v>-23.1</v>
      </c>
      <c r="DB45" s="844">
        <f t="shared" si="326"/>
        <v>72932</v>
      </c>
      <c r="DC45" s="844">
        <f t="shared" si="326"/>
        <v>390663</v>
      </c>
      <c r="DD45" s="844">
        <f t="shared" si="326"/>
        <v>58364</v>
      </c>
      <c r="DE45" s="824">
        <f t="shared" si="39"/>
        <v>-20</v>
      </c>
      <c r="DF45" s="844">
        <f>DF47-DF41-DF43</f>
        <v>393451</v>
      </c>
      <c r="DG45" s="824">
        <f t="shared" si="40"/>
        <v>0.7</v>
      </c>
      <c r="DH45" s="844">
        <f t="shared" si="327"/>
        <v>9810</v>
      </c>
      <c r="DI45" s="844">
        <f t="shared" si="327"/>
        <v>41145</v>
      </c>
      <c r="DJ45" s="844">
        <f t="shared" si="327"/>
        <v>6861</v>
      </c>
      <c r="DK45" s="824">
        <f t="shared" si="75"/>
        <v>-30.1</v>
      </c>
      <c r="DL45" s="844">
        <f>DL47-DL41-DL43</f>
        <v>59031</v>
      </c>
      <c r="DM45" s="824">
        <f t="shared" si="41"/>
        <v>43.5</v>
      </c>
      <c r="DN45" s="844">
        <f t="shared" si="328"/>
        <v>82742</v>
      </c>
      <c r="DO45" s="844">
        <f t="shared" si="328"/>
        <v>431808</v>
      </c>
      <c r="DP45" s="844">
        <f t="shared" si="328"/>
        <v>65225</v>
      </c>
      <c r="DQ45" s="824">
        <f t="shared" si="42"/>
        <v>-21.2</v>
      </c>
      <c r="DR45" s="844">
        <f>DR47-DR41-DR43</f>
        <v>452482</v>
      </c>
      <c r="DS45" s="824">
        <f t="shared" si="43"/>
        <v>4.8</v>
      </c>
      <c r="DT45" s="844">
        <f t="shared" si="329"/>
        <v>9092</v>
      </c>
      <c r="DU45" s="844">
        <f t="shared" si="329"/>
        <v>46609</v>
      </c>
      <c r="DV45" s="844">
        <f t="shared" si="329"/>
        <v>4428</v>
      </c>
      <c r="DW45" s="824">
        <f t="shared" si="78"/>
        <v>-51.3</v>
      </c>
      <c r="DX45" s="844">
        <f>DX47-DX41-DX43</f>
        <v>41285</v>
      </c>
      <c r="DY45" s="824">
        <f t="shared" si="44"/>
        <v>-11.4</v>
      </c>
      <c r="DZ45" s="844">
        <f t="shared" si="330"/>
        <v>91834</v>
      </c>
      <c r="EA45" s="844">
        <f t="shared" si="330"/>
        <v>478417</v>
      </c>
      <c r="EB45" s="844">
        <f t="shared" si="330"/>
        <v>69653</v>
      </c>
      <c r="EC45" s="824">
        <f t="shared" si="45"/>
        <v>-24.2</v>
      </c>
      <c r="ED45" s="844">
        <f>ED47-ED41-ED43</f>
        <v>493767</v>
      </c>
      <c r="EE45" s="824">
        <f t="shared" si="46"/>
        <v>3.2</v>
      </c>
      <c r="EF45" s="844">
        <f t="shared" si="331"/>
        <v>8695</v>
      </c>
      <c r="EG45" s="844">
        <f t="shared" si="331"/>
        <v>62348</v>
      </c>
      <c r="EH45" s="844">
        <f t="shared" si="331"/>
        <v>6777</v>
      </c>
      <c r="EI45" s="824">
        <f t="shared" si="81"/>
        <v>-22.1</v>
      </c>
      <c r="EJ45" s="844">
        <f>EJ47-EJ41-EJ43</f>
        <v>45977</v>
      </c>
      <c r="EK45" s="824">
        <f t="shared" si="47"/>
        <v>-26.3</v>
      </c>
      <c r="EL45" s="844">
        <f t="shared" si="332"/>
        <v>100529</v>
      </c>
      <c r="EM45" s="844">
        <f t="shared" si="332"/>
        <v>540765</v>
      </c>
      <c r="EN45" s="844">
        <f t="shared" si="332"/>
        <v>76430</v>
      </c>
      <c r="EO45" s="824">
        <f t="shared" si="48"/>
        <v>-24</v>
      </c>
      <c r="EP45" s="844">
        <f>EP47-EP41-EP43</f>
        <v>539744</v>
      </c>
      <c r="EQ45" s="824">
        <f t="shared" si="49"/>
        <v>-0.2</v>
      </c>
    </row>
    <row r="46" spans="1:147" ht="21.75" customHeight="1">
      <c r="A46" s="1129"/>
      <c r="B46" s="1134" t="s">
        <v>275</v>
      </c>
      <c r="C46" s="124" t="s">
        <v>271</v>
      </c>
      <c r="D46" s="125">
        <v>17637</v>
      </c>
      <c r="E46" s="125">
        <v>61193</v>
      </c>
      <c r="F46" s="125">
        <v>12478</v>
      </c>
      <c r="G46" s="125">
        <v>50387</v>
      </c>
      <c r="H46" s="125">
        <v>21010</v>
      </c>
      <c r="I46" s="125">
        <v>57505</v>
      </c>
      <c r="J46" s="125">
        <v>13864</v>
      </c>
      <c r="K46" s="125">
        <v>45571</v>
      </c>
      <c r="L46" s="125">
        <v>16173</v>
      </c>
      <c r="M46" s="125">
        <v>44986</v>
      </c>
      <c r="N46" s="125">
        <v>23074</v>
      </c>
      <c r="O46" s="125">
        <v>61989</v>
      </c>
      <c r="P46" s="125">
        <v>16569</v>
      </c>
      <c r="Q46" s="125">
        <v>55445</v>
      </c>
      <c r="R46" s="298">
        <v>12445</v>
      </c>
      <c r="S46" s="298">
        <v>56649</v>
      </c>
      <c r="T46" s="298">
        <v>21792</v>
      </c>
      <c r="U46" s="298">
        <v>61123</v>
      </c>
      <c r="V46" s="298">
        <v>1293</v>
      </c>
      <c r="W46" s="298">
        <v>5846</v>
      </c>
      <c r="X46" s="298">
        <v>1075</v>
      </c>
      <c r="Y46" s="126">
        <f t="shared" si="18"/>
        <v>-16.899999999999999</v>
      </c>
      <c r="Z46" s="298">
        <v>4901</v>
      </c>
      <c r="AA46" s="126">
        <f t="shared" si="19"/>
        <v>-16.2</v>
      </c>
      <c r="AB46" s="298">
        <f t="shared" ref="AB46:AB51" si="340">AH46-V46</f>
        <v>1412</v>
      </c>
      <c r="AC46" s="298">
        <f t="shared" ref="AC46:AC51" si="341">AI46-W46</f>
        <v>4585</v>
      </c>
      <c r="AD46" s="298">
        <f t="shared" ref="AD46:AD51" si="342">AJ46-X46</f>
        <v>973</v>
      </c>
      <c r="AE46" s="126">
        <f t="shared" si="54"/>
        <v>-31.1</v>
      </c>
      <c r="AF46" s="298">
        <f t="shared" ref="AF46:AF51" si="343">AL46-Z46</f>
        <v>5343</v>
      </c>
      <c r="AG46" s="126">
        <f t="shared" si="20"/>
        <v>16.5</v>
      </c>
      <c r="AH46" s="298">
        <v>2705</v>
      </c>
      <c r="AI46" s="298">
        <v>10431</v>
      </c>
      <c r="AJ46" s="298">
        <v>2048</v>
      </c>
      <c r="AK46" s="126">
        <f t="shared" si="21"/>
        <v>-24.3</v>
      </c>
      <c r="AL46" s="298">
        <v>10244</v>
      </c>
      <c r="AM46" s="126">
        <f t="shared" si="22"/>
        <v>-1.8</v>
      </c>
      <c r="AN46" s="298">
        <f t="shared" ref="AN46:AN51" si="344">AT46-AH46</f>
        <v>2137</v>
      </c>
      <c r="AO46" s="298">
        <f t="shared" ref="AO46:AO51" si="345">AU46-AI46</f>
        <v>5039</v>
      </c>
      <c r="AP46" s="298">
        <f t="shared" ref="AP46:AP51" si="346">AV46-AJ46</f>
        <v>1461</v>
      </c>
      <c r="AQ46" s="126">
        <f t="shared" si="57"/>
        <v>-31.6</v>
      </c>
      <c r="AR46" s="298">
        <f t="shared" ref="AR46:AR51" si="347">AX46-AL46</f>
        <v>4453</v>
      </c>
      <c r="AS46" s="126">
        <f t="shared" si="23"/>
        <v>-11.6</v>
      </c>
      <c r="AT46" s="298">
        <v>4842</v>
      </c>
      <c r="AU46" s="298">
        <v>15470</v>
      </c>
      <c r="AV46" s="298">
        <v>3509</v>
      </c>
      <c r="AW46" s="126">
        <f t="shared" si="24"/>
        <v>-27.5</v>
      </c>
      <c r="AX46" s="298">
        <v>14697</v>
      </c>
      <c r="AY46" s="126">
        <f t="shared" si="25"/>
        <v>-5</v>
      </c>
      <c r="AZ46" s="298">
        <f t="shared" ref="AZ46:AZ51" si="348">BF46-AT46</f>
        <v>1828</v>
      </c>
      <c r="BA46" s="298">
        <f t="shared" ref="BA46:BA51" si="349">BG46-AU46</f>
        <v>5080</v>
      </c>
      <c r="BB46" s="298">
        <f t="shared" ref="BB46:BB51" si="350">BH46-AV46</f>
        <v>1399</v>
      </c>
      <c r="BC46" s="126">
        <f t="shared" si="60"/>
        <v>-23.5</v>
      </c>
      <c r="BD46" s="298">
        <f t="shared" ref="BD46:BD51" si="351">BJ46-AX46</f>
        <v>5361</v>
      </c>
      <c r="BE46" s="126">
        <f t="shared" si="26"/>
        <v>5.5</v>
      </c>
      <c r="BF46" s="298">
        <v>6670</v>
      </c>
      <c r="BG46" s="298">
        <v>20550</v>
      </c>
      <c r="BH46" s="298">
        <v>4908</v>
      </c>
      <c r="BI46" s="126">
        <f t="shared" si="27"/>
        <v>-26.4</v>
      </c>
      <c r="BJ46" s="298">
        <v>20058</v>
      </c>
      <c r="BK46" s="126">
        <f t="shared" si="28"/>
        <v>-2.4</v>
      </c>
      <c r="BL46" s="298">
        <f t="shared" ref="BL46:BN51" si="352">BR46-BF46</f>
        <v>1702</v>
      </c>
      <c r="BM46" s="298">
        <f t="shared" si="352"/>
        <v>5839</v>
      </c>
      <c r="BN46" s="298">
        <f t="shared" si="352"/>
        <v>1293</v>
      </c>
      <c r="BO46" s="126">
        <f t="shared" si="63"/>
        <v>-24</v>
      </c>
      <c r="BP46" s="298">
        <f t="shared" ref="BP46:BP51" si="353">BV46-BJ46</f>
        <v>4284</v>
      </c>
      <c r="BQ46" s="126">
        <f t="shared" si="29"/>
        <v>-26.6</v>
      </c>
      <c r="BR46" s="298">
        <v>8372</v>
      </c>
      <c r="BS46" s="298">
        <v>26389</v>
      </c>
      <c r="BT46" s="298">
        <v>6201</v>
      </c>
      <c r="BU46" s="126">
        <f t="shared" si="30"/>
        <v>-25.9</v>
      </c>
      <c r="BV46" s="298">
        <v>24342</v>
      </c>
      <c r="BW46" s="126">
        <f t="shared" si="31"/>
        <v>-7.8</v>
      </c>
      <c r="BX46" s="825">
        <f t="shared" ref="BX46:BX51" si="354">CD46-BR46</f>
        <v>1429</v>
      </c>
      <c r="BY46" s="825">
        <f t="shared" ref="BY46:BY51" si="355">CE46-BS46</f>
        <v>3797</v>
      </c>
      <c r="BZ46" s="825">
        <f t="shared" ref="BZ46:BZ51" si="356">CF46-BT46</f>
        <v>1099</v>
      </c>
      <c r="CA46" s="826">
        <f t="shared" si="66"/>
        <v>-23.1</v>
      </c>
      <c r="CB46" s="825">
        <f t="shared" ref="CB46:CB51" si="357">CH46-BV46</f>
        <v>4819</v>
      </c>
      <c r="CC46" s="826">
        <f t="shared" si="32"/>
        <v>26.9</v>
      </c>
      <c r="CD46" s="842">
        <v>9801</v>
      </c>
      <c r="CE46" s="842">
        <v>30186</v>
      </c>
      <c r="CF46" s="842">
        <v>7300</v>
      </c>
      <c r="CG46" s="826">
        <f t="shared" si="33"/>
        <v>-25.5</v>
      </c>
      <c r="CH46" s="842">
        <v>29161</v>
      </c>
      <c r="CI46" s="826">
        <f t="shared" si="34"/>
        <v>-3.4</v>
      </c>
      <c r="CJ46" s="842">
        <f t="shared" ref="CJ46:CJ51" si="358">CP46-CD46</f>
        <v>1741</v>
      </c>
      <c r="CK46" s="842">
        <f t="shared" ref="CK46:CK51" si="359">CQ46-CE46</f>
        <v>4774</v>
      </c>
      <c r="CL46" s="842">
        <f t="shared" ref="CL46:CL51" si="360">CR46-CF46</f>
        <v>1576</v>
      </c>
      <c r="CM46" s="826">
        <f t="shared" si="69"/>
        <v>-9.5</v>
      </c>
      <c r="CN46" s="842">
        <f t="shared" ref="CN46:CN51" si="361">CT46-CH46</f>
        <v>3918</v>
      </c>
      <c r="CO46" s="826">
        <f t="shared" si="35"/>
        <v>-17.899999999999999</v>
      </c>
      <c r="CP46" s="941">
        <v>11542</v>
      </c>
      <c r="CQ46" s="941">
        <v>34960</v>
      </c>
      <c r="CR46" s="941">
        <v>8876</v>
      </c>
      <c r="CS46" s="826">
        <f t="shared" si="36"/>
        <v>-23.1</v>
      </c>
      <c r="CT46" s="941">
        <v>33079</v>
      </c>
      <c r="CU46" s="826">
        <f t="shared" si="37"/>
        <v>-5.4</v>
      </c>
      <c r="CV46" s="842">
        <f t="shared" ref="CV46:CV51" si="362">DB46-CP46</f>
        <v>1855</v>
      </c>
      <c r="CW46" s="842">
        <f t="shared" ref="CW46:CW51" si="363">DC46-CQ46</f>
        <v>5488</v>
      </c>
      <c r="CX46" s="842">
        <f t="shared" ref="CX46:CX51" si="364">DD46-CR46</f>
        <v>895</v>
      </c>
      <c r="CY46" s="826">
        <f t="shared" si="72"/>
        <v>-51.8</v>
      </c>
      <c r="CZ46" s="842">
        <f t="shared" ref="CZ46:CZ51" si="365">DF46-CT46</f>
        <v>5383</v>
      </c>
      <c r="DA46" s="826">
        <f t="shared" si="38"/>
        <v>-1.9</v>
      </c>
      <c r="DB46" s="842">
        <v>13397</v>
      </c>
      <c r="DC46" s="842">
        <v>40448</v>
      </c>
      <c r="DD46" s="842">
        <v>9771</v>
      </c>
      <c r="DE46" s="826">
        <f t="shared" si="39"/>
        <v>-27.1</v>
      </c>
      <c r="DF46" s="842">
        <v>38462</v>
      </c>
      <c r="DG46" s="826">
        <f t="shared" si="40"/>
        <v>-4.9000000000000004</v>
      </c>
      <c r="DH46" s="842">
        <f t="shared" ref="DH46:DJ51" si="366">DN46-DB46</f>
        <v>1948</v>
      </c>
      <c r="DI46" s="842">
        <f t="shared" si="366"/>
        <v>3634</v>
      </c>
      <c r="DJ46" s="842">
        <f t="shared" si="366"/>
        <v>1228</v>
      </c>
      <c r="DK46" s="826">
        <f t="shared" si="75"/>
        <v>-37</v>
      </c>
      <c r="DL46" s="842">
        <f t="shared" ref="DL46:DL51" si="367">DR46-DF46</f>
        <v>5702</v>
      </c>
      <c r="DM46" s="826">
        <f t="shared" si="41"/>
        <v>56.9</v>
      </c>
      <c r="DN46" s="842">
        <v>15345</v>
      </c>
      <c r="DO46" s="842">
        <v>44082</v>
      </c>
      <c r="DP46" s="842">
        <v>10999</v>
      </c>
      <c r="DQ46" s="826">
        <f t="shared" si="42"/>
        <v>-28.3</v>
      </c>
      <c r="DR46" s="842">
        <v>44164</v>
      </c>
      <c r="DS46" s="826">
        <f t="shared" si="43"/>
        <v>0.2</v>
      </c>
      <c r="DT46" s="842">
        <f t="shared" ref="DT46:DV51" si="368">DZ46-DN46</f>
        <v>1991</v>
      </c>
      <c r="DU46" s="842">
        <f t="shared" si="368"/>
        <v>5600</v>
      </c>
      <c r="DV46" s="842">
        <f t="shared" si="368"/>
        <v>1097</v>
      </c>
      <c r="DW46" s="826">
        <f t="shared" si="78"/>
        <v>-44.9</v>
      </c>
      <c r="DX46" s="842">
        <f t="shared" ref="DX46:DX51" si="369">ED46-DR46</f>
        <v>3874</v>
      </c>
      <c r="DY46" s="826">
        <f t="shared" si="44"/>
        <v>-30.8</v>
      </c>
      <c r="DZ46" s="842">
        <v>17336</v>
      </c>
      <c r="EA46" s="842">
        <v>49682</v>
      </c>
      <c r="EB46" s="842">
        <v>12096</v>
      </c>
      <c r="EC46" s="826">
        <f t="shared" si="45"/>
        <v>-30.2</v>
      </c>
      <c r="ED46" s="842">
        <v>48038</v>
      </c>
      <c r="EE46" s="826">
        <f t="shared" si="46"/>
        <v>-3.3</v>
      </c>
      <c r="EF46" s="842">
        <f t="shared" ref="EF46:EH51" si="370">EL46-DZ46</f>
        <v>1925</v>
      </c>
      <c r="EG46" s="842">
        <f t="shared" si="370"/>
        <v>5237</v>
      </c>
      <c r="EH46" s="842">
        <f t="shared" si="370"/>
        <v>1433</v>
      </c>
      <c r="EI46" s="826">
        <f t="shared" si="81"/>
        <v>-25.6</v>
      </c>
      <c r="EJ46" s="842">
        <f t="shared" ref="EJ46:EJ51" si="371">EP46-ED46</f>
        <v>4692</v>
      </c>
      <c r="EK46" s="826">
        <f t="shared" si="47"/>
        <v>-10.4</v>
      </c>
      <c r="EL46" s="842">
        <v>19261</v>
      </c>
      <c r="EM46" s="842">
        <v>54919</v>
      </c>
      <c r="EN46" s="842">
        <v>13529</v>
      </c>
      <c r="EO46" s="826">
        <f t="shared" si="48"/>
        <v>-29.8</v>
      </c>
      <c r="EP46" s="842">
        <v>52730</v>
      </c>
      <c r="EQ46" s="826">
        <f t="shared" si="49"/>
        <v>-4</v>
      </c>
    </row>
    <row r="47" spans="1:147" ht="21.75" customHeight="1" thickBot="1">
      <c r="A47" s="1135"/>
      <c r="B47" s="1136"/>
      <c r="C47" s="127" t="s">
        <v>272</v>
      </c>
      <c r="D47" s="128">
        <v>198694</v>
      </c>
      <c r="E47" s="128">
        <v>1551450</v>
      </c>
      <c r="F47" s="128">
        <v>146252</v>
      </c>
      <c r="G47" s="128">
        <v>1105675</v>
      </c>
      <c r="H47" s="128">
        <v>266977</v>
      </c>
      <c r="I47" s="128">
        <v>1115327</v>
      </c>
      <c r="J47" s="128">
        <v>160449</v>
      </c>
      <c r="K47" s="128">
        <v>980486</v>
      </c>
      <c r="L47" s="128">
        <v>130565</v>
      </c>
      <c r="M47" s="128">
        <v>778160</v>
      </c>
      <c r="N47" s="128">
        <v>182177</v>
      </c>
      <c r="O47" s="128">
        <v>747484</v>
      </c>
      <c r="P47" s="128">
        <v>150939</v>
      </c>
      <c r="Q47" s="128">
        <v>801624</v>
      </c>
      <c r="R47" s="299">
        <v>142283</v>
      </c>
      <c r="S47" s="299">
        <v>1006293</v>
      </c>
      <c r="T47" s="299">
        <v>186009</v>
      </c>
      <c r="U47" s="299">
        <v>1095792</v>
      </c>
      <c r="V47" s="299">
        <v>14303</v>
      </c>
      <c r="W47" s="299">
        <v>94527</v>
      </c>
      <c r="X47" s="299">
        <v>10417</v>
      </c>
      <c r="Y47" s="129">
        <f t="shared" si="18"/>
        <v>-27.2</v>
      </c>
      <c r="Z47" s="299">
        <v>90090</v>
      </c>
      <c r="AA47" s="129">
        <f t="shared" si="19"/>
        <v>-4.7</v>
      </c>
      <c r="AB47" s="299">
        <f t="shared" si="340"/>
        <v>15349</v>
      </c>
      <c r="AC47" s="299">
        <f t="shared" si="341"/>
        <v>72589</v>
      </c>
      <c r="AD47" s="299">
        <f t="shared" si="342"/>
        <v>11114</v>
      </c>
      <c r="AE47" s="129">
        <f t="shared" si="54"/>
        <v>-27.6</v>
      </c>
      <c r="AF47" s="299">
        <f t="shared" si="343"/>
        <v>90265</v>
      </c>
      <c r="AG47" s="129">
        <f t="shared" si="20"/>
        <v>24.4</v>
      </c>
      <c r="AH47" s="299">
        <v>29652</v>
      </c>
      <c r="AI47" s="299">
        <v>167116</v>
      </c>
      <c r="AJ47" s="299">
        <v>21531</v>
      </c>
      <c r="AK47" s="129">
        <f t="shared" si="21"/>
        <v>-27.4</v>
      </c>
      <c r="AL47" s="299">
        <v>180355</v>
      </c>
      <c r="AM47" s="129">
        <f t="shared" si="22"/>
        <v>7.9</v>
      </c>
      <c r="AN47" s="299">
        <f t="shared" si="344"/>
        <v>16401</v>
      </c>
      <c r="AO47" s="299">
        <f t="shared" si="345"/>
        <v>84933</v>
      </c>
      <c r="AP47" s="299">
        <f t="shared" si="346"/>
        <v>11868</v>
      </c>
      <c r="AQ47" s="129">
        <f t="shared" si="57"/>
        <v>-27.6</v>
      </c>
      <c r="AR47" s="299">
        <f t="shared" si="347"/>
        <v>82833</v>
      </c>
      <c r="AS47" s="129">
        <f t="shared" si="23"/>
        <v>-2.5</v>
      </c>
      <c r="AT47" s="299">
        <v>46053</v>
      </c>
      <c r="AU47" s="299">
        <v>252049</v>
      </c>
      <c r="AV47" s="299">
        <v>33399</v>
      </c>
      <c r="AW47" s="129">
        <f t="shared" si="24"/>
        <v>-27.5</v>
      </c>
      <c r="AX47" s="299">
        <v>263188</v>
      </c>
      <c r="AY47" s="129">
        <f t="shared" si="25"/>
        <v>4.4000000000000004</v>
      </c>
      <c r="AZ47" s="299">
        <f t="shared" si="348"/>
        <v>14834</v>
      </c>
      <c r="BA47" s="299">
        <f t="shared" si="349"/>
        <v>84737</v>
      </c>
      <c r="BB47" s="299">
        <f t="shared" si="350"/>
        <v>8950</v>
      </c>
      <c r="BC47" s="129">
        <f t="shared" si="60"/>
        <v>-39.700000000000003</v>
      </c>
      <c r="BD47" s="299">
        <f t="shared" si="351"/>
        <v>84805</v>
      </c>
      <c r="BE47" s="129">
        <f t="shared" si="26"/>
        <v>0.1</v>
      </c>
      <c r="BF47" s="299">
        <v>60887</v>
      </c>
      <c r="BG47" s="299">
        <v>336786</v>
      </c>
      <c r="BH47" s="299">
        <v>42349</v>
      </c>
      <c r="BI47" s="129">
        <f t="shared" si="27"/>
        <v>-30.4</v>
      </c>
      <c r="BJ47" s="299">
        <v>347993</v>
      </c>
      <c r="BK47" s="129">
        <f t="shared" si="28"/>
        <v>3.3</v>
      </c>
      <c r="BL47" s="299">
        <f t="shared" si="352"/>
        <v>14773</v>
      </c>
      <c r="BM47" s="299">
        <f t="shared" si="352"/>
        <v>99356</v>
      </c>
      <c r="BN47" s="299">
        <f t="shared" si="352"/>
        <v>12072</v>
      </c>
      <c r="BO47" s="129">
        <f t="shared" si="63"/>
        <v>-18.3</v>
      </c>
      <c r="BP47" s="299">
        <f t="shared" si="353"/>
        <v>66714</v>
      </c>
      <c r="BQ47" s="129">
        <f t="shared" si="29"/>
        <v>-32.9</v>
      </c>
      <c r="BR47" s="299">
        <v>75660</v>
      </c>
      <c r="BS47" s="299">
        <v>436142</v>
      </c>
      <c r="BT47" s="299">
        <v>54421</v>
      </c>
      <c r="BU47" s="129">
        <f t="shared" si="30"/>
        <v>-28.1</v>
      </c>
      <c r="BV47" s="299">
        <v>414707</v>
      </c>
      <c r="BW47" s="129">
        <f t="shared" si="31"/>
        <v>-4.9000000000000004</v>
      </c>
      <c r="BX47" s="827">
        <f t="shared" si="354"/>
        <v>12854</v>
      </c>
      <c r="BY47" s="827">
        <f t="shared" si="355"/>
        <v>72712</v>
      </c>
      <c r="BZ47" s="827">
        <f t="shared" si="356"/>
        <v>12125</v>
      </c>
      <c r="CA47" s="828">
        <f t="shared" si="66"/>
        <v>-5.7</v>
      </c>
      <c r="CB47" s="827">
        <f t="shared" si="357"/>
        <v>88055</v>
      </c>
      <c r="CC47" s="828">
        <f t="shared" si="32"/>
        <v>21.1</v>
      </c>
      <c r="CD47" s="843">
        <v>88514</v>
      </c>
      <c r="CE47" s="843">
        <v>508854</v>
      </c>
      <c r="CF47" s="843">
        <v>66546</v>
      </c>
      <c r="CG47" s="828">
        <f t="shared" si="33"/>
        <v>-24.8</v>
      </c>
      <c r="CH47" s="843">
        <v>502762</v>
      </c>
      <c r="CI47" s="828">
        <f t="shared" si="34"/>
        <v>-1.2</v>
      </c>
      <c r="CJ47" s="843">
        <f t="shared" si="358"/>
        <v>14674</v>
      </c>
      <c r="CK47" s="843">
        <f t="shared" si="359"/>
        <v>86987</v>
      </c>
      <c r="CL47" s="843">
        <f t="shared" si="360"/>
        <v>16686</v>
      </c>
      <c r="CM47" s="828">
        <f t="shared" si="69"/>
        <v>13.7</v>
      </c>
      <c r="CN47" s="843">
        <f t="shared" si="361"/>
        <v>64603</v>
      </c>
      <c r="CO47" s="828">
        <f t="shared" si="35"/>
        <v>-25.7</v>
      </c>
      <c r="CP47" s="942">
        <v>103188</v>
      </c>
      <c r="CQ47" s="942">
        <v>595841</v>
      </c>
      <c r="CR47" s="942">
        <v>83232</v>
      </c>
      <c r="CS47" s="828">
        <f t="shared" si="36"/>
        <v>-19.3</v>
      </c>
      <c r="CT47" s="942">
        <v>567365</v>
      </c>
      <c r="CU47" s="828">
        <f t="shared" si="37"/>
        <v>-4.8</v>
      </c>
      <c r="CV47" s="843">
        <f t="shared" si="362"/>
        <v>17284</v>
      </c>
      <c r="CW47" s="843">
        <f t="shared" si="363"/>
        <v>103431</v>
      </c>
      <c r="CX47" s="843">
        <f t="shared" si="364"/>
        <v>12178</v>
      </c>
      <c r="CY47" s="828">
        <f t="shared" si="72"/>
        <v>-29.5</v>
      </c>
      <c r="CZ47" s="843">
        <f t="shared" si="365"/>
        <v>83014</v>
      </c>
      <c r="DA47" s="828">
        <f t="shared" si="38"/>
        <v>-19.7</v>
      </c>
      <c r="DB47" s="843">
        <v>120472</v>
      </c>
      <c r="DC47" s="843">
        <v>699272</v>
      </c>
      <c r="DD47" s="843">
        <v>95410</v>
      </c>
      <c r="DE47" s="828">
        <f t="shared" si="39"/>
        <v>-20.8</v>
      </c>
      <c r="DF47" s="843">
        <v>650379</v>
      </c>
      <c r="DG47" s="828">
        <f t="shared" si="40"/>
        <v>-7</v>
      </c>
      <c r="DH47" s="843">
        <f t="shared" si="366"/>
        <v>18016</v>
      </c>
      <c r="DI47" s="843">
        <f t="shared" si="366"/>
        <v>70532</v>
      </c>
      <c r="DJ47" s="843">
        <f t="shared" si="366"/>
        <v>12506</v>
      </c>
      <c r="DK47" s="828">
        <f t="shared" si="75"/>
        <v>-30.6</v>
      </c>
      <c r="DL47" s="843">
        <f t="shared" si="367"/>
        <v>93564</v>
      </c>
      <c r="DM47" s="828">
        <f t="shared" si="41"/>
        <v>32.700000000000003</v>
      </c>
      <c r="DN47" s="843">
        <v>138488</v>
      </c>
      <c r="DO47" s="843">
        <v>769804</v>
      </c>
      <c r="DP47" s="843">
        <v>107916</v>
      </c>
      <c r="DQ47" s="828">
        <f t="shared" si="42"/>
        <v>-22.1</v>
      </c>
      <c r="DR47" s="843">
        <v>743943</v>
      </c>
      <c r="DS47" s="828">
        <f t="shared" si="43"/>
        <v>-3.4</v>
      </c>
      <c r="DT47" s="843">
        <f t="shared" si="368"/>
        <v>17778</v>
      </c>
      <c r="DU47" s="843">
        <f t="shared" si="368"/>
        <v>99462</v>
      </c>
      <c r="DV47" s="843">
        <f t="shared" si="368"/>
        <v>10296</v>
      </c>
      <c r="DW47" s="828">
        <f t="shared" si="78"/>
        <v>-42.1</v>
      </c>
      <c r="DX47" s="843">
        <f t="shared" si="369"/>
        <v>83517</v>
      </c>
      <c r="DY47" s="828">
        <f t="shared" si="44"/>
        <v>-16</v>
      </c>
      <c r="DZ47" s="843">
        <v>156266</v>
      </c>
      <c r="EA47" s="843">
        <v>869266</v>
      </c>
      <c r="EB47" s="843">
        <v>118212</v>
      </c>
      <c r="EC47" s="828">
        <f t="shared" si="45"/>
        <v>-24.4</v>
      </c>
      <c r="ED47" s="843">
        <v>827460</v>
      </c>
      <c r="EE47" s="828">
        <f t="shared" si="46"/>
        <v>-4.8</v>
      </c>
      <c r="EF47" s="843">
        <f t="shared" si="370"/>
        <v>16469</v>
      </c>
      <c r="EG47" s="843">
        <f t="shared" si="370"/>
        <v>107089</v>
      </c>
      <c r="EH47" s="843">
        <f t="shared" si="370"/>
        <v>12516</v>
      </c>
      <c r="EI47" s="828">
        <f t="shared" si="81"/>
        <v>-24</v>
      </c>
      <c r="EJ47" s="843">
        <f t="shared" si="371"/>
        <v>84226</v>
      </c>
      <c r="EK47" s="828">
        <f t="shared" si="47"/>
        <v>-21.3</v>
      </c>
      <c r="EL47" s="843">
        <v>172735</v>
      </c>
      <c r="EM47" s="843">
        <v>976355</v>
      </c>
      <c r="EN47" s="843">
        <v>130728</v>
      </c>
      <c r="EO47" s="828">
        <f t="shared" si="48"/>
        <v>-24.3</v>
      </c>
      <c r="EP47" s="843">
        <v>911686</v>
      </c>
      <c r="EQ47" s="828">
        <f t="shared" si="49"/>
        <v>-6.6</v>
      </c>
    </row>
    <row r="48" spans="1:147" ht="21.75" customHeight="1" thickTop="1">
      <c r="A48" s="1131" t="s">
        <v>280</v>
      </c>
      <c r="B48" s="1132" t="s">
        <v>270</v>
      </c>
      <c r="C48" s="133" t="s">
        <v>271</v>
      </c>
      <c r="D48" s="841">
        <v>37</v>
      </c>
      <c r="E48" s="841">
        <v>56</v>
      </c>
      <c r="F48" s="841">
        <v>468</v>
      </c>
      <c r="G48" s="841">
        <v>41</v>
      </c>
      <c r="H48" s="841">
        <v>9</v>
      </c>
      <c r="I48" s="841">
        <v>26</v>
      </c>
      <c r="J48" s="841">
        <v>35</v>
      </c>
      <c r="K48" s="841">
        <v>30</v>
      </c>
      <c r="L48" s="841">
        <v>68</v>
      </c>
      <c r="M48" s="841">
        <v>32</v>
      </c>
      <c r="N48" s="841">
        <v>241</v>
      </c>
      <c r="O48" s="841">
        <v>85</v>
      </c>
      <c r="P48" s="841">
        <v>246</v>
      </c>
      <c r="Q48" s="841">
        <v>85</v>
      </c>
      <c r="R48" s="841">
        <v>182</v>
      </c>
      <c r="S48" s="841">
        <v>115</v>
      </c>
      <c r="T48" s="841">
        <v>362</v>
      </c>
      <c r="U48" s="841">
        <v>92</v>
      </c>
      <c r="V48" s="841">
        <v>156</v>
      </c>
      <c r="W48" s="841">
        <v>2</v>
      </c>
      <c r="X48" s="841">
        <v>0</v>
      </c>
      <c r="Y48" s="832">
        <f t="shared" si="18"/>
        <v>-100</v>
      </c>
      <c r="Z48" s="841">
        <v>0</v>
      </c>
      <c r="AA48" s="832">
        <f t="shared" si="19"/>
        <v>-100</v>
      </c>
      <c r="AB48" s="841">
        <f t="shared" si="340"/>
        <v>21</v>
      </c>
      <c r="AC48" s="841">
        <f t="shared" si="341"/>
        <v>8</v>
      </c>
      <c r="AD48" s="841">
        <f t="shared" si="342"/>
        <v>0</v>
      </c>
      <c r="AE48" s="832">
        <f t="shared" si="54"/>
        <v>-100</v>
      </c>
      <c r="AF48" s="841">
        <f t="shared" si="343"/>
        <v>0</v>
      </c>
      <c r="AG48" s="832">
        <f t="shared" si="20"/>
        <v>-100</v>
      </c>
      <c r="AH48" s="841">
        <v>177</v>
      </c>
      <c r="AI48" s="841">
        <v>10</v>
      </c>
      <c r="AJ48" s="841">
        <v>0</v>
      </c>
      <c r="AK48" s="832">
        <f t="shared" si="21"/>
        <v>-100</v>
      </c>
      <c r="AL48" s="841">
        <v>0</v>
      </c>
      <c r="AM48" s="832">
        <f t="shared" si="22"/>
        <v>-100</v>
      </c>
      <c r="AN48" s="841">
        <f t="shared" si="344"/>
        <v>24</v>
      </c>
      <c r="AO48" s="841">
        <f t="shared" si="345"/>
        <v>3</v>
      </c>
      <c r="AP48" s="841">
        <f t="shared" si="346"/>
        <v>27</v>
      </c>
      <c r="AQ48" s="832">
        <f t="shared" si="57"/>
        <v>12.5</v>
      </c>
      <c r="AR48" s="841">
        <f t="shared" si="347"/>
        <v>9</v>
      </c>
      <c r="AS48" s="832">
        <f t="shared" si="23"/>
        <v>200</v>
      </c>
      <c r="AT48" s="841">
        <v>201</v>
      </c>
      <c r="AU48" s="841">
        <v>13</v>
      </c>
      <c r="AV48" s="841">
        <v>27</v>
      </c>
      <c r="AW48" s="832">
        <f t="shared" si="24"/>
        <v>-86.6</v>
      </c>
      <c r="AX48" s="841">
        <v>9</v>
      </c>
      <c r="AY48" s="832">
        <f t="shared" si="25"/>
        <v>-30.8</v>
      </c>
      <c r="AZ48" s="841">
        <f t="shared" si="348"/>
        <v>7</v>
      </c>
      <c r="BA48" s="841">
        <f t="shared" si="349"/>
        <v>39</v>
      </c>
      <c r="BB48" s="841">
        <f t="shared" si="350"/>
        <v>8</v>
      </c>
      <c r="BC48" s="832">
        <f t="shared" si="60"/>
        <v>14.3</v>
      </c>
      <c r="BD48" s="841">
        <f t="shared" si="351"/>
        <v>0</v>
      </c>
      <c r="BE48" s="832">
        <f t="shared" si="26"/>
        <v>-100</v>
      </c>
      <c r="BF48" s="841">
        <v>208</v>
      </c>
      <c r="BG48" s="841">
        <v>52</v>
      </c>
      <c r="BH48" s="841">
        <v>35</v>
      </c>
      <c r="BI48" s="832">
        <f t="shared" si="27"/>
        <v>-83.2</v>
      </c>
      <c r="BJ48" s="841">
        <v>9</v>
      </c>
      <c r="BK48" s="832">
        <f t="shared" si="28"/>
        <v>-82.7</v>
      </c>
      <c r="BL48" s="841">
        <f t="shared" si="352"/>
        <v>0</v>
      </c>
      <c r="BM48" s="841">
        <f t="shared" si="352"/>
        <v>0</v>
      </c>
      <c r="BN48" s="841">
        <f t="shared" si="352"/>
        <v>13</v>
      </c>
      <c r="BO48" s="832" t="e">
        <f t="shared" si="63"/>
        <v>#DIV/0!</v>
      </c>
      <c r="BP48" s="841">
        <f t="shared" si="353"/>
        <v>0</v>
      </c>
      <c r="BQ48" s="832" t="e">
        <f t="shared" si="29"/>
        <v>#DIV/0!</v>
      </c>
      <c r="BR48" s="841">
        <v>208</v>
      </c>
      <c r="BS48" s="841">
        <v>52</v>
      </c>
      <c r="BT48" s="841">
        <v>48</v>
      </c>
      <c r="BU48" s="832">
        <f t="shared" si="30"/>
        <v>-76.900000000000006</v>
      </c>
      <c r="BV48" s="841">
        <v>9</v>
      </c>
      <c r="BW48" s="832">
        <f t="shared" si="31"/>
        <v>-82.7</v>
      </c>
      <c r="BX48" s="841">
        <f t="shared" si="354"/>
        <v>33</v>
      </c>
      <c r="BY48" s="841">
        <f t="shared" si="355"/>
        <v>4</v>
      </c>
      <c r="BZ48" s="841">
        <f t="shared" si="356"/>
        <v>9</v>
      </c>
      <c r="CA48" s="832">
        <f t="shared" si="66"/>
        <v>-72.7</v>
      </c>
      <c r="CB48" s="841">
        <f t="shared" si="357"/>
        <v>0</v>
      </c>
      <c r="CC48" s="832">
        <f t="shared" si="32"/>
        <v>-100</v>
      </c>
      <c r="CD48" s="841">
        <v>241</v>
      </c>
      <c r="CE48" s="841">
        <v>56</v>
      </c>
      <c r="CF48" s="841">
        <v>57</v>
      </c>
      <c r="CG48" s="832">
        <f t="shared" si="33"/>
        <v>-76.3</v>
      </c>
      <c r="CH48" s="841">
        <v>9</v>
      </c>
      <c r="CI48" s="832">
        <f t="shared" si="34"/>
        <v>-83.9</v>
      </c>
      <c r="CJ48" s="841">
        <f t="shared" si="358"/>
        <v>0</v>
      </c>
      <c r="CK48" s="841">
        <f t="shared" si="359"/>
        <v>11</v>
      </c>
      <c r="CL48" s="841">
        <f t="shared" si="360"/>
        <v>9</v>
      </c>
      <c r="CM48" s="832" t="e">
        <f t="shared" si="69"/>
        <v>#DIV/0!</v>
      </c>
      <c r="CN48" s="841">
        <f t="shared" si="361"/>
        <v>20</v>
      </c>
      <c r="CO48" s="832">
        <f t="shared" si="35"/>
        <v>81.8</v>
      </c>
      <c r="CP48" s="944">
        <v>241</v>
      </c>
      <c r="CQ48" s="944">
        <v>67</v>
      </c>
      <c r="CR48" s="944">
        <v>66</v>
      </c>
      <c r="CS48" s="832">
        <f t="shared" si="36"/>
        <v>-72.599999999999994</v>
      </c>
      <c r="CT48" s="944">
        <v>29</v>
      </c>
      <c r="CU48" s="832">
        <f t="shared" si="37"/>
        <v>-56.7</v>
      </c>
      <c r="CV48" s="841">
        <f t="shared" si="362"/>
        <v>7</v>
      </c>
      <c r="CW48" s="841">
        <f t="shared" si="363"/>
        <v>5</v>
      </c>
      <c r="CX48" s="841">
        <f t="shared" si="364"/>
        <v>0</v>
      </c>
      <c r="CY48" s="832">
        <f t="shared" si="72"/>
        <v>-100</v>
      </c>
      <c r="CZ48" s="841">
        <f t="shared" si="365"/>
        <v>0</v>
      </c>
      <c r="DA48" s="832">
        <f t="shared" si="38"/>
        <v>-100</v>
      </c>
      <c r="DB48" s="841">
        <v>248</v>
      </c>
      <c r="DC48" s="841">
        <v>72</v>
      </c>
      <c r="DD48" s="841">
        <v>66</v>
      </c>
      <c r="DE48" s="832">
        <f t="shared" si="39"/>
        <v>-73.400000000000006</v>
      </c>
      <c r="DF48" s="841">
        <v>29</v>
      </c>
      <c r="DG48" s="832">
        <f t="shared" si="40"/>
        <v>-59.7</v>
      </c>
      <c r="DH48" s="841">
        <f t="shared" si="366"/>
        <v>100</v>
      </c>
      <c r="DI48" s="841">
        <f t="shared" si="366"/>
        <v>4</v>
      </c>
      <c r="DJ48" s="841">
        <f t="shared" si="366"/>
        <v>21</v>
      </c>
      <c r="DK48" s="832">
        <f t="shared" si="75"/>
        <v>-79</v>
      </c>
      <c r="DL48" s="841">
        <f t="shared" si="367"/>
        <v>29</v>
      </c>
      <c r="DM48" s="832">
        <f t="shared" si="41"/>
        <v>625</v>
      </c>
      <c r="DN48" s="841">
        <v>348</v>
      </c>
      <c r="DO48" s="841">
        <v>76</v>
      </c>
      <c r="DP48" s="841">
        <v>87</v>
      </c>
      <c r="DQ48" s="832">
        <f t="shared" si="42"/>
        <v>-75</v>
      </c>
      <c r="DR48" s="841">
        <v>58</v>
      </c>
      <c r="DS48" s="832">
        <f t="shared" si="43"/>
        <v>-23.7</v>
      </c>
      <c r="DT48" s="841">
        <f t="shared" si="368"/>
        <v>0</v>
      </c>
      <c r="DU48" s="841">
        <f t="shared" si="368"/>
        <v>16</v>
      </c>
      <c r="DV48" s="841">
        <f t="shared" si="368"/>
        <v>0</v>
      </c>
      <c r="DW48" s="832" t="e">
        <f t="shared" si="78"/>
        <v>#DIV/0!</v>
      </c>
      <c r="DX48" s="841">
        <f t="shared" si="369"/>
        <v>14</v>
      </c>
      <c r="DY48" s="832">
        <f t="shared" si="44"/>
        <v>-12.5</v>
      </c>
      <c r="DZ48" s="841">
        <v>348</v>
      </c>
      <c r="EA48" s="841">
        <v>92</v>
      </c>
      <c r="EB48" s="841">
        <v>87</v>
      </c>
      <c r="EC48" s="832">
        <f t="shared" si="45"/>
        <v>-75</v>
      </c>
      <c r="ED48" s="841">
        <v>72</v>
      </c>
      <c r="EE48" s="832">
        <f t="shared" si="46"/>
        <v>-21.7</v>
      </c>
      <c r="EF48" s="841">
        <f t="shared" si="370"/>
        <v>14</v>
      </c>
      <c r="EG48" s="841">
        <f t="shared" si="370"/>
        <v>0</v>
      </c>
      <c r="EH48" s="841">
        <f t="shared" si="370"/>
        <v>13</v>
      </c>
      <c r="EI48" s="832">
        <f t="shared" si="81"/>
        <v>-7.1</v>
      </c>
      <c r="EJ48" s="841">
        <f t="shared" si="371"/>
        <v>12</v>
      </c>
      <c r="EK48" s="832" t="e">
        <f t="shared" si="47"/>
        <v>#DIV/0!</v>
      </c>
      <c r="EL48" s="841">
        <v>362</v>
      </c>
      <c r="EM48" s="841">
        <v>92</v>
      </c>
      <c r="EN48" s="841">
        <v>100</v>
      </c>
      <c r="EO48" s="832">
        <f t="shared" si="48"/>
        <v>-72.400000000000006</v>
      </c>
      <c r="EP48" s="841">
        <v>84</v>
      </c>
      <c r="EQ48" s="832">
        <f t="shared" si="49"/>
        <v>-8.6999999999999993</v>
      </c>
    </row>
    <row r="49" spans="1:147" ht="21.75" customHeight="1">
      <c r="A49" s="1129"/>
      <c r="B49" s="1129"/>
      <c r="C49" s="1063" t="s">
        <v>272</v>
      </c>
      <c r="D49" s="844">
        <v>1005</v>
      </c>
      <c r="E49" s="844">
        <v>842</v>
      </c>
      <c r="F49" s="844">
        <v>6573</v>
      </c>
      <c r="G49" s="844">
        <v>375</v>
      </c>
      <c r="H49" s="844">
        <v>189</v>
      </c>
      <c r="I49" s="844">
        <v>355</v>
      </c>
      <c r="J49" s="844">
        <v>568</v>
      </c>
      <c r="K49" s="844">
        <v>1779</v>
      </c>
      <c r="L49" s="844">
        <v>985</v>
      </c>
      <c r="M49" s="844">
        <v>265</v>
      </c>
      <c r="N49" s="844">
        <v>1719</v>
      </c>
      <c r="O49" s="844">
        <v>1515</v>
      </c>
      <c r="P49" s="844">
        <v>1369</v>
      </c>
      <c r="Q49" s="844">
        <v>909</v>
      </c>
      <c r="R49" s="844">
        <v>1602</v>
      </c>
      <c r="S49" s="844">
        <v>1302</v>
      </c>
      <c r="T49" s="844">
        <v>1100</v>
      </c>
      <c r="U49" s="844">
        <v>604</v>
      </c>
      <c r="V49" s="844">
        <v>206</v>
      </c>
      <c r="W49" s="844">
        <v>27</v>
      </c>
      <c r="X49" s="844">
        <v>0</v>
      </c>
      <c r="Y49" s="824">
        <f t="shared" si="18"/>
        <v>-100</v>
      </c>
      <c r="Z49" s="844">
        <v>0</v>
      </c>
      <c r="AA49" s="824">
        <f t="shared" si="19"/>
        <v>-100</v>
      </c>
      <c r="AB49" s="844">
        <f t="shared" si="340"/>
        <v>31</v>
      </c>
      <c r="AC49" s="844">
        <f t="shared" si="341"/>
        <v>180</v>
      </c>
      <c r="AD49" s="844">
        <f t="shared" si="342"/>
        <v>1</v>
      </c>
      <c r="AE49" s="824">
        <f t="shared" si="54"/>
        <v>-96.8</v>
      </c>
      <c r="AF49" s="844">
        <f t="shared" si="343"/>
        <v>0</v>
      </c>
      <c r="AG49" s="824">
        <f t="shared" si="20"/>
        <v>-100</v>
      </c>
      <c r="AH49" s="844">
        <v>237</v>
      </c>
      <c r="AI49" s="844">
        <v>207</v>
      </c>
      <c r="AJ49" s="844">
        <v>1</v>
      </c>
      <c r="AK49" s="824">
        <f t="shared" si="21"/>
        <v>-99.6</v>
      </c>
      <c r="AL49" s="844">
        <v>0</v>
      </c>
      <c r="AM49" s="824">
        <f t="shared" si="22"/>
        <v>-100</v>
      </c>
      <c r="AN49" s="844">
        <f t="shared" si="344"/>
        <v>71</v>
      </c>
      <c r="AO49" s="844">
        <f t="shared" si="345"/>
        <v>80</v>
      </c>
      <c r="AP49" s="844">
        <f t="shared" si="346"/>
        <v>219</v>
      </c>
      <c r="AQ49" s="824">
        <f t="shared" si="57"/>
        <v>208.5</v>
      </c>
      <c r="AR49" s="844">
        <f t="shared" si="347"/>
        <v>11</v>
      </c>
      <c r="AS49" s="824">
        <f t="shared" si="23"/>
        <v>-86.3</v>
      </c>
      <c r="AT49" s="844">
        <v>308</v>
      </c>
      <c r="AU49" s="844">
        <v>287</v>
      </c>
      <c r="AV49" s="844">
        <v>220</v>
      </c>
      <c r="AW49" s="824">
        <f t="shared" si="24"/>
        <v>-28.6</v>
      </c>
      <c r="AX49" s="844">
        <v>11</v>
      </c>
      <c r="AY49" s="824">
        <f t="shared" si="25"/>
        <v>-96.2</v>
      </c>
      <c r="AZ49" s="844">
        <f t="shared" si="348"/>
        <v>164</v>
      </c>
      <c r="BA49" s="844">
        <f t="shared" si="349"/>
        <v>102</v>
      </c>
      <c r="BB49" s="844">
        <f t="shared" si="350"/>
        <v>67</v>
      </c>
      <c r="BC49" s="824">
        <f t="shared" si="60"/>
        <v>-59.1</v>
      </c>
      <c r="BD49" s="844">
        <f t="shared" si="351"/>
        <v>0</v>
      </c>
      <c r="BE49" s="824">
        <f t="shared" si="26"/>
        <v>-100</v>
      </c>
      <c r="BF49" s="844">
        <v>472</v>
      </c>
      <c r="BG49" s="844">
        <v>389</v>
      </c>
      <c r="BH49" s="844">
        <v>287</v>
      </c>
      <c r="BI49" s="824">
        <f t="shared" si="27"/>
        <v>-39.200000000000003</v>
      </c>
      <c r="BJ49" s="844">
        <v>11</v>
      </c>
      <c r="BK49" s="824">
        <f t="shared" si="28"/>
        <v>-97.2</v>
      </c>
      <c r="BL49" s="844">
        <f t="shared" si="352"/>
        <v>1</v>
      </c>
      <c r="BM49" s="844">
        <f t="shared" si="352"/>
        <v>1</v>
      </c>
      <c r="BN49" s="844">
        <f t="shared" si="352"/>
        <v>123</v>
      </c>
      <c r="BO49" s="824">
        <f t="shared" si="63"/>
        <v>12200</v>
      </c>
      <c r="BP49" s="844">
        <f t="shared" si="353"/>
        <v>1</v>
      </c>
      <c r="BQ49" s="824">
        <f t="shared" si="29"/>
        <v>0</v>
      </c>
      <c r="BR49" s="844">
        <v>473</v>
      </c>
      <c r="BS49" s="844">
        <v>390</v>
      </c>
      <c r="BT49" s="844">
        <v>410</v>
      </c>
      <c r="BU49" s="824">
        <f t="shared" si="30"/>
        <v>-13.3</v>
      </c>
      <c r="BV49" s="844">
        <v>12</v>
      </c>
      <c r="BW49" s="824">
        <f t="shared" si="31"/>
        <v>-96.9</v>
      </c>
      <c r="BX49" s="844">
        <f t="shared" si="354"/>
        <v>249</v>
      </c>
      <c r="BY49" s="844">
        <f t="shared" si="355"/>
        <v>45</v>
      </c>
      <c r="BZ49" s="844">
        <f t="shared" si="356"/>
        <v>42</v>
      </c>
      <c r="CA49" s="824">
        <f t="shared" si="66"/>
        <v>-83.1</v>
      </c>
      <c r="CB49" s="844">
        <f t="shared" si="357"/>
        <v>0</v>
      </c>
      <c r="CC49" s="824">
        <f t="shared" si="32"/>
        <v>-100</v>
      </c>
      <c r="CD49" s="844">
        <v>722</v>
      </c>
      <c r="CE49" s="844">
        <v>435</v>
      </c>
      <c r="CF49" s="844">
        <v>452</v>
      </c>
      <c r="CG49" s="824">
        <f t="shared" si="33"/>
        <v>-37.4</v>
      </c>
      <c r="CH49" s="844">
        <v>12</v>
      </c>
      <c r="CI49" s="824">
        <f t="shared" si="34"/>
        <v>-97.2</v>
      </c>
      <c r="CJ49" s="844">
        <f t="shared" si="358"/>
        <v>1</v>
      </c>
      <c r="CK49" s="844">
        <f t="shared" si="359"/>
        <v>10</v>
      </c>
      <c r="CL49" s="844">
        <f t="shared" si="360"/>
        <v>164</v>
      </c>
      <c r="CM49" s="824">
        <f t="shared" si="69"/>
        <v>16300</v>
      </c>
      <c r="CN49" s="844">
        <f t="shared" si="361"/>
        <v>91</v>
      </c>
      <c r="CO49" s="824">
        <f t="shared" si="35"/>
        <v>810</v>
      </c>
      <c r="CP49" s="940">
        <v>723</v>
      </c>
      <c r="CQ49" s="940">
        <v>445</v>
      </c>
      <c r="CR49" s="940">
        <v>616</v>
      </c>
      <c r="CS49" s="824">
        <f t="shared" si="36"/>
        <v>-14.8</v>
      </c>
      <c r="CT49" s="940">
        <v>103</v>
      </c>
      <c r="CU49" s="824">
        <f t="shared" si="37"/>
        <v>-76.900000000000006</v>
      </c>
      <c r="CV49" s="844">
        <f t="shared" si="362"/>
        <v>158</v>
      </c>
      <c r="CW49" s="844">
        <f t="shared" si="363"/>
        <v>65</v>
      </c>
      <c r="CX49" s="844">
        <f t="shared" si="364"/>
        <v>1</v>
      </c>
      <c r="CY49" s="824">
        <f t="shared" si="72"/>
        <v>-99.4</v>
      </c>
      <c r="CZ49" s="844">
        <f t="shared" si="365"/>
        <v>0</v>
      </c>
      <c r="DA49" s="824">
        <f t="shared" si="38"/>
        <v>-100</v>
      </c>
      <c r="DB49" s="844">
        <v>881</v>
      </c>
      <c r="DC49" s="844">
        <v>510</v>
      </c>
      <c r="DD49" s="844">
        <v>617</v>
      </c>
      <c r="DE49" s="824">
        <f t="shared" si="39"/>
        <v>-30</v>
      </c>
      <c r="DF49" s="844">
        <v>103</v>
      </c>
      <c r="DG49" s="824">
        <f t="shared" si="40"/>
        <v>-79.8</v>
      </c>
      <c r="DH49" s="844">
        <f t="shared" si="366"/>
        <v>157</v>
      </c>
      <c r="DI49" s="844">
        <f t="shared" si="366"/>
        <v>37</v>
      </c>
      <c r="DJ49" s="844">
        <f t="shared" si="366"/>
        <v>208</v>
      </c>
      <c r="DK49" s="824">
        <f t="shared" si="75"/>
        <v>32.5</v>
      </c>
      <c r="DL49" s="844">
        <f t="shared" si="367"/>
        <v>104</v>
      </c>
      <c r="DM49" s="824">
        <f t="shared" si="41"/>
        <v>181.1</v>
      </c>
      <c r="DN49" s="844">
        <v>1038</v>
      </c>
      <c r="DO49" s="844">
        <v>547</v>
      </c>
      <c r="DP49" s="844">
        <v>825</v>
      </c>
      <c r="DQ49" s="824">
        <f t="shared" si="42"/>
        <v>-20.5</v>
      </c>
      <c r="DR49" s="844">
        <v>207</v>
      </c>
      <c r="DS49" s="824">
        <f t="shared" si="43"/>
        <v>-62.2</v>
      </c>
      <c r="DT49" s="844">
        <f t="shared" si="368"/>
        <v>0</v>
      </c>
      <c r="DU49" s="844">
        <f t="shared" si="368"/>
        <v>56</v>
      </c>
      <c r="DV49" s="844">
        <f t="shared" si="368"/>
        <v>6</v>
      </c>
      <c r="DW49" s="824" t="e">
        <f t="shared" si="78"/>
        <v>#DIV/0!</v>
      </c>
      <c r="DX49" s="844">
        <f t="shared" si="369"/>
        <v>36</v>
      </c>
      <c r="DY49" s="824">
        <f t="shared" si="44"/>
        <v>-35.700000000000003</v>
      </c>
      <c r="DZ49" s="844">
        <v>1038</v>
      </c>
      <c r="EA49" s="844">
        <v>603</v>
      </c>
      <c r="EB49" s="844">
        <v>831</v>
      </c>
      <c r="EC49" s="824">
        <f t="shared" si="45"/>
        <v>-19.899999999999999</v>
      </c>
      <c r="ED49" s="844">
        <v>243</v>
      </c>
      <c r="EE49" s="824">
        <f t="shared" si="46"/>
        <v>-59.7</v>
      </c>
      <c r="EF49" s="844">
        <f t="shared" si="370"/>
        <v>62</v>
      </c>
      <c r="EG49" s="844">
        <f t="shared" si="370"/>
        <v>0</v>
      </c>
      <c r="EH49" s="844">
        <f t="shared" si="370"/>
        <v>59</v>
      </c>
      <c r="EI49" s="824">
        <f t="shared" si="81"/>
        <v>-4.8</v>
      </c>
      <c r="EJ49" s="844">
        <f t="shared" si="371"/>
        <v>42</v>
      </c>
      <c r="EK49" s="824" t="e">
        <f t="shared" si="47"/>
        <v>#DIV/0!</v>
      </c>
      <c r="EL49" s="844">
        <v>1100</v>
      </c>
      <c r="EM49" s="844">
        <v>603</v>
      </c>
      <c r="EN49" s="844">
        <v>890</v>
      </c>
      <c r="EO49" s="824">
        <f t="shared" si="48"/>
        <v>-19.100000000000001</v>
      </c>
      <c r="EP49" s="844">
        <v>285</v>
      </c>
      <c r="EQ49" s="824">
        <f t="shared" si="49"/>
        <v>-52.7</v>
      </c>
    </row>
    <row r="50" spans="1:147" ht="21.75" customHeight="1">
      <c r="A50" s="1129"/>
      <c r="B50" s="1129" t="s">
        <v>273</v>
      </c>
      <c r="C50" s="118" t="s">
        <v>271</v>
      </c>
      <c r="D50" s="840">
        <v>429</v>
      </c>
      <c r="E50" s="840">
        <v>15205</v>
      </c>
      <c r="F50" s="840">
        <v>1004</v>
      </c>
      <c r="G50" s="840">
        <v>16984</v>
      </c>
      <c r="H50" s="840">
        <v>1361</v>
      </c>
      <c r="I50" s="840">
        <v>15547</v>
      </c>
      <c r="J50" s="840">
        <v>970</v>
      </c>
      <c r="K50" s="840">
        <v>15004</v>
      </c>
      <c r="L50" s="840">
        <v>1023</v>
      </c>
      <c r="M50" s="840">
        <v>14453</v>
      </c>
      <c r="N50" s="840">
        <v>1003</v>
      </c>
      <c r="O50" s="840">
        <v>15082</v>
      </c>
      <c r="P50" s="840">
        <v>754</v>
      </c>
      <c r="Q50" s="840">
        <v>13508</v>
      </c>
      <c r="R50" s="840">
        <v>838</v>
      </c>
      <c r="S50" s="840">
        <v>14268</v>
      </c>
      <c r="T50" s="840">
        <v>623</v>
      </c>
      <c r="U50" s="840">
        <v>12456</v>
      </c>
      <c r="V50" s="840">
        <v>55</v>
      </c>
      <c r="W50" s="840">
        <v>1099</v>
      </c>
      <c r="X50" s="840">
        <v>12</v>
      </c>
      <c r="Y50" s="822">
        <f t="shared" si="18"/>
        <v>-78.2</v>
      </c>
      <c r="Z50" s="840">
        <v>1288</v>
      </c>
      <c r="AA50" s="822">
        <f t="shared" si="19"/>
        <v>17.2</v>
      </c>
      <c r="AB50" s="840">
        <f t="shared" si="340"/>
        <v>100</v>
      </c>
      <c r="AC50" s="840">
        <f t="shared" si="341"/>
        <v>971</v>
      </c>
      <c r="AD50" s="840">
        <f t="shared" si="342"/>
        <v>55</v>
      </c>
      <c r="AE50" s="822">
        <f t="shared" si="54"/>
        <v>-45</v>
      </c>
      <c r="AF50" s="840">
        <f t="shared" si="343"/>
        <v>788</v>
      </c>
      <c r="AG50" s="822">
        <f t="shared" si="20"/>
        <v>-18.8</v>
      </c>
      <c r="AH50" s="840">
        <v>155</v>
      </c>
      <c r="AI50" s="840">
        <v>2070</v>
      </c>
      <c r="AJ50" s="840">
        <v>67</v>
      </c>
      <c r="AK50" s="822">
        <f t="shared" si="21"/>
        <v>-56.8</v>
      </c>
      <c r="AL50" s="840">
        <v>2076</v>
      </c>
      <c r="AM50" s="822">
        <f t="shared" si="22"/>
        <v>0.3</v>
      </c>
      <c r="AN50" s="840">
        <f t="shared" si="344"/>
        <v>50</v>
      </c>
      <c r="AO50" s="840">
        <f t="shared" si="345"/>
        <v>948</v>
      </c>
      <c r="AP50" s="840">
        <f t="shared" si="346"/>
        <v>4</v>
      </c>
      <c r="AQ50" s="822">
        <f t="shared" si="57"/>
        <v>-92</v>
      </c>
      <c r="AR50" s="840">
        <f t="shared" si="347"/>
        <v>1904</v>
      </c>
      <c r="AS50" s="822">
        <f t="shared" si="23"/>
        <v>100.8</v>
      </c>
      <c r="AT50" s="840">
        <v>205</v>
      </c>
      <c r="AU50" s="840">
        <v>3018</v>
      </c>
      <c r="AV50" s="840">
        <v>71</v>
      </c>
      <c r="AW50" s="822">
        <f t="shared" si="24"/>
        <v>-65.400000000000006</v>
      </c>
      <c r="AX50" s="840">
        <v>3980</v>
      </c>
      <c r="AY50" s="822">
        <f t="shared" si="25"/>
        <v>31.9</v>
      </c>
      <c r="AZ50" s="840">
        <f t="shared" si="348"/>
        <v>30</v>
      </c>
      <c r="BA50" s="840">
        <f t="shared" si="349"/>
        <v>1130</v>
      </c>
      <c r="BB50" s="840">
        <f t="shared" si="350"/>
        <v>130</v>
      </c>
      <c r="BC50" s="822">
        <f t="shared" si="60"/>
        <v>333.3</v>
      </c>
      <c r="BD50" s="840">
        <f t="shared" si="351"/>
        <v>973</v>
      </c>
      <c r="BE50" s="822">
        <f t="shared" si="26"/>
        <v>-13.9</v>
      </c>
      <c r="BF50" s="840">
        <v>235</v>
      </c>
      <c r="BG50" s="840">
        <v>4148</v>
      </c>
      <c r="BH50" s="840">
        <v>201</v>
      </c>
      <c r="BI50" s="822">
        <f t="shared" si="27"/>
        <v>-14.5</v>
      </c>
      <c r="BJ50" s="840">
        <v>4953</v>
      </c>
      <c r="BK50" s="822">
        <f t="shared" si="28"/>
        <v>19.399999999999999</v>
      </c>
      <c r="BL50" s="840">
        <f t="shared" si="352"/>
        <v>60</v>
      </c>
      <c r="BM50" s="840">
        <f t="shared" si="352"/>
        <v>701</v>
      </c>
      <c r="BN50" s="840">
        <f t="shared" si="352"/>
        <v>39</v>
      </c>
      <c r="BO50" s="822">
        <f t="shared" si="63"/>
        <v>-35</v>
      </c>
      <c r="BP50" s="840">
        <f t="shared" si="353"/>
        <v>1318</v>
      </c>
      <c r="BQ50" s="822">
        <f t="shared" si="29"/>
        <v>88</v>
      </c>
      <c r="BR50" s="840">
        <v>295</v>
      </c>
      <c r="BS50" s="840">
        <v>4849</v>
      </c>
      <c r="BT50" s="840">
        <v>240</v>
      </c>
      <c r="BU50" s="822">
        <f t="shared" si="30"/>
        <v>-18.600000000000001</v>
      </c>
      <c r="BV50" s="840">
        <v>6271</v>
      </c>
      <c r="BW50" s="822">
        <f t="shared" si="31"/>
        <v>29.3</v>
      </c>
      <c r="BX50" s="840">
        <f t="shared" si="354"/>
        <v>36</v>
      </c>
      <c r="BY50" s="840">
        <f t="shared" si="355"/>
        <v>1227</v>
      </c>
      <c r="BZ50" s="840">
        <f t="shared" si="356"/>
        <v>14</v>
      </c>
      <c r="CA50" s="822">
        <f t="shared" si="66"/>
        <v>-61.1</v>
      </c>
      <c r="CB50" s="840">
        <f t="shared" si="357"/>
        <v>704</v>
      </c>
      <c r="CC50" s="822">
        <f t="shared" si="32"/>
        <v>-42.6</v>
      </c>
      <c r="CD50" s="840">
        <v>331</v>
      </c>
      <c r="CE50" s="840">
        <v>6076</v>
      </c>
      <c r="CF50" s="840">
        <v>254</v>
      </c>
      <c r="CG50" s="822">
        <f t="shared" si="33"/>
        <v>-23.3</v>
      </c>
      <c r="CH50" s="840">
        <v>6975</v>
      </c>
      <c r="CI50" s="822">
        <f t="shared" si="34"/>
        <v>14.8</v>
      </c>
      <c r="CJ50" s="840">
        <f t="shared" si="358"/>
        <v>47</v>
      </c>
      <c r="CK50" s="840">
        <f t="shared" si="359"/>
        <v>1435</v>
      </c>
      <c r="CL50" s="840">
        <f t="shared" si="360"/>
        <v>145</v>
      </c>
      <c r="CM50" s="822">
        <f t="shared" si="69"/>
        <v>208.5</v>
      </c>
      <c r="CN50" s="840">
        <f t="shared" si="361"/>
        <v>1277</v>
      </c>
      <c r="CO50" s="822">
        <f t="shared" si="35"/>
        <v>-11</v>
      </c>
      <c r="CP50" s="939">
        <v>378</v>
      </c>
      <c r="CQ50" s="939">
        <v>7511</v>
      </c>
      <c r="CR50" s="939">
        <v>399</v>
      </c>
      <c r="CS50" s="822">
        <f t="shared" si="36"/>
        <v>5.6</v>
      </c>
      <c r="CT50" s="939">
        <v>8252</v>
      </c>
      <c r="CU50" s="822">
        <f t="shared" si="37"/>
        <v>9.9</v>
      </c>
      <c r="CV50" s="840">
        <f t="shared" si="362"/>
        <v>90</v>
      </c>
      <c r="CW50" s="840">
        <f t="shared" si="363"/>
        <v>1027</v>
      </c>
      <c r="CX50" s="840">
        <f t="shared" si="364"/>
        <v>36</v>
      </c>
      <c r="CY50" s="822">
        <f t="shared" si="72"/>
        <v>-60</v>
      </c>
      <c r="CZ50" s="840">
        <f t="shared" si="365"/>
        <v>875</v>
      </c>
      <c r="DA50" s="822">
        <f t="shared" si="38"/>
        <v>-14.8</v>
      </c>
      <c r="DB50" s="840">
        <v>468</v>
      </c>
      <c r="DC50" s="840">
        <v>8538</v>
      </c>
      <c r="DD50" s="840">
        <v>435</v>
      </c>
      <c r="DE50" s="822">
        <f t="shared" si="39"/>
        <v>-7.1</v>
      </c>
      <c r="DF50" s="840">
        <v>9127</v>
      </c>
      <c r="DG50" s="822">
        <f t="shared" si="40"/>
        <v>6.9</v>
      </c>
      <c r="DH50" s="840">
        <f t="shared" si="366"/>
        <v>11</v>
      </c>
      <c r="DI50" s="840">
        <f t="shared" si="366"/>
        <v>1147</v>
      </c>
      <c r="DJ50" s="840">
        <f t="shared" si="366"/>
        <v>96</v>
      </c>
      <c r="DK50" s="822">
        <f t="shared" si="75"/>
        <v>772.7</v>
      </c>
      <c r="DL50" s="840">
        <f t="shared" si="367"/>
        <v>1448</v>
      </c>
      <c r="DM50" s="822">
        <f t="shared" si="41"/>
        <v>26.2</v>
      </c>
      <c r="DN50" s="840">
        <v>479</v>
      </c>
      <c r="DO50" s="840">
        <v>9685</v>
      </c>
      <c r="DP50" s="840">
        <v>531</v>
      </c>
      <c r="DQ50" s="822">
        <f t="shared" si="42"/>
        <v>10.9</v>
      </c>
      <c r="DR50" s="840">
        <v>10575</v>
      </c>
      <c r="DS50" s="822">
        <f t="shared" si="43"/>
        <v>9.1999999999999993</v>
      </c>
      <c r="DT50" s="840">
        <f t="shared" si="368"/>
        <v>54</v>
      </c>
      <c r="DU50" s="840">
        <f t="shared" si="368"/>
        <v>799</v>
      </c>
      <c r="DV50" s="840">
        <f t="shared" si="368"/>
        <v>35</v>
      </c>
      <c r="DW50" s="822">
        <f t="shared" si="78"/>
        <v>-35.200000000000003</v>
      </c>
      <c r="DX50" s="840">
        <f t="shared" si="369"/>
        <v>872</v>
      </c>
      <c r="DY50" s="822">
        <f t="shared" si="44"/>
        <v>9.1</v>
      </c>
      <c r="DZ50" s="840">
        <v>533</v>
      </c>
      <c r="EA50" s="840">
        <v>10484</v>
      </c>
      <c r="EB50" s="840">
        <v>566</v>
      </c>
      <c r="EC50" s="822">
        <f t="shared" si="45"/>
        <v>6.2</v>
      </c>
      <c r="ED50" s="840">
        <v>11447</v>
      </c>
      <c r="EE50" s="822">
        <f t="shared" si="46"/>
        <v>9.1999999999999993</v>
      </c>
      <c r="EF50" s="840">
        <f t="shared" si="370"/>
        <v>35</v>
      </c>
      <c r="EG50" s="840">
        <f t="shared" si="370"/>
        <v>896</v>
      </c>
      <c r="EH50" s="840">
        <f t="shared" si="370"/>
        <v>12</v>
      </c>
      <c r="EI50" s="822">
        <f t="shared" si="81"/>
        <v>-65.7</v>
      </c>
      <c r="EJ50" s="840">
        <f t="shared" si="371"/>
        <v>1327</v>
      </c>
      <c r="EK50" s="822">
        <f t="shared" si="47"/>
        <v>48.1</v>
      </c>
      <c r="EL50" s="840">
        <v>568</v>
      </c>
      <c r="EM50" s="840">
        <v>11380</v>
      </c>
      <c r="EN50" s="840">
        <v>578</v>
      </c>
      <c r="EO50" s="822">
        <f t="shared" si="48"/>
        <v>1.8</v>
      </c>
      <c r="EP50" s="840">
        <v>12774</v>
      </c>
      <c r="EQ50" s="822">
        <f t="shared" si="49"/>
        <v>12.2</v>
      </c>
    </row>
    <row r="51" spans="1:147" ht="21.75" customHeight="1">
      <c r="A51" s="1129"/>
      <c r="B51" s="1129"/>
      <c r="C51" s="1063" t="s">
        <v>272</v>
      </c>
      <c r="D51" s="844">
        <v>11149</v>
      </c>
      <c r="E51" s="844">
        <v>421443</v>
      </c>
      <c r="F51" s="844">
        <v>22051</v>
      </c>
      <c r="G51" s="844">
        <v>364699</v>
      </c>
      <c r="H51" s="844">
        <v>29966</v>
      </c>
      <c r="I51" s="844">
        <v>350648</v>
      </c>
      <c r="J51" s="844">
        <v>24307</v>
      </c>
      <c r="K51" s="844">
        <v>339549</v>
      </c>
      <c r="L51" s="844">
        <v>20541</v>
      </c>
      <c r="M51" s="844">
        <v>252149</v>
      </c>
      <c r="N51" s="844">
        <v>19532</v>
      </c>
      <c r="O51" s="844">
        <v>249510</v>
      </c>
      <c r="P51" s="844">
        <v>15056</v>
      </c>
      <c r="Q51" s="844">
        <v>275061</v>
      </c>
      <c r="R51" s="844">
        <v>16705</v>
      </c>
      <c r="S51" s="844">
        <v>290959</v>
      </c>
      <c r="T51" s="844">
        <v>11822</v>
      </c>
      <c r="U51" s="844">
        <v>239271</v>
      </c>
      <c r="V51" s="844">
        <v>1180</v>
      </c>
      <c r="W51" s="844">
        <v>21240</v>
      </c>
      <c r="X51" s="844">
        <v>263</v>
      </c>
      <c r="Y51" s="824">
        <f t="shared" si="18"/>
        <v>-77.7</v>
      </c>
      <c r="Z51" s="844">
        <v>22018</v>
      </c>
      <c r="AA51" s="824">
        <f t="shared" si="19"/>
        <v>3.7</v>
      </c>
      <c r="AB51" s="844">
        <f t="shared" si="340"/>
        <v>2035</v>
      </c>
      <c r="AC51" s="844">
        <f t="shared" si="341"/>
        <v>19202</v>
      </c>
      <c r="AD51" s="844">
        <f t="shared" si="342"/>
        <v>1081</v>
      </c>
      <c r="AE51" s="824">
        <f t="shared" si="54"/>
        <v>-46.9</v>
      </c>
      <c r="AF51" s="844">
        <f t="shared" si="343"/>
        <v>13469</v>
      </c>
      <c r="AG51" s="824">
        <f t="shared" si="20"/>
        <v>-29.9</v>
      </c>
      <c r="AH51" s="844">
        <v>3215</v>
      </c>
      <c r="AI51" s="844">
        <v>40442</v>
      </c>
      <c r="AJ51" s="844">
        <v>1344</v>
      </c>
      <c r="AK51" s="824">
        <f t="shared" si="21"/>
        <v>-58.2</v>
      </c>
      <c r="AL51" s="844">
        <v>35487</v>
      </c>
      <c r="AM51" s="824">
        <f t="shared" si="22"/>
        <v>-12.3</v>
      </c>
      <c r="AN51" s="844">
        <f t="shared" si="344"/>
        <v>1111</v>
      </c>
      <c r="AO51" s="844">
        <f t="shared" si="345"/>
        <v>19818</v>
      </c>
      <c r="AP51" s="844">
        <f t="shared" si="346"/>
        <v>203</v>
      </c>
      <c r="AQ51" s="824">
        <f t="shared" si="57"/>
        <v>-81.7</v>
      </c>
      <c r="AR51" s="844">
        <f t="shared" si="347"/>
        <v>32457</v>
      </c>
      <c r="AS51" s="824">
        <f t="shared" si="23"/>
        <v>63.8</v>
      </c>
      <c r="AT51" s="844">
        <v>4326</v>
      </c>
      <c r="AU51" s="844">
        <v>60260</v>
      </c>
      <c r="AV51" s="844">
        <v>1547</v>
      </c>
      <c r="AW51" s="824">
        <f t="shared" si="24"/>
        <v>-64.2</v>
      </c>
      <c r="AX51" s="844">
        <v>67944</v>
      </c>
      <c r="AY51" s="824">
        <f t="shared" si="25"/>
        <v>12.8</v>
      </c>
      <c r="AZ51" s="844">
        <f t="shared" si="348"/>
        <v>685</v>
      </c>
      <c r="BA51" s="844">
        <f t="shared" si="349"/>
        <v>24054</v>
      </c>
      <c r="BB51" s="844">
        <f t="shared" si="350"/>
        <v>2150</v>
      </c>
      <c r="BC51" s="824">
        <f t="shared" si="60"/>
        <v>213.9</v>
      </c>
      <c r="BD51" s="844">
        <f t="shared" si="351"/>
        <v>15482</v>
      </c>
      <c r="BE51" s="824">
        <f t="shared" si="26"/>
        <v>-35.6</v>
      </c>
      <c r="BF51" s="844">
        <v>5011</v>
      </c>
      <c r="BG51" s="844">
        <v>84314</v>
      </c>
      <c r="BH51" s="844">
        <v>3697</v>
      </c>
      <c r="BI51" s="824">
        <f t="shared" si="27"/>
        <v>-26.2</v>
      </c>
      <c r="BJ51" s="844">
        <v>83426</v>
      </c>
      <c r="BK51" s="824">
        <f t="shared" si="28"/>
        <v>-1.1000000000000001</v>
      </c>
      <c r="BL51" s="844">
        <f t="shared" si="352"/>
        <v>1294</v>
      </c>
      <c r="BM51" s="844">
        <f t="shared" si="352"/>
        <v>14689</v>
      </c>
      <c r="BN51" s="844">
        <f t="shared" si="352"/>
        <v>611</v>
      </c>
      <c r="BO51" s="824">
        <f t="shared" si="63"/>
        <v>-52.8</v>
      </c>
      <c r="BP51" s="844">
        <f t="shared" si="353"/>
        <v>20719</v>
      </c>
      <c r="BQ51" s="824">
        <f t="shared" si="29"/>
        <v>41.1</v>
      </c>
      <c r="BR51" s="844">
        <v>6305</v>
      </c>
      <c r="BS51" s="844">
        <v>99003</v>
      </c>
      <c r="BT51" s="844">
        <v>4308</v>
      </c>
      <c r="BU51" s="824">
        <f t="shared" si="30"/>
        <v>-31.7</v>
      </c>
      <c r="BV51" s="844">
        <v>104145</v>
      </c>
      <c r="BW51" s="824">
        <f t="shared" si="31"/>
        <v>5.2</v>
      </c>
      <c r="BX51" s="844">
        <f t="shared" si="354"/>
        <v>662</v>
      </c>
      <c r="BY51" s="844">
        <f t="shared" si="355"/>
        <v>25698</v>
      </c>
      <c r="BZ51" s="844">
        <f t="shared" si="356"/>
        <v>223</v>
      </c>
      <c r="CA51" s="824">
        <f t="shared" si="66"/>
        <v>-66.3</v>
      </c>
      <c r="CB51" s="844">
        <f t="shared" si="357"/>
        <v>10956</v>
      </c>
      <c r="CC51" s="824">
        <f t="shared" si="32"/>
        <v>-57.4</v>
      </c>
      <c r="CD51" s="844">
        <v>6967</v>
      </c>
      <c r="CE51" s="844">
        <v>124701</v>
      </c>
      <c r="CF51" s="844">
        <v>4531</v>
      </c>
      <c r="CG51" s="824">
        <f t="shared" si="33"/>
        <v>-35</v>
      </c>
      <c r="CH51" s="844">
        <v>115101</v>
      </c>
      <c r="CI51" s="824">
        <f t="shared" si="34"/>
        <v>-7.7</v>
      </c>
      <c r="CJ51" s="844">
        <f t="shared" si="358"/>
        <v>672</v>
      </c>
      <c r="CK51" s="844">
        <f t="shared" si="359"/>
        <v>28067</v>
      </c>
      <c r="CL51" s="844">
        <f t="shared" si="360"/>
        <v>2244</v>
      </c>
      <c r="CM51" s="824">
        <f t="shared" si="69"/>
        <v>233.9</v>
      </c>
      <c r="CN51" s="844">
        <f t="shared" si="361"/>
        <v>20823</v>
      </c>
      <c r="CO51" s="824">
        <f t="shared" si="35"/>
        <v>-25.8</v>
      </c>
      <c r="CP51" s="940">
        <v>7639</v>
      </c>
      <c r="CQ51" s="940">
        <v>152768</v>
      </c>
      <c r="CR51" s="940">
        <v>6775</v>
      </c>
      <c r="CS51" s="824">
        <f t="shared" si="36"/>
        <v>-11.3</v>
      </c>
      <c r="CT51" s="940">
        <v>135924</v>
      </c>
      <c r="CU51" s="824">
        <f t="shared" si="37"/>
        <v>-11</v>
      </c>
      <c r="CV51" s="844">
        <f t="shared" si="362"/>
        <v>1327</v>
      </c>
      <c r="CW51" s="844">
        <f t="shared" si="363"/>
        <v>19490</v>
      </c>
      <c r="CX51" s="844">
        <f t="shared" si="364"/>
        <v>604</v>
      </c>
      <c r="CY51" s="824">
        <f t="shared" si="72"/>
        <v>-54.5</v>
      </c>
      <c r="CZ51" s="844">
        <f t="shared" si="365"/>
        <v>15238</v>
      </c>
      <c r="DA51" s="824">
        <f t="shared" si="38"/>
        <v>-21.8</v>
      </c>
      <c r="DB51" s="844">
        <v>8966</v>
      </c>
      <c r="DC51" s="844">
        <v>172258</v>
      </c>
      <c r="DD51" s="844">
        <v>7379</v>
      </c>
      <c r="DE51" s="824">
        <f t="shared" si="39"/>
        <v>-17.7</v>
      </c>
      <c r="DF51" s="844">
        <v>151162</v>
      </c>
      <c r="DG51" s="824">
        <f t="shared" si="40"/>
        <v>-12.2</v>
      </c>
      <c r="DH51" s="844">
        <f t="shared" si="366"/>
        <v>153</v>
      </c>
      <c r="DI51" s="844">
        <f t="shared" si="366"/>
        <v>20130</v>
      </c>
      <c r="DJ51" s="844">
        <f t="shared" si="366"/>
        <v>1976</v>
      </c>
      <c r="DK51" s="824">
        <f t="shared" si="75"/>
        <v>1191.5</v>
      </c>
      <c r="DL51" s="844">
        <f t="shared" si="367"/>
        <v>25775</v>
      </c>
      <c r="DM51" s="824">
        <f t="shared" si="41"/>
        <v>28</v>
      </c>
      <c r="DN51" s="844">
        <v>9119</v>
      </c>
      <c r="DO51" s="844">
        <v>192388</v>
      </c>
      <c r="DP51" s="844">
        <v>9355</v>
      </c>
      <c r="DQ51" s="824">
        <f t="shared" si="42"/>
        <v>2.6</v>
      </c>
      <c r="DR51" s="844">
        <v>176937</v>
      </c>
      <c r="DS51" s="824">
        <f t="shared" si="43"/>
        <v>-8</v>
      </c>
      <c r="DT51" s="844">
        <f t="shared" si="368"/>
        <v>1127</v>
      </c>
      <c r="DU51" s="844">
        <f t="shared" si="368"/>
        <v>13607</v>
      </c>
      <c r="DV51" s="844">
        <f t="shared" si="368"/>
        <v>672</v>
      </c>
      <c r="DW51" s="824">
        <f t="shared" si="78"/>
        <v>-40.4</v>
      </c>
      <c r="DX51" s="844">
        <f t="shared" si="369"/>
        <v>15806</v>
      </c>
      <c r="DY51" s="824">
        <f t="shared" si="44"/>
        <v>16.2</v>
      </c>
      <c r="DZ51" s="844">
        <v>10246</v>
      </c>
      <c r="EA51" s="844">
        <v>205995</v>
      </c>
      <c r="EB51" s="844">
        <v>10027</v>
      </c>
      <c r="EC51" s="824">
        <f t="shared" si="45"/>
        <v>-2.1</v>
      </c>
      <c r="ED51" s="844">
        <v>192743</v>
      </c>
      <c r="EE51" s="824">
        <f t="shared" si="46"/>
        <v>-6.4</v>
      </c>
      <c r="EF51" s="844">
        <f t="shared" si="370"/>
        <v>623</v>
      </c>
      <c r="EG51" s="844">
        <f t="shared" si="370"/>
        <v>15102</v>
      </c>
      <c r="EH51" s="844">
        <f t="shared" si="370"/>
        <v>287</v>
      </c>
      <c r="EI51" s="824">
        <f t="shared" si="81"/>
        <v>-53.9</v>
      </c>
      <c r="EJ51" s="844">
        <f t="shared" si="371"/>
        <v>24038</v>
      </c>
      <c r="EK51" s="824">
        <f t="shared" si="47"/>
        <v>59.2</v>
      </c>
      <c r="EL51" s="844">
        <v>10869</v>
      </c>
      <c r="EM51" s="844">
        <v>221097</v>
      </c>
      <c r="EN51" s="844">
        <v>10314</v>
      </c>
      <c r="EO51" s="824">
        <f t="shared" si="48"/>
        <v>-5.0999999999999996</v>
      </c>
      <c r="EP51" s="844">
        <v>216781</v>
      </c>
      <c r="EQ51" s="824">
        <f t="shared" si="49"/>
        <v>-2</v>
      </c>
    </row>
    <row r="52" spans="1:147" ht="21.75" customHeight="1">
      <c r="A52" s="1129"/>
      <c r="B52" s="1133" t="s">
        <v>274</v>
      </c>
      <c r="C52" s="118" t="s">
        <v>271</v>
      </c>
      <c r="D52" s="840">
        <f t="shared" ref="D52:I53" si="372">D54-D48-D50</f>
        <v>2800</v>
      </c>
      <c r="E52" s="840">
        <f t="shared" si="372"/>
        <v>1386</v>
      </c>
      <c r="F52" s="840">
        <f t="shared" si="372"/>
        <v>1920</v>
      </c>
      <c r="G52" s="840">
        <f t="shared" si="372"/>
        <v>1069</v>
      </c>
      <c r="H52" s="840">
        <f t="shared" si="372"/>
        <v>1193</v>
      </c>
      <c r="I52" s="840">
        <f t="shared" si="372"/>
        <v>1139</v>
      </c>
      <c r="J52" s="840">
        <f t="shared" ref="J52:R53" si="373">J54-J48-J50</f>
        <v>1196</v>
      </c>
      <c r="K52" s="840">
        <f t="shared" si="373"/>
        <v>1144</v>
      </c>
      <c r="L52" s="840">
        <f t="shared" si="373"/>
        <v>1025</v>
      </c>
      <c r="M52" s="840">
        <f t="shared" si="373"/>
        <v>1226</v>
      </c>
      <c r="N52" s="840">
        <f t="shared" si="373"/>
        <v>952</v>
      </c>
      <c r="O52" s="840">
        <f t="shared" si="373"/>
        <v>1599</v>
      </c>
      <c r="P52" s="840">
        <f t="shared" si="373"/>
        <v>907</v>
      </c>
      <c r="Q52" s="840">
        <f t="shared" si="373"/>
        <v>1721</v>
      </c>
      <c r="R52" s="840">
        <f t="shared" si="373"/>
        <v>1019</v>
      </c>
      <c r="S52" s="840">
        <f t="shared" ref="S52:X53" si="374">S54-S48-S50</f>
        <v>1471</v>
      </c>
      <c r="T52" s="840">
        <f t="shared" si="374"/>
        <v>1099</v>
      </c>
      <c r="U52" s="840">
        <f>U54-U48-U50</f>
        <v>1535</v>
      </c>
      <c r="V52" s="840">
        <f t="shared" si="374"/>
        <v>93</v>
      </c>
      <c r="W52" s="840">
        <f t="shared" si="374"/>
        <v>109</v>
      </c>
      <c r="X52" s="840">
        <f t="shared" si="374"/>
        <v>81</v>
      </c>
      <c r="Y52" s="822">
        <f t="shared" si="18"/>
        <v>-12.9</v>
      </c>
      <c r="Z52" s="840">
        <f>Z54-Z48-Z50</f>
        <v>59</v>
      </c>
      <c r="AA52" s="822">
        <f t="shared" si="19"/>
        <v>-45.9</v>
      </c>
      <c r="AB52" s="840">
        <f t="shared" ref="AB52:AD53" si="375">AB54-AB48-AB50</f>
        <v>74</v>
      </c>
      <c r="AC52" s="840">
        <f t="shared" si="375"/>
        <v>93</v>
      </c>
      <c r="AD52" s="840">
        <f t="shared" si="375"/>
        <v>94</v>
      </c>
      <c r="AE52" s="822">
        <f t="shared" si="54"/>
        <v>27</v>
      </c>
      <c r="AF52" s="840">
        <f>AF54-AF48-AF50</f>
        <v>66</v>
      </c>
      <c r="AG52" s="822">
        <f t="shared" si="20"/>
        <v>-29</v>
      </c>
      <c r="AH52" s="840">
        <f t="shared" ref="AH52:AJ53" si="376">AH54-AH48-AH50</f>
        <v>167</v>
      </c>
      <c r="AI52" s="840">
        <f t="shared" si="376"/>
        <v>202</v>
      </c>
      <c r="AJ52" s="840">
        <f t="shared" si="376"/>
        <v>175</v>
      </c>
      <c r="AK52" s="822">
        <f t="shared" si="21"/>
        <v>4.8</v>
      </c>
      <c r="AL52" s="840">
        <f>AL54-AL48-AL50</f>
        <v>125</v>
      </c>
      <c r="AM52" s="822">
        <f t="shared" si="22"/>
        <v>-38.1</v>
      </c>
      <c r="AN52" s="840">
        <f t="shared" ref="AN52:AP53" si="377">AN54-AN48-AN50</f>
        <v>117</v>
      </c>
      <c r="AO52" s="840">
        <f t="shared" si="377"/>
        <v>178</v>
      </c>
      <c r="AP52" s="840">
        <f t="shared" si="377"/>
        <v>120</v>
      </c>
      <c r="AQ52" s="822">
        <f t="shared" si="57"/>
        <v>2.6</v>
      </c>
      <c r="AR52" s="840">
        <f>AR54-AR48-AR50</f>
        <v>62</v>
      </c>
      <c r="AS52" s="822">
        <f t="shared" si="23"/>
        <v>-65.2</v>
      </c>
      <c r="AT52" s="840">
        <f t="shared" ref="AT52:AV53" si="378">AT54-AT48-AT50</f>
        <v>284</v>
      </c>
      <c r="AU52" s="840">
        <f t="shared" si="378"/>
        <v>380</v>
      </c>
      <c r="AV52" s="840">
        <f t="shared" si="378"/>
        <v>295</v>
      </c>
      <c r="AW52" s="822">
        <f t="shared" si="24"/>
        <v>3.9</v>
      </c>
      <c r="AX52" s="840">
        <f>AX54-AX48-AX50</f>
        <v>187</v>
      </c>
      <c r="AY52" s="822">
        <f t="shared" si="25"/>
        <v>-50.8</v>
      </c>
      <c r="AZ52" s="840">
        <f t="shared" ref="AZ52:BB52" si="379">AZ54-AZ48-AZ50</f>
        <v>80</v>
      </c>
      <c r="BA52" s="840">
        <f t="shared" si="379"/>
        <v>146</v>
      </c>
      <c r="BB52" s="840">
        <f t="shared" si="379"/>
        <v>68</v>
      </c>
      <c r="BC52" s="822">
        <f t="shared" si="60"/>
        <v>-15</v>
      </c>
      <c r="BD52" s="840">
        <f>BD54-BD48-BD50</f>
        <v>73</v>
      </c>
      <c r="BE52" s="822">
        <f t="shared" si="26"/>
        <v>-50</v>
      </c>
      <c r="BF52" s="840">
        <f t="shared" ref="BF52:BH52" si="380">BF54-BF48-BF50</f>
        <v>364</v>
      </c>
      <c r="BG52" s="840">
        <f t="shared" si="380"/>
        <v>526</v>
      </c>
      <c r="BH52" s="840">
        <f t="shared" si="380"/>
        <v>363</v>
      </c>
      <c r="BI52" s="822">
        <f t="shared" si="27"/>
        <v>-0.3</v>
      </c>
      <c r="BJ52" s="840">
        <f>BJ54-BJ48-BJ50</f>
        <v>260</v>
      </c>
      <c r="BK52" s="822">
        <f t="shared" si="28"/>
        <v>-50.6</v>
      </c>
      <c r="BL52" s="840">
        <f t="shared" ref="BL52:BN53" si="381">BL54-BL48-BL50</f>
        <v>99</v>
      </c>
      <c r="BM52" s="840">
        <f t="shared" si="381"/>
        <v>139</v>
      </c>
      <c r="BN52" s="840">
        <f t="shared" si="381"/>
        <v>46</v>
      </c>
      <c r="BO52" s="822">
        <f t="shared" si="63"/>
        <v>-53.5</v>
      </c>
      <c r="BP52" s="840">
        <f>BP54-BP48-BP50</f>
        <v>62</v>
      </c>
      <c r="BQ52" s="822">
        <f t="shared" si="29"/>
        <v>-55.4</v>
      </c>
      <c r="BR52" s="840">
        <f t="shared" ref="BR52:BT53" si="382">BR54-BR48-BR50</f>
        <v>463</v>
      </c>
      <c r="BS52" s="840">
        <f t="shared" si="382"/>
        <v>665</v>
      </c>
      <c r="BT52" s="840">
        <f t="shared" si="382"/>
        <v>409</v>
      </c>
      <c r="BU52" s="822">
        <f t="shared" si="30"/>
        <v>-11.7</v>
      </c>
      <c r="BV52" s="840">
        <f>BV54-BV48-BV50</f>
        <v>322</v>
      </c>
      <c r="BW52" s="822">
        <f t="shared" si="31"/>
        <v>-51.6</v>
      </c>
      <c r="BX52" s="840">
        <f t="shared" ref="BX52:BZ52" si="383">BX54-BX48-BX50</f>
        <v>54</v>
      </c>
      <c r="BY52" s="840">
        <f t="shared" si="383"/>
        <v>83</v>
      </c>
      <c r="BZ52" s="840">
        <f t="shared" si="383"/>
        <v>146</v>
      </c>
      <c r="CA52" s="822">
        <f t="shared" si="66"/>
        <v>170.4</v>
      </c>
      <c r="CB52" s="840">
        <f>CB54-CB48-CB50</f>
        <v>79</v>
      </c>
      <c r="CC52" s="822">
        <f t="shared" si="32"/>
        <v>-4.8</v>
      </c>
      <c r="CD52" s="840">
        <f t="shared" ref="CD52:CF52" si="384">CD54-CD48-CD50</f>
        <v>517</v>
      </c>
      <c r="CE52" s="840">
        <f t="shared" si="384"/>
        <v>748</v>
      </c>
      <c r="CF52" s="840">
        <f t="shared" si="384"/>
        <v>555</v>
      </c>
      <c r="CG52" s="822">
        <f t="shared" si="33"/>
        <v>7.4</v>
      </c>
      <c r="CH52" s="840">
        <f>CH54-CH48-CH50</f>
        <v>401</v>
      </c>
      <c r="CI52" s="822">
        <f t="shared" si="34"/>
        <v>-46.4</v>
      </c>
      <c r="CJ52" s="840">
        <f t="shared" ref="CJ52:CL52" si="385">CJ54-CJ48-CJ50</f>
        <v>86</v>
      </c>
      <c r="CK52" s="840">
        <f t="shared" si="385"/>
        <v>110</v>
      </c>
      <c r="CL52" s="840">
        <f t="shared" si="385"/>
        <v>102</v>
      </c>
      <c r="CM52" s="822">
        <f t="shared" si="69"/>
        <v>18.600000000000001</v>
      </c>
      <c r="CN52" s="840">
        <f>CN54-CN48-CN50</f>
        <v>90</v>
      </c>
      <c r="CO52" s="822">
        <f t="shared" si="35"/>
        <v>-18.2</v>
      </c>
      <c r="CP52" s="939">
        <f t="shared" ref="CP52:CR53" si="386">CP54-CP48-CP50</f>
        <v>603</v>
      </c>
      <c r="CQ52" s="939">
        <f t="shared" si="386"/>
        <v>858</v>
      </c>
      <c r="CR52" s="939">
        <f t="shared" si="386"/>
        <v>657</v>
      </c>
      <c r="CS52" s="822">
        <f t="shared" si="36"/>
        <v>9</v>
      </c>
      <c r="CT52" s="939">
        <f>CT54-CT48-CT50</f>
        <v>491</v>
      </c>
      <c r="CU52" s="822">
        <f t="shared" si="37"/>
        <v>-42.8</v>
      </c>
      <c r="CV52" s="840">
        <f t="shared" ref="CV52:CX52" si="387">CV54-CV48-CV50</f>
        <v>104</v>
      </c>
      <c r="CW52" s="840">
        <f t="shared" si="387"/>
        <v>142</v>
      </c>
      <c r="CX52" s="840">
        <f t="shared" si="387"/>
        <v>86</v>
      </c>
      <c r="CY52" s="822">
        <f t="shared" si="72"/>
        <v>-17.3</v>
      </c>
      <c r="CZ52" s="840">
        <f>CZ54-CZ48-CZ50</f>
        <v>53</v>
      </c>
      <c r="DA52" s="822">
        <f t="shared" si="38"/>
        <v>-62.7</v>
      </c>
      <c r="DB52" s="840">
        <f t="shared" ref="DB52:DD53" si="388">DB54-DB48-DB50</f>
        <v>707</v>
      </c>
      <c r="DC52" s="840">
        <f t="shared" si="388"/>
        <v>1000</v>
      </c>
      <c r="DD52" s="840">
        <f t="shared" si="388"/>
        <v>743</v>
      </c>
      <c r="DE52" s="822">
        <f t="shared" si="39"/>
        <v>5.0999999999999996</v>
      </c>
      <c r="DF52" s="840">
        <f>DF54-DF48-DF50</f>
        <v>544</v>
      </c>
      <c r="DG52" s="822">
        <f t="shared" si="40"/>
        <v>-45.6</v>
      </c>
      <c r="DH52" s="840">
        <f t="shared" ref="DH52:DJ53" si="389">DH54-DH48-DH50</f>
        <v>101</v>
      </c>
      <c r="DI52" s="840">
        <f t="shared" si="389"/>
        <v>130</v>
      </c>
      <c r="DJ52" s="840">
        <f t="shared" si="389"/>
        <v>180</v>
      </c>
      <c r="DK52" s="822">
        <f t="shared" si="75"/>
        <v>78.2</v>
      </c>
      <c r="DL52" s="840">
        <f>DL54-DL48-DL50</f>
        <v>61</v>
      </c>
      <c r="DM52" s="822">
        <f t="shared" si="41"/>
        <v>-53.1</v>
      </c>
      <c r="DN52" s="840">
        <f t="shared" ref="DN52:DP53" si="390">DN54-DN48-DN50</f>
        <v>808</v>
      </c>
      <c r="DO52" s="840">
        <f t="shared" si="390"/>
        <v>1130</v>
      </c>
      <c r="DP52" s="840">
        <f t="shared" si="390"/>
        <v>923</v>
      </c>
      <c r="DQ52" s="822">
        <f t="shared" si="42"/>
        <v>14.2</v>
      </c>
      <c r="DR52" s="840">
        <f>DR54-DR48-DR50</f>
        <v>605</v>
      </c>
      <c r="DS52" s="822">
        <f t="shared" si="43"/>
        <v>-46.5</v>
      </c>
      <c r="DT52" s="840">
        <f t="shared" ref="DT52:DV53" si="391">DT54-DT48-DT50</f>
        <v>112</v>
      </c>
      <c r="DU52" s="840">
        <f t="shared" si="391"/>
        <v>129</v>
      </c>
      <c r="DV52" s="840">
        <f t="shared" si="391"/>
        <v>118</v>
      </c>
      <c r="DW52" s="822">
        <f t="shared" si="78"/>
        <v>5.4</v>
      </c>
      <c r="DX52" s="840">
        <f>DX54-DX48-DX50</f>
        <v>50</v>
      </c>
      <c r="DY52" s="822">
        <f t="shared" si="44"/>
        <v>-61.2</v>
      </c>
      <c r="DZ52" s="840">
        <f t="shared" ref="DZ52:EB53" si="392">DZ54-DZ48-DZ50</f>
        <v>920</v>
      </c>
      <c r="EA52" s="840">
        <f t="shared" si="392"/>
        <v>1259</v>
      </c>
      <c r="EB52" s="840">
        <f t="shared" si="392"/>
        <v>1041</v>
      </c>
      <c r="EC52" s="822">
        <f t="shared" si="45"/>
        <v>13.2</v>
      </c>
      <c r="ED52" s="840">
        <f>ED54-ED48-ED50</f>
        <v>655</v>
      </c>
      <c r="EE52" s="822">
        <f t="shared" si="46"/>
        <v>-48</v>
      </c>
      <c r="EF52" s="840">
        <f t="shared" ref="EF52:EH53" si="393">EF54-EF48-EF50</f>
        <v>63</v>
      </c>
      <c r="EG52" s="840">
        <f t="shared" si="393"/>
        <v>144</v>
      </c>
      <c r="EH52" s="840">
        <f t="shared" si="393"/>
        <v>130</v>
      </c>
      <c r="EI52" s="822">
        <f t="shared" si="81"/>
        <v>106.3</v>
      </c>
      <c r="EJ52" s="840">
        <f>EJ54-EJ48-EJ50</f>
        <v>68</v>
      </c>
      <c r="EK52" s="822">
        <f t="shared" si="47"/>
        <v>-52.8</v>
      </c>
      <c r="EL52" s="840">
        <f t="shared" ref="EL52:EN53" si="394">EL54-EL48-EL50</f>
        <v>983</v>
      </c>
      <c r="EM52" s="840">
        <f t="shared" si="394"/>
        <v>1403</v>
      </c>
      <c r="EN52" s="840">
        <f t="shared" si="394"/>
        <v>1171</v>
      </c>
      <c r="EO52" s="822">
        <f t="shared" si="48"/>
        <v>19.100000000000001</v>
      </c>
      <c r="EP52" s="840">
        <f>EP54-EP48-EP50</f>
        <v>723</v>
      </c>
      <c r="EQ52" s="822">
        <f t="shared" si="49"/>
        <v>-48.5</v>
      </c>
    </row>
    <row r="53" spans="1:147" ht="21.75" customHeight="1">
      <c r="A53" s="1129"/>
      <c r="B53" s="1129"/>
      <c r="C53" s="1063" t="s">
        <v>272</v>
      </c>
      <c r="D53" s="844">
        <f t="shared" si="372"/>
        <v>46002</v>
      </c>
      <c r="E53" s="844">
        <f t="shared" si="372"/>
        <v>27776</v>
      </c>
      <c r="F53" s="844">
        <f t="shared" si="372"/>
        <v>38671</v>
      </c>
      <c r="G53" s="844">
        <f t="shared" si="372"/>
        <v>21079</v>
      </c>
      <c r="H53" s="844">
        <f t="shared" si="372"/>
        <v>33212</v>
      </c>
      <c r="I53" s="844">
        <f t="shared" si="372"/>
        <v>18636</v>
      </c>
      <c r="J53" s="844">
        <f t="shared" si="373"/>
        <v>33854</v>
      </c>
      <c r="K53" s="844">
        <f t="shared" si="373"/>
        <v>18130</v>
      </c>
      <c r="L53" s="844">
        <f t="shared" si="373"/>
        <v>25705</v>
      </c>
      <c r="M53" s="844">
        <f t="shared" si="373"/>
        <v>15513</v>
      </c>
      <c r="N53" s="844">
        <f t="shared" si="373"/>
        <v>24521</v>
      </c>
      <c r="O53" s="844">
        <f t="shared" si="373"/>
        <v>25626</v>
      </c>
      <c r="P53" s="844">
        <f t="shared" si="373"/>
        <v>28403</v>
      </c>
      <c r="Q53" s="844">
        <f t="shared" si="373"/>
        <v>31196</v>
      </c>
      <c r="R53" s="844">
        <f t="shared" si="373"/>
        <v>30931</v>
      </c>
      <c r="S53" s="844">
        <f t="shared" si="374"/>
        <v>36035</v>
      </c>
      <c r="T53" s="844">
        <f t="shared" si="374"/>
        <v>29925</v>
      </c>
      <c r="U53" s="844">
        <f>U55-U49-U51</f>
        <v>38602</v>
      </c>
      <c r="V53" s="844">
        <f t="shared" si="374"/>
        <v>2683</v>
      </c>
      <c r="W53" s="844">
        <f t="shared" si="374"/>
        <v>2836</v>
      </c>
      <c r="X53" s="844">
        <f t="shared" si="374"/>
        <v>2422</v>
      </c>
      <c r="Y53" s="824">
        <f t="shared" si="18"/>
        <v>-9.6999999999999993</v>
      </c>
      <c r="Z53" s="844">
        <f>Z55-Z49-Z51</f>
        <v>2120</v>
      </c>
      <c r="AA53" s="824">
        <f t="shared" si="19"/>
        <v>-25.2</v>
      </c>
      <c r="AB53" s="844">
        <f t="shared" si="375"/>
        <v>2273</v>
      </c>
      <c r="AC53" s="844">
        <f t="shared" si="375"/>
        <v>2426</v>
      </c>
      <c r="AD53" s="844">
        <f t="shared" si="375"/>
        <v>3369</v>
      </c>
      <c r="AE53" s="824">
        <f t="shared" si="54"/>
        <v>48.2</v>
      </c>
      <c r="AF53" s="844">
        <f>AF55-AF49-AF51</f>
        <v>2566</v>
      </c>
      <c r="AG53" s="824">
        <f t="shared" si="20"/>
        <v>5.8</v>
      </c>
      <c r="AH53" s="844">
        <f t="shared" si="376"/>
        <v>4956</v>
      </c>
      <c r="AI53" s="844">
        <f t="shared" si="376"/>
        <v>5262</v>
      </c>
      <c r="AJ53" s="844">
        <f t="shared" si="376"/>
        <v>5791</v>
      </c>
      <c r="AK53" s="824">
        <f t="shared" si="21"/>
        <v>16.8</v>
      </c>
      <c r="AL53" s="844">
        <f>AL55-AL49-AL51</f>
        <v>4686</v>
      </c>
      <c r="AM53" s="824">
        <f t="shared" si="22"/>
        <v>-10.9</v>
      </c>
      <c r="AN53" s="844">
        <f t="shared" si="377"/>
        <v>3019</v>
      </c>
      <c r="AO53" s="844">
        <f t="shared" si="377"/>
        <v>4180</v>
      </c>
      <c r="AP53" s="844">
        <f t="shared" si="377"/>
        <v>2422</v>
      </c>
      <c r="AQ53" s="824">
        <f t="shared" si="57"/>
        <v>-19.8</v>
      </c>
      <c r="AR53" s="844">
        <f>AR55-AR49-AR51</f>
        <v>2209</v>
      </c>
      <c r="AS53" s="824">
        <f t="shared" si="23"/>
        <v>-47.2</v>
      </c>
      <c r="AT53" s="844">
        <f t="shared" si="378"/>
        <v>7975</v>
      </c>
      <c r="AU53" s="844">
        <f t="shared" si="378"/>
        <v>9442</v>
      </c>
      <c r="AV53" s="844">
        <f t="shared" si="378"/>
        <v>8213</v>
      </c>
      <c r="AW53" s="824">
        <f t="shared" si="24"/>
        <v>3</v>
      </c>
      <c r="AX53" s="844">
        <f>AX55-AX49-AX51</f>
        <v>6895</v>
      </c>
      <c r="AY53" s="824">
        <f t="shared" si="25"/>
        <v>-27</v>
      </c>
      <c r="AZ53" s="844">
        <f t="shared" ref="AZ53:BB53" si="395">AZ55-AZ49-AZ51</f>
        <v>2395</v>
      </c>
      <c r="BA53" s="844">
        <f t="shared" si="395"/>
        <v>3872</v>
      </c>
      <c r="BB53" s="844">
        <f t="shared" si="395"/>
        <v>2028</v>
      </c>
      <c r="BC53" s="824">
        <f t="shared" si="60"/>
        <v>-15.3</v>
      </c>
      <c r="BD53" s="844">
        <f>BD55-BD49-BD51</f>
        <v>2197</v>
      </c>
      <c r="BE53" s="824">
        <f t="shared" si="26"/>
        <v>-43.3</v>
      </c>
      <c r="BF53" s="844">
        <f t="shared" ref="BF53:BH53" si="396">BF55-BF49-BF51</f>
        <v>10370</v>
      </c>
      <c r="BG53" s="844">
        <f t="shared" si="396"/>
        <v>13314</v>
      </c>
      <c r="BH53" s="844">
        <f t="shared" si="396"/>
        <v>10241</v>
      </c>
      <c r="BI53" s="824">
        <f t="shared" si="27"/>
        <v>-1.2</v>
      </c>
      <c r="BJ53" s="844">
        <f>BJ55-BJ49-BJ51</f>
        <v>9092</v>
      </c>
      <c r="BK53" s="824">
        <f t="shared" si="28"/>
        <v>-31.7</v>
      </c>
      <c r="BL53" s="844">
        <f t="shared" si="381"/>
        <v>2467</v>
      </c>
      <c r="BM53" s="844">
        <f t="shared" si="381"/>
        <v>3130</v>
      </c>
      <c r="BN53" s="844">
        <f t="shared" si="381"/>
        <v>1871</v>
      </c>
      <c r="BO53" s="824">
        <f t="shared" si="63"/>
        <v>-24.2</v>
      </c>
      <c r="BP53" s="844">
        <f>BP55-BP49-BP51</f>
        <v>1724</v>
      </c>
      <c r="BQ53" s="824">
        <f t="shared" si="29"/>
        <v>-44.9</v>
      </c>
      <c r="BR53" s="844">
        <f t="shared" si="382"/>
        <v>12837</v>
      </c>
      <c r="BS53" s="844">
        <f t="shared" si="382"/>
        <v>16444</v>
      </c>
      <c r="BT53" s="844">
        <f t="shared" si="382"/>
        <v>12112</v>
      </c>
      <c r="BU53" s="824">
        <f t="shared" si="30"/>
        <v>-5.6</v>
      </c>
      <c r="BV53" s="844">
        <f>BV55-BV49-BV51</f>
        <v>10816</v>
      </c>
      <c r="BW53" s="824">
        <f t="shared" si="31"/>
        <v>-34.200000000000003</v>
      </c>
      <c r="BX53" s="844">
        <f t="shared" ref="BX53:BZ53" si="397">BX55-BX49-BX51</f>
        <v>2029</v>
      </c>
      <c r="BY53" s="844">
        <f t="shared" si="397"/>
        <v>2220</v>
      </c>
      <c r="BZ53" s="844">
        <f t="shared" si="397"/>
        <v>2743</v>
      </c>
      <c r="CA53" s="824">
        <f t="shared" si="66"/>
        <v>35.200000000000003</v>
      </c>
      <c r="CB53" s="844">
        <f>CB55-CB49-CB51</f>
        <v>2244</v>
      </c>
      <c r="CC53" s="824">
        <f t="shared" si="32"/>
        <v>1.1000000000000001</v>
      </c>
      <c r="CD53" s="844">
        <f t="shared" ref="CD53:CF53" si="398">CD55-CD49-CD51</f>
        <v>14866</v>
      </c>
      <c r="CE53" s="844">
        <f t="shared" si="398"/>
        <v>18664</v>
      </c>
      <c r="CF53" s="844">
        <f t="shared" si="398"/>
        <v>14855</v>
      </c>
      <c r="CG53" s="824">
        <f t="shared" si="33"/>
        <v>-0.1</v>
      </c>
      <c r="CH53" s="844">
        <f>CH55-CH49-CH51</f>
        <v>13060</v>
      </c>
      <c r="CI53" s="824">
        <f t="shared" si="34"/>
        <v>-30</v>
      </c>
      <c r="CJ53" s="844">
        <f t="shared" ref="CJ53:CL53" si="399">CJ55-CJ49-CJ51</f>
        <v>2833</v>
      </c>
      <c r="CK53" s="844">
        <f t="shared" si="399"/>
        <v>3268</v>
      </c>
      <c r="CL53" s="844">
        <f t="shared" si="399"/>
        <v>2927</v>
      </c>
      <c r="CM53" s="824">
        <f t="shared" si="69"/>
        <v>3.3</v>
      </c>
      <c r="CN53" s="844">
        <f>CN55-CN49-CN51</f>
        <v>2500</v>
      </c>
      <c r="CO53" s="824">
        <f t="shared" si="35"/>
        <v>-23.5</v>
      </c>
      <c r="CP53" s="940">
        <f t="shared" si="386"/>
        <v>17699</v>
      </c>
      <c r="CQ53" s="940">
        <f t="shared" si="386"/>
        <v>21932</v>
      </c>
      <c r="CR53" s="940">
        <f t="shared" si="386"/>
        <v>17782</v>
      </c>
      <c r="CS53" s="824">
        <f t="shared" si="36"/>
        <v>0.5</v>
      </c>
      <c r="CT53" s="940">
        <f>CT55-CT49-CT51</f>
        <v>15560</v>
      </c>
      <c r="CU53" s="824">
        <f t="shared" si="37"/>
        <v>-29.1</v>
      </c>
      <c r="CV53" s="844">
        <f t="shared" ref="CV53:CX53" si="400">CV55-CV49-CV51</f>
        <v>2701</v>
      </c>
      <c r="CW53" s="844">
        <f t="shared" si="400"/>
        <v>3631</v>
      </c>
      <c r="CX53" s="844">
        <f t="shared" si="400"/>
        <v>2950</v>
      </c>
      <c r="CY53" s="824">
        <f t="shared" si="72"/>
        <v>9.1999999999999993</v>
      </c>
      <c r="CZ53" s="844">
        <f>CZ55-CZ49-CZ51</f>
        <v>2209</v>
      </c>
      <c r="DA53" s="824">
        <f t="shared" si="38"/>
        <v>-39.200000000000003</v>
      </c>
      <c r="DB53" s="844">
        <f t="shared" si="388"/>
        <v>20400</v>
      </c>
      <c r="DC53" s="844">
        <f t="shared" si="388"/>
        <v>25563</v>
      </c>
      <c r="DD53" s="844">
        <f t="shared" si="388"/>
        <v>20732</v>
      </c>
      <c r="DE53" s="824">
        <f t="shared" si="39"/>
        <v>1.6</v>
      </c>
      <c r="DF53" s="844">
        <f>DF55-DF49-DF51</f>
        <v>17769</v>
      </c>
      <c r="DG53" s="824">
        <f t="shared" si="40"/>
        <v>-30.5</v>
      </c>
      <c r="DH53" s="844">
        <f t="shared" si="389"/>
        <v>2510</v>
      </c>
      <c r="DI53" s="844">
        <f t="shared" si="389"/>
        <v>3119</v>
      </c>
      <c r="DJ53" s="844">
        <f t="shared" si="389"/>
        <v>4021</v>
      </c>
      <c r="DK53" s="824">
        <f t="shared" si="75"/>
        <v>60.2</v>
      </c>
      <c r="DL53" s="844">
        <f>DL55-DL49-DL51</f>
        <v>2556</v>
      </c>
      <c r="DM53" s="824">
        <f t="shared" si="41"/>
        <v>-18.100000000000001</v>
      </c>
      <c r="DN53" s="844">
        <f t="shared" si="390"/>
        <v>22910</v>
      </c>
      <c r="DO53" s="844">
        <f t="shared" si="390"/>
        <v>28682</v>
      </c>
      <c r="DP53" s="844">
        <f t="shared" si="390"/>
        <v>24753</v>
      </c>
      <c r="DQ53" s="824">
        <f t="shared" si="42"/>
        <v>8</v>
      </c>
      <c r="DR53" s="844">
        <f>DR55-DR49-DR51</f>
        <v>20325</v>
      </c>
      <c r="DS53" s="824">
        <f t="shared" si="43"/>
        <v>-29.1</v>
      </c>
      <c r="DT53" s="844">
        <f t="shared" si="391"/>
        <v>2575</v>
      </c>
      <c r="DU53" s="844">
        <f t="shared" si="391"/>
        <v>3361</v>
      </c>
      <c r="DV53" s="844">
        <f t="shared" si="391"/>
        <v>4140</v>
      </c>
      <c r="DW53" s="824">
        <f t="shared" si="78"/>
        <v>60.8</v>
      </c>
      <c r="DX53" s="844">
        <f>DX55-DX49-DX51</f>
        <v>2486</v>
      </c>
      <c r="DY53" s="824">
        <f t="shared" si="44"/>
        <v>-26</v>
      </c>
      <c r="DZ53" s="844">
        <f t="shared" si="392"/>
        <v>25485</v>
      </c>
      <c r="EA53" s="844">
        <f t="shared" si="392"/>
        <v>32043</v>
      </c>
      <c r="EB53" s="844">
        <f t="shared" si="392"/>
        <v>28893</v>
      </c>
      <c r="EC53" s="824">
        <f t="shared" si="45"/>
        <v>13.4</v>
      </c>
      <c r="ED53" s="844">
        <f>ED55-ED49-ED51</f>
        <v>22811</v>
      </c>
      <c r="EE53" s="824">
        <f t="shared" si="46"/>
        <v>-28.8</v>
      </c>
      <c r="EF53" s="844">
        <f t="shared" si="393"/>
        <v>2147</v>
      </c>
      <c r="EG53" s="844">
        <f t="shared" si="393"/>
        <v>3215</v>
      </c>
      <c r="EH53" s="844">
        <f t="shared" si="393"/>
        <v>5171</v>
      </c>
      <c r="EI53" s="824">
        <f t="shared" si="81"/>
        <v>140.80000000000001</v>
      </c>
      <c r="EJ53" s="844">
        <f>EJ55-EJ49-EJ51</f>
        <v>3074</v>
      </c>
      <c r="EK53" s="824">
        <f t="shared" si="47"/>
        <v>-4.4000000000000004</v>
      </c>
      <c r="EL53" s="844">
        <f t="shared" si="394"/>
        <v>27632</v>
      </c>
      <c r="EM53" s="844">
        <f t="shared" si="394"/>
        <v>35258</v>
      </c>
      <c r="EN53" s="844">
        <f t="shared" si="394"/>
        <v>34064</v>
      </c>
      <c r="EO53" s="824">
        <f t="shared" si="48"/>
        <v>23.3</v>
      </c>
      <c r="EP53" s="844">
        <f>EP55-EP49-EP51</f>
        <v>25885</v>
      </c>
      <c r="EQ53" s="824">
        <f t="shared" si="49"/>
        <v>-26.6</v>
      </c>
    </row>
    <row r="54" spans="1:147" ht="21.75" customHeight="1">
      <c r="A54" s="1129"/>
      <c r="B54" s="1134" t="s">
        <v>275</v>
      </c>
      <c r="C54" s="124" t="s">
        <v>271</v>
      </c>
      <c r="D54" s="842">
        <v>3266</v>
      </c>
      <c r="E54" s="842">
        <v>16647</v>
      </c>
      <c r="F54" s="842">
        <v>3392</v>
      </c>
      <c r="G54" s="842">
        <v>18094</v>
      </c>
      <c r="H54" s="842">
        <v>2563</v>
      </c>
      <c r="I54" s="842">
        <v>16712</v>
      </c>
      <c r="J54" s="842">
        <v>2201</v>
      </c>
      <c r="K54" s="842">
        <v>16178</v>
      </c>
      <c r="L54" s="842">
        <v>2116</v>
      </c>
      <c r="M54" s="842">
        <v>15711</v>
      </c>
      <c r="N54" s="842">
        <v>2196</v>
      </c>
      <c r="O54" s="842">
        <v>16766</v>
      </c>
      <c r="P54" s="842">
        <v>1907</v>
      </c>
      <c r="Q54" s="842">
        <v>15314</v>
      </c>
      <c r="R54" s="842">
        <v>2039</v>
      </c>
      <c r="S54" s="842">
        <v>15854</v>
      </c>
      <c r="T54" s="842">
        <v>2084</v>
      </c>
      <c r="U54" s="842">
        <v>14083</v>
      </c>
      <c r="V54" s="842">
        <v>304</v>
      </c>
      <c r="W54" s="842">
        <v>1210</v>
      </c>
      <c r="X54" s="842">
        <v>93</v>
      </c>
      <c r="Y54" s="826">
        <f t="shared" si="18"/>
        <v>-69.400000000000006</v>
      </c>
      <c r="Z54" s="842">
        <v>1347</v>
      </c>
      <c r="AA54" s="826">
        <f t="shared" si="19"/>
        <v>11.3</v>
      </c>
      <c r="AB54" s="842">
        <f t="shared" ref="AB54:AD55" si="401">AH54-V54</f>
        <v>195</v>
      </c>
      <c r="AC54" s="842">
        <f t="shared" si="401"/>
        <v>1072</v>
      </c>
      <c r="AD54" s="842">
        <f t="shared" si="401"/>
        <v>149</v>
      </c>
      <c r="AE54" s="826">
        <f t="shared" si="54"/>
        <v>-23.6</v>
      </c>
      <c r="AF54" s="842">
        <f>AL54-Z54</f>
        <v>854</v>
      </c>
      <c r="AG54" s="826">
        <f t="shared" si="20"/>
        <v>-20.3</v>
      </c>
      <c r="AH54" s="842">
        <v>499</v>
      </c>
      <c r="AI54" s="842">
        <v>2282</v>
      </c>
      <c r="AJ54" s="842">
        <v>242</v>
      </c>
      <c r="AK54" s="826">
        <f t="shared" si="21"/>
        <v>-51.5</v>
      </c>
      <c r="AL54" s="842">
        <v>2201</v>
      </c>
      <c r="AM54" s="826">
        <f t="shared" si="22"/>
        <v>-3.5</v>
      </c>
      <c r="AN54" s="842">
        <f t="shared" ref="AN54:AP55" si="402">AT54-AH54</f>
        <v>191</v>
      </c>
      <c r="AO54" s="842">
        <f t="shared" si="402"/>
        <v>1129</v>
      </c>
      <c r="AP54" s="842">
        <f t="shared" si="402"/>
        <v>151</v>
      </c>
      <c r="AQ54" s="826">
        <f t="shared" si="57"/>
        <v>-20.9</v>
      </c>
      <c r="AR54" s="842">
        <f>AX54-AL54</f>
        <v>1975</v>
      </c>
      <c r="AS54" s="826">
        <f t="shared" si="23"/>
        <v>74.900000000000006</v>
      </c>
      <c r="AT54" s="842">
        <v>690</v>
      </c>
      <c r="AU54" s="842">
        <v>3411</v>
      </c>
      <c r="AV54" s="842">
        <v>393</v>
      </c>
      <c r="AW54" s="826">
        <f t="shared" si="24"/>
        <v>-43</v>
      </c>
      <c r="AX54" s="842">
        <v>4176</v>
      </c>
      <c r="AY54" s="826">
        <f t="shared" si="25"/>
        <v>22.4</v>
      </c>
      <c r="AZ54" s="842">
        <f t="shared" ref="AZ54:AZ55" si="403">BF54-AT54</f>
        <v>117</v>
      </c>
      <c r="BA54" s="842">
        <f t="shared" ref="BA54:BA55" si="404">BG54-AU54</f>
        <v>1315</v>
      </c>
      <c r="BB54" s="842">
        <f t="shared" ref="BB54:BB55" si="405">BH54-AV54</f>
        <v>206</v>
      </c>
      <c r="BC54" s="826">
        <f t="shared" si="60"/>
        <v>76.099999999999994</v>
      </c>
      <c r="BD54" s="842">
        <f>BJ54-AX54</f>
        <v>1046</v>
      </c>
      <c r="BE54" s="826">
        <f t="shared" si="26"/>
        <v>-20.5</v>
      </c>
      <c r="BF54" s="842">
        <v>807</v>
      </c>
      <c r="BG54" s="842">
        <v>4726</v>
      </c>
      <c r="BH54" s="842">
        <v>599</v>
      </c>
      <c r="BI54" s="826">
        <f t="shared" si="27"/>
        <v>-25.8</v>
      </c>
      <c r="BJ54" s="842">
        <v>5222</v>
      </c>
      <c r="BK54" s="826">
        <f t="shared" si="28"/>
        <v>10.5</v>
      </c>
      <c r="BL54" s="842">
        <f t="shared" ref="BL54:BN55" si="406">BR54-BF54</f>
        <v>159</v>
      </c>
      <c r="BM54" s="842">
        <f t="shared" si="406"/>
        <v>840</v>
      </c>
      <c r="BN54" s="842">
        <f t="shared" si="406"/>
        <v>98</v>
      </c>
      <c r="BO54" s="826">
        <f t="shared" si="63"/>
        <v>-38.4</v>
      </c>
      <c r="BP54" s="842">
        <f>BV54-BJ54</f>
        <v>1380</v>
      </c>
      <c r="BQ54" s="826">
        <f t="shared" si="29"/>
        <v>64.3</v>
      </c>
      <c r="BR54" s="842">
        <v>966</v>
      </c>
      <c r="BS54" s="842">
        <v>5566</v>
      </c>
      <c r="BT54" s="842">
        <v>697</v>
      </c>
      <c r="BU54" s="826">
        <f t="shared" si="30"/>
        <v>-27.8</v>
      </c>
      <c r="BV54" s="842">
        <v>6602</v>
      </c>
      <c r="BW54" s="826">
        <f t="shared" si="31"/>
        <v>18.600000000000001</v>
      </c>
      <c r="BX54" s="842">
        <f t="shared" ref="BX54:BX55" si="407">CD54-BR54</f>
        <v>123</v>
      </c>
      <c r="BY54" s="842">
        <f t="shared" ref="BY54:BY55" si="408">CE54-BS54</f>
        <v>1314</v>
      </c>
      <c r="BZ54" s="842">
        <f t="shared" ref="BZ54:BZ55" si="409">CF54-BT54</f>
        <v>169</v>
      </c>
      <c r="CA54" s="826">
        <f t="shared" si="66"/>
        <v>37.4</v>
      </c>
      <c r="CB54" s="842">
        <f>CH54-BV54</f>
        <v>783</v>
      </c>
      <c r="CC54" s="826">
        <f t="shared" si="32"/>
        <v>-40.4</v>
      </c>
      <c r="CD54" s="842">
        <v>1089</v>
      </c>
      <c r="CE54" s="842">
        <v>6880</v>
      </c>
      <c r="CF54" s="842">
        <v>866</v>
      </c>
      <c r="CG54" s="826">
        <f t="shared" si="33"/>
        <v>-20.5</v>
      </c>
      <c r="CH54" s="842">
        <v>7385</v>
      </c>
      <c r="CI54" s="826">
        <f t="shared" si="34"/>
        <v>7.3</v>
      </c>
      <c r="CJ54" s="842">
        <f t="shared" ref="CJ54:CJ55" si="410">CP54-CD54</f>
        <v>133</v>
      </c>
      <c r="CK54" s="842">
        <f t="shared" ref="CK54:CK55" si="411">CQ54-CE54</f>
        <v>1556</v>
      </c>
      <c r="CL54" s="842">
        <f t="shared" ref="CL54:CL55" si="412">CR54-CF54</f>
        <v>256</v>
      </c>
      <c r="CM54" s="826">
        <f t="shared" si="69"/>
        <v>92.5</v>
      </c>
      <c r="CN54" s="842">
        <f>CT54-CH54</f>
        <v>1387</v>
      </c>
      <c r="CO54" s="826">
        <f t="shared" si="35"/>
        <v>-10.9</v>
      </c>
      <c r="CP54" s="941">
        <v>1222</v>
      </c>
      <c r="CQ54" s="941">
        <v>8436</v>
      </c>
      <c r="CR54" s="941">
        <v>1122</v>
      </c>
      <c r="CS54" s="826">
        <f t="shared" si="36"/>
        <v>-8.1999999999999993</v>
      </c>
      <c r="CT54" s="941">
        <v>8772</v>
      </c>
      <c r="CU54" s="826">
        <f t="shared" si="37"/>
        <v>4</v>
      </c>
      <c r="CV54" s="842">
        <f t="shared" ref="CV54:CV55" si="413">DB54-CP54</f>
        <v>201</v>
      </c>
      <c r="CW54" s="842">
        <f t="shared" ref="CW54:CW55" si="414">DC54-CQ54</f>
        <v>1174</v>
      </c>
      <c r="CX54" s="842">
        <f t="shared" ref="CX54:CX55" si="415">DD54-CR54</f>
        <v>122</v>
      </c>
      <c r="CY54" s="826">
        <f t="shared" si="72"/>
        <v>-39.299999999999997</v>
      </c>
      <c r="CZ54" s="842">
        <f>DF54-CT54</f>
        <v>928</v>
      </c>
      <c r="DA54" s="826">
        <f t="shared" si="38"/>
        <v>-21</v>
      </c>
      <c r="DB54" s="842">
        <v>1423</v>
      </c>
      <c r="DC54" s="842">
        <v>9610</v>
      </c>
      <c r="DD54" s="842">
        <v>1244</v>
      </c>
      <c r="DE54" s="826">
        <f t="shared" si="39"/>
        <v>-12.6</v>
      </c>
      <c r="DF54" s="842">
        <v>9700</v>
      </c>
      <c r="DG54" s="826">
        <f t="shared" si="40"/>
        <v>0.9</v>
      </c>
      <c r="DH54" s="842">
        <f t="shared" ref="DH54:DJ55" si="416">DN54-DB54</f>
        <v>212</v>
      </c>
      <c r="DI54" s="842">
        <f t="shared" si="416"/>
        <v>1281</v>
      </c>
      <c r="DJ54" s="842">
        <f t="shared" si="416"/>
        <v>297</v>
      </c>
      <c r="DK54" s="826">
        <f t="shared" si="75"/>
        <v>40.1</v>
      </c>
      <c r="DL54" s="842">
        <f>DR54-DF54</f>
        <v>1538</v>
      </c>
      <c r="DM54" s="826">
        <f t="shared" si="41"/>
        <v>20.100000000000001</v>
      </c>
      <c r="DN54" s="842">
        <v>1635</v>
      </c>
      <c r="DO54" s="842">
        <v>10891</v>
      </c>
      <c r="DP54" s="842">
        <v>1541</v>
      </c>
      <c r="DQ54" s="826">
        <f t="shared" si="42"/>
        <v>-5.7</v>
      </c>
      <c r="DR54" s="842">
        <v>11238</v>
      </c>
      <c r="DS54" s="826">
        <f t="shared" si="43"/>
        <v>3.2</v>
      </c>
      <c r="DT54" s="842">
        <f t="shared" ref="DT54:DV55" si="417">DZ54-DN54</f>
        <v>166</v>
      </c>
      <c r="DU54" s="842">
        <f t="shared" si="417"/>
        <v>944</v>
      </c>
      <c r="DV54" s="842">
        <f t="shared" si="417"/>
        <v>153</v>
      </c>
      <c r="DW54" s="826">
        <f t="shared" si="78"/>
        <v>-7.8</v>
      </c>
      <c r="DX54" s="842">
        <f>ED54-DR54</f>
        <v>936</v>
      </c>
      <c r="DY54" s="826">
        <f t="shared" si="44"/>
        <v>-0.8</v>
      </c>
      <c r="DZ54" s="842">
        <v>1801</v>
      </c>
      <c r="EA54" s="842">
        <v>11835</v>
      </c>
      <c r="EB54" s="842">
        <v>1694</v>
      </c>
      <c r="EC54" s="826">
        <f t="shared" si="45"/>
        <v>-5.9</v>
      </c>
      <c r="ED54" s="842">
        <v>12174</v>
      </c>
      <c r="EE54" s="826">
        <f t="shared" si="46"/>
        <v>2.9</v>
      </c>
      <c r="EF54" s="842">
        <f t="shared" ref="EF54:EH55" si="418">EL54-DZ54</f>
        <v>112</v>
      </c>
      <c r="EG54" s="842">
        <f t="shared" si="418"/>
        <v>1040</v>
      </c>
      <c r="EH54" s="842">
        <f t="shared" si="418"/>
        <v>155</v>
      </c>
      <c r="EI54" s="826">
        <f t="shared" si="81"/>
        <v>38.4</v>
      </c>
      <c r="EJ54" s="842">
        <f>EP54-ED54</f>
        <v>1407</v>
      </c>
      <c r="EK54" s="826">
        <f t="shared" si="47"/>
        <v>35.299999999999997</v>
      </c>
      <c r="EL54" s="842">
        <v>1913</v>
      </c>
      <c r="EM54" s="842">
        <v>12875</v>
      </c>
      <c r="EN54" s="842">
        <v>1849</v>
      </c>
      <c r="EO54" s="826">
        <f t="shared" si="48"/>
        <v>-3.3</v>
      </c>
      <c r="EP54" s="842">
        <v>13581</v>
      </c>
      <c r="EQ54" s="826">
        <f t="shared" si="49"/>
        <v>5.5</v>
      </c>
    </row>
    <row r="55" spans="1:147" ht="21.75" customHeight="1">
      <c r="A55" s="1129"/>
      <c r="B55" s="1134"/>
      <c r="C55" s="1066" t="s">
        <v>272</v>
      </c>
      <c r="D55" s="1067">
        <v>58156</v>
      </c>
      <c r="E55" s="1067">
        <v>450061</v>
      </c>
      <c r="F55" s="1067">
        <v>67295</v>
      </c>
      <c r="G55" s="1067">
        <v>386153</v>
      </c>
      <c r="H55" s="1067">
        <v>63367</v>
      </c>
      <c r="I55" s="1067">
        <v>369639</v>
      </c>
      <c r="J55" s="1067">
        <v>58729</v>
      </c>
      <c r="K55" s="1067">
        <v>359458</v>
      </c>
      <c r="L55" s="1067">
        <v>47231</v>
      </c>
      <c r="M55" s="1067">
        <v>267927</v>
      </c>
      <c r="N55" s="1067">
        <v>45772</v>
      </c>
      <c r="O55" s="1067">
        <v>276651</v>
      </c>
      <c r="P55" s="1067">
        <v>44828</v>
      </c>
      <c r="Q55" s="1067">
        <v>307166</v>
      </c>
      <c r="R55" s="1067">
        <v>49238</v>
      </c>
      <c r="S55" s="1067">
        <v>328296</v>
      </c>
      <c r="T55" s="1067">
        <v>42847</v>
      </c>
      <c r="U55" s="1067">
        <v>278477</v>
      </c>
      <c r="V55" s="1067">
        <v>4069</v>
      </c>
      <c r="W55" s="1067">
        <v>24103</v>
      </c>
      <c r="X55" s="1067">
        <v>2685</v>
      </c>
      <c r="Y55" s="1068">
        <f t="shared" si="18"/>
        <v>-34</v>
      </c>
      <c r="Z55" s="1067">
        <v>24138</v>
      </c>
      <c r="AA55" s="1068">
        <f t="shared" si="19"/>
        <v>0.1</v>
      </c>
      <c r="AB55" s="1067">
        <f t="shared" si="401"/>
        <v>4339</v>
      </c>
      <c r="AC55" s="1067">
        <f t="shared" si="401"/>
        <v>21808</v>
      </c>
      <c r="AD55" s="1067">
        <f t="shared" si="401"/>
        <v>4451</v>
      </c>
      <c r="AE55" s="1068">
        <f t="shared" si="54"/>
        <v>2.6</v>
      </c>
      <c r="AF55" s="1067">
        <f>AL55-Z55</f>
        <v>16035</v>
      </c>
      <c r="AG55" s="1068">
        <f t="shared" si="20"/>
        <v>-26.5</v>
      </c>
      <c r="AH55" s="1067">
        <v>8408</v>
      </c>
      <c r="AI55" s="1067">
        <v>45911</v>
      </c>
      <c r="AJ55" s="1067">
        <v>7136</v>
      </c>
      <c r="AK55" s="1068">
        <f t="shared" si="21"/>
        <v>-15.1</v>
      </c>
      <c r="AL55" s="1067">
        <v>40173</v>
      </c>
      <c r="AM55" s="1068">
        <f t="shared" si="22"/>
        <v>-12.5</v>
      </c>
      <c r="AN55" s="1067">
        <f t="shared" si="402"/>
        <v>4201</v>
      </c>
      <c r="AO55" s="1067">
        <f t="shared" si="402"/>
        <v>24078</v>
      </c>
      <c r="AP55" s="1067">
        <f t="shared" si="402"/>
        <v>2844</v>
      </c>
      <c r="AQ55" s="1068">
        <f t="shared" si="57"/>
        <v>-32.299999999999997</v>
      </c>
      <c r="AR55" s="1067">
        <f>AX55-AL55</f>
        <v>34677</v>
      </c>
      <c r="AS55" s="1068">
        <f t="shared" si="23"/>
        <v>44</v>
      </c>
      <c r="AT55" s="1067">
        <v>12609</v>
      </c>
      <c r="AU55" s="1067">
        <v>69989</v>
      </c>
      <c r="AV55" s="1067">
        <v>9980</v>
      </c>
      <c r="AW55" s="1068">
        <f t="shared" si="24"/>
        <v>-20.9</v>
      </c>
      <c r="AX55" s="1067">
        <v>74850</v>
      </c>
      <c r="AY55" s="1068">
        <f t="shared" si="25"/>
        <v>6.9</v>
      </c>
      <c r="AZ55" s="1067">
        <f t="shared" si="403"/>
        <v>3244</v>
      </c>
      <c r="BA55" s="1067">
        <f t="shared" si="404"/>
        <v>28028</v>
      </c>
      <c r="BB55" s="1067">
        <f t="shared" si="405"/>
        <v>4245</v>
      </c>
      <c r="BC55" s="1068">
        <f t="shared" si="60"/>
        <v>30.9</v>
      </c>
      <c r="BD55" s="1067">
        <f>BJ55-AX55</f>
        <v>17679</v>
      </c>
      <c r="BE55" s="1068">
        <f t="shared" si="26"/>
        <v>-36.9</v>
      </c>
      <c r="BF55" s="1067">
        <v>15853</v>
      </c>
      <c r="BG55" s="1067">
        <v>98017</v>
      </c>
      <c r="BH55" s="1067">
        <v>14225</v>
      </c>
      <c r="BI55" s="1068">
        <f t="shared" si="27"/>
        <v>-10.3</v>
      </c>
      <c r="BJ55" s="1067">
        <v>92529</v>
      </c>
      <c r="BK55" s="1068">
        <f t="shared" si="28"/>
        <v>-5.6</v>
      </c>
      <c r="BL55" s="1067">
        <f t="shared" si="406"/>
        <v>3762</v>
      </c>
      <c r="BM55" s="1067">
        <f t="shared" si="406"/>
        <v>17820</v>
      </c>
      <c r="BN55" s="1067">
        <f t="shared" si="406"/>
        <v>2605</v>
      </c>
      <c r="BO55" s="1068">
        <f t="shared" si="63"/>
        <v>-30.8</v>
      </c>
      <c r="BP55" s="1067">
        <f>BV55-BJ55</f>
        <v>22444</v>
      </c>
      <c r="BQ55" s="1068">
        <f t="shared" si="29"/>
        <v>25.9</v>
      </c>
      <c r="BR55" s="1067">
        <v>19615</v>
      </c>
      <c r="BS55" s="1067">
        <v>115837</v>
      </c>
      <c r="BT55" s="1067">
        <v>16830</v>
      </c>
      <c r="BU55" s="1068">
        <f t="shared" si="30"/>
        <v>-14.2</v>
      </c>
      <c r="BV55" s="1067">
        <v>114973</v>
      </c>
      <c r="BW55" s="1068">
        <f t="shared" si="31"/>
        <v>-0.7</v>
      </c>
      <c r="BX55" s="1067">
        <f t="shared" si="407"/>
        <v>2940</v>
      </c>
      <c r="BY55" s="1067">
        <f t="shared" si="408"/>
        <v>27963</v>
      </c>
      <c r="BZ55" s="1067">
        <f t="shared" si="409"/>
        <v>3008</v>
      </c>
      <c r="CA55" s="1068">
        <f t="shared" si="66"/>
        <v>2.2999999999999998</v>
      </c>
      <c r="CB55" s="1067">
        <f>CH55-BV55</f>
        <v>13200</v>
      </c>
      <c r="CC55" s="1068">
        <f t="shared" si="32"/>
        <v>-52.8</v>
      </c>
      <c r="CD55" s="1067">
        <v>22555</v>
      </c>
      <c r="CE55" s="1067">
        <v>143800</v>
      </c>
      <c r="CF55" s="1067">
        <v>19838</v>
      </c>
      <c r="CG55" s="1068">
        <f t="shared" si="33"/>
        <v>-12</v>
      </c>
      <c r="CH55" s="1067">
        <v>128173</v>
      </c>
      <c r="CI55" s="1068">
        <f t="shared" si="34"/>
        <v>-10.9</v>
      </c>
      <c r="CJ55" s="1067">
        <f t="shared" si="410"/>
        <v>3506</v>
      </c>
      <c r="CK55" s="1067">
        <f t="shared" si="411"/>
        <v>31345</v>
      </c>
      <c r="CL55" s="1067">
        <f t="shared" si="412"/>
        <v>5335</v>
      </c>
      <c r="CM55" s="1068">
        <f t="shared" si="69"/>
        <v>52.2</v>
      </c>
      <c r="CN55" s="1067">
        <f>CT55-CH55</f>
        <v>23414</v>
      </c>
      <c r="CO55" s="1068">
        <f t="shared" si="35"/>
        <v>-25.3</v>
      </c>
      <c r="CP55" s="1069">
        <v>26061</v>
      </c>
      <c r="CQ55" s="1069">
        <v>175145</v>
      </c>
      <c r="CR55" s="1069">
        <v>25173</v>
      </c>
      <c r="CS55" s="1068">
        <f t="shared" si="36"/>
        <v>-3.4</v>
      </c>
      <c r="CT55" s="1069">
        <v>151587</v>
      </c>
      <c r="CU55" s="1068">
        <f t="shared" si="37"/>
        <v>-13.5</v>
      </c>
      <c r="CV55" s="1067">
        <f t="shared" si="413"/>
        <v>4186</v>
      </c>
      <c r="CW55" s="1067">
        <f t="shared" si="414"/>
        <v>23186</v>
      </c>
      <c r="CX55" s="1067">
        <f t="shared" si="415"/>
        <v>3555</v>
      </c>
      <c r="CY55" s="1068">
        <f t="shared" si="72"/>
        <v>-15.1</v>
      </c>
      <c r="CZ55" s="1067">
        <f>DF55-CT55</f>
        <v>17447</v>
      </c>
      <c r="DA55" s="1068">
        <f t="shared" si="38"/>
        <v>-24.8</v>
      </c>
      <c r="DB55" s="1067">
        <v>30247</v>
      </c>
      <c r="DC55" s="1067">
        <v>198331</v>
      </c>
      <c r="DD55" s="1067">
        <v>28728</v>
      </c>
      <c r="DE55" s="1068">
        <f t="shared" si="39"/>
        <v>-5</v>
      </c>
      <c r="DF55" s="1067">
        <v>169034</v>
      </c>
      <c r="DG55" s="1068">
        <f t="shared" si="40"/>
        <v>-14.8</v>
      </c>
      <c r="DH55" s="1067">
        <f t="shared" si="416"/>
        <v>2820</v>
      </c>
      <c r="DI55" s="1067">
        <f t="shared" si="416"/>
        <v>23286</v>
      </c>
      <c r="DJ55" s="1067">
        <f t="shared" si="416"/>
        <v>6205</v>
      </c>
      <c r="DK55" s="1068">
        <f t="shared" si="75"/>
        <v>120</v>
      </c>
      <c r="DL55" s="1067">
        <f>DR55-DF55</f>
        <v>28435</v>
      </c>
      <c r="DM55" s="1068">
        <f t="shared" si="41"/>
        <v>22.1</v>
      </c>
      <c r="DN55" s="1067">
        <v>33067</v>
      </c>
      <c r="DO55" s="1067">
        <v>221617</v>
      </c>
      <c r="DP55" s="1067">
        <v>34933</v>
      </c>
      <c r="DQ55" s="1068">
        <f t="shared" si="42"/>
        <v>5.6</v>
      </c>
      <c r="DR55" s="1067">
        <v>197469</v>
      </c>
      <c r="DS55" s="1068">
        <f t="shared" si="43"/>
        <v>-10.9</v>
      </c>
      <c r="DT55" s="1067">
        <f t="shared" si="417"/>
        <v>3702</v>
      </c>
      <c r="DU55" s="1067">
        <f t="shared" si="417"/>
        <v>17024</v>
      </c>
      <c r="DV55" s="1067">
        <f t="shared" si="417"/>
        <v>4818</v>
      </c>
      <c r="DW55" s="1068">
        <f t="shared" si="78"/>
        <v>30.1</v>
      </c>
      <c r="DX55" s="1067">
        <f>ED55-DR55</f>
        <v>18328</v>
      </c>
      <c r="DY55" s="1068">
        <f t="shared" si="44"/>
        <v>7.7</v>
      </c>
      <c r="DZ55" s="1067">
        <v>36769</v>
      </c>
      <c r="EA55" s="1067">
        <v>238641</v>
      </c>
      <c r="EB55" s="1067">
        <v>39751</v>
      </c>
      <c r="EC55" s="1068">
        <f t="shared" si="45"/>
        <v>8.1</v>
      </c>
      <c r="ED55" s="1067">
        <v>215797</v>
      </c>
      <c r="EE55" s="1068">
        <f t="shared" si="46"/>
        <v>-9.6</v>
      </c>
      <c r="EF55" s="1067">
        <f t="shared" si="418"/>
        <v>2832</v>
      </c>
      <c r="EG55" s="1067">
        <f t="shared" si="418"/>
        <v>18317</v>
      </c>
      <c r="EH55" s="1067">
        <f t="shared" si="418"/>
        <v>5517</v>
      </c>
      <c r="EI55" s="1068">
        <f t="shared" si="81"/>
        <v>94.8</v>
      </c>
      <c r="EJ55" s="1067">
        <f>EP55-ED55</f>
        <v>27154</v>
      </c>
      <c r="EK55" s="1068">
        <f t="shared" si="47"/>
        <v>48.2</v>
      </c>
      <c r="EL55" s="1067">
        <v>39601</v>
      </c>
      <c r="EM55" s="1067">
        <v>256958</v>
      </c>
      <c r="EN55" s="1067">
        <v>45268</v>
      </c>
      <c r="EO55" s="1068">
        <f t="shared" si="48"/>
        <v>14.3</v>
      </c>
      <c r="EP55" s="1067">
        <v>242951</v>
      </c>
      <c r="EQ55" s="1068">
        <f t="shared" si="49"/>
        <v>-5.5</v>
      </c>
    </row>
    <row r="56" spans="1:147" ht="21.75" customHeight="1">
      <c r="A56" s="1128" t="s">
        <v>281</v>
      </c>
      <c r="B56" s="1130" t="s">
        <v>270</v>
      </c>
      <c r="C56" s="130" t="s">
        <v>271</v>
      </c>
      <c r="D56" s="845">
        <f t="shared" ref="D56:R61" si="419">SUM(D8+D16+D24+D32+D40+D48)</f>
        <v>112421</v>
      </c>
      <c r="E56" s="845">
        <f t="shared" si="419"/>
        <v>837940</v>
      </c>
      <c r="F56" s="845">
        <f t="shared" si="419"/>
        <v>137603</v>
      </c>
      <c r="G56" s="845">
        <f t="shared" si="419"/>
        <v>959080</v>
      </c>
      <c r="H56" s="845">
        <f t="shared" si="419"/>
        <v>112814</v>
      </c>
      <c r="I56" s="845">
        <f t="shared" si="419"/>
        <v>1013216</v>
      </c>
      <c r="J56" s="845">
        <f t="shared" si="419"/>
        <v>107835</v>
      </c>
      <c r="K56" s="845">
        <f t="shared" si="419"/>
        <v>1110654</v>
      </c>
      <c r="L56" s="845">
        <f t="shared" si="419"/>
        <v>96705</v>
      </c>
      <c r="M56" s="845">
        <f t="shared" si="419"/>
        <v>1050740</v>
      </c>
      <c r="N56" s="845">
        <f t="shared" si="419"/>
        <v>113094</v>
      </c>
      <c r="O56" s="845">
        <f t="shared" si="419"/>
        <v>995355</v>
      </c>
      <c r="P56" s="845">
        <f t="shared" si="419"/>
        <v>122066</v>
      </c>
      <c r="Q56" s="845">
        <f t="shared" si="419"/>
        <v>1135195</v>
      </c>
      <c r="R56" s="845">
        <f t="shared" si="419"/>
        <v>99341</v>
      </c>
      <c r="S56" s="845">
        <f t="shared" ref="S56:T61" si="420">SUM(S8+S16+S24+S32+S40+S48)</f>
        <v>1121649</v>
      </c>
      <c r="T56" s="845">
        <f t="shared" si="420"/>
        <v>117701</v>
      </c>
      <c r="U56" s="845">
        <f t="shared" ref="U56:U61" si="421">SUM(U8+U16+U24+U32+U40+U48)</f>
        <v>1255599</v>
      </c>
      <c r="V56" s="845">
        <f t="shared" ref="V56:X61" si="422">SUM(V8+V16+V24+V32+V40+V48)</f>
        <v>7683</v>
      </c>
      <c r="W56" s="845">
        <f t="shared" si="422"/>
        <v>104946</v>
      </c>
      <c r="X56" s="845">
        <f t="shared" si="422"/>
        <v>7812</v>
      </c>
      <c r="Y56" s="830">
        <f t="shared" si="18"/>
        <v>1.7</v>
      </c>
      <c r="Z56" s="845">
        <f t="shared" ref="Z56:Z61" si="423">SUM(Z8+Z16+Z24+Z32+Z40+Z48)</f>
        <v>112461</v>
      </c>
      <c r="AA56" s="830">
        <f t="shared" si="19"/>
        <v>7.2</v>
      </c>
      <c r="AB56" s="845">
        <f t="shared" ref="AB56:AD61" si="424">SUM(AB8+AB16+AB24+AB32+AB40+AB48)</f>
        <v>7107</v>
      </c>
      <c r="AC56" s="845">
        <f t="shared" si="424"/>
        <v>93734</v>
      </c>
      <c r="AD56" s="845">
        <f t="shared" si="424"/>
        <v>5143</v>
      </c>
      <c r="AE56" s="830">
        <f t="shared" si="54"/>
        <v>-27.6</v>
      </c>
      <c r="AF56" s="845">
        <f t="shared" ref="AF56:AF61" si="425">SUM(AF8+AF16+AF24+AF32+AF40+AF48)</f>
        <v>110052</v>
      </c>
      <c r="AG56" s="830">
        <f t="shared" si="20"/>
        <v>17.399999999999999</v>
      </c>
      <c r="AH56" s="845">
        <f t="shared" ref="AH56:AJ61" si="426">SUM(AH8+AH16+AH24+AH32+AH40+AH48)</f>
        <v>14790</v>
      </c>
      <c r="AI56" s="845">
        <f t="shared" si="426"/>
        <v>198680</v>
      </c>
      <c r="AJ56" s="845">
        <f t="shared" si="426"/>
        <v>12955</v>
      </c>
      <c r="AK56" s="830">
        <f t="shared" si="21"/>
        <v>-12.4</v>
      </c>
      <c r="AL56" s="845">
        <f t="shared" ref="AL56:AL61" si="427">SUM(AL8+AL16+AL24+AL32+AL40+AL48)</f>
        <v>222513</v>
      </c>
      <c r="AM56" s="830">
        <f t="shared" si="22"/>
        <v>12</v>
      </c>
      <c r="AN56" s="845">
        <f t="shared" ref="AN56:AP61" si="428">SUM(AN8+AN16+AN24+AN32+AN40+AN48)</f>
        <v>11028</v>
      </c>
      <c r="AO56" s="845">
        <f t="shared" si="428"/>
        <v>104135</v>
      </c>
      <c r="AP56" s="845">
        <f t="shared" si="428"/>
        <v>6252</v>
      </c>
      <c r="AQ56" s="830">
        <f t="shared" si="57"/>
        <v>-43.3</v>
      </c>
      <c r="AR56" s="845">
        <f t="shared" ref="AR56:AR61" si="429">SUM(AR8+AR16+AR24+AR32+AR40+AR48)</f>
        <v>109553</v>
      </c>
      <c r="AS56" s="830">
        <f t="shared" si="23"/>
        <v>5.2</v>
      </c>
      <c r="AT56" s="845">
        <f t="shared" ref="AT56:AV61" si="430">SUM(AT8+AT16+AT24+AT32+AT40+AT48)</f>
        <v>25818</v>
      </c>
      <c r="AU56" s="845">
        <f t="shared" si="430"/>
        <v>302815</v>
      </c>
      <c r="AV56" s="845">
        <f t="shared" si="430"/>
        <v>19207</v>
      </c>
      <c r="AW56" s="830">
        <f t="shared" si="24"/>
        <v>-25.6</v>
      </c>
      <c r="AX56" s="845">
        <f t="shared" ref="AX56:AX61" si="431">SUM(AX8+AX16+AX24+AX32+AX40+AX48)</f>
        <v>332066</v>
      </c>
      <c r="AY56" s="830">
        <f t="shared" si="25"/>
        <v>9.6999999999999993</v>
      </c>
      <c r="AZ56" s="845">
        <f t="shared" ref="AZ56:BB56" si="432">SUM(AZ8+AZ16+AZ24+AZ32+AZ40+AZ48)</f>
        <v>13667</v>
      </c>
      <c r="BA56" s="845">
        <f t="shared" si="432"/>
        <v>110640</v>
      </c>
      <c r="BB56" s="845">
        <f t="shared" si="432"/>
        <v>5030</v>
      </c>
      <c r="BC56" s="830">
        <f t="shared" si="60"/>
        <v>-63.2</v>
      </c>
      <c r="BD56" s="845">
        <f t="shared" ref="BD56:BD61" si="433">SUM(BD8+BD16+BD24+BD32+BD40+BD48)</f>
        <v>112722</v>
      </c>
      <c r="BE56" s="830">
        <f t="shared" si="26"/>
        <v>1.9</v>
      </c>
      <c r="BF56" s="845">
        <f t="shared" ref="BF56:BH56" si="434">SUM(BF8+BF16+BF24+BF32+BF40+BF48)</f>
        <v>39485</v>
      </c>
      <c r="BG56" s="845">
        <f t="shared" si="434"/>
        <v>413455</v>
      </c>
      <c r="BH56" s="845">
        <f t="shared" si="434"/>
        <v>24237</v>
      </c>
      <c r="BI56" s="830">
        <f t="shared" si="27"/>
        <v>-38.6</v>
      </c>
      <c r="BJ56" s="845">
        <f t="shared" ref="BJ56:BJ61" si="435">SUM(BJ8+BJ16+BJ24+BJ32+BJ40+BJ48)</f>
        <v>444788</v>
      </c>
      <c r="BK56" s="830">
        <f t="shared" si="28"/>
        <v>7.6</v>
      </c>
      <c r="BL56" s="845">
        <f t="shared" ref="BL56:BN61" si="436">SUM(BL8+BL16+BL24+BL32+BL40+BL48)</f>
        <v>15858</v>
      </c>
      <c r="BM56" s="845">
        <f t="shared" si="436"/>
        <v>106850</v>
      </c>
      <c r="BN56" s="845">
        <f t="shared" si="436"/>
        <v>7141</v>
      </c>
      <c r="BO56" s="830">
        <f t="shared" si="63"/>
        <v>-55</v>
      </c>
      <c r="BP56" s="845">
        <f t="shared" ref="BP56:BP61" si="437">SUM(BP8+BP16+BP24+BP32+BP40+BP48)</f>
        <v>97532</v>
      </c>
      <c r="BQ56" s="830">
        <f t="shared" si="29"/>
        <v>-8.6999999999999993</v>
      </c>
      <c r="BR56" s="845">
        <f t="shared" ref="BR56:BT61" si="438">SUM(BR8+BR16+BR24+BR32+BR40+BR48)</f>
        <v>55343</v>
      </c>
      <c r="BS56" s="845">
        <f t="shared" si="438"/>
        <v>520305</v>
      </c>
      <c r="BT56" s="845">
        <f t="shared" si="438"/>
        <v>31378</v>
      </c>
      <c r="BU56" s="830">
        <f t="shared" si="30"/>
        <v>-43.3</v>
      </c>
      <c r="BV56" s="845">
        <f t="shared" ref="BV56:BV61" si="439">SUM(BV8+BV16+BV24+BV32+BV40+BV48)</f>
        <v>542320</v>
      </c>
      <c r="BW56" s="830">
        <f t="shared" si="31"/>
        <v>4.2</v>
      </c>
      <c r="BX56" s="845">
        <f t="shared" ref="BX56:BZ56" si="440">SUM(BX8+BX16+BX24+BX32+BX40+BX48)</f>
        <v>9422</v>
      </c>
      <c r="BY56" s="845">
        <f t="shared" si="440"/>
        <v>94404</v>
      </c>
      <c r="BZ56" s="845">
        <f t="shared" si="440"/>
        <v>10371</v>
      </c>
      <c r="CA56" s="830">
        <f t="shared" si="66"/>
        <v>10.1</v>
      </c>
      <c r="CB56" s="845">
        <f t="shared" ref="CB56:CB61" si="441">SUM(CB8+CB16+CB24+CB32+CB40+CB48)</f>
        <v>108436</v>
      </c>
      <c r="CC56" s="830">
        <f t="shared" si="32"/>
        <v>14.9</v>
      </c>
      <c r="CD56" s="845">
        <f t="shared" ref="CD56:CF56" si="442">SUM(CD8+CD16+CD24+CD32+CD40+CD48)</f>
        <v>64765</v>
      </c>
      <c r="CE56" s="845">
        <f t="shared" si="442"/>
        <v>614709</v>
      </c>
      <c r="CF56" s="845">
        <f t="shared" si="442"/>
        <v>41749</v>
      </c>
      <c r="CG56" s="830">
        <f t="shared" si="33"/>
        <v>-35.5</v>
      </c>
      <c r="CH56" s="845">
        <f t="shared" ref="CH56:CH61" si="443">SUM(CH8+CH16+CH24+CH32+CH40+CH48)</f>
        <v>650756</v>
      </c>
      <c r="CI56" s="830">
        <f t="shared" si="34"/>
        <v>5.9</v>
      </c>
      <c r="CJ56" s="845">
        <f t="shared" ref="CJ56:CL56" si="444">SUM(CJ8+CJ16+CJ24+CJ32+CJ40+CJ48)</f>
        <v>9303</v>
      </c>
      <c r="CK56" s="845">
        <f t="shared" si="444"/>
        <v>100815</v>
      </c>
      <c r="CL56" s="845">
        <f t="shared" si="444"/>
        <v>10680</v>
      </c>
      <c r="CM56" s="830">
        <f t="shared" si="69"/>
        <v>14.8</v>
      </c>
      <c r="CN56" s="845">
        <f t="shared" ref="CN56:CN61" si="445">SUM(CN8+CN16+CN24+CN32+CN40+CN48)</f>
        <v>110034</v>
      </c>
      <c r="CO56" s="830">
        <f t="shared" si="35"/>
        <v>9.1</v>
      </c>
      <c r="CP56" s="845">
        <f t="shared" ref="CP56:CR56" si="446">SUM(CP8+CP16+CP24+CP32+CP40+CP48)</f>
        <v>74068</v>
      </c>
      <c r="CQ56" s="845">
        <f t="shared" si="446"/>
        <v>715524</v>
      </c>
      <c r="CR56" s="845">
        <f t="shared" si="446"/>
        <v>52429</v>
      </c>
      <c r="CS56" s="830">
        <f t="shared" ref="CS56:CS65" si="447">ROUND(((CR56/CP56-1)*100),1)</f>
        <v>-29.2</v>
      </c>
      <c r="CT56" s="845">
        <f t="shared" ref="CT56:CT61" si="448">SUM(CT8+CT16+CT24+CT32+CT40+CT48)</f>
        <v>760790</v>
      </c>
      <c r="CU56" s="830">
        <f t="shared" si="37"/>
        <v>6.3</v>
      </c>
      <c r="CV56" s="845">
        <f t="shared" ref="CV56:CX56" si="449">SUM(CV8+CV16+CV24+CV32+CV40+CV48)</f>
        <v>9451</v>
      </c>
      <c r="CW56" s="845">
        <f t="shared" si="449"/>
        <v>94530</v>
      </c>
      <c r="CX56" s="845">
        <f t="shared" si="449"/>
        <v>10117</v>
      </c>
      <c r="CY56" s="830">
        <f t="shared" si="72"/>
        <v>7</v>
      </c>
      <c r="CZ56" s="845">
        <f t="shared" ref="CZ56:CZ61" si="450">SUM(CZ8+CZ16+CZ24+CZ32+CZ40+CZ48)</f>
        <v>104384</v>
      </c>
      <c r="DA56" s="830">
        <f t="shared" si="38"/>
        <v>10.4</v>
      </c>
      <c r="DB56" s="845">
        <f t="shared" ref="DB56:DD61" si="451">SUM(DB8+DB16+DB24+DB32+DB40+DB48)</f>
        <v>83519</v>
      </c>
      <c r="DC56" s="845">
        <f t="shared" si="451"/>
        <v>810054</v>
      </c>
      <c r="DD56" s="845">
        <f t="shared" si="451"/>
        <v>62546</v>
      </c>
      <c r="DE56" s="830">
        <f t="shared" si="39"/>
        <v>-25.1</v>
      </c>
      <c r="DF56" s="845">
        <f t="shared" ref="DF56:DF61" si="452">SUM(DF8+DF16+DF24+DF32+DF40+DF48)</f>
        <v>865174</v>
      </c>
      <c r="DG56" s="830">
        <f t="shared" si="40"/>
        <v>6.8</v>
      </c>
      <c r="DH56" s="845">
        <f t="shared" ref="DH56:DJ61" si="453">SUM(DH8+DH16+DH24+DH32+DH40+DH48)</f>
        <v>9683</v>
      </c>
      <c r="DI56" s="845">
        <f t="shared" si="453"/>
        <v>92344</v>
      </c>
      <c r="DJ56" s="845">
        <f t="shared" si="453"/>
        <v>10567</v>
      </c>
      <c r="DK56" s="830">
        <f t="shared" si="75"/>
        <v>9.1</v>
      </c>
      <c r="DL56" s="845">
        <f t="shared" ref="DL56:DL61" si="454">SUM(DL8+DL16+DL24+DL32+DL40+DL48)</f>
        <v>107855</v>
      </c>
      <c r="DM56" s="830">
        <f t="shared" si="41"/>
        <v>16.8</v>
      </c>
      <c r="DN56" s="845">
        <f t="shared" ref="DN56:DP61" si="455">SUM(DN8+DN16+DN24+DN32+DN40+DN48)</f>
        <v>93202</v>
      </c>
      <c r="DO56" s="845">
        <f t="shared" si="455"/>
        <v>902398</v>
      </c>
      <c r="DP56" s="845">
        <f t="shared" si="455"/>
        <v>73113</v>
      </c>
      <c r="DQ56" s="830">
        <f t="shared" si="42"/>
        <v>-21.6</v>
      </c>
      <c r="DR56" s="845">
        <f t="shared" ref="DR56:DR61" si="456">SUM(DR8+DR16+DR24+DR32+DR40+DR48)</f>
        <v>973029</v>
      </c>
      <c r="DS56" s="830">
        <f t="shared" si="43"/>
        <v>7.8</v>
      </c>
      <c r="DT56" s="845">
        <f t="shared" ref="DT56:DV61" si="457">SUM(DT8+DT16+DT24+DT32+DT40+DT48)</f>
        <v>9768</v>
      </c>
      <c r="DU56" s="845">
        <f t="shared" si="457"/>
        <v>117394</v>
      </c>
      <c r="DV56" s="845">
        <f t="shared" si="457"/>
        <v>8928</v>
      </c>
      <c r="DW56" s="830">
        <f t="shared" si="78"/>
        <v>-8.6</v>
      </c>
      <c r="DX56" s="845">
        <f t="shared" ref="DX56:DX61" si="458">SUM(DX8+DX16+DX24+DX32+DX40+DX48)</f>
        <v>110558</v>
      </c>
      <c r="DY56" s="830">
        <f t="shared" si="44"/>
        <v>-5.8</v>
      </c>
      <c r="DZ56" s="845">
        <f t="shared" ref="DZ56:EB61" si="459">SUM(DZ8+DZ16+DZ24+DZ32+DZ40+DZ48)</f>
        <v>102970</v>
      </c>
      <c r="EA56" s="845">
        <f t="shared" si="459"/>
        <v>1019792</v>
      </c>
      <c r="EB56" s="845">
        <f t="shared" si="459"/>
        <v>82041</v>
      </c>
      <c r="EC56" s="830">
        <f t="shared" si="45"/>
        <v>-20.3</v>
      </c>
      <c r="ED56" s="845">
        <f t="shared" ref="ED56:ED61" si="460">SUM(ED8+ED16+ED24+ED32+ED40+ED48)</f>
        <v>1083587</v>
      </c>
      <c r="EE56" s="830">
        <f t="shared" si="46"/>
        <v>6.3</v>
      </c>
      <c r="EF56" s="845">
        <f t="shared" ref="EF56:EH61" si="461">SUM(EF8+EF16+EF24+EF32+EF40+EF48)</f>
        <v>7944</v>
      </c>
      <c r="EG56" s="845">
        <f t="shared" si="461"/>
        <v>115954</v>
      </c>
      <c r="EH56" s="845">
        <f t="shared" si="461"/>
        <v>10625</v>
      </c>
      <c r="EI56" s="830">
        <f t="shared" si="81"/>
        <v>33.700000000000003</v>
      </c>
      <c r="EJ56" s="845">
        <f t="shared" ref="EJ56:EJ61" si="462">SUM(EJ8+EJ16+EJ24+EJ32+EJ40+EJ48)</f>
        <v>111087</v>
      </c>
      <c r="EK56" s="830">
        <f t="shared" si="47"/>
        <v>-4.2</v>
      </c>
      <c r="EL56" s="845">
        <f t="shared" ref="EL56:EN61" si="463">SUM(EL8+EL16+EL24+EL32+EL40+EL48)</f>
        <v>110914</v>
      </c>
      <c r="EM56" s="845">
        <f t="shared" si="463"/>
        <v>1135746</v>
      </c>
      <c r="EN56" s="845">
        <f t="shared" si="463"/>
        <v>92666</v>
      </c>
      <c r="EO56" s="830">
        <f t="shared" si="48"/>
        <v>-16.5</v>
      </c>
      <c r="EP56" s="845">
        <f t="shared" ref="EP56:EP61" si="464">SUM(EP8+EP16+EP24+EP32+EP40+EP48)</f>
        <v>1194674</v>
      </c>
      <c r="EQ56" s="830">
        <f t="shared" si="49"/>
        <v>5.2</v>
      </c>
    </row>
    <row r="57" spans="1:147" ht="21.75" customHeight="1">
      <c r="A57" s="1129"/>
      <c r="B57" s="1129"/>
      <c r="C57" s="121" t="s">
        <v>272</v>
      </c>
      <c r="D57" s="122">
        <f t="shared" si="419"/>
        <v>266826</v>
      </c>
      <c r="E57" s="122">
        <f t="shared" si="419"/>
        <v>3227673</v>
      </c>
      <c r="F57" s="122">
        <f t="shared" si="419"/>
        <v>362270</v>
      </c>
      <c r="G57" s="122">
        <f t="shared" si="419"/>
        <v>3273976</v>
      </c>
      <c r="H57" s="122">
        <f t="shared" si="419"/>
        <v>248346</v>
      </c>
      <c r="I57" s="122">
        <f t="shared" si="419"/>
        <v>3153526</v>
      </c>
      <c r="J57" s="122">
        <f t="shared" si="419"/>
        <v>250320</v>
      </c>
      <c r="K57" s="122">
        <f t="shared" si="419"/>
        <v>3279104</v>
      </c>
      <c r="L57" s="122">
        <f t="shared" si="419"/>
        <v>206679</v>
      </c>
      <c r="M57" s="122">
        <f t="shared" si="419"/>
        <v>2670512</v>
      </c>
      <c r="N57" s="122">
        <f t="shared" si="419"/>
        <v>166572</v>
      </c>
      <c r="O57" s="122">
        <f t="shared" si="419"/>
        <v>2102192</v>
      </c>
      <c r="P57" s="122">
        <f t="shared" si="419"/>
        <v>166672</v>
      </c>
      <c r="Q57" s="122">
        <f t="shared" si="419"/>
        <v>2856359</v>
      </c>
      <c r="R57" s="297">
        <f t="shared" si="419"/>
        <v>170485</v>
      </c>
      <c r="S57" s="297">
        <f t="shared" si="420"/>
        <v>3181123</v>
      </c>
      <c r="T57" s="297">
        <f t="shared" si="420"/>
        <v>206229</v>
      </c>
      <c r="U57" s="297">
        <f t="shared" si="421"/>
        <v>3014610</v>
      </c>
      <c r="V57" s="297">
        <f t="shared" si="422"/>
        <v>10492</v>
      </c>
      <c r="W57" s="297">
        <f t="shared" si="422"/>
        <v>293722</v>
      </c>
      <c r="X57" s="297">
        <f t="shared" si="422"/>
        <v>9687</v>
      </c>
      <c r="Y57" s="123">
        <f t="shared" si="18"/>
        <v>-7.7</v>
      </c>
      <c r="Z57" s="297">
        <f t="shared" si="423"/>
        <v>261679</v>
      </c>
      <c r="AA57" s="123">
        <f t="shared" si="19"/>
        <v>-10.9</v>
      </c>
      <c r="AB57" s="297">
        <f t="shared" si="424"/>
        <v>10825</v>
      </c>
      <c r="AC57" s="297">
        <f t="shared" si="424"/>
        <v>246452</v>
      </c>
      <c r="AD57" s="297">
        <f t="shared" si="424"/>
        <v>8871</v>
      </c>
      <c r="AE57" s="123">
        <f t="shared" si="54"/>
        <v>-18.100000000000001</v>
      </c>
      <c r="AF57" s="297">
        <f t="shared" si="425"/>
        <v>262537</v>
      </c>
      <c r="AG57" s="123">
        <f t="shared" si="20"/>
        <v>6.5</v>
      </c>
      <c r="AH57" s="297">
        <f t="shared" si="426"/>
        <v>21317</v>
      </c>
      <c r="AI57" s="297">
        <f t="shared" si="426"/>
        <v>540174</v>
      </c>
      <c r="AJ57" s="297">
        <f t="shared" si="426"/>
        <v>18558</v>
      </c>
      <c r="AK57" s="123">
        <f t="shared" si="21"/>
        <v>-12.9</v>
      </c>
      <c r="AL57" s="297">
        <f t="shared" si="427"/>
        <v>524216</v>
      </c>
      <c r="AM57" s="123">
        <f t="shared" si="22"/>
        <v>-3</v>
      </c>
      <c r="AN57" s="297">
        <f t="shared" si="428"/>
        <v>19086</v>
      </c>
      <c r="AO57" s="297">
        <f t="shared" si="428"/>
        <v>260288</v>
      </c>
      <c r="AP57" s="297">
        <f t="shared" si="428"/>
        <v>10678</v>
      </c>
      <c r="AQ57" s="123">
        <f t="shared" si="57"/>
        <v>-44.1</v>
      </c>
      <c r="AR57" s="297">
        <f t="shared" si="429"/>
        <v>255630</v>
      </c>
      <c r="AS57" s="123">
        <f t="shared" si="23"/>
        <v>-1.8</v>
      </c>
      <c r="AT57" s="297">
        <f t="shared" si="430"/>
        <v>40403</v>
      </c>
      <c r="AU57" s="297">
        <f t="shared" si="430"/>
        <v>800462</v>
      </c>
      <c r="AV57" s="297">
        <f t="shared" si="430"/>
        <v>29236</v>
      </c>
      <c r="AW57" s="123">
        <f t="shared" si="24"/>
        <v>-27.6</v>
      </c>
      <c r="AX57" s="297">
        <f t="shared" si="431"/>
        <v>779846</v>
      </c>
      <c r="AY57" s="123">
        <f t="shared" si="25"/>
        <v>-2.6</v>
      </c>
      <c r="AZ57" s="297">
        <f t="shared" ref="AZ57:BB57" si="465">SUM(AZ9+AZ17+AZ25+AZ33+AZ41+AZ49)</f>
        <v>24359</v>
      </c>
      <c r="BA57" s="297">
        <f t="shared" si="465"/>
        <v>266944</v>
      </c>
      <c r="BB57" s="297">
        <f t="shared" si="465"/>
        <v>8597</v>
      </c>
      <c r="BC57" s="123">
        <f t="shared" si="60"/>
        <v>-64.7</v>
      </c>
      <c r="BD57" s="297">
        <f t="shared" si="433"/>
        <v>229724</v>
      </c>
      <c r="BE57" s="123">
        <f t="shared" si="26"/>
        <v>-13.9</v>
      </c>
      <c r="BF57" s="297">
        <f t="shared" ref="BF57:BH57" si="466">SUM(BF9+BF17+BF25+BF33+BF41+BF49)</f>
        <v>64762</v>
      </c>
      <c r="BG57" s="297">
        <f t="shared" si="466"/>
        <v>1067406</v>
      </c>
      <c r="BH57" s="297">
        <f t="shared" si="466"/>
        <v>37833</v>
      </c>
      <c r="BI57" s="123">
        <f t="shared" si="27"/>
        <v>-41.6</v>
      </c>
      <c r="BJ57" s="297">
        <f t="shared" si="435"/>
        <v>1009570</v>
      </c>
      <c r="BK57" s="123">
        <f t="shared" si="28"/>
        <v>-5.4</v>
      </c>
      <c r="BL57" s="297">
        <f t="shared" si="436"/>
        <v>33809</v>
      </c>
      <c r="BM57" s="297">
        <f t="shared" si="436"/>
        <v>257504</v>
      </c>
      <c r="BN57" s="297">
        <f t="shared" si="436"/>
        <v>10201</v>
      </c>
      <c r="BO57" s="123">
        <f t="shared" si="63"/>
        <v>-69.8</v>
      </c>
      <c r="BP57" s="297">
        <f t="shared" si="437"/>
        <v>183153</v>
      </c>
      <c r="BQ57" s="123">
        <f t="shared" si="29"/>
        <v>-28.9</v>
      </c>
      <c r="BR57" s="297">
        <f t="shared" si="438"/>
        <v>98571</v>
      </c>
      <c r="BS57" s="297">
        <f t="shared" si="438"/>
        <v>1324910</v>
      </c>
      <c r="BT57" s="297">
        <f t="shared" si="438"/>
        <v>48034</v>
      </c>
      <c r="BU57" s="123">
        <f t="shared" si="30"/>
        <v>-51.3</v>
      </c>
      <c r="BV57" s="297">
        <f t="shared" si="439"/>
        <v>1192723</v>
      </c>
      <c r="BW57" s="123">
        <f t="shared" si="31"/>
        <v>-10</v>
      </c>
      <c r="BX57" s="823">
        <f t="shared" ref="BX57:BZ57" si="467">SUM(BX9+BX17+BX25+BX33+BX41+BX49)</f>
        <v>22247</v>
      </c>
      <c r="BY57" s="823">
        <f t="shared" si="467"/>
        <v>229047</v>
      </c>
      <c r="BZ57" s="823">
        <f t="shared" si="467"/>
        <v>11739</v>
      </c>
      <c r="CA57" s="824">
        <f t="shared" si="66"/>
        <v>-47.2</v>
      </c>
      <c r="CB57" s="823">
        <f t="shared" si="441"/>
        <v>189733</v>
      </c>
      <c r="CC57" s="824">
        <f t="shared" si="32"/>
        <v>-17.2</v>
      </c>
      <c r="CD57" s="844">
        <f t="shared" ref="CD57:CF57" si="468">SUM(CD9+CD17+CD25+CD33+CD41+CD49)</f>
        <v>120818</v>
      </c>
      <c r="CE57" s="844">
        <f t="shared" si="468"/>
        <v>1553957</v>
      </c>
      <c r="CF57" s="844">
        <f t="shared" si="468"/>
        <v>59773</v>
      </c>
      <c r="CG57" s="824">
        <f t="shared" si="33"/>
        <v>-50.5</v>
      </c>
      <c r="CH57" s="844">
        <f t="shared" si="443"/>
        <v>1382456</v>
      </c>
      <c r="CI57" s="824">
        <f t="shared" si="34"/>
        <v>-11</v>
      </c>
      <c r="CJ57" s="844">
        <f t="shared" ref="CJ57:CL57" si="469">SUM(CJ9+CJ17+CJ25+CJ33+CJ41+CJ49)</f>
        <v>15557</v>
      </c>
      <c r="CK57" s="844">
        <f t="shared" si="469"/>
        <v>229075</v>
      </c>
      <c r="CL57" s="844">
        <f t="shared" si="469"/>
        <v>14902</v>
      </c>
      <c r="CM57" s="824">
        <f t="shared" si="69"/>
        <v>-4.2</v>
      </c>
      <c r="CN57" s="844">
        <f t="shared" si="445"/>
        <v>207262</v>
      </c>
      <c r="CO57" s="824">
        <f t="shared" si="35"/>
        <v>-9.5</v>
      </c>
      <c r="CP57" s="844">
        <f t="shared" ref="CP57:CR57" si="470">SUM(CP9+CP17+CP25+CP33+CP41+CP49)</f>
        <v>136375</v>
      </c>
      <c r="CQ57" s="844">
        <f t="shared" si="470"/>
        <v>1783032</v>
      </c>
      <c r="CR57" s="844">
        <f t="shared" si="470"/>
        <v>74675</v>
      </c>
      <c r="CS57" s="824">
        <f t="shared" si="447"/>
        <v>-45.2</v>
      </c>
      <c r="CT57" s="844">
        <f t="shared" si="448"/>
        <v>1589718</v>
      </c>
      <c r="CU57" s="824">
        <f t="shared" si="37"/>
        <v>-10.8</v>
      </c>
      <c r="CV57" s="844">
        <f t="shared" ref="CV57:CX57" si="471">SUM(CV9+CV17+CV25+CV33+CV41+CV49)</f>
        <v>12532</v>
      </c>
      <c r="CW57" s="844">
        <f t="shared" si="471"/>
        <v>213293</v>
      </c>
      <c r="CX57" s="844">
        <f t="shared" si="471"/>
        <v>13570</v>
      </c>
      <c r="CY57" s="824">
        <f t="shared" si="72"/>
        <v>8.3000000000000007</v>
      </c>
      <c r="CZ57" s="844">
        <f t="shared" si="450"/>
        <v>231174</v>
      </c>
      <c r="DA57" s="824">
        <f t="shared" si="38"/>
        <v>8.4</v>
      </c>
      <c r="DB57" s="844">
        <f t="shared" si="451"/>
        <v>148907</v>
      </c>
      <c r="DC57" s="844">
        <f t="shared" si="451"/>
        <v>1996325</v>
      </c>
      <c r="DD57" s="844">
        <f t="shared" si="451"/>
        <v>88245</v>
      </c>
      <c r="DE57" s="824">
        <f t="shared" si="39"/>
        <v>-40.700000000000003</v>
      </c>
      <c r="DF57" s="844">
        <f t="shared" si="452"/>
        <v>1820892</v>
      </c>
      <c r="DG57" s="824">
        <f t="shared" si="40"/>
        <v>-8.8000000000000007</v>
      </c>
      <c r="DH57" s="844">
        <f t="shared" si="453"/>
        <v>16567</v>
      </c>
      <c r="DI57" s="844">
        <f t="shared" si="453"/>
        <v>216690</v>
      </c>
      <c r="DJ57" s="844">
        <f t="shared" si="453"/>
        <v>15610</v>
      </c>
      <c r="DK57" s="824">
        <f t="shared" si="75"/>
        <v>-5.8</v>
      </c>
      <c r="DL57" s="844">
        <f t="shared" si="454"/>
        <v>241950</v>
      </c>
      <c r="DM57" s="824">
        <f t="shared" si="41"/>
        <v>11.7</v>
      </c>
      <c r="DN57" s="844">
        <f t="shared" si="455"/>
        <v>165474</v>
      </c>
      <c r="DO57" s="844">
        <f t="shared" si="455"/>
        <v>2213015</v>
      </c>
      <c r="DP57" s="844">
        <f t="shared" si="455"/>
        <v>103855</v>
      </c>
      <c r="DQ57" s="824">
        <f t="shared" si="42"/>
        <v>-37.200000000000003</v>
      </c>
      <c r="DR57" s="844">
        <f t="shared" si="456"/>
        <v>2062842</v>
      </c>
      <c r="DS57" s="824">
        <f t="shared" si="43"/>
        <v>-6.8</v>
      </c>
      <c r="DT57" s="844">
        <f t="shared" si="457"/>
        <v>15697</v>
      </c>
      <c r="DU57" s="844">
        <f t="shared" si="457"/>
        <v>265129</v>
      </c>
      <c r="DV57" s="844">
        <f t="shared" si="457"/>
        <v>14140</v>
      </c>
      <c r="DW57" s="824">
        <f t="shared" si="78"/>
        <v>-9.9</v>
      </c>
      <c r="DX57" s="844">
        <f t="shared" si="458"/>
        <v>257709</v>
      </c>
      <c r="DY57" s="824">
        <f t="shared" si="44"/>
        <v>-2.8</v>
      </c>
      <c r="DZ57" s="844">
        <f t="shared" si="459"/>
        <v>181171</v>
      </c>
      <c r="EA57" s="844">
        <f t="shared" si="459"/>
        <v>2478144</v>
      </c>
      <c r="EB57" s="844">
        <f t="shared" si="459"/>
        <v>117995</v>
      </c>
      <c r="EC57" s="824">
        <f t="shared" si="45"/>
        <v>-34.9</v>
      </c>
      <c r="ED57" s="844">
        <f t="shared" si="460"/>
        <v>2320551</v>
      </c>
      <c r="EE57" s="824">
        <f t="shared" si="46"/>
        <v>-6.4</v>
      </c>
      <c r="EF57" s="844">
        <f t="shared" si="461"/>
        <v>13471</v>
      </c>
      <c r="EG57" s="844">
        <f t="shared" si="461"/>
        <v>263139</v>
      </c>
      <c r="EH57" s="844">
        <f t="shared" si="461"/>
        <v>19178</v>
      </c>
      <c r="EI57" s="824">
        <f t="shared" si="81"/>
        <v>42.4</v>
      </c>
      <c r="EJ57" s="844">
        <f t="shared" si="462"/>
        <v>258068</v>
      </c>
      <c r="EK57" s="824">
        <f t="shared" si="47"/>
        <v>-1.9</v>
      </c>
      <c r="EL57" s="844">
        <f t="shared" si="463"/>
        <v>194642</v>
      </c>
      <c r="EM57" s="844">
        <f t="shared" si="463"/>
        <v>2741283</v>
      </c>
      <c r="EN57" s="844">
        <f t="shared" si="463"/>
        <v>137173</v>
      </c>
      <c r="EO57" s="824">
        <f t="shared" si="48"/>
        <v>-29.5</v>
      </c>
      <c r="EP57" s="844">
        <f t="shared" si="464"/>
        <v>2578619</v>
      </c>
      <c r="EQ57" s="824">
        <f t="shared" si="49"/>
        <v>-5.9</v>
      </c>
    </row>
    <row r="58" spans="1:147" ht="21.75" customHeight="1">
      <c r="A58" s="1129"/>
      <c r="B58" s="1129" t="s">
        <v>273</v>
      </c>
      <c r="C58" s="118" t="s">
        <v>271</v>
      </c>
      <c r="D58" s="119">
        <f t="shared" si="419"/>
        <v>831408</v>
      </c>
      <c r="E58" s="119">
        <f t="shared" si="419"/>
        <v>1963277</v>
      </c>
      <c r="F58" s="119">
        <f t="shared" si="419"/>
        <v>926389</v>
      </c>
      <c r="G58" s="119">
        <f t="shared" si="419"/>
        <v>1982009</v>
      </c>
      <c r="H58" s="119">
        <f t="shared" si="419"/>
        <v>973785</v>
      </c>
      <c r="I58" s="119">
        <f t="shared" si="419"/>
        <v>2027119</v>
      </c>
      <c r="J58" s="119">
        <f t="shared" si="419"/>
        <v>994192</v>
      </c>
      <c r="K58" s="119">
        <f t="shared" si="419"/>
        <v>2121066</v>
      </c>
      <c r="L58" s="119">
        <f t="shared" si="419"/>
        <v>1167455</v>
      </c>
      <c r="M58" s="119">
        <f t="shared" si="419"/>
        <v>2173878</v>
      </c>
      <c r="N58" s="119">
        <f t="shared" si="419"/>
        <v>1329726</v>
      </c>
      <c r="O58" s="119">
        <f t="shared" si="419"/>
        <v>2293676.094</v>
      </c>
      <c r="P58" s="119">
        <f t="shared" si="419"/>
        <v>1251476</v>
      </c>
      <c r="Q58" s="119">
        <f t="shared" si="419"/>
        <v>2181175</v>
      </c>
      <c r="R58" s="296">
        <f t="shared" si="419"/>
        <v>1405735</v>
      </c>
      <c r="S58" s="296">
        <f t="shared" si="420"/>
        <v>1980018</v>
      </c>
      <c r="T58" s="296">
        <f t="shared" si="420"/>
        <v>1396049</v>
      </c>
      <c r="U58" s="296">
        <f t="shared" si="421"/>
        <v>1975799</v>
      </c>
      <c r="V58" s="296">
        <f t="shared" si="422"/>
        <v>101908</v>
      </c>
      <c r="W58" s="296">
        <f t="shared" si="422"/>
        <v>175489</v>
      </c>
      <c r="X58" s="296">
        <f t="shared" si="422"/>
        <v>125920</v>
      </c>
      <c r="Y58" s="120">
        <f t="shared" si="18"/>
        <v>23.6</v>
      </c>
      <c r="Z58" s="296">
        <f t="shared" si="423"/>
        <v>159874</v>
      </c>
      <c r="AA58" s="120">
        <f t="shared" si="19"/>
        <v>-8.9</v>
      </c>
      <c r="AB58" s="296">
        <f t="shared" si="424"/>
        <v>110080</v>
      </c>
      <c r="AC58" s="296">
        <f t="shared" si="424"/>
        <v>132815</v>
      </c>
      <c r="AD58" s="296">
        <f t="shared" si="424"/>
        <v>118236</v>
      </c>
      <c r="AE58" s="120">
        <f t="shared" si="54"/>
        <v>7.4</v>
      </c>
      <c r="AF58" s="296">
        <f t="shared" si="425"/>
        <v>142431</v>
      </c>
      <c r="AG58" s="120">
        <f t="shared" si="20"/>
        <v>7.2</v>
      </c>
      <c r="AH58" s="296">
        <f t="shared" si="426"/>
        <v>211988</v>
      </c>
      <c r="AI58" s="296">
        <f t="shared" si="426"/>
        <v>308304</v>
      </c>
      <c r="AJ58" s="296">
        <f t="shared" si="426"/>
        <v>244156</v>
      </c>
      <c r="AK58" s="120">
        <f t="shared" si="21"/>
        <v>15.2</v>
      </c>
      <c r="AL58" s="296">
        <f t="shared" si="427"/>
        <v>302305</v>
      </c>
      <c r="AM58" s="120">
        <f t="shared" si="22"/>
        <v>-1.9</v>
      </c>
      <c r="AN58" s="296">
        <f t="shared" si="428"/>
        <v>107844</v>
      </c>
      <c r="AO58" s="296">
        <f t="shared" si="428"/>
        <v>156909</v>
      </c>
      <c r="AP58" s="296">
        <f t="shared" si="428"/>
        <v>134216</v>
      </c>
      <c r="AQ58" s="120">
        <f t="shared" si="57"/>
        <v>24.5</v>
      </c>
      <c r="AR58" s="296">
        <f t="shared" si="429"/>
        <v>160352</v>
      </c>
      <c r="AS58" s="120">
        <f t="shared" si="23"/>
        <v>2.2000000000000002</v>
      </c>
      <c r="AT58" s="296">
        <f t="shared" si="430"/>
        <v>319832</v>
      </c>
      <c r="AU58" s="296">
        <f t="shared" si="430"/>
        <v>465213</v>
      </c>
      <c r="AV58" s="296">
        <f t="shared" si="430"/>
        <v>378372</v>
      </c>
      <c r="AW58" s="120">
        <f t="shared" si="24"/>
        <v>18.3</v>
      </c>
      <c r="AX58" s="296">
        <f t="shared" si="431"/>
        <v>462657</v>
      </c>
      <c r="AY58" s="120">
        <f t="shared" si="25"/>
        <v>-0.5</v>
      </c>
      <c r="AZ58" s="296">
        <f t="shared" ref="AZ58:BB58" si="472">SUM(AZ10+AZ18+AZ26+AZ34+AZ42+AZ50)</f>
        <v>110342</v>
      </c>
      <c r="BA58" s="296">
        <f t="shared" si="472"/>
        <v>172657</v>
      </c>
      <c r="BB58" s="296">
        <f t="shared" si="472"/>
        <v>121773</v>
      </c>
      <c r="BC58" s="120">
        <f t="shared" si="60"/>
        <v>10.4</v>
      </c>
      <c r="BD58" s="296">
        <f t="shared" si="433"/>
        <v>158062</v>
      </c>
      <c r="BE58" s="120">
        <f t="shared" si="26"/>
        <v>-8.5</v>
      </c>
      <c r="BF58" s="296">
        <f t="shared" ref="BF58:BH58" si="473">SUM(BF10+BF18+BF26+BF34+BF42+BF50)</f>
        <v>430174</v>
      </c>
      <c r="BG58" s="296">
        <f t="shared" si="473"/>
        <v>637870</v>
      </c>
      <c r="BH58" s="296">
        <f t="shared" si="473"/>
        <v>500145</v>
      </c>
      <c r="BI58" s="120">
        <f t="shared" si="27"/>
        <v>16.3</v>
      </c>
      <c r="BJ58" s="296">
        <f t="shared" si="435"/>
        <v>620719</v>
      </c>
      <c r="BK58" s="120">
        <f t="shared" si="28"/>
        <v>-2.7</v>
      </c>
      <c r="BL58" s="296">
        <f t="shared" si="436"/>
        <v>139694</v>
      </c>
      <c r="BM58" s="296">
        <f t="shared" si="436"/>
        <v>175748</v>
      </c>
      <c r="BN58" s="296">
        <f t="shared" si="436"/>
        <v>115538</v>
      </c>
      <c r="BO58" s="120">
        <f t="shared" si="63"/>
        <v>-17.3</v>
      </c>
      <c r="BP58" s="296">
        <f t="shared" si="437"/>
        <v>146655</v>
      </c>
      <c r="BQ58" s="120">
        <f t="shared" si="29"/>
        <v>-16.600000000000001</v>
      </c>
      <c r="BR58" s="296">
        <f t="shared" si="438"/>
        <v>569868</v>
      </c>
      <c r="BS58" s="296">
        <f t="shared" si="438"/>
        <v>813618</v>
      </c>
      <c r="BT58" s="296">
        <f t="shared" si="438"/>
        <v>615683</v>
      </c>
      <c r="BU58" s="120">
        <f t="shared" si="30"/>
        <v>8</v>
      </c>
      <c r="BV58" s="296">
        <f t="shared" si="439"/>
        <v>767374</v>
      </c>
      <c r="BW58" s="120">
        <f t="shared" si="31"/>
        <v>-5.7</v>
      </c>
      <c r="BX58" s="821">
        <f t="shared" ref="BX58:BZ58" si="474">SUM(BX10+BX18+BX26+BX34+BX42+BX50)</f>
        <v>122641</v>
      </c>
      <c r="BY58" s="821">
        <f t="shared" si="474"/>
        <v>168200</v>
      </c>
      <c r="BZ58" s="821">
        <f t="shared" si="474"/>
        <v>132263</v>
      </c>
      <c r="CA58" s="822">
        <f t="shared" si="66"/>
        <v>7.8</v>
      </c>
      <c r="CB58" s="821">
        <f t="shared" si="441"/>
        <v>154007</v>
      </c>
      <c r="CC58" s="822">
        <f t="shared" si="32"/>
        <v>-8.4</v>
      </c>
      <c r="CD58" s="840">
        <f t="shared" ref="CD58:CF58" si="475">SUM(CD10+CD18+CD26+CD34+CD42+CD50)</f>
        <v>692509</v>
      </c>
      <c r="CE58" s="840">
        <f t="shared" si="475"/>
        <v>981818</v>
      </c>
      <c r="CF58" s="840">
        <f t="shared" si="475"/>
        <v>747946</v>
      </c>
      <c r="CG58" s="822">
        <f t="shared" si="33"/>
        <v>8</v>
      </c>
      <c r="CH58" s="840">
        <f t="shared" si="443"/>
        <v>921381</v>
      </c>
      <c r="CI58" s="822">
        <f t="shared" si="34"/>
        <v>-6.2</v>
      </c>
      <c r="CJ58" s="840">
        <f t="shared" ref="CJ58:CL58" si="476">SUM(CJ10+CJ18+CJ26+CJ34+CJ42+CJ50)</f>
        <v>122157</v>
      </c>
      <c r="CK58" s="840">
        <f t="shared" si="476"/>
        <v>160392</v>
      </c>
      <c r="CL58" s="840">
        <f t="shared" si="476"/>
        <v>150113</v>
      </c>
      <c r="CM58" s="822">
        <f t="shared" si="69"/>
        <v>22.9</v>
      </c>
      <c r="CN58" s="840">
        <f t="shared" si="445"/>
        <v>147501</v>
      </c>
      <c r="CO58" s="822">
        <f t="shared" si="35"/>
        <v>-8</v>
      </c>
      <c r="CP58" s="840">
        <f t="shared" ref="CP58:CR58" si="477">SUM(CP10+CP18+CP26+CP34+CP42+CP50)</f>
        <v>814666</v>
      </c>
      <c r="CQ58" s="840">
        <f t="shared" si="477"/>
        <v>1142210</v>
      </c>
      <c r="CR58" s="840">
        <f t="shared" si="477"/>
        <v>898059</v>
      </c>
      <c r="CS58" s="822">
        <f t="shared" si="447"/>
        <v>10.199999999999999</v>
      </c>
      <c r="CT58" s="840">
        <f t="shared" si="448"/>
        <v>1068882</v>
      </c>
      <c r="CU58" s="822">
        <f t="shared" si="37"/>
        <v>-6.4</v>
      </c>
      <c r="CV58" s="840">
        <f t="shared" ref="CV58:CX58" si="478">SUM(CV10+CV18+CV26+CV34+CV42+CV50)</f>
        <v>120184</v>
      </c>
      <c r="CW58" s="840">
        <f t="shared" si="478"/>
        <v>164512</v>
      </c>
      <c r="CX58" s="840">
        <f t="shared" si="478"/>
        <v>118259</v>
      </c>
      <c r="CY58" s="822">
        <f t="shared" si="72"/>
        <v>-1.6</v>
      </c>
      <c r="CZ58" s="840">
        <f t="shared" si="450"/>
        <v>132916</v>
      </c>
      <c r="DA58" s="822">
        <f t="shared" si="38"/>
        <v>-19.2</v>
      </c>
      <c r="DB58" s="840">
        <f t="shared" si="451"/>
        <v>934850</v>
      </c>
      <c r="DC58" s="840">
        <f t="shared" si="451"/>
        <v>1306722</v>
      </c>
      <c r="DD58" s="840">
        <f t="shared" si="451"/>
        <v>1016318</v>
      </c>
      <c r="DE58" s="822">
        <f t="shared" si="39"/>
        <v>8.6999999999999993</v>
      </c>
      <c r="DF58" s="840">
        <f t="shared" si="452"/>
        <v>1201798</v>
      </c>
      <c r="DG58" s="822">
        <f t="shared" si="40"/>
        <v>-8</v>
      </c>
      <c r="DH58" s="840">
        <f t="shared" si="453"/>
        <v>97799</v>
      </c>
      <c r="DI58" s="840">
        <f t="shared" si="453"/>
        <v>158800</v>
      </c>
      <c r="DJ58" s="840">
        <f t="shared" si="453"/>
        <v>140396</v>
      </c>
      <c r="DK58" s="822">
        <f t="shared" si="75"/>
        <v>43.6</v>
      </c>
      <c r="DL58" s="840">
        <f t="shared" si="454"/>
        <v>154402</v>
      </c>
      <c r="DM58" s="822">
        <f t="shared" si="41"/>
        <v>-2.8</v>
      </c>
      <c r="DN58" s="840">
        <f t="shared" si="455"/>
        <v>1032649</v>
      </c>
      <c r="DO58" s="840">
        <f t="shared" si="455"/>
        <v>1465522</v>
      </c>
      <c r="DP58" s="840">
        <f t="shared" si="455"/>
        <v>1156714</v>
      </c>
      <c r="DQ58" s="822">
        <f t="shared" si="42"/>
        <v>12</v>
      </c>
      <c r="DR58" s="840">
        <f t="shared" si="456"/>
        <v>1356200</v>
      </c>
      <c r="DS58" s="822">
        <f t="shared" si="43"/>
        <v>-7.5</v>
      </c>
      <c r="DT58" s="840">
        <f t="shared" si="457"/>
        <v>122867</v>
      </c>
      <c r="DU58" s="840">
        <f t="shared" si="457"/>
        <v>168940</v>
      </c>
      <c r="DV58" s="840">
        <f t="shared" si="457"/>
        <v>134803</v>
      </c>
      <c r="DW58" s="822">
        <f t="shared" si="78"/>
        <v>9.6999999999999993</v>
      </c>
      <c r="DX58" s="840">
        <f t="shared" si="458"/>
        <v>156738</v>
      </c>
      <c r="DY58" s="822">
        <f t="shared" si="44"/>
        <v>-7.2</v>
      </c>
      <c r="DZ58" s="840">
        <f t="shared" si="459"/>
        <v>1155516</v>
      </c>
      <c r="EA58" s="840">
        <f t="shared" si="459"/>
        <v>1634462</v>
      </c>
      <c r="EB58" s="840">
        <f t="shared" si="459"/>
        <v>1291517</v>
      </c>
      <c r="EC58" s="822">
        <f t="shared" si="45"/>
        <v>11.8</v>
      </c>
      <c r="ED58" s="840">
        <f t="shared" si="460"/>
        <v>1512938</v>
      </c>
      <c r="EE58" s="822">
        <f t="shared" si="46"/>
        <v>-7.4</v>
      </c>
      <c r="EF58" s="840">
        <f t="shared" si="461"/>
        <v>111928</v>
      </c>
      <c r="EG58" s="840">
        <f t="shared" si="461"/>
        <v>170965</v>
      </c>
      <c r="EH58" s="840">
        <f t="shared" si="461"/>
        <v>149677</v>
      </c>
      <c r="EI58" s="822">
        <f t="shared" si="81"/>
        <v>33.700000000000003</v>
      </c>
      <c r="EJ58" s="840">
        <f t="shared" si="462"/>
        <v>159397</v>
      </c>
      <c r="EK58" s="822">
        <f t="shared" si="47"/>
        <v>-6.8</v>
      </c>
      <c r="EL58" s="840">
        <f t="shared" si="463"/>
        <v>1267444</v>
      </c>
      <c r="EM58" s="840">
        <f t="shared" si="463"/>
        <v>1805427</v>
      </c>
      <c r="EN58" s="840">
        <f t="shared" si="463"/>
        <v>1441194</v>
      </c>
      <c r="EO58" s="822">
        <f t="shared" si="48"/>
        <v>13.7</v>
      </c>
      <c r="EP58" s="840">
        <f t="shared" si="464"/>
        <v>1672335</v>
      </c>
      <c r="EQ58" s="822">
        <f t="shared" si="49"/>
        <v>-7.4</v>
      </c>
    </row>
    <row r="59" spans="1:147" ht="21.75" customHeight="1">
      <c r="A59" s="1129"/>
      <c r="B59" s="1129"/>
      <c r="C59" s="121" t="s">
        <v>272</v>
      </c>
      <c r="D59" s="122">
        <f t="shared" si="419"/>
        <v>3137924</v>
      </c>
      <c r="E59" s="122">
        <f t="shared" si="419"/>
        <v>8270189</v>
      </c>
      <c r="F59" s="122">
        <f t="shared" si="419"/>
        <v>3126874</v>
      </c>
      <c r="G59" s="122">
        <f t="shared" si="419"/>
        <v>6770154</v>
      </c>
      <c r="H59" s="122">
        <f t="shared" si="419"/>
        <v>3348980</v>
      </c>
      <c r="I59" s="122">
        <f t="shared" si="419"/>
        <v>6545514</v>
      </c>
      <c r="J59" s="122">
        <f t="shared" si="419"/>
        <v>3380490</v>
      </c>
      <c r="K59" s="122">
        <f t="shared" si="419"/>
        <v>6992506</v>
      </c>
      <c r="L59" s="122">
        <f t="shared" si="419"/>
        <v>3548807</v>
      </c>
      <c r="M59" s="122">
        <f t="shared" si="419"/>
        <v>6243137</v>
      </c>
      <c r="N59" s="122">
        <f t="shared" si="419"/>
        <v>3675636</v>
      </c>
      <c r="O59" s="122">
        <f t="shared" si="419"/>
        <v>5688949</v>
      </c>
      <c r="P59" s="122">
        <f t="shared" si="419"/>
        <v>4317997</v>
      </c>
      <c r="Q59" s="122">
        <f t="shared" si="419"/>
        <v>6389975</v>
      </c>
      <c r="R59" s="297">
        <f t="shared" si="419"/>
        <v>4854030</v>
      </c>
      <c r="S59" s="297">
        <f t="shared" si="420"/>
        <v>6394784</v>
      </c>
      <c r="T59" s="297">
        <f t="shared" si="420"/>
        <v>4376640</v>
      </c>
      <c r="U59" s="297">
        <f t="shared" si="421"/>
        <v>5554500</v>
      </c>
      <c r="V59" s="297">
        <f t="shared" si="422"/>
        <v>328579</v>
      </c>
      <c r="W59" s="297">
        <f t="shared" si="422"/>
        <v>529683</v>
      </c>
      <c r="X59" s="297">
        <f t="shared" si="422"/>
        <v>354944</v>
      </c>
      <c r="Y59" s="123">
        <f t="shared" si="18"/>
        <v>8</v>
      </c>
      <c r="Z59" s="297">
        <f t="shared" si="423"/>
        <v>440978</v>
      </c>
      <c r="AA59" s="123">
        <f t="shared" si="19"/>
        <v>-16.7</v>
      </c>
      <c r="AB59" s="297">
        <f t="shared" si="424"/>
        <v>362858</v>
      </c>
      <c r="AC59" s="297">
        <f t="shared" si="424"/>
        <v>401648</v>
      </c>
      <c r="AD59" s="297">
        <f t="shared" si="424"/>
        <v>334366</v>
      </c>
      <c r="AE59" s="123">
        <f t="shared" si="54"/>
        <v>-7.9</v>
      </c>
      <c r="AF59" s="297">
        <f t="shared" si="425"/>
        <v>388683</v>
      </c>
      <c r="AG59" s="123">
        <f t="shared" si="20"/>
        <v>-3.2</v>
      </c>
      <c r="AH59" s="297">
        <f t="shared" si="426"/>
        <v>691437</v>
      </c>
      <c r="AI59" s="297">
        <f t="shared" si="426"/>
        <v>931331</v>
      </c>
      <c r="AJ59" s="297">
        <f t="shared" si="426"/>
        <v>689310</v>
      </c>
      <c r="AK59" s="123">
        <f t="shared" si="21"/>
        <v>-0.3</v>
      </c>
      <c r="AL59" s="297">
        <f t="shared" si="427"/>
        <v>829661</v>
      </c>
      <c r="AM59" s="123">
        <f t="shared" si="22"/>
        <v>-10.9</v>
      </c>
      <c r="AN59" s="297">
        <f t="shared" si="428"/>
        <v>355008</v>
      </c>
      <c r="AO59" s="297">
        <f t="shared" si="428"/>
        <v>469576</v>
      </c>
      <c r="AP59" s="297">
        <f t="shared" si="428"/>
        <v>314790</v>
      </c>
      <c r="AQ59" s="123">
        <f t="shared" si="57"/>
        <v>-11.3</v>
      </c>
      <c r="AR59" s="297">
        <f t="shared" si="429"/>
        <v>440452</v>
      </c>
      <c r="AS59" s="123">
        <f t="shared" si="23"/>
        <v>-6.2</v>
      </c>
      <c r="AT59" s="297">
        <f t="shared" si="430"/>
        <v>1046445</v>
      </c>
      <c r="AU59" s="297">
        <f t="shared" si="430"/>
        <v>1400907</v>
      </c>
      <c r="AV59" s="297">
        <f t="shared" si="430"/>
        <v>1004100</v>
      </c>
      <c r="AW59" s="123">
        <f t="shared" si="24"/>
        <v>-4</v>
      </c>
      <c r="AX59" s="297">
        <f t="shared" si="431"/>
        <v>1270113</v>
      </c>
      <c r="AY59" s="123">
        <f t="shared" si="25"/>
        <v>-9.3000000000000007</v>
      </c>
      <c r="AZ59" s="297">
        <f t="shared" ref="AZ59:BB59" si="479">SUM(AZ11+AZ19+AZ27+AZ35+AZ43+AZ51)</f>
        <v>357883</v>
      </c>
      <c r="BA59" s="297">
        <f t="shared" si="479"/>
        <v>501899</v>
      </c>
      <c r="BB59" s="297">
        <f t="shared" si="479"/>
        <v>305843</v>
      </c>
      <c r="BC59" s="123">
        <f t="shared" si="60"/>
        <v>-14.5</v>
      </c>
      <c r="BD59" s="297">
        <f t="shared" si="433"/>
        <v>397863</v>
      </c>
      <c r="BE59" s="123">
        <f t="shared" si="26"/>
        <v>-20.7</v>
      </c>
      <c r="BF59" s="297">
        <f t="shared" ref="BF59:BH59" si="480">SUM(BF11+BF19+BF27+BF35+BF43+BF51)</f>
        <v>1404328</v>
      </c>
      <c r="BG59" s="297">
        <f t="shared" si="480"/>
        <v>1902806</v>
      </c>
      <c r="BH59" s="297">
        <f t="shared" si="480"/>
        <v>1309943</v>
      </c>
      <c r="BI59" s="123">
        <f t="shared" si="27"/>
        <v>-6.7</v>
      </c>
      <c r="BJ59" s="297">
        <f t="shared" si="435"/>
        <v>1667976</v>
      </c>
      <c r="BK59" s="123">
        <f t="shared" si="28"/>
        <v>-12.3</v>
      </c>
      <c r="BL59" s="297">
        <f t="shared" si="436"/>
        <v>459784</v>
      </c>
      <c r="BM59" s="297">
        <f t="shared" si="436"/>
        <v>475978</v>
      </c>
      <c r="BN59" s="297">
        <f t="shared" si="436"/>
        <v>280535</v>
      </c>
      <c r="BO59" s="123">
        <f t="shared" si="63"/>
        <v>-39</v>
      </c>
      <c r="BP59" s="297">
        <f t="shared" si="437"/>
        <v>353143</v>
      </c>
      <c r="BQ59" s="123">
        <f t="shared" si="29"/>
        <v>-25.8</v>
      </c>
      <c r="BR59" s="297">
        <f t="shared" si="438"/>
        <v>1864112</v>
      </c>
      <c r="BS59" s="297">
        <f t="shared" si="438"/>
        <v>2378784</v>
      </c>
      <c r="BT59" s="297">
        <f t="shared" si="438"/>
        <v>1590478</v>
      </c>
      <c r="BU59" s="123">
        <f t="shared" si="30"/>
        <v>-14.7</v>
      </c>
      <c r="BV59" s="297">
        <f t="shared" si="439"/>
        <v>2021119</v>
      </c>
      <c r="BW59" s="123">
        <f t="shared" si="31"/>
        <v>-15</v>
      </c>
      <c r="BX59" s="823">
        <f t="shared" ref="BX59:BZ59" si="481">SUM(BX11+BX19+BX27+BX35+BX43+BX51)</f>
        <v>370278</v>
      </c>
      <c r="BY59" s="823">
        <f t="shared" si="481"/>
        <v>473539</v>
      </c>
      <c r="BZ59" s="823">
        <f t="shared" si="481"/>
        <v>349442</v>
      </c>
      <c r="CA59" s="824">
        <f t="shared" si="66"/>
        <v>-5.6</v>
      </c>
      <c r="CB59" s="823">
        <f t="shared" si="441"/>
        <v>368184</v>
      </c>
      <c r="CC59" s="824">
        <f t="shared" si="32"/>
        <v>-22.2</v>
      </c>
      <c r="CD59" s="844">
        <f t="shared" ref="CD59:CF59" si="482">SUM(CD11+CD19+CD27+CD35+CD43+CD51)</f>
        <v>2234390</v>
      </c>
      <c r="CE59" s="844">
        <f t="shared" si="482"/>
        <v>2852323</v>
      </c>
      <c r="CF59" s="844">
        <f t="shared" si="482"/>
        <v>1939920</v>
      </c>
      <c r="CG59" s="824">
        <f t="shared" si="33"/>
        <v>-13.2</v>
      </c>
      <c r="CH59" s="844">
        <f t="shared" si="443"/>
        <v>2389303</v>
      </c>
      <c r="CI59" s="824">
        <f t="shared" si="34"/>
        <v>-16.2</v>
      </c>
      <c r="CJ59" s="844">
        <f t="shared" ref="CJ59:CL59" si="483">SUM(CJ11+CJ19+CJ27+CJ35+CJ43+CJ51)</f>
        <v>386520</v>
      </c>
      <c r="CK59" s="844">
        <f t="shared" si="483"/>
        <v>459981</v>
      </c>
      <c r="CL59" s="844">
        <f t="shared" si="483"/>
        <v>415642</v>
      </c>
      <c r="CM59" s="824">
        <f t="shared" si="69"/>
        <v>7.5</v>
      </c>
      <c r="CN59" s="844">
        <f t="shared" si="445"/>
        <v>368804</v>
      </c>
      <c r="CO59" s="824">
        <f t="shared" si="35"/>
        <v>-19.8</v>
      </c>
      <c r="CP59" s="844">
        <f t="shared" ref="CP59:CR59" si="484">SUM(CP11+CP19+CP27+CP35+CP43+CP51)</f>
        <v>2620910</v>
      </c>
      <c r="CQ59" s="844">
        <f t="shared" si="484"/>
        <v>3312304</v>
      </c>
      <c r="CR59" s="844">
        <f t="shared" si="484"/>
        <v>2355562</v>
      </c>
      <c r="CS59" s="824">
        <f t="shared" si="447"/>
        <v>-10.1</v>
      </c>
      <c r="CT59" s="844">
        <f t="shared" si="448"/>
        <v>2758107</v>
      </c>
      <c r="CU59" s="824">
        <f t="shared" si="37"/>
        <v>-16.7</v>
      </c>
      <c r="CV59" s="844">
        <f t="shared" ref="CV59:CX59" si="485">SUM(CV11+CV19+CV27+CV35+CV43+CV51)</f>
        <v>363525</v>
      </c>
      <c r="CW59" s="844">
        <f t="shared" si="485"/>
        <v>443521</v>
      </c>
      <c r="CX59" s="844">
        <f t="shared" si="485"/>
        <v>339631</v>
      </c>
      <c r="CY59" s="824">
        <f t="shared" si="72"/>
        <v>-6.6</v>
      </c>
      <c r="CZ59" s="844">
        <f t="shared" si="450"/>
        <v>351787</v>
      </c>
      <c r="DA59" s="824">
        <f t="shared" si="38"/>
        <v>-20.7</v>
      </c>
      <c r="DB59" s="844">
        <f t="shared" si="451"/>
        <v>2984435</v>
      </c>
      <c r="DC59" s="844">
        <f t="shared" si="451"/>
        <v>3755825</v>
      </c>
      <c r="DD59" s="844">
        <f t="shared" si="451"/>
        <v>2695193</v>
      </c>
      <c r="DE59" s="824">
        <f t="shared" si="39"/>
        <v>-9.6999999999999993</v>
      </c>
      <c r="DF59" s="844">
        <f t="shared" si="452"/>
        <v>3109894</v>
      </c>
      <c r="DG59" s="824">
        <f t="shared" si="40"/>
        <v>-17.2</v>
      </c>
      <c r="DH59" s="844">
        <f t="shared" si="453"/>
        <v>296299</v>
      </c>
      <c r="DI59" s="844">
        <f t="shared" si="453"/>
        <v>433565</v>
      </c>
      <c r="DJ59" s="844">
        <f t="shared" si="453"/>
        <v>422250</v>
      </c>
      <c r="DK59" s="824">
        <f t="shared" si="75"/>
        <v>42.5</v>
      </c>
      <c r="DL59" s="844">
        <f t="shared" si="454"/>
        <v>429032</v>
      </c>
      <c r="DM59" s="824">
        <f t="shared" si="41"/>
        <v>-1</v>
      </c>
      <c r="DN59" s="844">
        <f t="shared" si="455"/>
        <v>3280734</v>
      </c>
      <c r="DO59" s="844">
        <f t="shared" si="455"/>
        <v>4189390</v>
      </c>
      <c r="DP59" s="844">
        <f t="shared" si="455"/>
        <v>3117443</v>
      </c>
      <c r="DQ59" s="824">
        <f t="shared" si="42"/>
        <v>-5</v>
      </c>
      <c r="DR59" s="844">
        <f t="shared" si="456"/>
        <v>3538926</v>
      </c>
      <c r="DS59" s="824">
        <f t="shared" si="43"/>
        <v>-15.5</v>
      </c>
      <c r="DT59" s="844">
        <f t="shared" si="457"/>
        <v>378205</v>
      </c>
      <c r="DU59" s="844">
        <f t="shared" si="457"/>
        <v>452656</v>
      </c>
      <c r="DV59" s="844">
        <f t="shared" si="457"/>
        <v>435051</v>
      </c>
      <c r="DW59" s="824">
        <f t="shared" si="78"/>
        <v>15</v>
      </c>
      <c r="DX59" s="844">
        <f t="shared" si="458"/>
        <v>454199</v>
      </c>
      <c r="DY59" s="824">
        <f t="shared" si="44"/>
        <v>0.3</v>
      </c>
      <c r="DZ59" s="844">
        <f t="shared" si="459"/>
        <v>3658939</v>
      </c>
      <c r="EA59" s="844">
        <f t="shared" si="459"/>
        <v>4642046</v>
      </c>
      <c r="EB59" s="844">
        <f t="shared" si="459"/>
        <v>3552494</v>
      </c>
      <c r="EC59" s="824">
        <f t="shared" si="45"/>
        <v>-2.9</v>
      </c>
      <c r="ED59" s="844">
        <f t="shared" si="460"/>
        <v>3993125</v>
      </c>
      <c r="EE59" s="824">
        <f t="shared" si="46"/>
        <v>-14</v>
      </c>
      <c r="EF59" s="844">
        <f t="shared" si="461"/>
        <v>343538</v>
      </c>
      <c r="EG59" s="844">
        <f t="shared" si="461"/>
        <v>458329</v>
      </c>
      <c r="EH59" s="844">
        <f t="shared" si="461"/>
        <v>471141</v>
      </c>
      <c r="EI59" s="824">
        <f t="shared" si="81"/>
        <v>37.1</v>
      </c>
      <c r="EJ59" s="844">
        <f t="shared" si="462"/>
        <v>477556</v>
      </c>
      <c r="EK59" s="824">
        <f t="shared" si="47"/>
        <v>4.2</v>
      </c>
      <c r="EL59" s="844">
        <f t="shared" si="463"/>
        <v>4002477</v>
      </c>
      <c r="EM59" s="844">
        <f t="shared" si="463"/>
        <v>5100375</v>
      </c>
      <c r="EN59" s="844">
        <f t="shared" si="463"/>
        <v>4023635</v>
      </c>
      <c r="EO59" s="824">
        <f t="shared" si="48"/>
        <v>0.5</v>
      </c>
      <c r="EP59" s="844">
        <f t="shared" si="464"/>
        <v>4470681</v>
      </c>
      <c r="EQ59" s="824">
        <f t="shared" si="49"/>
        <v>-12.3</v>
      </c>
    </row>
    <row r="60" spans="1:147" ht="21.75" customHeight="1">
      <c r="A60" s="1129"/>
      <c r="B60" s="1133" t="s">
        <v>274</v>
      </c>
      <c r="C60" s="118" t="s">
        <v>271</v>
      </c>
      <c r="D60" s="119">
        <f t="shared" si="419"/>
        <v>976814</v>
      </c>
      <c r="E60" s="119">
        <f t="shared" si="419"/>
        <v>553729</v>
      </c>
      <c r="F60" s="119">
        <f t="shared" si="419"/>
        <v>943765</v>
      </c>
      <c r="G60" s="119">
        <f t="shared" si="419"/>
        <v>463518</v>
      </c>
      <c r="H60" s="119">
        <f t="shared" si="419"/>
        <v>987822</v>
      </c>
      <c r="I60" s="119">
        <f t="shared" si="419"/>
        <v>587427</v>
      </c>
      <c r="J60" s="119">
        <f t="shared" si="419"/>
        <v>1060606</v>
      </c>
      <c r="K60" s="119">
        <f t="shared" si="419"/>
        <v>608839</v>
      </c>
      <c r="L60" s="119">
        <f t="shared" si="419"/>
        <v>1091432</v>
      </c>
      <c r="M60" s="119">
        <f t="shared" si="419"/>
        <v>696069</v>
      </c>
      <c r="N60" s="119">
        <f t="shared" si="419"/>
        <v>1042672</v>
      </c>
      <c r="O60" s="119">
        <f t="shared" si="419"/>
        <v>711685.90599999996</v>
      </c>
      <c r="P60" s="119">
        <f t="shared" si="419"/>
        <v>1119674</v>
      </c>
      <c r="Q60" s="119">
        <f t="shared" si="419"/>
        <v>751432</v>
      </c>
      <c r="R60" s="296">
        <f t="shared" si="419"/>
        <v>1192835</v>
      </c>
      <c r="S60" s="296">
        <f t="shared" si="420"/>
        <v>892979</v>
      </c>
      <c r="T60" s="296">
        <f t="shared" si="420"/>
        <v>1209067</v>
      </c>
      <c r="U60" s="296">
        <f t="shared" si="421"/>
        <v>844456</v>
      </c>
      <c r="V60" s="296">
        <f t="shared" si="422"/>
        <v>109735</v>
      </c>
      <c r="W60" s="296">
        <f t="shared" si="422"/>
        <v>88122</v>
      </c>
      <c r="X60" s="296">
        <f t="shared" si="422"/>
        <v>97184</v>
      </c>
      <c r="Y60" s="120">
        <f t="shared" si="18"/>
        <v>-11.4</v>
      </c>
      <c r="Z60" s="296">
        <f t="shared" si="423"/>
        <v>67064</v>
      </c>
      <c r="AA60" s="120">
        <f t="shared" si="19"/>
        <v>-23.9</v>
      </c>
      <c r="AB60" s="296">
        <f t="shared" si="424"/>
        <v>91714</v>
      </c>
      <c r="AC60" s="296">
        <f t="shared" si="424"/>
        <v>59305</v>
      </c>
      <c r="AD60" s="296">
        <f t="shared" si="424"/>
        <v>98979</v>
      </c>
      <c r="AE60" s="120">
        <f t="shared" si="54"/>
        <v>7.9</v>
      </c>
      <c r="AF60" s="296">
        <f t="shared" si="425"/>
        <v>50788</v>
      </c>
      <c r="AG60" s="120">
        <f t="shared" si="20"/>
        <v>-14.4</v>
      </c>
      <c r="AH60" s="296">
        <f t="shared" si="426"/>
        <v>201449</v>
      </c>
      <c r="AI60" s="296">
        <f t="shared" si="426"/>
        <v>147427</v>
      </c>
      <c r="AJ60" s="296">
        <f t="shared" si="426"/>
        <v>196163</v>
      </c>
      <c r="AK60" s="120">
        <f t="shared" si="21"/>
        <v>-2.6</v>
      </c>
      <c r="AL60" s="296">
        <f t="shared" si="427"/>
        <v>117852</v>
      </c>
      <c r="AM60" s="120">
        <f t="shared" si="22"/>
        <v>-20.100000000000001</v>
      </c>
      <c r="AN60" s="296">
        <f t="shared" si="428"/>
        <v>101278</v>
      </c>
      <c r="AO60" s="296">
        <f t="shared" si="428"/>
        <v>87145</v>
      </c>
      <c r="AP60" s="296">
        <f t="shared" si="428"/>
        <v>113949</v>
      </c>
      <c r="AQ60" s="120">
        <f t="shared" si="57"/>
        <v>12.5</v>
      </c>
      <c r="AR60" s="296">
        <f t="shared" si="429"/>
        <v>78313</v>
      </c>
      <c r="AS60" s="120">
        <f t="shared" si="23"/>
        <v>-10.1</v>
      </c>
      <c r="AT60" s="296">
        <f t="shared" si="430"/>
        <v>302727</v>
      </c>
      <c r="AU60" s="296">
        <f t="shared" si="430"/>
        <v>234572</v>
      </c>
      <c r="AV60" s="296">
        <f t="shared" si="430"/>
        <v>310112</v>
      </c>
      <c r="AW60" s="120">
        <f t="shared" si="24"/>
        <v>2.4</v>
      </c>
      <c r="AX60" s="296">
        <f t="shared" si="431"/>
        <v>196165</v>
      </c>
      <c r="AY60" s="120">
        <f t="shared" si="25"/>
        <v>-16.399999999999999</v>
      </c>
      <c r="AZ60" s="296">
        <f t="shared" ref="AZ60:BB60" si="486">SUM(AZ12+AZ20+AZ28+AZ36+AZ44+AZ52)</f>
        <v>110292</v>
      </c>
      <c r="BA60" s="296">
        <f t="shared" si="486"/>
        <v>86818</v>
      </c>
      <c r="BB60" s="296">
        <f t="shared" si="486"/>
        <v>100201</v>
      </c>
      <c r="BC60" s="120">
        <f t="shared" si="60"/>
        <v>-9.1</v>
      </c>
      <c r="BD60" s="296">
        <f t="shared" si="433"/>
        <v>72523</v>
      </c>
      <c r="BE60" s="120">
        <f t="shared" si="26"/>
        <v>-16.5</v>
      </c>
      <c r="BF60" s="296">
        <f t="shared" ref="BF60:BH60" si="487">SUM(BF12+BF20+BF28+BF36+BF44+BF52)</f>
        <v>413019</v>
      </c>
      <c r="BG60" s="296">
        <f t="shared" si="487"/>
        <v>321390</v>
      </c>
      <c r="BH60" s="296">
        <f t="shared" si="487"/>
        <v>410313</v>
      </c>
      <c r="BI60" s="120">
        <f t="shared" si="27"/>
        <v>-0.7</v>
      </c>
      <c r="BJ60" s="296">
        <f t="shared" si="435"/>
        <v>268688</v>
      </c>
      <c r="BK60" s="120">
        <f t="shared" si="28"/>
        <v>-16.399999999999999</v>
      </c>
      <c r="BL60" s="296">
        <f t="shared" si="436"/>
        <v>105985</v>
      </c>
      <c r="BM60" s="296">
        <f t="shared" si="436"/>
        <v>76208</v>
      </c>
      <c r="BN60" s="296">
        <f t="shared" si="436"/>
        <v>86839</v>
      </c>
      <c r="BO60" s="120">
        <f t="shared" si="63"/>
        <v>-18.100000000000001</v>
      </c>
      <c r="BP60" s="296">
        <f t="shared" si="437"/>
        <v>64829</v>
      </c>
      <c r="BQ60" s="120">
        <f t="shared" si="29"/>
        <v>-14.9</v>
      </c>
      <c r="BR60" s="296">
        <f t="shared" si="438"/>
        <v>519004</v>
      </c>
      <c r="BS60" s="296">
        <f t="shared" si="438"/>
        <v>397598</v>
      </c>
      <c r="BT60" s="296">
        <f t="shared" si="438"/>
        <v>497152</v>
      </c>
      <c r="BU60" s="120">
        <f t="shared" si="30"/>
        <v>-4.2</v>
      </c>
      <c r="BV60" s="296">
        <f t="shared" si="439"/>
        <v>333517</v>
      </c>
      <c r="BW60" s="120">
        <f t="shared" si="31"/>
        <v>-16.100000000000001</v>
      </c>
      <c r="BX60" s="821">
        <f t="shared" ref="BX60:BZ60" si="488">SUM(BX12+BX20+BX28+BX36+BX44+BX52)</f>
        <v>93126</v>
      </c>
      <c r="BY60" s="821">
        <f t="shared" si="488"/>
        <v>63977</v>
      </c>
      <c r="BZ60" s="821">
        <f t="shared" si="488"/>
        <v>92737</v>
      </c>
      <c r="CA60" s="822">
        <f t="shared" si="66"/>
        <v>-0.4</v>
      </c>
      <c r="CB60" s="821">
        <f t="shared" si="441"/>
        <v>62335</v>
      </c>
      <c r="CC60" s="822">
        <f t="shared" si="32"/>
        <v>-2.6</v>
      </c>
      <c r="CD60" s="840">
        <f t="shared" ref="CD60:CF60" si="489">SUM(CD12+CD20+CD28+CD36+CD44+CD52)</f>
        <v>612130</v>
      </c>
      <c r="CE60" s="840">
        <f t="shared" si="489"/>
        <v>461575</v>
      </c>
      <c r="CF60" s="840">
        <f t="shared" si="489"/>
        <v>589889</v>
      </c>
      <c r="CG60" s="822">
        <f t="shared" si="33"/>
        <v>-3.6</v>
      </c>
      <c r="CH60" s="840">
        <f t="shared" si="443"/>
        <v>395852</v>
      </c>
      <c r="CI60" s="822">
        <f t="shared" si="34"/>
        <v>-14.2</v>
      </c>
      <c r="CJ60" s="840">
        <f t="shared" ref="CJ60:CL60" si="490">SUM(CJ12+CJ20+CJ28+CJ36+CJ44+CJ52)</f>
        <v>97220</v>
      </c>
      <c r="CK60" s="840">
        <f t="shared" si="490"/>
        <v>68317</v>
      </c>
      <c r="CL60" s="840">
        <f t="shared" si="490"/>
        <v>103474</v>
      </c>
      <c r="CM60" s="822">
        <f t="shared" si="69"/>
        <v>6.4</v>
      </c>
      <c r="CN60" s="840">
        <f t="shared" si="445"/>
        <v>67648</v>
      </c>
      <c r="CO60" s="822">
        <f t="shared" si="35"/>
        <v>-1</v>
      </c>
      <c r="CP60" s="840">
        <f t="shared" ref="CP60:CR60" si="491">SUM(CP12+CP20+CP28+CP36+CP44+CP52)</f>
        <v>709350</v>
      </c>
      <c r="CQ60" s="840">
        <f t="shared" si="491"/>
        <v>529892</v>
      </c>
      <c r="CR60" s="840">
        <f t="shared" si="491"/>
        <v>693363</v>
      </c>
      <c r="CS60" s="822">
        <f t="shared" si="447"/>
        <v>-2.2999999999999998</v>
      </c>
      <c r="CT60" s="840">
        <f t="shared" si="448"/>
        <v>463500</v>
      </c>
      <c r="CU60" s="822">
        <f t="shared" si="37"/>
        <v>-12.5</v>
      </c>
      <c r="CV60" s="840">
        <f t="shared" ref="CV60:CX60" si="492">SUM(CV12+CV20+CV28+CV36+CV44+CV52)</f>
        <v>93188</v>
      </c>
      <c r="CW60" s="840">
        <f t="shared" si="492"/>
        <v>67383</v>
      </c>
      <c r="CX60" s="840">
        <f t="shared" si="492"/>
        <v>91618</v>
      </c>
      <c r="CY60" s="822">
        <f t="shared" si="72"/>
        <v>-1.7</v>
      </c>
      <c r="CZ60" s="840">
        <f t="shared" si="450"/>
        <v>60113</v>
      </c>
      <c r="DA60" s="822">
        <f t="shared" si="38"/>
        <v>-10.8</v>
      </c>
      <c r="DB60" s="840">
        <f t="shared" si="451"/>
        <v>802538</v>
      </c>
      <c r="DC60" s="840">
        <f t="shared" si="451"/>
        <v>597275</v>
      </c>
      <c r="DD60" s="840">
        <f t="shared" si="451"/>
        <v>784981</v>
      </c>
      <c r="DE60" s="822">
        <f t="shared" si="39"/>
        <v>-2.2000000000000002</v>
      </c>
      <c r="DF60" s="840">
        <f t="shared" si="452"/>
        <v>523613</v>
      </c>
      <c r="DG60" s="822">
        <f t="shared" si="40"/>
        <v>-12.3</v>
      </c>
      <c r="DH60" s="840">
        <f t="shared" si="453"/>
        <v>98186</v>
      </c>
      <c r="DI60" s="840">
        <f t="shared" si="453"/>
        <v>58752</v>
      </c>
      <c r="DJ60" s="840">
        <f t="shared" si="453"/>
        <v>104283</v>
      </c>
      <c r="DK60" s="822">
        <f t="shared" si="75"/>
        <v>6.2</v>
      </c>
      <c r="DL60" s="840">
        <f t="shared" si="454"/>
        <v>63472</v>
      </c>
      <c r="DM60" s="822">
        <f t="shared" si="41"/>
        <v>8</v>
      </c>
      <c r="DN60" s="840">
        <f t="shared" si="455"/>
        <v>900724</v>
      </c>
      <c r="DO60" s="840">
        <f t="shared" si="455"/>
        <v>656027</v>
      </c>
      <c r="DP60" s="840">
        <f t="shared" si="455"/>
        <v>889264</v>
      </c>
      <c r="DQ60" s="822">
        <f t="shared" si="42"/>
        <v>-1.3</v>
      </c>
      <c r="DR60" s="840">
        <f t="shared" si="456"/>
        <v>587085</v>
      </c>
      <c r="DS60" s="822">
        <f t="shared" si="43"/>
        <v>-10.5</v>
      </c>
      <c r="DT60" s="840">
        <f t="shared" si="457"/>
        <v>106523</v>
      </c>
      <c r="DU60" s="840">
        <f t="shared" si="457"/>
        <v>63627</v>
      </c>
      <c r="DV60" s="840">
        <f t="shared" si="457"/>
        <v>101481</v>
      </c>
      <c r="DW60" s="822">
        <f t="shared" si="78"/>
        <v>-4.7</v>
      </c>
      <c r="DX60" s="840">
        <f t="shared" si="458"/>
        <v>59935</v>
      </c>
      <c r="DY60" s="822">
        <f t="shared" si="44"/>
        <v>-5.8</v>
      </c>
      <c r="DZ60" s="840">
        <f t="shared" si="459"/>
        <v>1007247</v>
      </c>
      <c r="EA60" s="840">
        <f t="shared" si="459"/>
        <v>719654</v>
      </c>
      <c r="EB60" s="840">
        <f t="shared" si="459"/>
        <v>990745</v>
      </c>
      <c r="EC60" s="822">
        <f t="shared" si="45"/>
        <v>-1.6</v>
      </c>
      <c r="ED60" s="840">
        <f t="shared" si="460"/>
        <v>647020</v>
      </c>
      <c r="EE60" s="822">
        <f t="shared" si="46"/>
        <v>-10.1</v>
      </c>
      <c r="EF60" s="840">
        <f t="shared" si="461"/>
        <v>95295</v>
      </c>
      <c r="EG60" s="840">
        <f t="shared" si="461"/>
        <v>60691</v>
      </c>
      <c r="EH60" s="840">
        <f t="shared" si="461"/>
        <v>103207</v>
      </c>
      <c r="EI60" s="822">
        <f t="shared" si="81"/>
        <v>8.3000000000000007</v>
      </c>
      <c r="EJ60" s="840">
        <f t="shared" si="462"/>
        <v>65544</v>
      </c>
      <c r="EK60" s="822">
        <f t="shared" si="47"/>
        <v>8</v>
      </c>
      <c r="EL60" s="840">
        <f t="shared" si="463"/>
        <v>1102542</v>
      </c>
      <c r="EM60" s="840">
        <f t="shared" si="463"/>
        <v>780345</v>
      </c>
      <c r="EN60" s="840">
        <f t="shared" si="463"/>
        <v>1093952</v>
      </c>
      <c r="EO60" s="822">
        <f t="shared" si="48"/>
        <v>-0.8</v>
      </c>
      <c r="EP60" s="840">
        <f t="shared" si="464"/>
        <v>712564</v>
      </c>
      <c r="EQ60" s="822">
        <f t="shared" si="49"/>
        <v>-8.6999999999999993</v>
      </c>
    </row>
    <row r="61" spans="1:147" ht="21.75" customHeight="1">
      <c r="A61" s="1129"/>
      <c r="B61" s="1129"/>
      <c r="C61" s="121" t="s">
        <v>272</v>
      </c>
      <c r="D61" s="122">
        <f t="shared" si="419"/>
        <v>6103533</v>
      </c>
      <c r="E61" s="122">
        <f t="shared" si="419"/>
        <v>4680378</v>
      </c>
      <c r="F61" s="122">
        <f t="shared" si="419"/>
        <v>5314424</v>
      </c>
      <c r="G61" s="122">
        <f t="shared" si="419"/>
        <v>4138536</v>
      </c>
      <c r="H61" s="122">
        <f t="shared" si="419"/>
        <v>5412379</v>
      </c>
      <c r="I61" s="122">
        <f t="shared" si="419"/>
        <v>4402175</v>
      </c>
      <c r="J61" s="122">
        <f t="shared" si="419"/>
        <v>5646984</v>
      </c>
      <c r="K61" s="122">
        <f t="shared" si="419"/>
        <v>4340378</v>
      </c>
      <c r="L61" s="122">
        <f t="shared" si="419"/>
        <v>5220115</v>
      </c>
      <c r="M61" s="122">
        <f t="shared" si="419"/>
        <v>4159011</v>
      </c>
      <c r="N61" s="122">
        <f t="shared" si="419"/>
        <v>4728902</v>
      </c>
      <c r="O61" s="122">
        <f t="shared" si="419"/>
        <v>4197005</v>
      </c>
      <c r="P61" s="122">
        <f t="shared" si="419"/>
        <v>5665222</v>
      </c>
      <c r="Q61" s="122">
        <f t="shared" si="419"/>
        <v>4578398</v>
      </c>
      <c r="R61" s="297">
        <f t="shared" si="419"/>
        <v>6481891</v>
      </c>
      <c r="S61" s="297">
        <f t="shared" si="420"/>
        <v>5124190</v>
      </c>
      <c r="T61" s="297">
        <f t="shared" si="420"/>
        <v>6120585</v>
      </c>
      <c r="U61" s="297">
        <f t="shared" si="421"/>
        <v>4887301</v>
      </c>
      <c r="V61" s="297">
        <f t="shared" si="422"/>
        <v>553124</v>
      </c>
      <c r="W61" s="297">
        <f t="shared" si="422"/>
        <v>474525</v>
      </c>
      <c r="X61" s="297">
        <f t="shared" si="422"/>
        <v>488118</v>
      </c>
      <c r="Y61" s="123">
        <f t="shared" si="18"/>
        <v>-11.8</v>
      </c>
      <c r="Z61" s="297">
        <f t="shared" si="423"/>
        <v>389216</v>
      </c>
      <c r="AA61" s="123">
        <f t="shared" si="19"/>
        <v>-18</v>
      </c>
      <c r="AB61" s="297">
        <f t="shared" si="424"/>
        <v>457723</v>
      </c>
      <c r="AC61" s="297">
        <f t="shared" si="424"/>
        <v>333665</v>
      </c>
      <c r="AD61" s="297">
        <f t="shared" si="424"/>
        <v>485020</v>
      </c>
      <c r="AE61" s="123">
        <f t="shared" si="54"/>
        <v>6</v>
      </c>
      <c r="AF61" s="297">
        <f t="shared" si="425"/>
        <v>336228</v>
      </c>
      <c r="AG61" s="123">
        <f t="shared" si="20"/>
        <v>0.8</v>
      </c>
      <c r="AH61" s="297">
        <f t="shared" si="426"/>
        <v>1010847</v>
      </c>
      <c r="AI61" s="297">
        <f t="shared" si="426"/>
        <v>808190</v>
      </c>
      <c r="AJ61" s="297">
        <f t="shared" si="426"/>
        <v>973138</v>
      </c>
      <c r="AK61" s="123">
        <f t="shared" si="21"/>
        <v>-3.7</v>
      </c>
      <c r="AL61" s="297">
        <f t="shared" si="427"/>
        <v>725444</v>
      </c>
      <c r="AM61" s="123">
        <f t="shared" si="22"/>
        <v>-10.199999999999999</v>
      </c>
      <c r="AN61" s="297">
        <f t="shared" si="428"/>
        <v>514014</v>
      </c>
      <c r="AO61" s="297">
        <f t="shared" si="428"/>
        <v>463329</v>
      </c>
      <c r="AP61" s="297">
        <f t="shared" si="428"/>
        <v>567243</v>
      </c>
      <c r="AQ61" s="123">
        <f t="shared" si="57"/>
        <v>10.4</v>
      </c>
      <c r="AR61" s="297">
        <f t="shared" si="429"/>
        <v>463325</v>
      </c>
      <c r="AS61" s="123">
        <f t="shared" si="23"/>
        <v>0</v>
      </c>
      <c r="AT61" s="297">
        <f t="shared" si="430"/>
        <v>1524861</v>
      </c>
      <c r="AU61" s="297">
        <f t="shared" si="430"/>
        <v>1271519</v>
      </c>
      <c r="AV61" s="297">
        <f t="shared" si="430"/>
        <v>1540381</v>
      </c>
      <c r="AW61" s="123">
        <f t="shared" si="24"/>
        <v>1</v>
      </c>
      <c r="AX61" s="297">
        <f t="shared" si="431"/>
        <v>1188769</v>
      </c>
      <c r="AY61" s="123">
        <f t="shared" si="25"/>
        <v>-6.5</v>
      </c>
      <c r="AZ61" s="297">
        <f t="shared" ref="AZ61:BB61" si="493">SUM(AZ13+AZ21+AZ29+AZ37+AZ45+AZ53)</f>
        <v>556269</v>
      </c>
      <c r="BA61" s="297">
        <f t="shared" si="493"/>
        <v>478342</v>
      </c>
      <c r="BB61" s="297">
        <f t="shared" si="493"/>
        <v>466969</v>
      </c>
      <c r="BC61" s="123">
        <f t="shared" si="60"/>
        <v>-16.100000000000001</v>
      </c>
      <c r="BD61" s="297">
        <f t="shared" si="433"/>
        <v>395565</v>
      </c>
      <c r="BE61" s="123">
        <f t="shared" si="26"/>
        <v>-17.3</v>
      </c>
      <c r="BF61" s="297">
        <f t="shared" ref="BF61:BH61" si="494">SUM(BF13+BF21+BF29+BF37+BF45+BF53)</f>
        <v>2081130</v>
      </c>
      <c r="BG61" s="297">
        <f t="shared" si="494"/>
        <v>1749861</v>
      </c>
      <c r="BH61" s="297">
        <f t="shared" si="494"/>
        <v>2007350</v>
      </c>
      <c r="BI61" s="123">
        <f t="shared" si="27"/>
        <v>-3.5</v>
      </c>
      <c r="BJ61" s="297">
        <f t="shared" si="435"/>
        <v>1584334</v>
      </c>
      <c r="BK61" s="123">
        <f t="shared" si="28"/>
        <v>-9.5</v>
      </c>
      <c r="BL61" s="297">
        <f t="shared" si="436"/>
        <v>546455</v>
      </c>
      <c r="BM61" s="297">
        <f t="shared" si="436"/>
        <v>442036</v>
      </c>
      <c r="BN61" s="297">
        <f t="shared" si="436"/>
        <v>402868</v>
      </c>
      <c r="BO61" s="123">
        <f t="shared" si="63"/>
        <v>-26.3</v>
      </c>
      <c r="BP61" s="297">
        <f t="shared" si="437"/>
        <v>358118</v>
      </c>
      <c r="BQ61" s="123">
        <f t="shared" si="29"/>
        <v>-19</v>
      </c>
      <c r="BR61" s="297">
        <f t="shared" si="438"/>
        <v>2627585</v>
      </c>
      <c r="BS61" s="297">
        <f t="shared" si="438"/>
        <v>2191897</v>
      </c>
      <c r="BT61" s="297">
        <f t="shared" si="438"/>
        <v>2410218</v>
      </c>
      <c r="BU61" s="123">
        <f t="shared" si="30"/>
        <v>-8.3000000000000007</v>
      </c>
      <c r="BV61" s="297">
        <f t="shared" si="439"/>
        <v>1942452</v>
      </c>
      <c r="BW61" s="123">
        <f t="shared" si="31"/>
        <v>-11.4</v>
      </c>
      <c r="BX61" s="823">
        <f t="shared" ref="BX61:BZ61" si="495">SUM(BX13+BX21+BX29+BX37+BX45+BX53)</f>
        <v>475667</v>
      </c>
      <c r="BY61" s="823">
        <f t="shared" si="495"/>
        <v>370226</v>
      </c>
      <c r="BZ61" s="823">
        <f t="shared" si="495"/>
        <v>435460</v>
      </c>
      <c r="CA61" s="824">
        <f t="shared" si="66"/>
        <v>-8.5</v>
      </c>
      <c r="CB61" s="823">
        <f t="shared" si="441"/>
        <v>370900</v>
      </c>
      <c r="CC61" s="824">
        <f t="shared" si="32"/>
        <v>0.2</v>
      </c>
      <c r="CD61" s="844">
        <f t="shared" ref="CD61:CF61" si="496">SUM(CD13+CD21+CD29+CD37+CD45+CD53)</f>
        <v>3103252</v>
      </c>
      <c r="CE61" s="844">
        <f t="shared" si="496"/>
        <v>2562123</v>
      </c>
      <c r="CF61" s="844">
        <f t="shared" si="496"/>
        <v>2845678</v>
      </c>
      <c r="CG61" s="824">
        <f t="shared" si="33"/>
        <v>-8.3000000000000007</v>
      </c>
      <c r="CH61" s="844">
        <f t="shared" si="443"/>
        <v>2313352</v>
      </c>
      <c r="CI61" s="824">
        <f t="shared" si="34"/>
        <v>-9.6999999999999993</v>
      </c>
      <c r="CJ61" s="844">
        <f t="shared" ref="CJ61:CL61" si="497">SUM(CJ13+CJ21+CJ29+CJ37+CJ45+CJ53)</f>
        <v>518524</v>
      </c>
      <c r="CK61" s="844">
        <f t="shared" si="497"/>
        <v>412429</v>
      </c>
      <c r="CL61" s="844">
        <f t="shared" si="497"/>
        <v>506651</v>
      </c>
      <c r="CM61" s="824">
        <f t="shared" si="69"/>
        <v>-2.2999999999999998</v>
      </c>
      <c r="CN61" s="844">
        <f t="shared" si="445"/>
        <v>384993</v>
      </c>
      <c r="CO61" s="824">
        <f t="shared" si="35"/>
        <v>-6.7</v>
      </c>
      <c r="CP61" s="844">
        <f t="shared" ref="CP61:CR61" si="498">SUM(CP13+CP21+CP29+CP37+CP45+CP53)</f>
        <v>3621776</v>
      </c>
      <c r="CQ61" s="844">
        <f t="shared" si="498"/>
        <v>2974552</v>
      </c>
      <c r="CR61" s="844">
        <f t="shared" si="498"/>
        <v>3352329</v>
      </c>
      <c r="CS61" s="824">
        <f t="shared" si="447"/>
        <v>-7.4</v>
      </c>
      <c r="CT61" s="844">
        <f t="shared" si="448"/>
        <v>2698345</v>
      </c>
      <c r="CU61" s="824">
        <f t="shared" si="37"/>
        <v>-9.3000000000000007</v>
      </c>
      <c r="CV61" s="844">
        <f t="shared" ref="CV61:CX61" si="499">SUM(CV13+CV21+CV29+CV37+CV45+CV53)</f>
        <v>474917</v>
      </c>
      <c r="CW61" s="844">
        <f t="shared" si="499"/>
        <v>408438</v>
      </c>
      <c r="CX61" s="844">
        <f t="shared" si="499"/>
        <v>455610</v>
      </c>
      <c r="CY61" s="824">
        <f t="shared" si="72"/>
        <v>-4.0999999999999996</v>
      </c>
      <c r="CZ61" s="844">
        <f t="shared" si="450"/>
        <v>367956</v>
      </c>
      <c r="DA61" s="824">
        <f t="shared" si="38"/>
        <v>-9.9</v>
      </c>
      <c r="DB61" s="844">
        <f t="shared" si="451"/>
        <v>4096693</v>
      </c>
      <c r="DC61" s="844">
        <f t="shared" si="451"/>
        <v>3382990</v>
      </c>
      <c r="DD61" s="844">
        <f t="shared" si="451"/>
        <v>3807939</v>
      </c>
      <c r="DE61" s="824">
        <f t="shared" si="39"/>
        <v>-7</v>
      </c>
      <c r="DF61" s="844">
        <f t="shared" si="452"/>
        <v>3066301</v>
      </c>
      <c r="DG61" s="824">
        <f t="shared" si="40"/>
        <v>-9.4</v>
      </c>
      <c r="DH61" s="844">
        <f t="shared" si="453"/>
        <v>492179</v>
      </c>
      <c r="DI61" s="844">
        <f t="shared" si="453"/>
        <v>364650</v>
      </c>
      <c r="DJ61" s="844">
        <f t="shared" si="453"/>
        <v>555383</v>
      </c>
      <c r="DK61" s="824">
        <f t="shared" si="75"/>
        <v>12.8</v>
      </c>
      <c r="DL61" s="844">
        <f t="shared" si="454"/>
        <v>408162</v>
      </c>
      <c r="DM61" s="824">
        <f t="shared" si="41"/>
        <v>11.9</v>
      </c>
      <c r="DN61" s="844">
        <f t="shared" si="455"/>
        <v>4588872</v>
      </c>
      <c r="DO61" s="844">
        <f t="shared" si="455"/>
        <v>3747640</v>
      </c>
      <c r="DP61" s="844">
        <f t="shared" si="455"/>
        <v>4363322</v>
      </c>
      <c r="DQ61" s="824">
        <f t="shared" si="42"/>
        <v>-4.9000000000000004</v>
      </c>
      <c r="DR61" s="844">
        <f t="shared" si="456"/>
        <v>3474463</v>
      </c>
      <c r="DS61" s="824">
        <f t="shared" si="43"/>
        <v>-7.3</v>
      </c>
      <c r="DT61" s="844">
        <f t="shared" si="457"/>
        <v>529363</v>
      </c>
      <c r="DU61" s="844">
        <f t="shared" si="457"/>
        <v>377632</v>
      </c>
      <c r="DV61" s="844">
        <f t="shared" si="457"/>
        <v>536332</v>
      </c>
      <c r="DW61" s="824">
        <f t="shared" si="78"/>
        <v>1.3</v>
      </c>
      <c r="DX61" s="844">
        <f t="shared" si="458"/>
        <v>363106</v>
      </c>
      <c r="DY61" s="824">
        <f t="shared" si="44"/>
        <v>-3.8</v>
      </c>
      <c r="DZ61" s="844">
        <f t="shared" si="459"/>
        <v>5118235</v>
      </c>
      <c r="EA61" s="844">
        <f t="shared" si="459"/>
        <v>4125272</v>
      </c>
      <c r="EB61" s="844">
        <f t="shared" si="459"/>
        <v>4899654</v>
      </c>
      <c r="EC61" s="824">
        <f t="shared" si="45"/>
        <v>-4.3</v>
      </c>
      <c r="ED61" s="844">
        <f t="shared" si="460"/>
        <v>3837569</v>
      </c>
      <c r="EE61" s="824">
        <f t="shared" si="46"/>
        <v>-7</v>
      </c>
      <c r="EF61" s="844">
        <f t="shared" si="461"/>
        <v>487129</v>
      </c>
      <c r="EG61" s="844">
        <f t="shared" si="461"/>
        <v>372913</v>
      </c>
      <c r="EH61" s="844">
        <f t="shared" si="461"/>
        <v>580545</v>
      </c>
      <c r="EI61" s="824">
        <f t="shared" si="81"/>
        <v>19.2</v>
      </c>
      <c r="EJ61" s="844">
        <f t="shared" si="462"/>
        <v>406836</v>
      </c>
      <c r="EK61" s="824">
        <f t="shared" si="47"/>
        <v>9.1</v>
      </c>
      <c r="EL61" s="844">
        <f t="shared" si="463"/>
        <v>5605364</v>
      </c>
      <c r="EM61" s="844">
        <f t="shared" si="463"/>
        <v>4498185</v>
      </c>
      <c r="EN61" s="844">
        <f t="shared" si="463"/>
        <v>5480199</v>
      </c>
      <c r="EO61" s="824">
        <f t="shared" si="48"/>
        <v>-2.2000000000000002</v>
      </c>
      <c r="EP61" s="844">
        <f t="shared" si="464"/>
        <v>4244405</v>
      </c>
      <c r="EQ61" s="824">
        <f t="shared" si="49"/>
        <v>-5.6</v>
      </c>
    </row>
    <row r="62" spans="1:147" ht="21.75" customHeight="1">
      <c r="A62" s="1129"/>
      <c r="B62" s="1134" t="s">
        <v>275</v>
      </c>
      <c r="C62" s="124" t="s">
        <v>271</v>
      </c>
      <c r="D62" s="125">
        <f t="shared" ref="D62:M62" si="500">SUM(D56+D58+D60)</f>
        <v>1920643</v>
      </c>
      <c r="E62" s="125">
        <f t="shared" si="500"/>
        <v>3354946</v>
      </c>
      <c r="F62" s="125">
        <f t="shared" si="500"/>
        <v>2007757</v>
      </c>
      <c r="G62" s="125">
        <f t="shared" si="500"/>
        <v>3404607</v>
      </c>
      <c r="H62" s="125">
        <f t="shared" si="500"/>
        <v>2074421</v>
      </c>
      <c r="I62" s="125">
        <f t="shared" si="500"/>
        <v>3627762</v>
      </c>
      <c r="J62" s="125">
        <f t="shared" si="500"/>
        <v>2162633</v>
      </c>
      <c r="K62" s="125">
        <f t="shared" si="500"/>
        <v>3840559</v>
      </c>
      <c r="L62" s="125">
        <f t="shared" si="500"/>
        <v>2355592</v>
      </c>
      <c r="M62" s="125">
        <f t="shared" si="500"/>
        <v>3920687</v>
      </c>
      <c r="N62" s="125">
        <f t="shared" ref="N62:P63" si="501">SUM(N56+N58+N60)</f>
        <v>2485492</v>
      </c>
      <c r="O62" s="125">
        <f>SUM(O56+O58+O60)</f>
        <v>4000717</v>
      </c>
      <c r="P62" s="125">
        <f t="shared" si="501"/>
        <v>2493216</v>
      </c>
      <c r="Q62" s="125">
        <f t="shared" ref="Q62:X63" si="502">SUM(Q56+Q58+Q60)</f>
        <v>4067802</v>
      </c>
      <c r="R62" s="298">
        <f t="shared" si="502"/>
        <v>2697911</v>
      </c>
      <c r="S62" s="298">
        <f t="shared" si="502"/>
        <v>3994646</v>
      </c>
      <c r="T62" s="298">
        <f t="shared" si="502"/>
        <v>2722817</v>
      </c>
      <c r="U62" s="298">
        <f>SUM(U56+U58+U60)</f>
        <v>4075854</v>
      </c>
      <c r="V62" s="298">
        <f t="shared" si="502"/>
        <v>219326</v>
      </c>
      <c r="W62" s="298">
        <f t="shared" si="502"/>
        <v>368557</v>
      </c>
      <c r="X62" s="298">
        <f t="shared" si="502"/>
        <v>230916</v>
      </c>
      <c r="Y62" s="126">
        <f t="shared" si="18"/>
        <v>5.3</v>
      </c>
      <c r="Z62" s="298">
        <f>SUM(Z56+Z58+Z60)</f>
        <v>339399</v>
      </c>
      <c r="AA62" s="126">
        <f t="shared" si="19"/>
        <v>-7.9</v>
      </c>
      <c r="AB62" s="298">
        <f t="shared" ref="AB62:AD63" si="503">SUM(AB56+AB58+AB60)</f>
        <v>208901</v>
      </c>
      <c r="AC62" s="298">
        <f t="shared" si="503"/>
        <v>285854</v>
      </c>
      <c r="AD62" s="298">
        <f t="shared" si="503"/>
        <v>222358</v>
      </c>
      <c r="AE62" s="126">
        <f t="shared" si="54"/>
        <v>6.4</v>
      </c>
      <c r="AF62" s="298">
        <f>SUM(AF56+AF58+AF60)</f>
        <v>303271</v>
      </c>
      <c r="AG62" s="126">
        <f t="shared" si="20"/>
        <v>6.1</v>
      </c>
      <c r="AH62" s="298">
        <f t="shared" ref="AH62:AJ63" si="504">SUM(AH56+AH58+AH60)</f>
        <v>428227</v>
      </c>
      <c r="AI62" s="298">
        <f t="shared" si="504"/>
        <v>654411</v>
      </c>
      <c r="AJ62" s="298">
        <f t="shared" si="504"/>
        <v>453274</v>
      </c>
      <c r="AK62" s="126">
        <f t="shared" si="21"/>
        <v>5.8</v>
      </c>
      <c r="AL62" s="298">
        <f>SUM(AL56+AL58+AL60)</f>
        <v>642670</v>
      </c>
      <c r="AM62" s="126">
        <f t="shared" si="22"/>
        <v>-1.8</v>
      </c>
      <c r="AN62" s="298">
        <f t="shared" ref="AN62:AP63" si="505">SUM(AN56+AN58+AN60)</f>
        <v>220150</v>
      </c>
      <c r="AO62" s="298">
        <f t="shared" si="505"/>
        <v>348189</v>
      </c>
      <c r="AP62" s="298">
        <f t="shared" si="505"/>
        <v>254417</v>
      </c>
      <c r="AQ62" s="126">
        <f t="shared" si="57"/>
        <v>15.6</v>
      </c>
      <c r="AR62" s="298">
        <f>SUM(AR56+AR58+AR60)</f>
        <v>348218</v>
      </c>
      <c r="AS62" s="126">
        <f t="shared" si="23"/>
        <v>0</v>
      </c>
      <c r="AT62" s="298">
        <f t="shared" ref="AT62:AV63" si="506">SUM(AT56+AT58+AT60)</f>
        <v>648377</v>
      </c>
      <c r="AU62" s="298">
        <f t="shared" si="506"/>
        <v>1002600</v>
      </c>
      <c r="AV62" s="298">
        <f t="shared" si="506"/>
        <v>707691</v>
      </c>
      <c r="AW62" s="126">
        <f t="shared" si="24"/>
        <v>9.1</v>
      </c>
      <c r="AX62" s="298">
        <f>SUM(AX56+AX58+AX60)</f>
        <v>990888</v>
      </c>
      <c r="AY62" s="126">
        <f t="shared" si="25"/>
        <v>-1.2</v>
      </c>
      <c r="AZ62" s="298">
        <f t="shared" ref="AZ62:BB62" si="507">SUM(AZ56+AZ58+AZ60)</f>
        <v>234301</v>
      </c>
      <c r="BA62" s="298">
        <f t="shared" si="507"/>
        <v>370115</v>
      </c>
      <c r="BB62" s="298">
        <f t="shared" si="507"/>
        <v>227004</v>
      </c>
      <c r="BC62" s="126">
        <f t="shared" si="60"/>
        <v>-3.1</v>
      </c>
      <c r="BD62" s="298">
        <f>SUM(BD56+BD58+BD60)</f>
        <v>343307</v>
      </c>
      <c r="BE62" s="126">
        <f t="shared" si="26"/>
        <v>-7.2</v>
      </c>
      <c r="BF62" s="298">
        <f t="shared" ref="BF62:BH62" si="508">SUM(BF56+BF58+BF60)</f>
        <v>882678</v>
      </c>
      <c r="BG62" s="298">
        <f t="shared" si="508"/>
        <v>1372715</v>
      </c>
      <c r="BH62" s="298">
        <f t="shared" si="508"/>
        <v>934695</v>
      </c>
      <c r="BI62" s="126">
        <f t="shared" si="27"/>
        <v>5.9</v>
      </c>
      <c r="BJ62" s="298">
        <f>SUM(BJ56+BJ58+BJ60)</f>
        <v>1334195</v>
      </c>
      <c r="BK62" s="126">
        <f t="shared" si="28"/>
        <v>-2.8</v>
      </c>
      <c r="BL62" s="298">
        <f t="shared" ref="BL62:BN63" si="509">SUM(BL56+BL58+BL60)</f>
        <v>261537</v>
      </c>
      <c r="BM62" s="298">
        <f t="shared" si="509"/>
        <v>358806</v>
      </c>
      <c r="BN62" s="298">
        <f t="shared" si="509"/>
        <v>209518</v>
      </c>
      <c r="BO62" s="126">
        <f t="shared" si="63"/>
        <v>-19.899999999999999</v>
      </c>
      <c r="BP62" s="298">
        <f>SUM(BP56+BP58+BP60)</f>
        <v>309016</v>
      </c>
      <c r="BQ62" s="126">
        <f t="shared" si="29"/>
        <v>-13.9</v>
      </c>
      <c r="BR62" s="298">
        <f t="shared" ref="BR62:BT63" si="510">SUM(BR56+BR58+BR60)</f>
        <v>1144215</v>
      </c>
      <c r="BS62" s="298">
        <f t="shared" si="510"/>
        <v>1731521</v>
      </c>
      <c r="BT62" s="298">
        <f t="shared" si="510"/>
        <v>1144213</v>
      </c>
      <c r="BU62" s="126">
        <f t="shared" si="30"/>
        <v>0</v>
      </c>
      <c r="BV62" s="298">
        <f>SUM(BV56+BV58+BV60)</f>
        <v>1643211</v>
      </c>
      <c r="BW62" s="126">
        <f t="shared" si="31"/>
        <v>-5.0999999999999996</v>
      </c>
      <c r="BX62" s="825">
        <f t="shared" ref="BX62:BZ62" si="511">SUM(BX56+BX58+BX60)</f>
        <v>225189</v>
      </c>
      <c r="BY62" s="825">
        <f t="shared" si="511"/>
        <v>326581</v>
      </c>
      <c r="BZ62" s="825">
        <f t="shared" si="511"/>
        <v>235371</v>
      </c>
      <c r="CA62" s="826">
        <f t="shared" si="66"/>
        <v>4.5</v>
      </c>
      <c r="CB62" s="825">
        <f>SUM(CB56+CB58+CB60)</f>
        <v>324778</v>
      </c>
      <c r="CC62" s="826">
        <f t="shared" si="32"/>
        <v>-0.6</v>
      </c>
      <c r="CD62" s="842">
        <f t="shared" ref="CD62:CF62" si="512">SUM(CD56+CD58+CD60)</f>
        <v>1369404</v>
      </c>
      <c r="CE62" s="842">
        <f t="shared" si="512"/>
        <v>2058102</v>
      </c>
      <c r="CF62" s="842">
        <f t="shared" si="512"/>
        <v>1379584</v>
      </c>
      <c r="CG62" s="826">
        <f t="shared" si="33"/>
        <v>0.7</v>
      </c>
      <c r="CH62" s="842">
        <f>SUM(CH56+CH58+CH60)</f>
        <v>1967989</v>
      </c>
      <c r="CI62" s="826">
        <f t="shared" si="34"/>
        <v>-4.4000000000000004</v>
      </c>
      <c r="CJ62" s="842">
        <f t="shared" ref="CJ62:CL62" si="513">SUM(CJ56+CJ58+CJ60)</f>
        <v>228680</v>
      </c>
      <c r="CK62" s="842">
        <f t="shared" si="513"/>
        <v>329524</v>
      </c>
      <c r="CL62" s="842">
        <f t="shared" si="513"/>
        <v>264267</v>
      </c>
      <c r="CM62" s="826">
        <f t="shared" si="69"/>
        <v>15.6</v>
      </c>
      <c r="CN62" s="842">
        <f>SUM(CN56+CN58+CN60)</f>
        <v>325183</v>
      </c>
      <c r="CO62" s="826">
        <f t="shared" si="35"/>
        <v>-1.3</v>
      </c>
      <c r="CP62" s="842">
        <f t="shared" ref="CP62:CR62" si="514">SUM(CP56+CP58+CP60)</f>
        <v>1598084</v>
      </c>
      <c r="CQ62" s="842">
        <f t="shared" si="514"/>
        <v>2387626</v>
      </c>
      <c r="CR62" s="842">
        <f t="shared" si="514"/>
        <v>1643851</v>
      </c>
      <c r="CS62" s="826">
        <f t="shared" si="447"/>
        <v>2.9</v>
      </c>
      <c r="CT62" s="842">
        <f>SUM(CT56+CT58+CT60)</f>
        <v>2293172</v>
      </c>
      <c r="CU62" s="826">
        <f t="shared" si="37"/>
        <v>-4</v>
      </c>
      <c r="CV62" s="842">
        <f t="shared" ref="CV62:CX62" si="515">SUM(CV56+CV58+CV60)</f>
        <v>222823</v>
      </c>
      <c r="CW62" s="842">
        <f t="shared" si="515"/>
        <v>326425</v>
      </c>
      <c r="CX62" s="842">
        <f t="shared" si="515"/>
        <v>219994</v>
      </c>
      <c r="CY62" s="826">
        <f t="shared" si="72"/>
        <v>-1.3</v>
      </c>
      <c r="CZ62" s="842">
        <f>SUM(CZ56+CZ58+CZ60)</f>
        <v>297413</v>
      </c>
      <c r="DA62" s="826">
        <f t="shared" si="38"/>
        <v>-8.9</v>
      </c>
      <c r="DB62" s="842">
        <f t="shared" ref="DB62:DD63" si="516">SUM(DB56+DB58+DB60)</f>
        <v>1820907</v>
      </c>
      <c r="DC62" s="842">
        <f t="shared" si="516"/>
        <v>2714051</v>
      </c>
      <c r="DD62" s="842">
        <f t="shared" si="516"/>
        <v>1863845</v>
      </c>
      <c r="DE62" s="826">
        <f t="shared" si="39"/>
        <v>2.4</v>
      </c>
      <c r="DF62" s="842">
        <f>SUM(DF56+DF58+DF60)</f>
        <v>2590585</v>
      </c>
      <c r="DG62" s="826">
        <f t="shared" si="40"/>
        <v>-4.5</v>
      </c>
      <c r="DH62" s="842">
        <f t="shared" ref="DH62:DJ63" si="517">SUM(DH56+DH58+DH60)</f>
        <v>205668</v>
      </c>
      <c r="DI62" s="842">
        <f t="shared" si="517"/>
        <v>309896</v>
      </c>
      <c r="DJ62" s="842">
        <f t="shared" si="517"/>
        <v>255246</v>
      </c>
      <c r="DK62" s="826">
        <f t="shared" si="75"/>
        <v>24.1</v>
      </c>
      <c r="DL62" s="842">
        <f>SUM(DL56+DL58+DL60)</f>
        <v>325729</v>
      </c>
      <c r="DM62" s="826">
        <f t="shared" si="41"/>
        <v>5.0999999999999996</v>
      </c>
      <c r="DN62" s="842">
        <f t="shared" ref="DN62:DP63" si="518">SUM(DN56+DN58+DN60)</f>
        <v>2026575</v>
      </c>
      <c r="DO62" s="842">
        <f t="shared" si="518"/>
        <v>3023947</v>
      </c>
      <c r="DP62" s="842">
        <f t="shared" si="518"/>
        <v>2119091</v>
      </c>
      <c r="DQ62" s="826">
        <f t="shared" si="42"/>
        <v>4.5999999999999996</v>
      </c>
      <c r="DR62" s="842">
        <f>SUM(DR56+DR58+DR60)</f>
        <v>2916314</v>
      </c>
      <c r="DS62" s="826">
        <f t="shared" si="43"/>
        <v>-3.6</v>
      </c>
      <c r="DT62" s="842">
        <f t="shared" ref="DT62:DV63" si="519">SUM(DT56+DT58+DT60)</f>
        <v>239158</v>
      </c>
      <c r="DU62" s="842">
        <f t="shared" si="519"/>
        <v>349961</v>
      </c>
      <c r="DV62" s="842">
        <f t="shared" si="519"/>
        <v>245212</v>
      </c>
      <c r="DW62" s="826">
        <f t="shared" si="78"/>
        <v>2.5</v>
      </c>
      <c r="DX62" s="842">
        <f>SUM(DX56+DX58+DX60)</f>
        <v>327231</v>
      </c>
      <c r="DY62" s="826">
        <f t="shared" si="44"/>
        <v>-6.5</v>
      </c>
      <c r="DZ62" s="842">
        <f t="shared" ref="DZ62:EB63" si="520">SUM(DZ56+DZ58+DZ60)</f>
        <v>2265733</v>
      </c>
      <c r="EA62" s="842">
        <f t="shared" si="520"/>
        <v>3373908</v>
      </c>
      <c r="EB62" s="842">
        <f t="shared" si="520"/>
        <v>2364303</v>
      </c>
      <c r="EC62" s="826">
        <f t="shared" si="45"/>
        <v>4.4000000000000004</v>
      </c>
      <c r="ED62" s="842">
        <f>SUM(ED56+ED58+ED60)</f>
        <v>3243545</v>
      </c>
      <c r="EE62" s="826">
        <f t="shared" si="46"/>
        <v>-3.9</v>
      </c>
      <c r="EF62" s="842">
        <f t="shared" ref="EF62:EH63" si="521">SUM(EF56+EF58+EF60)</f>
        <v>215167</v>
      </c>
      <c r="EG62" s="842">
        <f t="shared" si="521"/>
        <v>347610</v>
      </c>
      <c r="EH62" s="842">
        <f t="shared" si="521"/>
        <v>263509</v>
      </c>
      <c r="EI62" s="826">
        <f t="shared" si="81"/>
        <v>22.5</v>
      </c>
      <c r="EJ62" s="842">
        <f>SUM(EJ56+EJ58+EJ60)</f>
        <v>336028</v>
      </c>
      <c r="EK62" s="826">
        <f t="shared" si="47"/>
        <v>-3.3</v>
      </c>
      <c r="EL62" s="842">
        <f t="shared" ref="EL62:EN63" si="522">SUM(EL56+EL58+EL60)</f>
        <v>2480900</v>
      </c>
      <c r="EM62" s="842">
        <f t="shared" si="522"/>
        <v>3721518</v>
      </c>
      <c r="EN62" s="842">
        <f t="shared" si="522"/>
        <v>2627812</v>
      </c>
      <c r="EO62" s="826">
        <f t="shared" si="48"/>
        <v>5.9</v>
      </c>
      <c r="EP62" s="842">
        <f>SUM(EP56+EP58+EP60)</f>
        <v>3579573</v>
      </c>
      <c r="EQ62" s="826">
        <f t="shared" si="49"/>
        <v>-3.8</v>
      </c>
    </row>
    <row r="63" spans="1:147" ht="23.25" customHeight="1" thickBot="1">
      <c r="A63" s="1135"/>
      <c r="B63" s="1136"/>
      <c r="C63" s="127" t="s">
        <v>272</v>
      </c>
      <c r="D63" s="128">
        <f t="shared" ref="D63:M63" si="523">SUM(D57+D59+D61)</f>
        <v>9508283</v>
      </c>
      <c r="E63" s="128">
        <f t="shared" si="523"/>
        <v>16178240</v>
      </c>
      <c r="F63" s="128">
        <f t="shared" si="523"/>
        <v>8803568</v>
      </c>
      <c r="G63" s="128">
        <f t="shared" si="523"/>
        <v>14182666</v>
      </c>
      <c r="H63" s="128">
        <f t="shared" si="523"/>
        <v>9009705</v>
      </c>
      <c r="I63" s="128">
        <f t="shared" si="523"/>
        <v>14101215</v>
      </c>
      <c r="J63" s="128">
        <f t="shared" si="523"/>
        <v>9277794</v>
      </c>
      <c r="K63" s="128">
        <f t="shared" si="523"/>
        <v>14611988</v>
      </c>
      <c r="L63" s="128">
        <f t="shared" si="523"/>
        <v>8975601</v>
      </c>
      <c r="M63" s="128">
        <f t="shared" si="523"/>
        <v>13072660</v>
      </c>
      <c r="N63" s="128">
        <f t="shared" si="501"/>
        <v>8571110</v>
      </c>
      <c r="O63" s="128">
        <f>SUM(O57+O59+O61)</f>
        <v>11988146</v>
      </c>
      <c r="P63" s="128">
        <f t="shared" si="501"/>
        <v>10149891</v>
      </c>
      <c r="Q63" s="128">
        <f t="shared" si="502"/>
        <v>13824732</v>
      </c>
      <c r="R63" s="299">
        <f t="shared" si="502"/>
        <v>11506406</v>
      </c>
      <c r="S63" s="299">
        <f t="shared" si="502"/>
        <v>14700097</v>
      </c>
      <c r="T63" s="299">
        <f t="shared" si="502"/>
        <v>10703454</v>
      </c>
      <c r="U63" s="299">
        <f>SUM(U57+U59+U61)</f>
        <v>13456411</v>
      </c>
      <c r="V63" s="299">
        <f t="shared" si="502"/>
        <v>892195</v>
      </c>
      <c r="W63" s="299">
        <f t="shared" si="502"/>
        <v>1297930</v>
      </c>
      <c r="X63" s="299">
        <f t="shared" si="502"/>
        <v>852749</v>
      </c>
      <c r="Y63" s="129">
        <f t="shared" si="18"/>
        <v>-4.4000000000000004</v>
      </c>
      <c r="Z63" s="299">
        <f>SUM(Z57+Z59+Z61)</f>
        <v>1091873</v>
      </c>
      <c r="AA63" s="129">
        <f t="shared" si="19"/>
        <v>-15.9</v>
      </c>
      <c r="AB63" s="299">
        <f t="shared" si="503"/>
        <v>831406</v>
      </c>
      <c r="AC63" s="299">
        <f t="shared" si="503"/>
        <v>981765</v>
      </c>
      <c r="AD63" s="299">
        <f t="shared" si="503"/>
        <v>828257</v>
      </c>
      <c r="AE63" s="129">
        <f t="shared" si="54"/>
        <v>-0.4</v>
      </c>
      <c r="AF63" s="299">
        <f>SUM(AF57+AF59+AF61)</f>
        <v>987448</v>
      </c>
      <c r="AG63" s="129">
        <f t="shared" si="20"/>
        <v>0.6</v>
      </c>
      <c r="AH63" s="299">
        <f t="shared" si="504"/>
        <v>1723601</v>
      </c>
      <c r="AI63" s="299">
        <f t="shared" si="504"/>
        <v>2279695</v>
      </c>
      <c r="AJ63" s="299">
        <f t="shared" si="504"/>
        <v>1681006</v>
      </c>
      <c r="AK63" s="129">
        <f t="shared" si="21"/>
        <v>-2.5</v>
      </c>
      <c r="AL63" s="299">
        <f>SUM(AL57+AL59+AL61)</f>
        <v>2079321</v>
      </c>
      <c r="AM63" s="129">
        <f t="shared" si="22"/>
        <v>-8.8000000000000007</v>
      </c>
      <c r="AN63" s="299">
        <f t="shared" si="505"/>
        <v>888108</v>
      </c>
      <c r="AO63" s="299">
        <f t="shared" si="505"/>
        <v>1193193</v>
      </c>
      <c r="AP63" s="299">
        <f t="shared" si="505"/>
        <v>892711</v>
      </c>
      <c r="AQ63" s="129">
        <f t="shared" si="57"/>
        <v>0.5</v>
      </c>
      <c r="AR63" s="299">
        <f>SUM(AR57+AR59+AR61)</f>
        <v>1159407</v>
      </c>
      <c r="AS63" s="129">
        <f t="shared" si="23"/>
        <v>-2.8</v>
      </c>
      <c r="AT63" s="299">
        <f t="shared" si="506"/>
        <v>2611709</v>
      </c>
      <c r="AU63" s="299">
        <f t="shared" si="506"/>
        <v>3472888</v>
      </c>
      <c r="AV63" s="299">
        <f t="shared" si="506"/>
        <v>2573717</v>
      </c>
      <c r="AW63" s="129">
        <f t="shared" si="24"/>
        <v>-1.5</v>
      </c>
      <c r="AX63" s="299">
        <f>SUM(AX57+AX59+AX61)</f>
        <v>3238728</v>
      </c>
      <c r="AY63" s="129">
        <f t="shared" si="25"/>
        <v>-6.7</v>
      </c>
      <c r="AZ63" s="299">
        <f t="shared" ref="AZ63:BB63" si="524">SUM(AZ57+AZ59+AZ61)</f>
        <v>938511</v>
      </c>
      <c r="BA63" s="299">
        <f t="shared" si="524"/>
        <v>1247185</v>
      </c>
      <c r="BB63" s="299">
        <f t="shared" si="524"/>
        <v>781409</v>
      </c>
      <c r="BC63" s="129">
        <f t="shared" si="60"/>
        <v>-16.7</v>
      </c>
      <c r="BD63" s="299">
        <f>SUM(BD57+BD59+BD61)</f>
        <v>1023152</v>
      </c>
      <c r="BE63" s="129">
        <f t="shared" si="26"/>
        <v>-18</v>
      </c>
      <c r="BF63" s="299">
        <f t="shared" ref="BF63:BH63" si="525">SUM(BF57+BF59+BF61)</f>
        <v>3550220</v>
      </c>
      <c r="BG63" s="299">
        <f t="shared" si="525"/>
        <v>4720073</v>
      </c>
      <c r="BH63" s="299">
        <f t="shared" si="525"/>
        <v>3355126</v>
      </c>
      <c r="BI63" s="129">
        <f t="shared" si="27"/>
        <v>-5.5</v>
      </c>
      <c r="BJ63" s="299">
        <f>SUM(BJ57+BJ59+BJ61)</f>
        <v>4261880</v>
      </c>
      <c r="BK63" s="129">
        <f t="shared" si="28"/>
        <v>-9.6999999999999993</v>
      </c>
      <c r="BL63" s="299">
        <f t="shared" si="509"/>
        <v>1040048</v>
      </c>
      <c r="BM63" s="299">
        <f t="shared" si="509"/>
        <v>1175518</v>
      </c>
      <c r="BN63" s="299">
        <f t="shared" si="509"/>
        <v>693604</v>
      </c>
      <c r="BO63" s="129">
        <f t="shared" si="63"/>
        <v>-33.299999999999997</v>
      </c>
      <c r="BP63" s="299">
        <f>SUM(BP57+BP59+BP61)</f>
        <v>894414</v>
      </c>
      <c r="BQ63" s="129">
        <f t="shared" si="29"/>
        <v>-23.9</v>
      </c>
      <c r="BR63" s="299">
        <f t="shared" si="510"/>
        <v>4590268</v>
      </c>
      <c r="BS63" s="299">
        <f t="shared" si="510"/>
        <v>5895591</v>
      </c>
      <c r="BT63" s="299">
        <f t="shared" si="510"/>
        <v>4048730</v>
      </c>
      <c r="BU63" s="129">
        <f t="shared" si="30"/>
        <v>-11.8</v>
      </c>
      <c r="BV63" s="299">
        <f>SUM(BV57+BV59+BV61)</f>
        <v>5156294</v>
      </c>
      <c r="BW63" s="129">
        <f t="shared" si="31"/>
        <v>-12.5</v>
      </c>
      <c r="BX63" s="827">
        <f t="shared" ref="BX63:BZ63" si="526">SUM(BX57+BX59+BX61)</f>
        <v>868192</v>
      </c>
      <c r="BY63" s="827">
        <f t="shared" si="526"/>
        <v>1072812</v>
      </c>
      <c r="BZ63" s="827">
        <f t="shared" si="526"/>
        <v>796641</v>
      </c>
      <c r="CA63" s="828">
        <f t="shared" si="66"/>
        <v>-8.1999999999999993</v>
      </c>
      <c r="CB63" s="827">
        <f>SUM(CB57+CB59+CB61)</f>
        <v>928817</v>
      </c>
      <c r="CC63" s="828">
        <f t="shared" si="32"/>
        <v>-13.4</v>
      </c>
      <c r="CD63" s="843">
        <f t="shared" ref="CD63:CF63" si="527">SUM(CD57+CD59+CD61)</f>
        <v>5458460</v>
      </c>
      <c r="CE63" s="843">
        <f t="shared" si="527"/>
        <v>6968403</v>
      </c>
      <c r="CF63" s="843">
        <f t="shared" si="527"/>
        <v>4845371</v>
      </c>
      <c r="CG63" s="828">
        <f t="shared" si="33"/>
        <v>-11.2</v>
      </c>
      <c r="CH63" s="843">
        <f>SUM(CH57+CH59+CH61)</f>
        <v>6085111</v>
      </c>
      <c r="CI63" s="828">
        <f t="shared" si="34"/>
        <v>-12.7</v>
      </c>
      <c r="CJ63" s="843">
        <f t="shared" ref="CJ63:CL63" si="528">SUM(CJ57+CJ59+CJ61)</f>
        <v>920601</v>
      </c>
      <c r="CK63" s="843">
        <f t="shared" si="528"/>
        <v>1101485</v>
      </c>
      <c r="CL63" s="843">
        <f t="shared" si="528"/>
        <v>937195</v>
      </c>
      <c r="CM63" s="828">
        <f t="shared" si="69"/>
        <v>1.8</v>
      </c>
      <c r="CN63" s="843">
        <f>SUM(CN57+CN59+CN61)</f>
        <v>961059</v>
      </c>
      <c r="CO63" s="828">
        <f t="shared" si="35"/>
        <v>-12.7</v>
      </c>
      <c r="CP63" s="843">
        <f t="shared" ref="CP63:CR63" si="529">SUM(CP57+CP59+CP61)</f>
        <v>6379061</v>
      </c>
      <c r="CQ63" s="843">
        <f t="shared" si="529"/>
        <v>8069888</v>
      </c>
      <c r="CR63" s="843">
        <f t="shared" si="529"/>
        <v>5782566</v>
      </c>
      <c r="CS63" s="828">
        <f t="shared" si="447"/>
        <v>-9.4</v>
      </c>
      <c r="CT63" s="843">
        <f>SUM(CT57+CT59+CT61)</f>
        <v>7046170</v>
      </c>
      <c r="CU63" s="828">
        <f t="shared" si="37"/>
        <v>-12.7</v>
      </c>
      <c r="CV63" s="843">
        <f t="shared" ref="CV63:CX63" si="530">SUM(CV57+CV59+CV61)</f>
        <v>850974</v>
      </c>
      <c r="CW63" s="843">
        <f t="shared" si="530"/>
        <v>1065252</v>
      </c>
      <c r="CX63" s="843">
        <f t="shared" si="530"/>
        <v>808811</v>
      </c>
      <c r="CY63" s="828">
        <f t="shared" si="72"/>
        <v>-5</v>
      </c>
      <c r="CZ63" s="843">
        <f>SUM(CZ57+CZ59+CZ61)</f>
        <v>950917</v>
      </c>
      <c r="DA63" s="828">
        <f t="shared" si="38"/>
        <v>-10.7</v>
      </c>
      <c r="DB63" s="843">
        <f t="shared" si="516"/>
        <v>7230035</v>
      </c>
      <c r="DC63" s="843">
        <f t="shared" si="516"/>
        <v>9135140</v>
      </c>
      <c r="DD63" s="843">
        <f t="shared" si="516"/>
        <v>6591377</v>
      </c>
      <c r="DE63" s="828">
        <f t="shared" si="39"/>
        <v>-8.8000000000000007</v>
      </c>
      <c r="DF63" s="843">
        <f>SUM(DF57+DF59+DF61)</f>
        <v>7997087</v>
      </c>
      <c r="DG63" s="828">
        <f t="shared" si="40"/>
        <v>-12.5</v>
      </c>
      <c r="DH63" s="843">
        <f t="shared" si="517"/>
        <v>805045</v>
      </c>
      <c r="DI63" s="843">
        <f t="shared" si="517"/>
        <v>1014905</v>
      </c>
      <c r="DJ63" s="843">
        <f t="shared" si="517"/>
        <v>993243</v>
      </c>
      <c r="DK63" s="828">
        <f t="shared" si="75"/>
        <v>23.4</v>
      </c>
      <c r="DL63" s="843">
        <f>SUM(DL57+DL59+DL61)</f>
        <v>1079144</v>
      </c>
      <c r="DM63" s="828">
        <f t="shared" si="41"/>
        <v>6.3</v>
      </c>
      <c r="DN63" s="843">
        <f t="shared" si="518"/>
        <v>8035080</v>
      </c>
      <c r="DO63" s="843">
        <f t="shared" si="518"/>
        <v>10150045</v>
      </c>
      <c r="DP63" s="843">
        <f t="shared" si="518"/>
        <v>7584620</v>
      </c>
      <c r="DQ63" s="828">
        <f t="shared" si="42"/>
        <v>-5.6</v>
      </c>
      <c r="DR63" s="843">
        <f>SUM(DR57+DR59+DR61)</f>
        <v>9076231</v>
      </c>
      <c r="DS63" s="828">
        <f t="shared" si="43"/>
        <v>-10.6</v>
      </c>
      <c r="DT63" s="843">
        <f t="shared" si="519"/>
        <v>923265</v>
      </c>
      <c r="DU63" s="843">
        <f t="shared" si="519"/>
        <v>1095417</v>
      </c>
      <c r="DV63" s="843">
        <f t="shared" si="519"/>
        <v>985523</v>
      </c>
      <c r="DW63" s="828">
        <f t="shared" si="78"/>
        <v>6.7</v>
      </c>
      <c r="DX63" s="843">
        <f>SUM(DX57+DX59+DX61)</f>
        <v>1075014</v>
      </c>
      <c r="DY63" s="828">
        <f t="shared" si="44"/>
        <v>-1.9</v>
      </c>
      <c r="DZ63" s="843">
        <f t="shared" si="520"/>
        <v>8958345</v>
      </c>
      <c r="EA63" s="843">
        <f t="shared" si="520"/>
        <v>11245462</v>
      </c>
      <c r="EB63" s="843">
        <f t="shared" si="520"/>
        <v>8570143</v>
      </c>
      <c r="EC63" s="828">
        <f t="shared" si="45"/>
        <v>-4.3</v>
      </c>
      <c r="ED63" s="843">
        <f>SUM(ED57+ED59+ED61)</f>
        <v>10151245</v>
      </c>
      <c r="EE63" s="828">
        <f t="shared" si="46"/>
        <v>-9.6999999999999993</v>
      </c>
      <c r="EF63" s="843">
        <f t="shared" si="521"/>
        <v>844138</v>
      </c>
      <c r="EG63" s="843">
        <f t="shared" si="521"/>
        <v>1094381</v>
      </c>
      <c r="EH63" s="843">
        <f t="shared" si="521"/>
        <v>1070864</v>
      </c>
      <c r="EI63" s="828">
        <f t="shared" si="81"/>
        <v>26.9</v>
      </c>
      <c r="EJ63" s="843">
        <f>SUM(EJ57+EJ59+EJ61)</f>
        <v>1142460</v>
      </c>
      <c r="EK63" s="828">
        <f t="shared" si="47"/>
        <v>4.4000000000000004</v>
      </c>
      <c r="EL63" s="843">
        <f t="shared" si="522"/>
        <v>9802483</v>
      </c>
      <c r="EM63" s="843">
        <f t="shared" si="522"/>
        <v>12339843</v>
      </c>
      <c r="EN63" s="843">
        <f t="shared" si="522"/>
        <v>9641007</v>
      </c>
      <c r="EO63" s="828">
        <f t="shared" si="48"/>
        <v>-1.6</v>
      </c>
      <c r="EP63" s="843">
        <f>SUM(EP57+EP59+EP61)</f>
        <v>11293705</v>
      </c>
      <c r="EQ63" s="828">
        <f t="shared" si="49"/>
        <v>-8.5</v>
      </c>
    </row>
    <row r="64" spans="1:147" ht="23.25" customHeight="1" thickTop="1">
      <c r="A64" s="1128" t="s">
        <v>282</v>
      </c>
      <c r="B64" s="1130" t="s">
        <v>24</v>
      </c>
      <c r="C64" s="130" t="s">
        <v>271</v>
      </c>
      <c r="D64" s="131">
        <v>15754</v>
      </c>
      <c r="E64" s="131">
        <v>174062</v>
      </c>
      <c r="F64" s="131">
        <v>19220</v>
      </c>
      <c r="G64" s="131">
        <v>127405</v>
      </c>
      <c r="H64" s="131">
        <v>29841</v>
      </c>
      <c r="I64" s="131">
        <v>106816</v>
      </c>
      <c r="J64" s="131">
        <v>23207</v>
      </c>
      <c r="K64" s="131">
        <v>125202</v>
      </c>
      <c r="L64" s="131">
        <v>31418</v>
      </c>
      <c r="M64" s="131">
        <v>137551</v>
      </c>
      <c r="N64" s="131">
        <v>96278</v>
      </c>
      <c r="O64" s="131">
        <v>140737</v>
      </c>
      <c r="P64" s="131">
        <v>40395</v>
      </c>
      <c r="Q64" s="131">
        <v>157963</v>
      </c>
      <c r="R64" s="300">
        <v>47078</v>
      </c>
      <c r="S64" s="300">
        <v>156574</v>
      </c>
      <c r="T64" s="300">
        <v>82485</v>
      </c>
      <c r="U64" s="300">
        <v>153450</v>
      </c>
      <c r="V64" s="300">
        <v>31520</v>
      </c>
      <c r="W64" s="300">
        <v>14415</v>
      </c>
      <c r="X64" s="300">
        <v>1485</v>
      </c>
      <c r="Y64" s="132">
        <f t="shared" si="18"/>
        <v>-95.3</v>
      </c>
      <c r="Z64" s="300">
        <v>14260</v>
      </c>
      <c r="AA64" s="132">
        <f t="shared" si="19"/>
        <v>-1.1000000000000001</v>
      </c>
      <c r="AB64" s="300">
        <f t="shared" ref="AB64:AD65" si="531">AH64-V64</f>
        <v>1255</v>
      </c>
      <c r="AC64" s="300">
        <f t="shared" si="531"/>
        <v>9667</v>
      </c>
      <c r="AD64" s="300">
        <f t="shared" si="531"/>
        <v>1660</v>
      </c>
      <c r="AE64" s="132">
        <f t="shared" si="54"/>
        <v>32.299999999999997</v>
      </c>
      <c r="AF64" s="300">
        <f>AL64-Z64</f>
        <v>7717</v>
      </c>
      <c r="AG64" s="132">
        <f t="shared" si="20"/>
        <v>-20.2</v>
      </c>
      <c r="AH64" s="300">
        <v>32775</v>
      </c>
      <c r="AI64" s="300">
        <v>24082</v>
      </c>
      <c r="AJ64" s="300">
        <v>3145</v>
      </c>
      <c r="AK64" s="132">
        <f t="shared" si="21"/>
        <v>-90.4</v>
      </c>
      <c r="AL64" s="300">
        <v>21977</v>
      </c>
      <c r="AM64" s="132">
        <f t="shared" si="22"/>
        <v>-8.6999999999999993</v>
      </c>
      <c r="AN64" s="300">
        <f t="shared" ref="AN64:AP65" si="532">AT64-AH64</f>
        <v>1737</v>
      </c>
      <c r="AO64" s="300">
        <f t="shared" si="532"/>
        <v>11428</v>
      </c>
      <c r="AP64" s="300">
        <f t="shared" si="532"/>
        <v>2326</v>
      </c>
      <c r="AQ64" s="132">
        <f t="shared" si="57"/>
        <v>33.9</v>
      </c>
      <c r="AR64" s="300">
        <f>AX64-AL64</f>
        <v>14465</v>
      </c>
      <c r="AS64" s="132">
        <f t="shared" si="23"/>
        <v>26.6</v>
      </c>
      <c r="AT64" s="300">
        <v>34512</v>
      </c>
      <c r="AU64" s="300">
        <v>35510</v>
      </c>
      <c r="AV64" s="300">
        <v>5471</v>
      </c>
      <c r="AW64" s="132">
        <f t="shared" si="24"/>
        <v>-84.1</v>
      </c>
      <c r="AX64" s="300">
        <v>36442</v>
      </c>
      <c r="AY64" s="132">
        <f t="shared" si="25"/>
        <v>2.6</v>
      </c>
      <c r="AZ64" s="300">
        <f t="shared" ref="AZ64:AZ65" si="533">BF64-AT64</f>
        <v>1803</v>
      </c>
      <c r="BA64" s="300">
        <f t="shared" ref="BA64:BA65" si="534">BG64-AU64</f>
        <v>15043</v>
      </c>
      <c r="BB64" s="300">
        <f t="shared" ref="BB64:BB65" si="535">BH64-AV64</f>
        <v>3239</v>
      </c>
      <c r="BC64" s="132">
        <f t="shared" si="60"/>
        <v>79.599999999999994</v>
      </c>
      <c r="BD64" s="300">
        <f>BJ64-AX64</f>
        <v>13251</v>
      </c>
      <c r="BE64" s="132">
        <f t="shared" si="26"/>
        <v>-11.9</v>
      </c>
      <c r="BF64" s="300">
        <v>36315</v>
      </c>
      <c r="BG64" s="300">
        <v>50553</v>
      </c>
      <c r="BH64" s="300">
        <v>8710</v>
      </c>
      <c r="BI64" s="132">
        <f t="shared" si="27"/>
        <v>-76</v>
      </c>
      <c r="BJ64" s="300">
        <v>49693</v>
      </c>
      <c r="BK64" s="132">
        <f t="shared" si="28"/>
        <v>-1.7</v>
      </c>
      <c r="BL64" s="300">
        <f t="shared" ref="BL64:BN65" si="536">BR64-BF64</f>
        <v>1868</v>
      </c>
      <c r="BM64" s="300">
        <f t="shared" si="536"/>
        <v>13151</v>
      </c>
      <c r="BN64" s="300">
        <f t="shared" si="536"/>
        <v>1464</v>
      </c>
      <c r="BO64" s="132">
        <f t="shared" si="63"/>
        <v>-21.6</v>
      </c>
      <c r="BP64" s="300">
        <f>BV64-BJ64</f>
        <v>13671</v>
      </c>
      <c r="BQ64" s="132">
        <f t="shared" si="29"/>
        <v>4</v>
      </c>
      <c r="BR64" s="300">
        <v>38183</v>
      </c>
      <c r="BS64" s="300">
        <v>63704</v>
      </c>
      <c r="BT64" s="300">
        <v>10174</v>
      </c>
      <c r="BU64" s="132">
        <f t="shared" si="30"/>
        <v>-73.400000000000006</v>
      </c>
      <c r="BV64" s="300">
        <v>63364</v>
      </c>
      <c r="BW64" s="132">
        <f t="shared" si="31"/>
        <v>-0.5</v>
      </c>
      <c r="BX64" s="829">
        <f t="shared" ref="BX64:BX65" si="537">CD64-BR64</f>
        <v>33470</v>
      </c>
      <c r="BY64" s="829">
        <f t="shared" ref="BY64:BY65" si="538">CE64-BS64</f>
        <v>13539</v>
      </c>
      <c r="BZ64" s="829">
        <f t="shared" ref="BZ64:BZ65" si="539">CF64-BT64</f>
        <v>1890</v>
      </c>
      <c r="CA64" s="830">
        <f t="shared" si="66"/>
        <v>-94.4</v>
      </c>
      <c r="CB64" s="829">
        <f>CH64-BV64</f>
        <v>11440</v>
      </c>
      <c r="CC64" s="830">
        <f t="shared" si="32"/>
        <v>-15.5</v>
      </c>
      <c r="CD64" s="845">
        <v>71653</v>
      </c>
      <c r="CE64" s="845">
        <v>77243</v>
      </c>
      <c r="CF64" s="845">
        <v>12064</v>
      </c>
      <c r="CG64" s="830">
        <f t="shared" si="33"/>
        <v>-83.2</v>
      </c>
      <c r="CH64" s="845">
        <v>74804</v>
      </c>
      <c r="CI64" s="830">
        <f t="shared" si="34"/>
        <v>-3.2</v>
      </c>
      <c r="CJ64" s="845">
        <f t="shared" ref="CJ64:CJ65" si="540">CP64-CD64</f>
        <v>1559</v>
      </c>
      <c r="CK64" s="845">
        <f t="shared" ref="CK64:CK65" si="541">CQ64-CE64</f>
        <v>15678</v>
      </c>
      <c r="CL64" s="845">
        <f t="shared" ref="CL64:CL65" si="542">CR64-CF64</f>
        <v>1678</v>
      </c>
      <c r="CM64" s="830">
        <f t="shared" si="69"/>
        <v>7.6</v>
      </c>
      <c r="CN64" s="845">
        <f>CT64-CH64</f>
        <v>11210</v>
      </c>
      <c r="CO64" s="830">
        <f t="shared" si="35"/>
        <v>-28.5</v>
      </c>
      <c r="CP64" s="943">
        <v>73212</v>
      </c>
      <c r="CQ64" s="943">
        <v>92921</v>
      </c>
      <c r="CR64" s="943">
        <v>13742</v>
      </c>
      <c r="CS64" s="830">
        <f t="shared" si="447"/>
        <v>-81.2</v>
      </c>
      <c r="CT64" s="943">
        <v>86014</v>
      </c>
      <c r="CU64" s="830">
        <f t="shared" si="37"/>
        <v>-7.4</v>
      </c>
      <c r="CV64" s="845">
        <f t="shared" ref="CV64:CV65" si="543">DB64-CP64</f>
        <v>1875</v>
      </c>
      <c r="CW64" s="845">
        <f t="shared" ref="CW64:CW65" si="544">DC64-CQ64</f>
        <v>11925</v>
      </c>
      <c r="CX64" s="845">
        <f t="shared" ref="CX64:CX65" si="545">DD64-CR64</f>
        <v>1850</v>
      </c>
      <c r="CY64" s="830">
        <f t="shared" si="72"/>
        <v>-1.3</v>
      </c>
      <c r="CZ64" s="845">
        <f>DF64-CT64</f>
        <v>7940</v>
      </c>
      <c r="DA64" s="830">
        <f t="shared" si="38"/>
        <v>-33.4</v>
      </c>
      <c r="DB64" s="845">
        <v>75087</v>
      </c>
      <c r="DC64" s="845">
        <v>104846</v>
      </c>
      <c r="DD64" s="870">
        <v>15592</v>
      </c>
      <c r="DE64" s="830">
        <f t="shared" si="39"/>
        <v>-79.2</v>
      </c>
      <c r="DF64" s="1036">
        <v>93954</v>
      </c>
      <c r="DG64" s="830">
        <f t="shared" si="40"/>
        <v>-10.4</v>
      </c>
      <c r="DH64" s="845">
        <f t="shared" ref="DH64:DJ65" si="546">DN64-DB64</f>
        <v>1825</v>
      </c>
      <c r="DI64" s="845">
        <f t="shared" si="546"/>
        <v>11177</v>
      </c>
      <c r="DJ64" s="845">
        <f t="shared" si="546"/>
        <v>1670</v>
      </c>
      <c r="DK64" s="830">
        <f t="shared" si="75"/>
        <v>-8.5</v>
      </c>
      <c r="DL64" s="845">
        <f>DR64-DF64</f>
        <v>12869</v>
      </c>
      <c r="DM64" s="830">
        <f t="shared" si="41"/>
        <v>15.1</v>
      </c>
      <c r="DN64" s="845">
        <v>76912</v>
      </c>
      <c r="DO64" s="845">
        <v>116023</v>
      </c>
      <c r="DP64" s="845">
        <v>17262</v>
      </c>
      <c r="DQ64" s="830">
        <f t="shared" si="42"/>
        <v>-77.599999999999994</v>
      </c>
      <c r="DR64" s="1048">
        <v>106823</v>
      </c>
      <c r="DS64" s="830">
        <f t="shared" si="43"/>
        <v>-7.9</v>
      </c>
      <c r="DT64" s="845">
        <f t="shared" ref="DT64:DV65" si="547">DZ64-DN64</f>
        <v>1695</v>
      </c>
      <c r="DU64" s="845">
        <f t="shared" si="547"/>
        <v>14149</v>
      </c>
      <c r="DV64" s="845">
        <f t="shared" si="547"/>
        <v>2032</v>
      </c>
      <c r="DW64" s="830">
        <f t="shared" si="78"/>
        <v>19.899999999999999</v>
      </c>
      <c r="DX64" s="845">
        <f>ED64-DR64</f>
        <v>11404</v>
      </c>
      <c r="DY64" s="830">
        <f t="shared" si="44"/>
        <v>-19.399999999999999</v>
      </c>
      <c r="DZ64" s="845">
        <v>78607</v>
      </c>
      <c r="EA64" s="845">
        <v>130172</v>
      </c>
      <c r="EB64" s="845">
        <v>19294</v>
      </c>
      <c r="EC64" s="830">
        <f t="shared" si="45"/>
        <v>-75.5</v>
      </c>
      <c r="ED64" s="1048">
        <v>118227</v>
      </c>
      <c r="EE64" s="830">
        <f t="shared" si="46"/>
        <v>-9.1999999999999993</v>
      </c>
      <c r="EF64" s="845">
        <f t="shared" ref="EF64:EH65" si="548">EL64-DZ64</f>
        <v>1574</v>
      </c>
      <c r="EG64" s="845">
        <f t="shared" si="548"/>
        <v>10266</v>
      </c>
      <c r="EH64" s="845">
        <f t="shared" si="548"/>
        <v>1812</v>
      </c>
      <c r="EI64" s="830">
        <f t="shared" si="81"/>
        <v>15.1</v>
      </c>
      <c r="EJ64" s="845">
        <f>EP64-ED64</f>
        <v>13552</v>
      </c>
      <c r="EK64" s="830">
        <f t="shared" si="47"/>
        <v>32</v>
      </c>
      <c r="EL64" s="845">
        <v>80181</v>
      </c>
      <c r="EM64" s="845">
        <v>140438</v>
      </c>
      <c r="EN64" s="845">
        <v>21106</v>
      </c>
      <c r="EO64" s="830">
        <f t="shared" si="48"/>
        <v>-73.7</v>
      </c>
      <c r="EP64" s="1048">
        <v>131779</v>
      </c>
      <c r="EQ64" s="830">
        <f t="shared" si="49"/>
        <v>-6.2</v>
      </c>
    </row>
    <row r="65" spans="1:147" ht="21.75" customHeight="1">
      <c r="A65" s="1129"/>
      <c r="B65" s="1129"/>
      <c r="C65" s="121" t="s">
        <v>272</v>
      </c>
      <c r="D65" s="122">
        <v>432212</v>
      </c>
      <c r="E65" s="122">
        <v>1679839</v>
      </c>
      <c r="F65" s="122">
        <v>350816</v>
      </c>
      <c r="G65" s="122">
        <v>1365912</v>
      </c>
      <c r="H65" s="122">
        <v>461325</v>
      </c>
      <c r="I65" s="122">
        <v>1201022</v>
      </c>
      <c r="J65" s="122">
        <v>446103</v>
      </c>
      <c r="K65" s="122">
        <v>1136600</v>
      </c>
      <c r="L65" s="122">
        <v>265000</v>
      </c>
      <c r="M65" s="122">
        <v>1038841</v>
      </c>
      <c r="N65" s="122">
        <v>275446</v>
      </c>
      <c r="O65" s="122">
        <v>942708</v>
      </c>
      <c r="P65" s="122">
        <v>317314</v>
      </c>
      <c r="Q65" s="122">
        <v>1090604</v>
      </c>
      <c r="R65" s="297">
        <v>366602</v>
      </c>
      <c r="S65" s="297">
        <v>1259894</v>
      </c>
      <c r="T65" s="297">
        <v>272204</v>
      </c>
      <c r="U65" s="297">
        <v>1083201</v>
      </c>
      <c r="V65" s="297">
        <v>29990</v>
      </c>
      <c r="W65" s="297">
        <v>112814</v>
      </c>
      <c r="X65" s="297">
        <v>19525</v>
      </c>
      <c r="Y65" s="123">
        <f t="shared" si="18"/>
        <v>-34.9</v>
      </c>
      <c r="Z65" s="297">
        <v>85124</v>
      </c>
      <c r="AA65" s="123">
        <f t="shared" si="19"/>
        <v>-24.5</v>
      </c>
      <c r="AB65" s="297">
        <f t="shared" si="531"/>
        <v>20576</v>
      </c>
      <c r="AC65" s="297">
        <f t="shared" si="531"/>
        <v>74303</v>
      </c>
      <c r="AD65" s="297">
        <f t="shared" si="531"/>
        <v>19843</v>
      </c>
      <c r="AE65" s="123">
        <f t="shared" si="54"/>
        <v>-3.6</v>
      </c>
      <c r="AF65" s="297">
        <f>AL65-Z65</f>
        <v>63962</v>
      </c>
      <c r="AG65" s="123">
        <f t="shared" si="20"/>
        <v>-13.9</v>
      </c>
      <c r="AH65" s="297">
        <v>50566</v>
      </c>
      <c r="AI65" s="297">
        <v>187117</v>
      </c>
      <c r="AJ65" s="297">
        <v>39368</v>
      </c>
      <c r="AK65" s="123">
        <f t="shared" si="21"/>
        <v>-22.1</v>
      </c>
      <c r="AL65" s="297">
        <v>149086</v>
      </c>
      <c r="AM65" s="123">
        <f t="shared" si="22"/>
        <v>-20.3</v>
      </c>
      <c r="AN65" s="297">
        <f t="shared" si="532"/>
        <v>26351</v>
      </c>
      <c r="AO65" s="297">
        <f t="shared" si="532"/>
        <v>96972</v>
      </c>
      <c r="AP65" s="297">
        <f t="shared" si="532"/>
        <v>21608</v>
      </c>
      <c r="AQ65" s="123">
        <f t="shared" si="57"/>
        <v>-18</v>
      </c>
      <c r="AR65" s="297">
        <f>AX65-AL65</f>
        <v>95151</v>
      </c>
      <c r="AS65" s="123">
        <f t="shared" si="23"/>
        <v>-1.9</v>
      </c>
      <c r="AT65" s="297">
        <v>76917</v>
      </c>
      <c r="AU65" s="297">
        <v>284089</v>
      </c>
      <c r="AV65" s="297">
        <v>60976</v>
      </c>
      <c r="AW65" s="123">
        <f t="shared" si="24"/>
        <v>-20.7</v>
      </c>
      <c r="AX65" s="297">
        <v>244237</v>
      </c>
      <c r="AY65" s="123">
        <f t="shared" si="25"/>
        <v>-14</v>
      </c>
      <c r="AZ65" s="297">
        <f t="shared" si="533"/>
        <v>24324</v>
      </c>
      <c r="BA65" s="297">
        <f t="shared" si="534"/>
        <v>105580</v>
      </c>
      <c r="BB65" s="297">
        <f t="shared" si="535"/>
        <v>22501</v>
      </c>
      <c r="BC65" s="123">
        <f t="shared" si="60"/>
        <v>-7.5</v>
      </c>
      <c r="BD65" s="297">
        <f>BJ65-AX65</f>
        <v>94433</v>
      </c>
      <c r="BE65" s="123">
        <f t="shared" si="26"/>
        <v>-10.6</v>
      </c>
      <c r="BF65" s="297">
        <v>101241</v>
      </c>
      <c r="BG65" s="297">
        <v>389669</v>
      </c>
      <c r="BH65" s="297">
        <v>83477</v>
      </c>
      <c r="BI65" s="123">
        <f t="shared" si="27"/>
        <v>-17.5</v>
      </c>
      <c r="BJ65" s="297">
        <v>338670</v>
      </c>
      <c r="BK65" s="123">
        <f t="shared" si="28"/>
        <v>-13.1</v>
      </c>
      <c r="BL65" s="297">
        <f t="shared" si="536"/>
        <v>23971</v>
      </c>
      <c r="BM65" s="297">
        <f t="shared" si="536"/>
        <v>97708</v>
      </c>
      <c r="BN65" s="297">
        <f t="shared" si="536"/>
        <v>15876</v>
      </c>
      <c r="BO65" s="123">
        <f t="shared" si="63"/>
        <v>-33.799999999999997</v>
      </c>
      <c r="BP65" s="297">
        <f>BV65-BJ65</f>
        <v>76435</v>
      </c>
      <c r="BQ65" s="123">
        <f t="shared" si="29"/>
        <v>-21.8</v>
      </c>
      <c r="BR65" s="297">
        <v>125212</v>
      </c>
      <c r="BS65" s="297">
        <v>487377</v>
      </c>
      <c r="BT65" s="297">
        <v>99353</v>
      </c>
      <c r="BU65" s="123">
        <f t="shared" si="30"/>
        <v>-20.7</v>
      </c>
      <c r="BV65" s="297">
        <v>415105</v>
      </c>
      <c r="BW65" s="123">
        <f t="shared" si="31"/>
        <v>-14.8</v>
      </c>
      <c r="BX65" s="823">
        <f t="shared" si="537"/>
        <v>26501</v>
      </c>
      <c r="BY65" s="823">
        <f t="shared" si="538"/>
        <v>88819</v>
      </c>
      <c r="BZ65" s="823">
        <f t="shared" si="539"/>
        <v>18194</v>
      </c>
      <c r="CA65" s="824">
        <f t="shared" si="66"/>
        <v>-31.3</v>
      </c>
      <c r="CB65" s="823">
        <f>CH65-BV65</f>
        <v>86794</v>
      </c>
      <c r="CC65" s="824">
        <f t="shared" si="32"/>
        <v>-2.2999999999999998</v>
      </c>
      <c r="CD65" s="844">
        <v>151713</v>
      </c>
      <c r="CE65" s="844">
        <v>576196</v>
      </c>
      <c r="CF65" s="844">
        <v>117547</v>
      </c>
      <c r="CG65" s="824">
        <f t="shared" si="33"/>
        <v>-22.5</v>
      </c>
      <c r="CH65" s="844">
        <v>501899</v>
      </c>
      <c r="CI65" s="824">
        <f t="shared" si="34"/>
        <v>-12.9</v>
      </c>
      <c r="CJ65" s="844">
        <f t="shared" si="540"/>
        <v>20392</v>
      </c>
      <c r="CK65" s="844">
        <f t="shared" si="541"/>
        <v>103158</v>
      </c>
      <c r="CL65" s="844">
        <f t="shared" si="542"/>
        <v>18628</v>
      </c>
      <c r="CM65" s="824">
        <f t="shared" si="69"/>
        <v>-8.6999999999999993</v>
      </c>
      <c r="CN65" s="844">
        <f>CT65-CH65</f>
        <v>73686</v>
      </c>
      <c r="CO65" s="824">
        <f t="shared" si="35"/>
        <v>-28.6</v>
      </c>
      <c r="CP65" s="940">
        <v>172105</v>
      </c>
      <c r="CQ65" s="940">
        <v>679354</v>
      </c>
      <c r="CR65" s="940">
        <v>136175</v>
      </c>
      <c r="CS65" s="824">
        <f t="shared" si="447"/>
        <v>-20.9</v>
      </c>
      <c r="CT65" s="940">
        <v>575585</v>
      </c>
      <c r="CU65" s="824">
        <f t="shared" si="37"/>
        <v>-15.3</v>
      </c>
      <c r="CV65" s="844">
        <f t="shared" si="543"/>
        <v>19791</v>
      </c>
      <c r="CW65" s="844">
        <f t="shared" si="544"/>
        <v>84717</v>
      </c>
      <c r="CX65" s="844">
        <f t="shared" si="545"/>
        <v>17564</v>
      </c>
      <c r="CY65" s="824">
        <f t="shared" si="72"/>
        <v>-11.3</v>
      </c>
      <c r="CZ65" s="844">
        <f>DF65-CT65</f>
        <v>63309</v>
      </c>
      <c r="DA65" s="824">
        <f t="shared" si="38"/>
        <v>-25.3</v>
      </c>
      <c r="DB65" s="844">
        <v>191896</v>
      </c>
      <c r="DC65" s="844">
        <v>764071</v>
      </c>
      <c r="DD65" s="361">
        <v>153739</v>
      </c>
      <c r="DE65" s="824">
        <f t="shared" si="39"/>
        <v>-19.899999999999999</v>
      </c>
      <c r="DF65" s="626">
        <v>638894</v>
      </c>
      <c r="DG65" s="824">
        <f t="shared" si="40"/>
        <v>-16.399999999999999</v>
      </c>
      <c r="DH65" s="844">
        <f t="shared" si="546"/>
        <v>19205</v>
      </c>
      <c r="DI65" s="844">
        <f t="shared" si="546"/>
        <v>74306</v>
      </c>
      <c r="DJ65" s="844">
        <f t="shared" si="546"/>
        <v>22617</v>
      </c>
      <c r="DK65" s="824">
        <f t="shared" si="75"/>
        <v>17.8</v>
      </c>
      <c r="DL65" s="844">
        <f>DR65-DF65</f>
        <v>68975</v>
      </c>
      <c r="DM65" s="824">
        <f t="shared" si="41"/>
        <v>-7.2</v>
      </c>
      <c r="DN65" s="844">
        <v>211101</v>
      </c>
      <c r="DO65" s="844">
        <v>838377</v>
      </c>
      <c r="DP65" s="844">
        <v>176356</v>
      </c>
      <c r="DQ65" s="824">
        <f t="shared" si="42"/>
        <v>-16.5</v>
      </c>
      <c r="DR65" s="1049">
        <v>707869</v>
      </c>
      <c r="DS65" s="824">
        <f t="shared" si="43"/>
        <v>-15.6</v>
      </c>
      <c r="DT65" s="844">
        <f t="shared" si="547"/>
        <v>20945</v>
      </c>
      <c r="DU65" s="844">
        <f t="shared" si="547"/>
        <v>84128</v>
      </c>
      <c r="DV65" s="844">
        <f t="shared" si="547"/>
        <v>20340</v>
      </c>
      <c r="DW65" s="824">
        <f t="shared" si="78"/>
        <v>-2.9</v>
      </c>
      <c r="DX65" s="844">
        <f>ED65-DR65</f>
        <v>71250</v>
      </c>
      <c r="DY65" s="824">
        <f t="shared" si="44"/>
        <v>-15.3</v>
      </c>
      <c r="DZ65" s="844">
        <v>232046</v>
      </c>
      <c r="EA65" s="844">
        <v>922505</v>
      </c>
      <c r="EB65" s="844">
        <v>196696</v>
      </c>
      <c r="EC65" s="824">
        <f t="shared" si="45"/>
        <v>-15.2</v>
      </c>
      <c r="ED65" s="1049">
        <v>779119</v>
      </c>
      <c r="EE65" s="824">
        <f t="shared" si="46"/>
        <v>-15.5</v>
      </c>
      <c r="EF65" s="844">
        <f t="shared" si="548"/>
        <v>16421</v>
      </c>
      <c r="EG65" s="844">
        <f t="shared" si="548"/>
        <v>78168</v>
      </c>
      <c r="EH65" s="844">
        <f t="shared" si="548"/>
        <v>16823</v>
      </c>
      <c r="EI65" s="824">
        <f t="shared" si="81"/>
        <v>2.4</v>
      </c>
      <c r="EJ65" s="844">
        <f>EP65-ED65</f>
        <v>75051</v>
      </c>
      <c r="EK65" s="824">
        <f t="shared" si="47"/>
        <v>-4</v>
      </c>
      <c r="EL65" s="844">
        <v>248467</v>
      </c>
      <c r="EM65" s="844">
        <v>1000673</v>
      </c>
      <c r="EN65" s="844">
        <v>213519</v>
      </c>
      <c r="EO65" s="824">
        <f t="shared" si="48"/>
        <v>-14.1</v>
      </c>
      <c r="EP65" s="1049">
        <v>854170</v>
      </c>
      <c r="EQ65" s="824">
        <f t="shared" si="49"/>
        <v>-14.6</v>
      </c>
    </row>
    <row r="66" spans="1:147">
      <c r="A66" t="s">
        <v>283</v>
      </c>
      <c r="V66" s="307"/>
      <c r="W66" s="307"/>
      <c r="AB66" s="307"/>
      <c r="AC66" s="307"/>
      <c r="AH66" s="307"/>
      <c r="AI66" s="307"/>
      <c r="AN66" s="307"/>
      <c r="AO66" s="307"/>
      <c r="AT66" s="307"/>
      <c r="AU66" s="307"/>
      <c r="AZ66" s="307"/>
      <c r="BA66" s="307"/>
      <c r="BF66" s="307"/>
      <c r="BG66" s="307"/>
      <c r="BL66" s="307"/>
      <c r="BM66" s="307"/>
      <c r="BR66" s="307"/>
      <c r="BS66" s="307"/>
      <c r="BX66" s="837"/>
      <c r="BY66" s="837"/>
      <c r="CD66" s="837"/>
      <c r="CE66" s="837"/>
      <c r="CJ66" s="837"/>
      <c r="CK66" s="837"/>
      <c r="CP66" s="837"/>
      <c r="CQ66" s="837"/>
      <c r="CV66" s="837"/>
      <c r="CW66" s="837"/>
      <c r="DB66" s="837"/>
      <c r="DC66" s="837"/>
      <c r="DH66" s="837"/>
      <c r="DI66" s="837"/>
      <c r="DN66" s="837"/>
      <c r="DO66" s="837"/>
      <c r="DT66" s="837"/>
      <c r="DU66" s="837"/>
      <c r="DZ66" s="837"/>
      <c r="EA66" s="837"/>
      <c r="EF66" s="837"/>
      <c r="EG66" s="837"/>
      <c r="EL66" s="837"/>
      <c r="EM66" s="837"/>
    </row>
    <row r="67" spans="1:147">
      <c r="V67" s="307"/>
      <c r="W67" s="307"/>
      <c r="AB67" s="307"/>
      <c r="AC67" s="307"/>
      <c r="AH67" s="307"/>
      <c r="AI67" s="307"/>
      <c r="AN67" s="307"/>
      <c r="AO67" s="307"/>
      <c r="AT67" s="307"/>
      <c r="AU67" s="307"/>
      <c r="AZ67" s="307"/>
      <c r="BA67" s="307"/>
      <c r="BF67" s="307"/>
      <c r="BG67" s="307"/>
      <c r="BL67" s="307"/>
      <c r="BM67" s="307"/>
      <c r="BR67" s="307"/>
      <c r="BS67" s="307"/>
      <c r="BX67" s="837"/>
      <c r="BY67" s="837"/>
      <c r="CD67" s="837"/>
      <c r="CE67" s="837"/>
      <c r="CJ67" s="837"/>
      <c r="CK67" s="837"/>
      <c r="CP67" s="837"/>
      <c r="CQ67" s="837"/>
      <c r="CV67" s="837"/>
      <c r="CW67" s="837"/>
      <c r="DB67" s="837"/>
      <c r="DC67" s="837"/>
      <c r="DH67" s="837"/>
      <c r="DI67" s="837"/>
      <c r="DN67" s="837"/>
      <c r="DO67" s="837"/>
      <c r="DT67" s="837"/>
      <c r="DU67" s="837"/>
      <c r="DZ67" s="837"/>
      <c r="EA67" s="837"/>
      <c r="EF67" s="837"/>
      <c r="EG67" s="837"/>
      <c r="EL67" s="837"/>
      <c r="EM67" s="837"/>
    </row>
    <row r="68" spans="1:147">
      <c r="AH68" s="307"/>
      <c r="AI68" s="307"/>
      <c r="AT68" s="307"/>
      <c r="AU68" s="307"/>
      <c r="BF68" s="307"/>
      <c r="BG68" s="307"/>
      <c r="BR68" s="307"/>
      <c r="BS68" s="307"/>
      <c r="CD68" s="837"/>
      <c r="CE68" s="837"/>
      <c r="CP68" s="837"/>
      <c r="CQ68" s="837"/>
      <c r="DB68" s="837"/>
      <c r="DC68" s="837"/>
      <c r="DH68" s="837"/>
      <c r="DI68" s="837"/>
      <c r="DN68" s="837"/>
      <c r="DO68" s="837"/>
      <c r="DT68" s="837"/>
      <c r="DU68" s="837"/>
      <c r="DZ68" s="837"/>
      <c r="EA68" s="837"/>
      <c r="EF68" s="837"/>
      <c r="EG68" s="837"/>
      <c r="EL68" s="837"/>
      <c r="EM68" s="837"/>
    </row>
    <row r="69" spans="1:147">
      <c r="CP69" s="837"/>
      <c r="DB69" s="837"/>
      <c r="DN69" s="837"/>
      <c r="DZ69" s="837"/>
      <c r="EL69" s="837"/>
    </row>
  </sheetData>
  <mergeCells count="235">
    <mergeCell ref="EJ3:EK3"/>
    <mergeCell ref="EP3:EQ3"/>
    <mergeCell ref="EF4:EK4"/>
    <mergeCell ref="EL4:EQ4"/>
    <mergeCell ref="EF5:EG5"/>
    <mergeCell ref="EH5:EK5"/>
    <mergeCell ref="EL5:EM5"/>
    <mergeCell ref="EN5:EQ5"/>
    <mergeCell ref="EF6:EF7"/>
    <mergeCell ref="EG6:EG7"/>
    <mergeCell ref="EH6:EH7"/>
    <mergeCell ref="EJ6:EJ7"/>
    <mergeCell ref="EL6:EL7"/>
    <mergeCell ref="EM6:EM7"/>
    <mergeCell ref="EN6:EN7"/>
    <mergeCell ref="EP6:EP7"/>
    <mergeCell ref="DX3:DY3"/>
    <mergeCell ref="ED3:EE3"/>
    <mergeCell ref="DT4:DY4"/>
    <mergeCell ref="DZ4:EE4"/>
    <mergeCell ref="DT5:DU5"/>
    <mergeCell ref="DV5:DY5"/>
    <mergeCell ref="DZ5:EA5"/>
    <mergeCell ref="EB5:EE5"/>
    <mergeCell ref="DT6:DT7"/>
    <mergeCell ref="DU6:DU7"/>
    <mergeCell ref="DV6:DV7"/>
    <mergeCell ref="DX6:DX7"/>
    <mergeCell ref="DZ6:DZ7"/>
    <mergeCell ref="EA6:EA7"/>
    <mergeCell ref="EB6:EB7"/>
    <mergeCell ref="ED6:ED7"/>
    <mergeCell ref="DL3:DM3"/>
    <mergeCell ref="DR3:DS3"/>
    <mergeCell ref="DH4:DM4"/>
    <mergeCell ref="DN4:DS4"/>
    <mergeCell ref="DH5:DI5"/>
    <mergeCell ref="DJ5:DM5"/>
    <mergeCell ref="DN5:DO5"/>
    <mergeCell ref="DP5:DS5"/>
    <mergeCell ref="DH6:DH7"/>
    <mergeCell ref="DI6:DI7"/>
    <mergeCell ref="DJ6:DJ7"/>
    <mergeCell ref="DL6:DL7"/>
    <mergeCell ref="DN6:DN7"/>
    <mergeCell ref="DO6:DO7"/>
    <mergeCell ref="DP6:DP7"/>
    <mergeCell ref="DR6:DR7"/>
    <mergeCell ref="CZ3:DA3"/>
    <mergeCell ref="DF3:DG3"/>
    <mergeCell ref="CV4:DA4"/>
    <mergeCell ref="DB4:DG4"/>
    <mergeCell ref="CV5:CW5"/>
    <mergeCell ref="CX5:DA5"/>
    <mergeCell ref="DB5:DC5"/>
    <mergeCell ref="DD5:DG5"/>
    <mergeCell ref="CV6:CV7"/>
    <mergeCell ref="CW6:CW7"/>
    <mergeCell ref="CX6:CX7"/>
    <mergeCell ref="CZ6:CZ7"/>
    <mergeCell ref="DB6:DB7"/>
    <mergeCell ref="DC6:DC7"/>
    <mergeCell ref="DD6:DD7"/>
    <mergeCell ref="DF6:DF7"/>
    <mergeCell ref="BD3:BE3"/>
    <mergeCell ref="BJ3:BK3"/>
    <mergeCell ref="AZ4:BE4"/>
    <mergeCell ref="BF4:BK4"/>
    <mergeCell ref="AZ5:BA5"/>
    <mergeCell ref="BB5:BE5"/>
    <mergeCell ref="BF5:BG5"/>
    <mergeCell ref="BH5:BK5"/>
    <mergeCell ref="AZ6:AZ7"/>
    <mergeCell ref="BA6:BA7"/>
    <mergeCell ref="BB6:BB7"/>
    <mergeCell ref="BD6:BD7"/>
    <mergeCell ref="BF6:BF7"/>
    <mergeCell ref="BG6:BG7"/>
    <mergeCell ref="BH6:BH7"/>
    <mergeCell ref="BJ6:BJ7"/>
    <mergeCell ref="AF3:AG3"/>
    <mergeCell ref="AB4:AG4"/>
    <mergeCell ref="AB5:AC5"/>
    <mergeCell ref="AD5:AG5"/>
    <mergeCell ref="AB6:AB7"/>
    <mergeCell ref="AC6:AC7"/>
    <mergeCell ref="AD6:AD7"/>
    <mergeCell ref="AF6:AF7"/>
    <mergeCell ref="AL3:AM3"/>
    <mergeCell ref="AH4:AM4"/>
    <mergeCell ref="AH5:AI5"/>
    <mergeCell ref="AJ5:AM5"/>
    <mergeCell ref="AH6:AH7"/>
    <mergeCell ref="AI6:AI7"/>
    <mergeCell ref="AJ6:AJ7"/>
    <mergeCell ref="AL6:AL7"/>
    <mergeCell ref="Z3:AA3"/>
    <mergeCell ref="R4:S5"/>
    <mergeCell ref="T6:T7"/>
    <mergeCell ref="U6:U7"/>
    <mergeCell ref="T4:U5"/>
    <mergeCell ref="V4:AA4"/>
    <mergeCell ref="V5:W5"/>
    <mergeCell ref="X5:AA5"/>
    <mergeCell ref="V6:V7"/>
    <mergeCell ref="W6:W7"/>
    <mergeCell ref="X6:X7"/>
    <mergeCell ref="Z6:Z7"/>
    <mergeCell ref="S6:S7"/>
    <mergeCell ref="C4:C5"/>
    <mergeCell ref="N4:O5"/>
    <mergeCell ref="P4:Q5"/>
    <mergeCell ref="H6:H7"/>
    <mergeCell ref="D4:E5"/>
    <mergeCell ref="F4:G5"/>
    <mergeCell ref="H4:I5"/>
    <mergeCell ref="J4:K5"/>
    <mergeCell ref="L4:M5"/>
    <mergeCell ref="I6:I7"/>
    <mergeCell ref="J6:J7"/>
    <mergeCell ref="K6:K7"/>
    <mergeCell ref="L6:L7"/>
    <mergeCell ref="M6:M7"/>
    <mergeCell ref="D6:D7"/>
    <mergeCell ref="E6:E7"/>
    <mergeCell ref="A8:A15"/>
    <mergeCell ref="B8:B9"/>
    <mergeCell ref="B10:B11"/>
    <mergeCell ref="B12:B13"/>
    <mergeCell ref="B14:B15"/>
    <mergeCell ref="O6:O7"/>
    <mergeCell ref="P6:P7"/>
    <mergeCell ref="Q6:Q7"/>
    <mergeCell ref="R6:R7"/>
    <mergeCell ref="F6:F7"/>
    <mergeCell ref="G6:G7"/>
    <mergeCell ref="A6:B7"/>
    <mergeCell ref="C6:C7"/>
    <mergeCell ref="N6:N7"/>
    <mergeCell ref="A24:A31"/>
    <mergeCell ref="B24:B25"/>
    <mergeCell ref="B26:B27"/>
    <mergeCell ref="B28:B29"/>
    <mergeCell ref="B30:B31"/>
    <mergeCell ref="A16:A23"/>
    <mergeCell ref="B16:B17"/>
    <mergeCell ref="B18:B19"/>
    <mergeCell ref="B20:B21"/>
    <mergeCell ref="B22:B23"/>
    <mergeCell ref="A40:A47"/>
    <mergeCell ref="B40:B41"/>
    <mergeCell ref="B42:B43"/>
    <mergeCell ref="B44:B45"/>
    <mergeCell ref="B46:B47"/>
    <mergeCell ref="A32:A39"/>
    <mergeCell ref="B32:B33"/>
    <mergeCell ref="B34:B35"/>
    <mergeCell ref="B36:B37"/>
    <mergeCell ref="B38:B39"/>
    <mergeCell ref="A64:A65"/>
    <mergeCell ref="B64:B65"/>
    <mergeCell ref="A48:A55"/>
    <mergeCell ref="B48:B49"/>
    <mergeCell ref="B50:B51"/>
    <mergeCell ref="B52:B53"/>
    <mergeCell ref="B54:B55"/>
    <mergeCell ref="A56:A63"/>
    <mergeCell ref="B56:B57"/>
    <mergeCell ref="B58:B59"/>
    <mergeCell ref="B60:B61"/>
    <mergeCell ref="B62:B63"/>
    <mergeCell ref="AU6:AU7"/>
    <mergeCell ref="AV6:AV7"/>
    <mergeCell ref="AX6:AX7"/>
    <mergeCell ref="AN6:AN7"/>
    <mergeCell ref="AO6:AO7"/>
    <mergeCell ref="AP6:AP7"/>
    <mergeCell ref="AR6:AR7"/>
    <mergeCell ref="AT6:AT7"/>
    <mergeCell ref="AR3:AS3"/>
    <mergeCell ref="AX3:AY3"/>
    <mergeCell ref="AN4:AS4"/>
    <mergeCell ref="AT4:AY4"/>
    <mergeCell ref="AN5:AO5"/>
    <mergeCell ref="AP5:AS5"/>
    <mergeCell ref="AT5:AU5"/>
    <mergeCell ref="AV5:AY5"/>
    <mergeCell ref="BP3:BQ3"/>
    <mergeCell ref="BV3:BW3"/>
    <mergeCell ref="BL4:BQ4"/>
    <mergeCell ref="BR4:BW4"/>
    <mergeCell ref="BL5:BM5"/>
    <mergeCell ref="BN5:BQ5"/>
    <mergeCell ref="BR5:BS5"/>
    <mergeCell ref="BT5:BW5"/>
    <mergeCell ref="BL6:BL7"/>
    <mergeCell ref="BM6:BM7"/>
    <mergeCell ref="BN6:BN7"/>
    <mergeCell ref="BP6:BP7"/>
    <mergeCell ref="BR6:BR7"/>
    <mergeCell ref="BS6:BS7"/>
    <mergeCell ref="BT6:BT7"/>
    <mergeCell ref="BV6:BV7"/>
    <mergeCell ref="CB3:CC3"/>
    <mergeCell ref="CH3:CI3"/>
    <mergeCell ref="BX4:CC4"/>
    <mergeCell ref="CD4:CI4"/>
    <mergeCell ref="BX5:BY5"/>
    <mergeCell ref="BZ5:CC5"/>
    <mergeCell ref="CD5:CE5"/>
    <mergeCell ref="CF5:CI5"/>
    <mergeCell ref="BX6:BX7"/>
    <mergeCell ref="BY6:BY7"/>
    <mergeCell ref="BZ6:BZ7"/>
    <mergeCell ref="CB6:CB7"/>
    <mergeCell ref="CD6:CD7"/>
    <mergeCell ref="CE6:CE7"/>
    <mergeCell ref="CF6:CF7"/>
    <mergeCell ref="CH6:CH7"/>
    <mergeCell ref="CN3:CO3"/>
    <mergeCell ref="CT3:CU3"/>
    <mergeCell ref="CJ4:CO4"/>
    <mergeCell ref="CP4:CU4"/>
    <mergeCell ref="CJ5:CK5"/>
    <mergeCell ref="CL5:CO5"/>
    <mergeCell ref="CP5:CQ5"/>
    <mergeCell ref="CR5:CU5"/>
    <mergeCell ref="CJ6:CJ7"/>
    <mergeCell ref="CK6:CK7"/>
    <mergeCell ref="CL6:CL7"/>
    <mergeCell ref="CN6:CN7"/>
    <mergeCell ref="CP6:CP7"/>
    <mergeCell ref="CQ6:CQ7"/>
    <mergeCell ref="CR6:CR7"/>
    <mergeCell ref="CT6:CT7"/>
  </mergeCells>
  <phoneticPr fontId="2" type="noConversion"/>
  <printOptions horizontalCentered="1"/>
  <pageMargins left="0.19685039370078741" right="0.19685039370078741" top="0.74803149606299213" bottom="0.35433070866141736" header="0.31496062992125984" footer="0.19685039370078741"/>
  <pageSetup paperSize="9" scale="70" orientation="landscape" r:id="rId1"/>
  <rowBreaks count="2" manualBreakCount="2">
    <brk id="31" max="16383" man="1"/>
    <brk id="5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99"/>
  <sheetViews>
    <sheetView topLeftCell="A361" workbookViewId="0">
      <selection activeCell="A361" sqref="A361:G361"/>
    </sheetView>
  </sheetViews>
  <sheetFormatPr defaultRowHeight="16.5"/>
  <cols>
    <col min="1" max="1" width="22.625" style="47" customWidth="1"/>
    <col min="2" max="4" width="12.625" style="48" customWidth="1"/>
    <col min="5" max="5" width="8.625" style="49" customWidth="1"/>
    <col min="6" max="6" width="12.625" style="48" customWidth="1"/>
    <col min="7" max="7" width="8.625" style="49" customWidth="1"/>
    <col min="8" max="16384" width="9" style="291"/>
  </cols>
  <sheetData>
    <row r="1" spans="1:7" ht="22.5" hidden="1">
      <c r="A1" s="1143" t="s">
        <v>447</v>
      </c>
      <c r="B1" s="1143"/>
      <c r="C1" s="1143"/>
      <c r="D1" s="1143"/>
      <c r="E1" s="1143"/>
      <c r="F1" s="1143"/>
      <c r="G1" s="1143"/>
    </row>
    <row r="2" spans="1:7" hidden="1"/>
    <row r="3" spans="1:7" hidden="1">
      <c r="F3" s="1144" t="s">
        <v>80</v>
      </c>
      <c r="G3" s="1144"/>
    </row>
    <row r="4" spans="1:7" ht="21.75" hidden="1" customHeight="1">
      <c r="A4" s="1115" t="s">
        <v>43</v>
      </c>
      <c r="B4" s="1115" t="s">
        <v>503</v>
      </c>
      <c r="C4" s="1115"/>
      <c r="D4" s="1115"/>
      <c r="E4" s="1115"/>
      <c r="F4" s="1115"/>
      <c r="G4" s="1115"/>
    </row>
    <row r="5" spans="1:7" ht="21" hidden="1" customHeight="1">
      <c r="A5" s="1115"/>
      <c r="B5" s="1115" t="s">
        <v>314</v>
      </c>
      <c r="C5" s="1115"/>
      <c r="D5" s="1115" t="s">
        <v>444</v>
      </c>
      <c r="E5" s="1115"/>
      <c r="F5" s="1115"/>
      <c r="G5" s="1115"/>
    </row>
    <row r="6" spans="1:7" ht="16.5" hidden="1" customHeight="1">
      <c r="A6" s="1115"/>
      <c r="B6" s="1115" t="s">
        <v>44</v>
      </c>
      <c r="C6" s="1115" t="s">
        <v>45</v>
      </c>
      <c r="D6" s="1146" t="s">
        <v>46</v>
      </c>
      <c r="E6" s="50"/>
      <c r="F6" s="1146" t="s">
        <v>45</v>
      </c>
      <c r="G6" s="50"/>
    </row>
    <row r="7" spans="1:7" ht="16.5" hidden="1" customHeight="1" thickBot="1">
      <c r="A7" s="1145"/>
      <c r="B7" s="1145"/>
      <c r="C7" s="1145"/>
      <c r="D7" s="1145"/>
      <c r="E7" s="51" t="s">
        <v>49</v>
      </c>
      <c r="F7" s="1145"/>
      <c r="G7" s="51" t="s">
        <v>49</v>
      </c>
    </row>
    <row r="8" spans="1:7" ht="19.5" hidden="1" customHeight="1" thickTop="1">
      <c r="A8" s="43" t="s">
        <v>50</v>
      </c>
      <c r="B8" s="188">
        <f>국가별수출!AD48-국가별수출!AD8</f>
        <v>41798</v>
      </c>
      <c r="C8" s="188">
        <f>국가별수출!AE48-국가별수출!AE8</f>
        <v>234104</v>
      </c>
      <c r="D8" s="188">
        <f>국가별수출!AF48-국가별수출!AF8</f>
        <v>34492</v>
      </c>
      <c r="E8" s="41">
        <f>ROUND(((D8/B8-1)*100),1)</f>
        <v>-17.5</v>
      </c>
      <c r="F8" s="188">
        <f>국가별수출!AH48-국가별수출!AH8</f>
        <v>156441</v>
      </c>
      <c r="G8" s="41">
        <f>ROUND(((F8/C8-1)*100),1)</f>
        <v>-33.200000000000003</v>
      </c>
    </row>
    <row r="9" spans="1:7" ht="19.5" hidden="1" customHeight="1">
      <c r="A9" s="43" t="s">
        <v>51</v>
      </c>
      <c r="B9" s="188">
        <f>국가별수출!AD49-국가별수출!AD9</f>
        <v>31905</v>
      </c>
      <c r="C9" s="188">
        <f>국가별수출!AE49-국가별수출!AE9</f>
        <v>110659</v>
      </c>
      <c r="D9" s="188">
        <f>국가별수출!AF49-국가별수출!AF9</f>
        <v>42312</v>
      </c>
      <c r="E9" s="41">
        <f t="shared" ref="E9:E38" si="0">ROUND(((D9/B9-1)*100),1)</f>
        <v>32.6</v>
      </c>
      <c r="F9" s="188">
        <f>국가별수출!AH49-국가별수출!AH9</f>
        <v>142599</v>
      </c>
      <c r="G9" s="41">
        <f t="shared" ref="G9:G38" si="1">ROUND(((F9/C9-1)*100),1)</f>
        <v>28.9</v>
      </c>
    </row>
    <row r="10" spans="1:7" ht="19.5" hidden="1" customHeight="1">
      <c r="A10" s="43" t="s">
        <v>53</v>
      </c>
      <c r="B10" s="188">
        <f>국가별수출!AD50-국가별수출!AD10</f>
        <v>22898</v>
      </c>
      <c r="C10" s="188">
        <f>국가별수출!AE50-국가별수출!AE10</f>
        <v>82400</v>
      </c>
      <c r="D10" s="188">
        <f>국가별수출!AF50-국가별수출!AF10</f>
        <v>16873</v>
      </c>
      <c r="E10" s="41">
        <f t="shared" si="0"/>
        <v>-26.3</v>
      </c>
      <c r="F10" s="188">
        <f>국가별수출!AH50-국가별수출!AH10</f>
        <v>70783</v>
      </c>
      <c r="G10" s="41">
        <f t="shared" si="1"/>
        <v>-14.1</v>
      </c>
    </row>
    <row r="11" spans="1:7" ht="19.5" hidden="1" customHeight="1">
      <c r="A11" s="43" t="s">
        <v>52</v>
      </c>
      <c r="B11" s="188">
        <f>국가별수출!AD51-국가별수출!AD11</f>
        <v>20648</v>
      </c>
      <c r="C11" s="188">
        <f>국가별수출!AE51-국가별수출!AE11</f>
        <v>59714</v>
      </c>
      <c r="D11" s="188">
        <f>국가별수출!AF51-국가별수출!AF11</f>
        <v>31243</v>
      </c>
      <c r="E11" s="41">
        <f t="shared" si="0"/>
        <v>51.3</v>
      </c>
      <c r="F11" s="188">
        <f>국가별수출!AH51-국가별수출!AH11</f>
        <v>79493</v>
      </c>
      <c r="G11" s="41">
        <f t="shared" si="1"/>
        <v>33.1</v>
      </c>
    </row>
    <row r="12" spans="1:7" ht="19.5" hidden="1" customHeight="1">
      <c r="A12" s="43" t="s">
        <v>54</v>
      </c>
      <c r="B12" s="188">
        <f>국가별수출!AD52-국가별수출!AD12</f>
        <v>9038</v>
      </c>
      <c r="C12" s="188">
        <f>국가별수출!AE52-국가별수출!AE12</f>
        <v>48709</v>
      </c>
      <c r="D12" s="188">
        <f>국가별수출!AF52-국가별수출!AF12</f>
        <v>10323</v>
      </c>
      <c r="E12" s="41">
        <f t="shared" si="0"/>
        <v>14.2</v>
      </c>
      <c r="F12" s="188">
        <f>국가별수출!AH52-국가별수출!AH12</f>
        <v>46619</v>
      </c>
      <c r="G12" s="41">
        <f t="shared" si="1"/>
        <v>-4.3</v>
      </c>
    </row>
    <row r="13" spans="1:7" ht="19.5" hidden="1" customHeight="1">
      <c r="A13" s="43" t="s">
        <v>56</v>
      </c>
      <c r="B13" s="188">
        <f>국가별수출!AD53-국가별수출!AD13</f>
        <v>8949</v>
      </c>
      <c r="C13" s="188">
        <f>국가별수출!AE53-국가별수출!AE13</f>
        <v>36070</v>
      </c>
      <c r="D13" s="188">
        <f>국가별수출!AF53-국가별수출!AF13</f>
        <v>12548</v>
      </c>
      <c r="E13" s="41">
        <f t="shared" si="0"/>
        <v>40.200000000000003</v>
      </c>
      <c r="F13" s="188">
        <f>국가별수출!AH53-국가별수출!AH13</f>
        <v>52853</v>
      </c>
      <c r="G13" s="41">
        <f t="shared" si="1"/>
        <v>46.5</v>
      </c>
    </row>
    <row r="14" spans="1:7" ht="19.5" hidden="1" customHeight="1">
      <c r="A14" s="43" t="s">
        <v>57</v>
      </c>
      <c r="B14" s="188">
        <f>국가별수출!AD54-국가별수출!AD14</f>
        <v>7175</v>
      </c>
      <c r="C14" s="188">
        <f>국가별수출!AE54-국가별수출!AE14</f>
        <v>33796</v>
      </c>
      <c r="D14" s="188">
        <f>국가별수출!AF54-국가별수출!AF14</f>
        <v>8961</v>
      </c>
      <c r="E14" s="41">
        <f t="shared" si="0"/>
        <v>24.9</v>
      </c>
      <c r="F14" s="188">
        <f>국가별수출!AH54-국가별수출!AH14</f>
        <v>47075</v>
      </c>
      <c r="G14" s="41">
        <f t="shared" si="1"/>
        <v>39.299999999999997</v>
      </c>
    </row>
    <row r="15" spans="1:7" ht="19.5" hidden="1" customHeight="1">
      <c r="A15" s="43" t="s">
        <v>55</v>
      </c>
      <c r="B15" s="188">
        <f>국가별수출!AD55-국가별수출!AD15</f>
        <v>7597</v>
      </c>
      <c r="C15" s="188">
        <f>국가별수출!AE55-국가별수출!AE15</f>
        <v>26118</v>
      </c>
      <c r="D15" s="188">
        <f>국가별수출!AF55-국가별수출!AF15</f>
        <v>9285</v>
      </c>
      <c r="E15" s="41">
        <f t="shared" si="0"/>
        <v>22.2</v>
      </c>
      <c r="F15" s="188">
        <f>국가별수출!AH55-국가별수출!AH15</f>
        <v>33332</v>
      </c>
      <c r="G15" s="41">
        <f t="shared" si="1"/>
        <v>27.6</v>
      </c>
    </row>
    <row r="16" spans="1:7" ht="19.5" hidden="1" customHeight="1">
      <c r="A16" s="43" t="s">
        <v>59</v>
      </c>
      <c r="B16" s="188">
        <f>국가별수출!AD56-국가별수출!AD16</f>
        <v>3487</v>
      </c>
      <c r="C16" s="188">
        <f>국가별수출!AE56-국가별수출!AE16</f>
        <v>22590</v>
      </c>
      <c r="D16" s="188">
        <f>국가별수출!AF56-국가별수출!AF16</f>
        <v>5239</v>
      </c>
      <c r="E16" s="41">
        <f t="shared" si="0"/>
        <v>50.2</v>
      </c>
      <c r="F16" s="188">
        <f>국가별수출!AH56-국가별수출!AH16</f>
        <v>31969</v>
      </c>
      <c r="G16" s="41">
        <f t="shared" si="1"/>
        <v>41.5</v>
      </c>
    </row>
    <row r="17" spans="1:7" ht="19.5" hidden="1" customHeight="1">
      <c r="A17" s="43" t="s">
        <v>58</v>
      </c>
      <c r="B17" s="188">
        <f>국가별수출!AD57-국가별수출!AD17</f>
        <v>8166</v>
      </c>
      <c r="C17" s="188">
        <f>국가별수출!AE57-국가별수출!AE17</f>
        <v>24319</v>
      </c>
      <c r="D17" s="188">
        <f>국가별수출!AF57-국가별수출!AF17</f>
        <v>6452</v>
      </c>
      <c r="E17" s="41">
        <f t="shared" si="0"/>
        <v>-21</v>
      </c>
      <c r="F17" s="188">
        <f>국가별수출!AH57-국가별수출!AH17</f>
        <v>20144</v>
      </c>
      <c r="G17" s="41">
        <f t="shared" si="1"/>
        <v>-17.2</v>
      </c>
    </row>
    <row r="18" spans="1:7" ht="19.5" hidden="1" customHeight="1">
      <c r="A18" s="43" t="s">
        <v>61</v>
      </c>
      <c r="B18" s="188">
        <f>국가별수출!AD58-국가별수출!AD18</f>
        <v>6585</v>
      </c>
      <c r="C18" s="188">
        <f>국가별수출!AE58-국가별수출!AE18</f>
        <v>23872</v>
      </c>
      <c r="D18" s="188">
        <f>국가별수출!AF58-국가별수출!AF18</f>
        <v>4838</v>
      </c>
      <c r="E18" s="41">
        <f t="shared" si="0"/>
        <v>-26.5</v>
      </c>
      <c r="F18" s="188">
        <f>국가별수출!AH58-국가별수출!AH18</f>
        <v>18958</v>
      </c>
      <c r="G18" s="41">
        <f t="shared" si="1"/>
        <v>-20.6</v>
      </c>
    </row>
    <row r="19" spans="1:7" ht="19.5" hidden="1" customHeight="1">
      <c r="A19" s="43" t="s">
        <v>60</v>
      </c>
      <c r="B19" s="188">
        <f>국가별수출!AD59-국가별수출!AD19</f>
        <v>5592</v>
      </c>
      <c r="C19" s="188">
        <f>국가별수출!AE59-국가별수출!AE19</f>
        <v>22208</v>
      </c>
      <c r="D19" s="188">
        <f>국가별수출!AF59-국가별수출!AF19</f>
        <v>2353</v>
      </c>
      <c r="E19" s="41">
        <f t="shared" si="0"/>
        <v>-57.9</v>
      </c>
      <c r="F19" s="188">
        <f>국가별수출!AH59-국가별수출!AH19</f>
        <v>10366</v>
      </c>
      <c r="G19" s="41">
        <f t="shared" si="1"/>
        <v>-53.3</v>
      </c>
    </row>
    <row r="20" spans="1:7" ht="19.5" hidden="1" customHeight="1">
      <c r="A20" s="43" t="s">
        <v>65</v>
      </c>
      <c r="B20" s="188">
        <f>국가별수출!AD60-국가별수출!AD20</f>
        <v>4112</v>
      </c>
      <c r="C20" s="188">
        <f>국가별수출!AE60-국가별수출!AE20</f>
        <v>13496</v>
      </c>
      <c r="D20" s="188">
        <f>국가별수출!AF60-국가별수출!AF20</f>
        <v>4742</v>
      </c>
      <c r="E20" s="41">
        <f t="shared" si="0"/>
        <v>15.3</v>
      </c>
      <c r="F20" s="188">
        <f>국가별수출!AH60-국가별수출!AH20</f>
        <v>13676</v>
      </c>
      <c r="G20" s="41">
        <f t="shared" si="1"/>
        <v>1.3</v>
      </c>
    </row>
    <row r="21" spans="1:7" ht="19.5" hidden="1" customHeight="1">
      <c r="A21" s="43" t="s">
        <v>63</v>
      </c>
      <c r="B21" s="188">
        <f>국가별수출!AD61-국가별수출!AD21</f>
        <v>2629</v>
      </c>
      <c r="C21" s="188">
        <f>국가별수출!AE61-국가별수출!AE21</f>
        <v>7938</v>
      </c>
      <c r="D21" s="188">
        <f>국가별수출!AF61-국가별수출!AF21</f>
        <v>4591</v>
      </c>
      <c r="E21" s="41">
        <f t="shared" si="0"/>
        <v>74.599999999999994</v>
      </c>
      <c r="F21" s="188">
        <f>국가별수출!AH61-국가별수출!AH21</f>
        <v>13236</v>
      </c>
      <c r="G21" s="41">
        <f t="shared" si="1"/>
        <v>66.7</v>
      </c>
    </row>
    <row r="22" spans="1:7" ht="19.5" hidden="1" customHeight="1">
      <c r="A22" s="43" t="s">
        <v>64</v>
      </c>
      <c r="B22" s="188">
        <f>국가별수출!AD62-국가별수출!AD22</f>
        <v>2343</v>
      </c>
      <c r="C22" s="188">
        <f>국가별수출!AE62-국가별수출!AE22</f>
        <v>7750</v>
      </c>
      <c r="D22" s="188">
        <f>국가별수출!AF62-국가별수출!AF22</f>
        <v>2721</v>
      </c>
      <c r="E22" s="41">
        <f t="shared" si="0"/>
        <v>16.100000000000001</v>
      </c>
      <c r="F22" s="188">
        <f>국가별수출!AH62-국가별수출!AH22</f>
        <v>8581</v>
      </c>
      <c r="G22" s="41">
        <f t="shared" si="1"/>
        <v>10.7</v>
      </c>
    </row>
    <row r="23" spans="1:7" ht="19.5" hidden="1" customHeight="1">
      <c r="A23" s="43" t="s">
        <v>62</v>
      </c>
      <c r="B23" s="188">
        <f>국가별수출!AD63-국가별수출!AD23</f>
        <v>1839</v>
      </c>
      <c r="C23" s="188">
        <f>국가별수출!AE63-국가별수출!AE23</f>
        <v>6196</v>
      </c>
      <c r="D23" s="188">
        <f>국가별수출!AF63-국가별수출!AF23</f>
        <v>2478</v>
      </c>
      <c r="E23" s="41">
        <f t="shared" si="0"/>
        <v>34.700000000000003</v>
      </c>
      <c r="F23" s="188">
        <f>국가별수출!AH63-국가별수출!AH23</f>
        <v>7252</v>
      </c>
      <c r="G23" s="41">
        <f t="shared" si="1"/>
        <v>17</v>
      </c>
    </row>
    <row r="24" spans="1:7" ht="19.5" hidden="1" customHeight="1">
      <c r="A24" s="43" t="s">
        <v>448</v>
      </c>
      <c r="B24" s="188">
        <f>국가별수출!AD64-국가별수출!AD24</f>
        <v>612</v>
      </c>
      <c r="C24" s="188">
        <f>국가별수출!AE64-국가별수출!AE24</f>
        <v>6846</v>
      </c>
      <c r="D24" s="188">
        <f>국가별수출!AF64-국가별수출!AF24</f>
        <v>974</v>
      </c>
      <c r="E24" s="41">
        <f t="shared" si="0"/>
        <v>59.2</v>
      </c>
      <c r="F24" s="188">
        <f>국가별수출!AH64-국가별수출!AH24</f>
        <v>10251</v>
      </c>
      <c r="G24" s="41">
        <f t="shared" si="1"/>
        <v>49.7</v>
      </c>
    </row>
    <row r="25" spans="1:7" ht="19.5" hidden="1" customHeight="1">
      <c r="A25" s="43" t="s">
        <v>77</v>
      </c>
      <c r="B25" s="188">
        <f>국가별수출!AD65-국가별수출!AD25</f>
        <v>2491</v>
      </c>
      <c r="C25" s="188">
        <f>국가별수출!AE65-국가별수출!AE25</f>
        <v>5799</v>
      </c>
      <c r="D25" s="188">
        <f>국가별수출!AF65-국가별수출!AF25</f>
        <v>2841</v>
      </c>
      <c r="E25" s="41">
        <f t="shared" si="0"/>
        <v>14.1</v>
      </c>
      <c r="F25" s="188">
        <f>국가별수출!AH65-국가별수출!AH25</f>
        <v>7917</v>
      </c>
      <c r="G25" s="41">
        <f t="shared" si="1"/>
        <v>36.5</v>
      </c>
    </row>
    <row r="26" spans="1:7" ht="19.5" hidden="1" customHeight="1">
      <c r="A26" s="43" t="s">
        <v>75</v>
      </c>
      <c r="B26" s="188">
        <f>국가별수출!AD66-국가별수출!AD26</f>
        <v>1983</v>
      </c>
      <c r="C26" s="188">
        <f>국가별수출!AE66-국가별수출!AE26</f>
        <v>6238</v>
      </c>
      <c r="D26" s="188">
        <f>국가별수출!AF66-국가별수출!AF26</f>
        <v>2488</v>
      </c>
      <c r="E26" s="41">
        <f t="shared" si="0"/>
        <v>25.5</v>
      </c>
      <c r="F26" s="188">
        <f>국가별수출!AH66-국가별수출!AH26</f>
        <v>7423</v>
      </c>
      <c r="G26" s="41">
        <f t="shared" si="1"/>
        <v>19</v>
      </c>
    </row>
    <row r="27" spans="1:7" ht="19.5" hidden="1" customHeight="1">
      <c r="A27" s="43" t="s">
        <v>449</v>
      </c>
      <c r="B27" s="188">
        <f>국가별수출!AD67-국가별수출!AD27</f>
        <v>301</v>
      </c>
      <c r="C27" s="188">
        <f>국가별수출!AE67-국가별수출!AE27</f>
        <v>3099</v>
      </c>
      <c r="D27" s="188">
        <f>국가별수출!AF67-국가별수출!AF27</f>
        <v>661</v>
      </c>
      <c r="E27" s="41">
        <f t="shared" si="0"/>
        <v>119.6</v>
      </c>
      <c r="F27" s="188">
        <f>국가별수출!AH67-국가별수출!AH27</f>
        <v>4637</v>
      </c>
      <c r="G27" s="41">
        <f t="shared" si="1"/>
        <v>49.6</v>
      </c>
    </row>
    <row r="28" spans="1:7" ht="19.5" hidden="1" customHeight="1">
      <c r="A28" s="43" t="s">
        <v>68</v>
      </c>
      <c r="B28" s="188">
        <f>국가별수출!AD68-국가별수출!AD28</f>
        <v>961</v>
      </c>
      <c r="C28" s="188">
        <f>국가별수출!AE68-국가별수출!AE28</f>
        <v>5344</v>
      </c>
      <c r="D28" s="188">
        <f>국가별수출!AF68-국가별수출!AF28</f>
        <v>373</v>
      </c>
      <c r="E28" s="41">
        <f t="shared" si="0"/>
        <v>-61.2</v>
      </c>
      <c r="F28" s="188">
        <f>국가별수출!AH68-국가별수출!AH28</f>
        <v>3067</v>
      </c>
      <c r="G28" s="41">
        <f t="shared" si="1"/>
        <v>-42.6</v>
      </c>
    </row>
    <row r="29" spans="1:7" ht="19.5" hidden="1" customHeight="1">
      <c r="A29" s="43" t="s">
        <v>66</v>
      </c>
      <c r="B29" s="188">
        <f>국가별수출!AD69-국가별수출!AD29</f>
        <v>796</v>
      </c>
      <c r="C29" s="188">
        <f>국가별수출!AE69-국가별수출!AE29</f>
        <v>3999</v>
      </c>
      <c r="D29" s="188">
        <f>국가별수출!AF69-국가별수출!AF29</f>
        <v>736</v>
      </c>
      <c r="E29" s="41">
        <f t="shared" si="0"/>
        <v>-7.5</v>
      </c>
      <c r="F29" s="188">
        <f>국가별수출!AH69-국가별수출!AH29</f>
        <v>4049</v>
      </c>
      <c r="G29" s="41">
        <f t="shared" si="1"/>
        <v>1.3</v>
      </c>
    </row>
    <row r="30" spans="1:7" ht="19.5" hidden="1" customHeight="1">
      <c r="A30" s="43" t="s">
        <v>73</v>
      </c>
      <c r="B30" s="188">
        <f>국가별수출!AD70-국가별수출!AD30</f>
        <v>1142</v>
      </c>
      <c r="C30" s="188">
        <f>국가별수출!AE70-국가별수출!AE30</f>
        <v>3254</v>
      </c>
      <c r="D30" s="188">
        <f>국가별수출!AF70-국가별수출!AF30</f>
        <v>379</v>
      </c>
      <c r="E30" s="41">
        <f t="shared" si="0"/>
        <v>-66.8</v>
      </c>
      <c r="F30" s="188">
        <f>국가별수출!AH70-국가별수출!AH30</f>
        <v>1809</v>
      </c>
      <c r="G30" s="41">
        <f t="shared" si="1"/>
        <v>-44.4</v>
      </c>
    </row>
    <row r="31" spans="1:7" ht="19.5" hidden="1" customHeight="1">
      <c r="A31" s="43" t="s">
        <v>71</v>
      </c>
      <c r="B31" s="188">
        <f>국가별수출!AD71-국가별수출!AD31</f>
        <v>466</v>
      </c>
      <c r="C31" s="188">
        <f>국가별수출!AE71-국가별수출!AE31</f>
        <v>3410</v>
      </c>
      <c r="D31" s="188">
        <f>국가별수출!AF71-국가별수출!AF31</f>
        <v>354</v>
      </c>
      <c r="E31" s="41">
        <f t="shared" si="0"/>
        <v>-24</v>
      </c>
      <c r="F31" s="188">
        <f>국가별수출!AH71-국가별수출!AH31</f>
        <v>2034</v>
      </c>
      <c r="G31" s="41">
        <f t="shared" si="1"/>
        <v>-40.4</v>
      </c>
    </row>
    <row r="32" spans="1:7" ht="19.5" hidden="1" customHeight="1">
      <c r="A32" s="33" t="s">
        <v>70</v>
      </c>
      <c r="B32" s="188">
        <f>국가별수출!AD72-국가별수출!AD32</f>
        <v>1302</v>
      </c>
      <c r="C32" s="188">
        <f>국가별수출!AE72-국가별수출!AE32</f>
        <v>3168</v>
      </c>
      <c r="D32" s="188">
        <f>국가별수출!AF72-국가별수출!AF32</f>
        <v>2293</v>
      </c>
      <c r="E32" s="41">
        <f t="shared" si="0"/>
        <v>76.099999999999994</v>
      </c>
      <c r="F32" s="188">
        <f>국가별수출!AH72-국가별수출!AH32</f>
        <v>5394</v>
      </c>
      <c r="G32" s="41">
        <f t="shared" si="1"/>
        <v>70.3</v>
      </c>
    </row>
    <row r="33" spans="1:7" ht="19.5" hidden="1" customHeight="1">
      <c r="A33" s="43" t="s">
        <v>74</v>
      </c>
      <c r="B33" s="188">
        <f>국가별수출!AD73-국가별수출!AD33</f>
        <v>722</v>
      </c>
      <c r="C33" s="188">
        <f>국가별수출!AE73-국가별수출!AE33</f>
        <v>2437</v>
      </c>
      <c r="D33" s="188">
        <f>국가별수출!AF73-국가별수출!AF33</f>
        <v>837</v>
      </c>
      <c r="E33" s="41">
        <f t="shared" si="0"/>
        <v>15.9</v>
      </c>
      <c r="F33" s="188">
        <f>국가별수출!AH73-국가별수출!AH33</f>
        <v>3043</v>
      </c>
      <c r="G33" s="41">
        <f t="shared" si="1"/>
        <v>24.9</v>
      </c>
    </row>
    <row r="34" spans="1:7" ht="19.5" hidden="1" customHeight="1">
      <c r="A34" s="33" t="s">
        <v>88</v>
      </c>
      <c r="B34" s="188">
        <f>국가별수출!AD74-국가별수출!AD34</f>
        <v>3392</v>
      </c>
      <c r="C34" s="188">
        <f>국가별수출!AE74-국가별수출!AE34</f>
        <v>7902</v>
      </c>
      <c r="D34" s="188">
        <f>국가별수출!AF74-국가별수출!AF34</f>
        <v>631</v>
      </c>
      <c r="E34" s="41">
        <f t="shared" si="0"/>
        <v>-81.400000000000006</v>
      </c>
      <c r="F34" s="188">
        <f>국가별수출!AH74-국가별수출!AH34</f>
        <v>1385</v>
      </c>
      <c r="G34" s="41">
        <f t="shared" si="1"/>
        <v>-82.5</v>
      </c>
    </row>
    <row r="35" spans="1:7" ht="19.5" hidden="1" customHeight="1">
      <c r="A35" s="33" t="s">
        <v>67</v>
      </c>
      <c r="B35" s="188">
        <f>국가별수출!AD75-국가별수출!AD35</f>
        <v>1035</v>
      </c>
      <c r="C35" s="188">
        <f>국가별수출!AE75-국가별수출!AE35</f>
        <v>2750</v>
      </c>
      <c r="D35" s="188">
        <f>국가별수출!AF75-국가별수출!AF35</f>
        <v>1403</v>
      </c>
      <c r="E35" s="41">
        <f t="shared" si="0"/>
        <v>35.6</v>
      </c>
      <c r="F35" s="188">
        <f>국가별수출!AH75-국가별수출!AH35</f>
        <v>3262</v>
      </c>
      <c r="G35" s="41">
        <f t="shared" si="1"/>
        <v>18.600000000000001</v>
      </c>
    </row>
    <row r="36" spans="1:7" ht="19.5" hidden="1" customHeight="1">
      <c r="A36" s="43" t="s">
        <v>72</v>
      </c>
      <c r="B36" s="188">
        <f>국가별수출!AD76-국가별수출!AD36</f>
        <v>425</v>
      </c>
      <c r="C36" s="188">
        <f>국가별수출!AE76-국가별수출!AE36</f>
        <v>2757</v>
      </c>
      <c r="D36" s="188">
        <f>국가별수출!AF76-국가별수출!AF36</f>
        <v>394</v>
      </c>
      <c r="E36" s="41">
        <f t="shared" si="0"/>
        <v>-7.3</v>
      </c>
      <c r="F36" s="188">
        <f>국가별수출!AH76-국가별수출!AH36</f>
        <v>2355</v>
      </c>
      <c r="G36" s="41">
        <f t="shared" si="1"/>
        <v>-14.6</v>
      </c>
    </row>
    <row r="37" spans="1:7" ht="19.5" hidden="1" customHeight="1">
      <c r="A37" s="43" t="s">
        <v>69</v>
      </c>
      <c r="B37" s="188">
        <f>국가별수출!AD77-국가별수출!AD37</f>
        <v>520</v>
      </c>
      <c r="C37" s="188">
        <f>국가별수출!AE77-국가별수출!AE37</f>
        <v>2796</v>
      </c>
      <c r="D37" s="188">
        <f>국가별수출!AF77-국가별수출!AF37</f>
        <v>159</v>
      </c>
      <c r="E37" s="41">
        <f t="shared" si="0"/>
        <v>-69.400000000000006</v>
      </c>
      <c r="F37" s="188">
        <f>국가별수출!AH77-국가별수출!AH37</f>
        <v>1342</v>
      </c>
      <c r="G37" s="41">
        <f t="shared" si="1"/>
        <v>-52</v>
      </c>
    </row>
    <row r="38" spans="1:7" ht="19.5" hidden="1" customHeight="1">
      <c r="A38" s="56" t="s">
        <v>24</v>
      </c>
      <c r="B38" s="37">
        <f>B39-SUM(B8:B37)</f>
        <v>9247</v>
      </c>
      <c r="C38" s="37">
        <f>C39-SUM(C8:C37)</f>
        <v>32244</v>
      </c>
      <c r="D38" s="37">
        <f>D39-SUM(D8:D37)</f>
        <v>10044</v>
      </c>
      <c r="E38" s="41">
        <f t="shared" si="0"/>
        <v>8.6</v>
      </c>
      <c r="F38" s="37">
        <f>F39-SUM(F8:F37)</f>
        <v>36755</v>
      </c>
      <c r="G38" s="42">
        <f t="shared" si="1"/>
        <v>14</v>
      </c>
    </row>
    <row r="39" spans="1:7" ht="19.5" hidden="1" customHeight="1">
      <c r="A39" s="59" t="s">
        <v>79</v>
      </c>
      <c r="B39" s="410">
        <f>국가별수출!AD79-국가별수출!AD39</f>
        <v>210156</v>
      </c>
      <c r="C39" s="410">
        <f>국가별수출!AE79-국가별수출!AE39</f>
        <v>851982</v>
      </c>
      <c r="D39" s="410">
        <f>국가별수출!AF79-국가별수출!AF39</f>
        <v>224018</v>
      </c>
      <c r="E39" s="226">
        <f t="shared" ref="E39" si="2">ROUND(((D39/B39-1)*100),1)</f>
        <v>6.6</v>
      </c>
      <c r="F39" s="410">
        <f>국가별수출!AH79-국가별수출!AH39</f>
        <v>848100</v>
      </c>
      <c r="G39" s="226">
        <f t="shared" ref="G39" si="3">ROUND(((F39/C39-1)*100),1)</f>
        <v>-0.5</v>
      </c>
    </row>
    <row r="40" spans="1:7" hidden="1"/>
    <row r="41" spans="1:7" ht="22.5" hidden="1">
      <c r="A41" s="1143" t="s">
        <v>517</v>
      </c>
      <c r="B41" s="1143"/>
      <c r="C41" s="1143"/>
      <c r="D41" s="1143"/>
      <c r="E41" s="1143"/>
      <c r="F41" s="1143"/>
      <c r="G41" s="1143"/>
    </row>
    <row r="42" spans="1:7" hidden="1"/>
    <row r="43" spans="1:7" hidden="1">
      <c r="F43" s="1144" t="s">
        <v>80</v>
      </c>
      <c r="G43" s="1144"/>
    </row>
    <row r="44" spans="1:7" ht="21.75" hidden="1" customHeight="1">
      <c r="A44" s="1115" t="s">
        <v>43</v>
      </c>
      <c r="B44" s="1115" t="s">
        <v>527</v>
      </c>
      <c r="C44" s="1115"/>
      <c r="D44" s="1115"/>
      <c r="E44" s="1115"/>
      <c r="F44" s="1115"/>
      <c r="G44" s="1115"/>
    </row>
    <row r="45" spans="1:7" ht="21" hidden="1" customHeight="1">
      <c r="A45" s="1115"/>
      <c r="B45" s="1115" t="s">
        <v>314</v>
      </c>
      <c r="C45" s="1115"/>
      <c r="D45" s="1115" t="s">
        <v>444</v>
      </c>
      <c r="E45" s="1115"/>
      <c r="F45" s="1115"/>
      <c r="G45" s="1115"/>
    </row>
    <row r="46" spans="1:7" ht="16.5" hidden="1" customHeight="1">
      <c r="A46" s="1115"/>
      <c r="B46" s="1115" t="s">
        <v>44</v>
      </c>
      <c r="C46" s="1115" t="s">
        <v>45</v>
      </c>
      <c r="D46" s="1146" t="s">
        <v>46</v>
      </c>
      <c r="E46" s="50"/>
      <c r="F46" s="1146" t="s">
        <v>45</v>
      </c>
      <c r="G46" s="50"/>
    </row>
    <row r="47" spans="1:7" ht="16.5" hidden="1" customHeight="1" thickBot="1">
      <c r="A47" s="1145"/>
      <c r="B47" s="1145"/>
      <c r="C47" s="1145"/>
      <c r="D47" s="1145"/>
      <c r="E47" s="51" t="s">
        <v>49</v>
      </c>
      <c r="F47" s="1145"/>
      <c r="G47" s="51" t="s">
        <v>49</v>
      </c>
    </row>
    <row r="48" spans="1:7" ht="19.5" hidden="1" customHeight="1" thickTop="1">
      <c r="A48" s="43" t="s">
        <v>50</v>
      </c>
      <c r="B48" s="188">
        <f>국가별수출!AD88-국가별수출!AD48</f>
        <v>37838</v>
      </c>
      <c r="C48" s="188">
        <f>국가별수출!AE88-국가별수출!AE48</f>
        <v>211027</v>
      </c>
      <c r="D48" s="188">
        <f>국가별수출!AF88-국가별수출!AF48</f>
        <v>46258</v>
      </c>
      <c r="E48" s="41">
        <f>ROUND(((D48/B48-1)*100),1)</f>
        <v>22.3</v>
      </c>
      <c r="F48" s="188">
        <f>국가별수출!AH88-국가별수출!AH48</f>
        <v>206244</v>
      </c>
      <c r="G48" s="41">
        <f>ROUND(((F48/C48-1)*100),1)</f>
        <v>-2.2999999999999998</v>
      </c>
    </row>
    <row r="49" spans="1:7" ht="19.5" hidden="1" customHeight="1">
      <c r="A49" s="43" t="s">
        <v>51</v>
      </c>
      <c r="B49" s="188">
        <f>국가별수출!AD89-국가별수출!AD49</f>
        <v>34479</v>
      </c>
      <c r="C49" s="188">
        <f>국가별수출!AE89-국가별수출!AE49</f>
        <v>125677</v>
      </c>
      <c r="D49" s="188">
        <f>국가별수출!AF89-국가별수출!AF49</f>
        <v>44824</v>
      </c>
      <c r="E49" s="41">
        <f t="shared" ref="E49:E79" si="4">ROUND(((D49/B49-1)*100),1)</f>
        <v>30</v>
      </c>
      <c r="F49" s="188">
        <f>국가별수출!AH89-국가별수출!AH49</f>
        <v>140434</v>
      </c>
      <c r="G49" s="41">
        <f t="shared" ref="G49:G79" si="5">ROUND(((F49/C49-1)*100),1)</f>
        <v>11.7</v>
      </c>
    </row>
    <row r="50" spans="1:7" ht="19.5" hidden="1" customHeight="1">
      <c r="A50" s="43" t="s">
        <v>53</v>
      </c>
      <c r="B50" s="188">
        <f>국가별수출!AD90-국가별수출!AD50</f>
        <v>20380</v>
      </c>
      <c r="C50" s="188">
        <f>국가별수출!AE90-국가별수출!AE50</f>
        <v>81538</v>
      </c>
      <c r="D50" s="188">
        <f>국가별수출!AF90-국가별수출!AF50</f>
        <v>38035</v>
      </c>
      <c r="E50" s="41">
        <f t="shared" si="4"/>
        <v>86.6</v>
      </c>
      <c r="F50" s="188">
        <f>국가별수출!AH90-국가별수출!AH50</f>
        <v>109903</v>
      </c>
      <c r="G50" s="41">
        <f t="shared" si="5"/>
        <v>34.799999999999997</v>
      </c>
    </row>
    <row r="51" spans="1:7" ht="19.5" hidden="1" customHeight="1">
      <c r="A51" s="43" t="s">
        <v>52</v>
      </c>
      <c r="B51" s="188">
        <f>국가별수출!AD91-국가별수출!AD51</f>
        <v>22940</v>
      </c>
      <c r="C51" s="188">
        <f>국가별수출!AE91-국가별수출!AE51</f>
        <v>68955</v>
      </c>
      <c r="D51" s="188">
        <f>국가별수출!AF91-국가별수출!AF51</f>
        <v>25083</v>
      </c>
      <c r="E51" s="41">
        <f t="shared" si="4"/>
        <v>9.3000000000000007</v>
      </c>
      <c r="F51" s="188">
        <f>국가별수출!AH91-국가별수출!AH51</f>
        <v>61426</v>
      </c>
      <c r="G51" s="41">
        <f t="shared" si="5"/>
        <v>-10.9</v>
      </c>
    </row>
    <row r="52" spans="1:7" ht="19.5" hidden="1" customHeight="1">
      <c r="A52" s="43" t="s">
        <v>54</v>
      </c>
      <c r="B52" s="188">
        <f>국가별수출!AD92-국가별수출!AD52</f>
        <v>9485</v>
      </c>
      <c r="C52" s="188">
        <f>국가별수출!AE92-국가별수출!AE52</f>
        <v>54562</v>
      </c>
      <c r="D52" s="188">
        <f>국가별수출!AF92-국가별수출!AF52</f>
        <v>8666</v>
      </c>
      <c r="E52" s="41">
        <f t="shared" si="4"/>
        <v>-8.6</v>
      </c>
      <c r="F52" s="188">
        <f>국가별수출!AH92-국가별수출!AH52</f>
        <v>48029</v>
      </c>
      <c r="G52" s="41">
        <f t="shared" si="5"/>
        <v>-12</v>
      </c>
    </row>
    <row r="53" spans="1:7" ht="19.5" hidden="1" customHeight="1">
      <c r="A53" s="43" t="s">
        <v>56</v>
      </c>
      <c r="B53" s="188">
        <f>국가별수출!AD93-국가별수출!AD53</f>
        <v>12931</v>
      </c>
      <c r="C53" s="188">
        <f>국가별수출!AE93-국가별수출!AE53</f>
        <v>45415</v>
      </c>
      <c r="D53" s="188">
        <f>국가별수출!AF93-국가별수출!AF53</f>
        <v>9568</v>
      </c>
      <c r="E53" s="41">
        <f t="shared" si="4"/>
        <v>-26</v>
      </c>
      <c r="F53" s="188">
        <f>국가별수출!AH93-국가별수출!AH53</f>
        <v>31255</v>
      </c>
      <c r="G53" s="41">
        <f t="shared" si="5"/>
        <v>-31.2</v>
      </c>
    </row>
    <row r="54" spans="1:7" ht="19.5" hidden="1" customHeight="1">
      <c r="A54" s="43" t="s">
        <v>57</v>
      </c>
      <c r="B54" s="188">
        <f>국가별수출!AD94-국가별수출!AD54</f>
        <v>8946</v>
      </c>
      <c r="C54" s="188">
        <f>국가별수출!AE94-국가별수출!AE54</f>
        <v>50545</v>
      </c>
      <c r="D54" s="188">
        <f>국가별수출!AF94-국가별수출!AF54</f>
        <v>7216</v>
      </c>
      <c r="E54" s="41">
        <f t="shared" si="4"/>
        <v>-19.3</v>
      </c>
      <c r="F54" s="188">
        <f>국가별수출!AH94-국가별수출!AH54</f>
        <v>37051</v>
      </c>
      <c r="G54" s="41">
        <f t="shared" si="5"/>
        <v>-26.7</v>
      </c>
    </row>
    <row r="55" spans="1:7" ht="19.5" hidden="1" customHeight="1">
      <c r="A55" s="43" t="s">
        <v>55</v>
      </c>
      <c r="B55" s="188">
        <f>국가별수출!AD95-국가별수출!AD55</f>
        <v>11697</v>
      </c>
      <c r="C55" s="188">
        <f>국가별수출!AE95-국가별수출!AE55</f>
        <v>37326</v>
      </c>
      <c r="D55" s="188">
        <f>국가별수출!AF95-국가별수출!AF55</f>
        <v>11191</v>
      </c>
      <c r="E55" s="41">
        <f t="shared" si="4"/>
        <v>-4.3</v>
      </c>
      <c r="F55" s="188">
        <f>국가별수출!AH95-국가별수출!AH55</f>
        <v>36846</v>
      </c>
      <c r="G55" s="41">
        <f t="shared" si="5"/>
        <v>-1.3</v>
      </c>
    </row>
    <row r="56" spans="1:7" ht="19.5" hidden="1" customHeight="1">
      <c r="A56" s="43" t="s">
        <v>59</v>
      </c>
      <c r="B56" s="188">
        <f>국가별수출!AD96-국가별수출!AD56</f>
        <v>3810</v>
      </c>
      <c r="C56" s="188">
        <f>국가별수출!AE96-국가별수출!AE56</f>
        <v>23906</v>
      </c>
      <c r="D56" s="188">
        <f>국가별수출!AF96-국가별수출!AF56</f>
        <v>4884</v>
      </c>
      <c r="E56" s="41">
        <f t="shared" si="4"/>
        <v>28.2</v>
      </c>
      <c r="F56" s="188">
        <f>국가별수출!AH96-국가별수출!AH56</f>
        <v>26905</v>
      </c>
      <c r="G56" s="41">
        <f t="shared" si="5"/>
        <v>12.5</v>
      </c>
    </row>
    <row r="57" spans="1:7" ht="19.5" hidden="1" customHeight="1">
      <c r="A57" s="43" t="s">
        <v>58</v>
      </c>
      <c r="B57" s="188">
        <f>국가별수출!AD97-국가별수출!AD57</f>
        <v>7586</v>
      </c>
      <c r="C57" s="188">
        <f>국가별수출!AE97-국가별수출!AE57</f>
        <v>22711</v>
      </c>
      <c r="D57" s="188">
        <f>국가별수출!AF97-국가별수출!AF57</f>
        <v>8940</v>
      </c>
      <c r="E57" s="41">
        <f t="shared" si="4"/>
        <v>17.8</v>
      </c>
      <c r="F57" s="188">
        <f>국가별수출!AH97-국가별수출!AH57</f>
        <v>27470</v>
      </c>
      <c r="G57" s="41">
        <f t="shared" si="5"/>
        <v>21</v>
      </c>
    </row>
    <row r="58" spans="1:7" ht="19.5" hidden="1" customHeight="1">
      <c r="A58" s="43" t="s">
        <v>61</v>
      </c>
      <c r="B58" s="188">
        <f>국가별수출!AD98-국가별수출!AD58</f>
        <v>5978</v>
      </c>
      <c r="C58" s="188">
        <f>국가별수출!AE98-국가별수출!AE58</f>
        <v>23557</v>
      </c>
      <c r="D58" s="188">
        <f>국가별수출!AF98-국가별수출!AF58</f>
        <v>6696</v>
      </c>
      <c r="E58" s="41">
        <f t="shared" si="4"/>
        <v>12</v>
      </c>
      <c r="F58" s="188">
        <f>국가별수출!AH98-국가별수출!AH58</f>
        <v>23482</v>
      </c>
      <c r="G58" s="41">
        <f t="shared" si="5"/>
        <v>-0.3</v>
      </c>
    </row>
    <row r="59" spans="1:7" ht="19.5" hidden="1" customHeight="1">
      <c r="A59" s="43" t="s">
        <v>60</v>
      </c>
      <c r="B59" s="188">
        <f>국가별수출!AD99-국가별수출!AD59</f>
        <v>4180</v>
      </c>
      <c r="C59" s="188">
        <f>국가별수출!AE99-국가별수출!AE59</f>
        <v>18618</v>
      </c>
      <c r="D59" s="188">
        <f>국가별수출!AF99-국가별수출!AF59</f>
        <v>3663</v>
      </c>
      <c r="E59" s="41">
        <f t="shared" si="4"/>
        <v>-12.4</v>
      </c>
      <c r="F59" s="188">
        <f>국가별수출!AH99-국가별수출!AH59</f>
        <v>14721</v>
      </c>
      <c r="G59" s="41">
        <f t="shared" si="5"/>
        <v>-20.9</v>
      </c>
    </row>
    <row r="60" spans="1:7" ht="19.5" hidden="1" customHeight="1">
      <c r="A60" s="43" t="s">
        <v>65</v>
      </c>
      <c r="B60" s="188">
        <f>국가별수출!AD100-국가별수출!AD60</f>
        <v>4862</v>
      </c>
      <c r="C60" s="188">
        <f>국가별수출!AE100-국가별수출!AE60</f>
        <v>15160</v>
      </c>
      <c r="D60" s="188">
        <f>국가별수출!AF100-국가별수출!AF60</f>
        <v>4716</v>
      </c>
      <c r="E60" s="41">
        <f t="shared" si="4"/>
        <v>-3</v>
      </c>
      <c r="F60" s="188">
        <f>국가별수출!AH100-국가별수출!AH60</f>
        <v>14304</v>
      </c>
      <c r="G60" s="41">
        <f t="shared" si="5"/>
        <v>-5.6</v>
      </c>
    </row>
    <row r="61" spans="1:7" ht="19.5" hidden="1" customHeight="1">
      <c r="A61" s="43" t="s">
        <v>63</v>
      </c>
      <c r="B61" s="188">
        <f>국가별수출!AD101-국가별수출!AD61</f>
        <v>2855</v>
      </c>
      <c r="C61" s="188">
        <f>국가별수출!AE101-국가별수출!AE61</f>
        <v>9636</v>
      </c>
      <c r="D61" s="188">
        <f>국가별수출!AF101-국가별수출!AF61</f>
        <v>4352</v>
      </c>
      <c r="E61" s="41">
        <f t="shared" si="4"/>
        <v>52.4</v>
      </c>
      <c r="F61" s="188">
        <f>국가별수출!AH101-국가별수출!AH61</f>
        <v>11237</v>
      </c>
      <c r="G61" s="41">
        <f t="shared" si="5"/>
        <v>16.600000000000001</v>
      </c>
    </row>
    <row r="62" spans="1:7" ht="19.5" hidden="1" customHeight="1">
      <c r="A62" s="43" t="s">
        <v>64</v>
      </c>
      <c r="B62" s="188">
        <f>국가별수출!AD102-국가별수출!AD62</f>
        <v>2873</v>
      </c>
      <c r="C62" s="188">
        <f>국가별수출!AE102-국가별수출!AE62</f>
        <v>9444</v>
      </c>
      <c r="D62" s="188">
        <f>국가별수출!AF102-국가별수출!AF62</f>
        <v>1527</v>
      </c>
      <c r="E62" s="41">
        <f t="shared" si="4"/>
        <v>-46.8</v>
      </c>
      <c r="F62" s="188">
        <f>국가별수출!AH102-국가별수출!AH62</f>
        <v>5240</v>
      </c>
      <c r="G62" s="41">
        <f t="shared" si="5"/>
        <v>-44.5</v>
      </c>
    </row>
    <row r="63" spans="1:7" ht="19.5" hidden="1" customHeight="1">
      <c r="A63" s="43" t="s">
        <v>62</v>
      </c>
      <c r="B63" s="188">
        <f>국가별수출!AD103-국가별수출!AD63</f>
        <v>2824</v>
      </c>
      <c r="C63" s="188">
        <f>국가별수출!AE103-국가별수출!AE63</f>
        <v>10473</v>
      </c>
      <c r="D63" s="188">
        <f>국가별수출!AF103-국가별수출!AF63</f>
        <v>2513</v>
      </c>
      <c r="E63" s="41">
        <f t="shared" si="4"/>
        <v>-11</v>
      </c>
      <c r="F63" s="188">
        <f>국가별수출!AH103-국가별수출!AH63</f>
        <v>7179</v>
      </c>
      <c r="G63" s="41">
        <f t="shared" si="5"/>
        <v>-31.5</v>
      </c>
    </row>
    <row r="64" spans="1:7" ht="19.5" hidden="1" customHeight="1">
      <c r="A64" s="43" t="s">
        <v>448</v>
      </c>
      <c r="B64" s="188">
        <f>국가별수출!AD104-국가별수출!AD64</f>
        <v>1704</v>
      </c>
      <c r="C64" s="188">
        <f>국가별수출!AE104-국가별수출!AE64</f>
        <v>10095</v>
      </c>
      <c r="D64" s="188">
        <f>국가별수출!AF104-국가별수출!AF64</f>
        <v>1544</v>
      </c>
      <c r="E64" s="41">
        <f t="shared" si="4"/>
        <v>-9.4</v>
      </c>
      <c r="F64" s="188">
        <f>국가별수출!AH104-국가별수출!AH64</f>
        <v>16141</v>
      </c>
      <c r="G64" s="41">
        <f t="shared" si="5"/>
        <v>59.9</v>
      </c>
    </row>
    <row r="65" spans="1:7" ht="19.5" hidden="1" customHeight="1">
      <c r="A65" s="43" t="s">
        <v>77</v>
      </c>
      <c r="B65" s="188">
        <f>국가별수출!AD105-국가별수출!AD65</f>
        <v>2217</v>
      </c>
      <c r="C65" s="188">
        <f>국가별수출!AE105-국가별수출!AE65</f>
        <v>5466</v>
      </c>
      <c r="D65" s="188">
        <f>국가별수출!AF105-국가별수출!AF65</f>
        <v>2810</v>
      </c>
      <c r="E65" s="41">
        <f t="shared" si="4"/>
        <v>26.7</v>
      </c>
      <c r="F65" s="188">
        <f>국가별수출!AH105-국가별수출!AH65</f>
        <v>7341</v>
      </c>
      <c r="G65" s="41">
        <f t="shared" si="5"/>
        <v>34.299999999999997</v>
      </c>
    </row>
    <row r="66" spans="1:7" ht="19.5" hidden="1" customHeight="1">
      <c r="A66" s="43" t="s">
        <v>75</v>
      </c>
      <c r="B66" s="188">
        <f>국가별수출!AD106-국가별수출!AD66</f>
        <v>1991</v>
      </c>
      <c r="C66" s="188">
        <f>국가별수출!AE106-국가별수출!AE66</f>
        <v>5846</v>
      </c>
      <c r="D66" s="188">
        <f>국가별수출!AF106-국가별수출!AF66</f>
        <v>2734</v>
      </c>
      <c r="E66" s="41">
        <f t="shared" si="4"/>
        <v>37.299999999999997</v>
      </c>
      <c r="F66" s="188">
        <f>국가별수출!AH106-국가별수출!AH66</f>
        <v>7862</v>
      </c>
      <c r="G66" s="41">
        <f t="shared" si="5"/>
        <v>34.5</v>
      </c>
    </row>
    <row r="67" spans="1:7" ht="19.5" hidden="1" customHeight="1">
      <c r="A67" s="43" t="s">
        <v>449</v>
      </c>
      <c r="B67" s="188">
        <f>국가별수출!AD107-국가별수출!AD67</f>
        <v>304</v>
      </c>
      <c r="C67" s="188">
        <f>국가별수출!AE107-국가별수출!AE67</f>
        <v>3957</v>
      </c>
      <c r="D67" s="188">
        <f>국가별수출!AF107-국가별수출!AF67</f>
        <v>1085</v>
      </c>
      <c r="E67" s="41">
        <f t="shared" si="4"/>
        <v>256.89999999999998</v>
      </c>
      <c r="F67" s="188">
        <f>국가별수출!AH107-국가별수출!AH67</f>
        <v>8242</v>
      </c>
      <c r="G67" s="41">
        <f t="shared" si="5"/>
        <v>108.3</v>
      </c>
    </row>
    <row r="68" spans="1:7" ht="19.5" hidden="1" customHeight="1">
      <c r="A68" s="43" t="s">
        <v>68</v>
      </c>
      <c r="B68" s="188">
        <f>국가별수출!AD108-국가별수출!AD68</f>
        <v>618</v>
      </c>
      <c r="C68" s="188">
        <f>국가별수출!AE108-국가별수출!AE68</f>
        <v>4188</v>
      </c>
      <c r="D68" s="188">
        <f>국가별수출!AF108-국가별수출!AF68</f>
        <v>287</v>
      </c>
      <c r="E68" s="41">
        <f t="shared" si="4"/>
        <v>-53.6</v>
      </c>
      <c r="F68" s="188">
        <f>국가별수출!AH108-국가별수출!AH68</f>
        <v>2976</v>
      </c>
      <c r="G68" s="41">
        <f t="shared" si="5"/>
        <v>-28.9</v>
      </c>
    </row>
    <row r="69" spans="1:7" ht="19.5" hidden="1" customHeight="1">
      <c r="A69" s="43" t="s">
        <v>66</v>
      </c>
      <c r="B69" s="188">
        <f>국가별수출!AD109-국가별수출!AD69</f>
        <v>959</v>
      </c>
      <c r="C69" s="188">
        <f>국가별수출!AE109-국가별수출!AE69</f>
        <v>4208</v>
      </c>
      <c r="D69" s="188">
        <f>국가별수출!AF109-국가별수출!AF69</f>
        <v>1033</v>
      </c>
      <c r="E69" s="41">
        <f t="shared" si="4"/>
        <v>7.7</v>
      </c>
      <c r="F69" s="188">
        <f>국가별수출!AH109-국가별수출!AH69</f>
        <v>5028</v>
      </c>
      <c r="G69" s="41">
        <f t="shared" si="5"/>
        <v>19.5</v>
      </c>
    </row>
    <row r="70" spans="1:7" ht="19.5" hidden="1" customHeight="1">
      <c r="A70" s="43" t="s">
        <v>73</v>
      </c>
      <c r="B70" s="188">
        <f>국가별수출!AD110-국가별수출!AD70</f>
        <v>2517</v>
      </c>
      <c r="C70" s="188">
        <f>국가별수출!AE110-국가별수출!AE70</f>
        <v>6719</v>
      </c>
      <c r="D70" s="188">
        <f>국가별수출!AF110-국가별수출!AF70</f>
        <v>627</v>
      </c>
      <c r="E70" s="41">
        <f t="shared" si="4"/>
        <v>-75.099999999999994</v>
      </c>
      <c r="F70" s="188">
        <f>국가별수출!AH110-국가별수출!AH70</f>
        <v>3938</v>
      </c>
      <c r="G70" s="41">
        <f t="shared" si="5"/>
        <v>-41.4</v>
      </c>
    </row>
    <row r="71" spans="1:7" ht="19.5" hidden="1" customHeight="1">
      <c r="A71" s="43" t="s">
        <v>71</v>
      </c>
      <c r="B71" s="188">
        <f>국가별수출!AD111-국가별수출!AD71</f>
        <v>1174</v>
      </c>
      <c r="C71" s="188">
        <f>국가별수출!AE111-국가별수출!AE71</f>
        <v>5057</v>
      </c>
      <c r="D71" s="188">
        <f>국가별수출!AF111-국가별수출!AF71</f>
        <v>351</v>
      </c>
      <c r="E71" s="41">
        <f t="shared" si="4"/>
        <v>-70.099999999999994</v>
      </c>
      <c r="F71" s="188">
        <f>국가별수출!AH111-국가별수출!AH71</f>
        <v>2011</v>
      </c>
      <c r="G71" s="41">
        <f t="shared" si="5"/>
        <v>-60.2</v>
      </c>
    </row>
    <row r="72" spans="1:7" ht="19.5" hidden="1" customHeight="1">
      <c r="A72" s="33" t="s">
        <v>70</v>
      </c>
      <c r="B72" s="188">
        <f>국가별수출!AD112-국가별수출!AD72</f>
        <v>941</v>
      </c>
      <c r="C72" s="188">
        <f>국가별수출!AE112-국가별수출!AE72</f>
        <v>3104</v>
      </c>
      <c r="D72" s="188">
        <f>국가별수출!AF112-국가별수출!AF72</f>
        <v>1389</v>
      </c>
      <c r="E72" s="41">
        <f t="shared" si="4"/>
        <v>47.6</v>
      </c>
      <c r="F72" s="188">
        <f>국가별수출!AH112-국가별수출!AH72</f>
        <v>3353</v>
      </c>
      <c r="G72" s="41">
        <f t="shared" si="5"/>
        <v>8</v>
      </c>
    </row>
    <row r="73" spans="1:7" ht="19.5" hidden="1" customHeight="1">
      <c r="A73" s="43" t="s">
        <v>74</v>
      </c>
      <c r="B73" s="188">
        <f>국가별수출!AD113-국가별수출!AD73</f>
        <v>728</v>
      </c>
      <c r="C73" s="188">
        <f>국가별수출!AE113-국가별수출!AE73</f>
        <v>3057</v>
      </c>
      <c r="D73" s="188">
        <f>국가별수출!AF113-국가별수출!AF73</f>
        <v>1463</v>
      </c>
      <c r="E73" s="41">
        <f t="shared" si="4"/>
        <v>101</v>
      </c>
      <c r="F73" s="188">
        <f>국가별수출!AH113-국가별수출!AH73</f>
        <v>4166</v>
      </c>
      <c r="G73" s="41">
        <f t="shared" si="5"/>
        <v>36.299999999999997</v>
      </c>
    </row>
    <row r="74" spans="1:7" ht="19.5" hidden="1" customHeight="1">
      <c r="A74" s="33" t="s">
        <v>88</v>
      </c>
      <c r="B74" s="188">
        <f>국가별수출!AD114-국가별수출!AD74</f>
        <v>958</v>
      </c>
      <c r="C74" s="188">
        <f>국가별수출!AE114-국가별수출!AE74</f>
        <v>2249</v>
      </c>
      <c r="D74" s="188">
        <f>국가별수출!AF114-국가별수출!AF74</f>
        <v>1525</v>
      </c>
      <c r="E74" s="41">
        <f t="shared" si="4"/>
        <v>59.2</v>
      </c>
      <c r="F74" s="188">
        <f>국가별수출!AH114-국가별수출!AH74</f>
        <v>3259</v>
      </c>
      <c r="G74" s="41">
        <f t="shared" si="5"/>
        <v>44.9</v>
      </c>
    </row>
    <row r="75" spans="1:7" ht="19.5" hidden="1" customHeight="1">
      <c r="A75" s="33" t="s">
        <v>67</v>
      </c>
      <c r="B75" s="188">
        <f>국가별수출!AD115-국가별수출!AD75</f>
        <v>1879</v>
      </c>
      <c r="C75" s="188">
        <f>국가별수출!AE115-국가별수출!AE75</f>
        <v>4760</v>
      </c>
      <c r="D75" s="188">
        <f>국가별수출!AF115-국가별수출!AF75</f>
        <v>1339</v>
      </c>
      <c r="E75" s="41">
        <f t="shared" si="4"/>
        <v>-28.7</v>
      </c>
      <c r="F75" s="188">
        <f>국가별수출!AH115-국가별수출!AH75</f>
        <v>3024</v>
      </c>
      <c r="G75" s="41">
        <f t="shared" si="5"/>
        <v>-36.5</v>
      </c>
    </row>
    <row r="76" spans="1:7" ht="19.5" hidden="1" customHeight="1">
      <c r="A76" s="43" t="s">
        <v>72</v>
      </c>
      <c r="B76" s="188">
        <f>국가별수출!AD116-국가별수출!AD76</f>
        <v>515</v>
      </c>
      <c r="C76" s="188">
        <f>국가별수출!AE116-국가별수출!AE76</f>
        <v>2607</v>
      </c>
      <c r="D76" s="188">
        <f>국가별수출!AF116-국가별수출!AF76</f>
        <v>475</v>
      </c>
      <c r="E76" s="41">
        <f t="shared" si="4"/>
        <v>-7.8</v>
      </c>
      <c r="F76" s="188">
        <f>국가별수출!AH116-국가별수출!AH76</f>
        <v>3311</v>
      </c>
      <c r="G76" s="41">
        <f t="shared" si="5"/>
        <v>27</v>
      </c>
    </row>
    <row r="77" spans="1:7" ht="19.5" hidden="1" customHeight="1">
      <c r="A77" s="43" t="s">
        <v>69</v>
      </c>
      <c r="B77" s="188">
        <f>국가별수출!AD117-국가별수출!AD77</f>
        <v>969</v>
      </c>
      <c r="C77" s="188">
        <f>국가별수출!AE117-국가별수출!AE77</f>
        <v>3649</v>
      </c>
      <c r="D77" s="188">
        <f>국가별수출!AF117-국가별수출!AF77</f>
        <v>215</v>
      </c>
      <c r="E77" s="41">
        <f t="shared" si="4"/>
        <v>-77.8</v>
      </c>
      <c r="F77" s="188">
        <f>국가별수출!AH117-국가별수출!AH77</f>
        <v>2206</v>
      </c>
      <c r="G77" s="41">
        <f t="shared" si="5"/>
        <v>-39.5</v>
      </c>
    </row>
    <row r="78" spans="1:7" ht="19.5" hidden="1" customHeight="1">
      <c r="A78" s="56" t="s">
        <v>24</v>
      </c>
      <c r="B78" s="37">
        <f>B79-SUM(B48:B77)</f>
        <v>10749</v>
      </c>
      <c r="C78" s="37">
        <f>C79-SUM(C48:C77)</f>
        <v>40947</v>
      </c>
      <c r="D78" s="37">
        <f>D79-SUM(D48:D77)</f>
        <v>11734</v>
      </c>
      <c r="E78" s="41">
        <f t="shared" si="4"/>
        <v>9.1999999999999993</v>
      </c>
      <c r="F78" s="37">
        <f>F79-SUM(F48:F77)</f>
        <v>39735</v>
      </c>
      <c r="G78" s="42">
        <f t="shared" si="5"/>
        <v>-3</v>
      </c>
    </row>
    <row r="79" spans="1:7" ht="19.5" hidden="1" customHeight="1">
      <c r="A79" s="59" t="s">
        <v>79</v>
      </c>
      <c r="B79" s="410">
        <f>국가별수출!AD119-국가별수출!AD79</f>
        <v>221887</v>
      </c>
      <c r="C79" s="410">
        <f>국가별수출!AE119-국가별수출!AE79</f>
        <v>914459</v>
      </c>
      <c r="D79" s="410">
        <f>국가별수출!AF119-국가별수출!AF79</f>
        <v>256743</v>
      </c>
      <c r="E79" s="226">
        <f t="shared" si="4"/>
        <v>15.7</v>
      </c>
      <c r="F79" s="410">
        <f>국가별수출!AH119-국가별수출!AH79</f>
        <v>914319</v>
      </c>
      <c r="G79" s="226">
        <f t="shared" si="5"/>
        <v>0</v>
      </c>
    </row>
    <row r="80" spans="1:7" hidden="1"/>
    <row r="81" spans="1:7" ht="22.5" hidden="1">
      <c r="A81" s="1143" t="s">
        <v>537</v>
      </c>
      <c r="B81" s="1143"/>
      <c r="C81" s="1143"/>
      <c r="D81" s="1143"/>
      <c r="E81" s="1143"/>
      <c r="F81" s="1143"/>
      <c r="G81" s="1143"/>
    </row>
    <row r="82" spans="1:7" hidden="1"/>
    <row r="83" spans="1:7" hidden="1">
      <c r="F83" s="1144" t="s">
        <v>80</v>
      </c>
      <c r="G83" s="1144"/>
    </row>
    <row r="84" spans="1:7" ht="21.75" hidden="1" customHeight="1">
      <c r="A84" s="1115" t="s">
        <v>43</v>
      </c>
      <c r="B84" s="1115" t="s">
        <v>538</v>
      </c>
      <c r="C84" s="1115"/>
      <c r="D84" s="1115"/>
      <c r="E84" s="1115"/>
      <c r="F84" s="1115"/>
      <c r="G84" s="1115"/>
    </row>
    <row r="85" spans="1:7" ht="21" hidden="1" customHeight="1">
      <c r="A85" s="1115"/>
      <c r="B85" s="1115" t="s">
        <v>314</v>
      </c>
      <c r="C85" s="1115"/>
      <c r="D85" s="1115" t="s">
        <v>444</v>
      </c>
      <c r="E85" s="1115"/>
      <c r="F85" s="1115"/>
      <c r="G85" s="1115"/>
    </row>
    <row r="86" spans="1:7" ht="16.5" hidden="1" customHeight="1">
      <c r="A86" s="1115"/>
      <c r="B86" s="1115" t="s">
        <v>44</v>
      </c>
      <c r="C86" s="1115" t="s">
        <v>45</v>
      </c>
      <c r="D86" s="1146" t="s">
        <v>46</v>
      </c>
      <c r="E86" s="50"/>
      <c r="F86" s="1146" t="s">
        <v>45</v>
      </c>
      <c r="G86" s="50"/>
    </row>
    <row r="87" spans="1:7" ht="16.5" hidden="1" customHeight="1" thickBot="1">
      <c r="A87" s="1145"/>
      <c r="B87" s="1145"/>
      <c r="C87" s="1145"/>
      <c r="D87" s="1145"/>
      <c r="E87" s="51" t="s">
        <v>49</v>
      </c>
      <c r="F87" s="1145"/>
      <c r="G87" s="51" t="s">
        <v>49</v>
      </c>
    </row>
    <row r="88" spans="1:7" ht="19.5" hidden="1" customHeight="1" thickTop="1">
      <c r="A88" s="43" t="s">
        <v>50</v>
      </c>
      <c r="B88" s="188">
        <f>국가별수출!AD128-국가별수출!AD88</f>
        <v>50611</v>
      </c>
      <c r="C88" s="188">
        <f>국가별수출!AE128-국가별수출!AE88</f>
        <v>243061</v>
      </c>
      <c r="D88" s="188">
        <f>국가별수출!AF128-국가별수출!AF88</f>
        <v>62317</v>
      </c>
      <c r="E88" s="41">
        <f>ROUND(((D88/B88-1)*100),1)</f>
        <v>23.1</v>
      </c>
      <c r="F88" s="188">
        <f>국가별수출!AH128-국가별수출!AH88</f>
        <v>255906</v>
      </c>
      <c r="G88" s="41">
        <f>ROUND(((F88/C88-1)*100),1)</f>
        <v>5.3</v>
      </c>
    </row>
    <row r="89" spans="1:7" ht="19.5" hidden="1" customHeight="1">
      <c r="A89" s="43" t="s">
        <v>51</v>
      </c>
      <c r="B89" s="188">
        <f>국가별수출!AD129-국가별수출!AD89</f>
        <v>40255</v>
      </c>
      <c r="C89" s="188">
        <f>국가별수출!AE129-국가별수출!AE89</f>
        <v>147539</v>
      </c>
      <c r="D89" s="188">
        <f>국가별수출!AF129-국가별수출!AF89</f>
        <v>39300</v>
      </c>
      <c r="E89" s="41">
        <f t="shared" ref="E89:E119" si="6">ROUND(((D89/B89-1)*100),1)</f>
        <v>-2.4</v>
      </c>
      <c r="F89" s="188">
        <f>국가별수출!AH129-국가별수출!AH89</f>
        <v>111725</v>
      </c>
      <c r="G89" s="41">
        <f t="shared" ref="G89:G119" si="7">ROUND(((F89/C89-1)*100),1)</f>
        <v>-24.3</v>
      </c>
    </row>
    <row r="90" spans="1:7" ht="19.5" hidden="1" customHeight="1">
      <c r="A90" s="43" t="s">
        <v>53</v>
      </c>
      <c r="B90" s="188">
        <f>국가별수출!AD130-국가별수출!AD90</f>
        <v>14659</v>
      </c>
      <c r="C90" s="188">
        <f>국가별수출!AE130-국가별수출!AE90</f>
        <v>67709</v>
      </c>
      <c r="D90" s="188">
        <f>국가별수출!AF130-국가별수출!AF90</f>
        <v>30660</v>
      </c>
      <c r="E90" s="41">
        <f t="shared" si="6"/>
        <v>109.2</v>
      </c>
      <c r="F90" s="188">
        <f>국가별수출!AH130-국가별수출!AH90</f>
        <v>90764</v>
      </c>
      <c r="G90" s="41">
        <f t="shared" si="7"/>
        <v>34.1</v>
      </c>
    </row>
    <row r="91" spans="1:7" ht="19.5" hidden="1" customHeight="1">
      <c r="A91" s="43" t="s">
        <v>52</v>
      </c>
      <c r="B91" s="188">
        <f>국가별수출!AD131-국가별수출!AD91</f>
        <v>21325</v>
      </c>
      <c r="C91" s="188">
        <f>국가별수출!AE131-국가별수출!AE91</f>
        <v>65512</v>
      </c>
      <c r="D91" s="188">
        <f>국가별수출!AF131-국가별수출!AF91</f>
        <v>7528</v>
      </c>
      <c r="E91" s="41">
        <f t="shared" si="6"/>
        <v>-64.7</v>
      </c>
      <c r="F91" s="188">
        <f>국가별수출!AH131-국가별수출!AH91</f>
        <v>20337</v>
      </c>
      <c r="G91" s="41">
        <f t="shared" si="7"/>
        <v>-69</v>
      </c>
    </row>
    <row r="92" spans="1:7" ht="19.5" hidden="1" customHeight="1">
      <c r="A92" s="43" t="s">
        <v>54</v>
      </c>
      <c r="B92" s="188">
        <f>국가별수출!AD132-국가별수출!AD92</f>
        <v>10177</v>
      </c>
      <c r="C92" s="188">
        <f>국가별수출!AE132-국가별수출!AE92</f>
        <v>54800</v>
      </c>
      <c r="D92" s="188">
        <f>국가별수출!AF132-국가별수출!AF92</f>
        <v>9128</v>
      </c>
      <c r="E92" s="41">
        <f t="shared" si="6"/>
        <v>-10.3</v>
      </c>
      <c r="F92" s="188">
        <f>국가별수출!AH132-국가별수출!AH92</f>
        <v>44043</v>
      </c>
      <c r="G92" s="41">
        <f t="shared" si="7"/>
        <v>-19.600000000000001</v>
      </c>
    </row>
    <row r="93" spans="1:7" ht="19.5" hidden="1" customHeight="1">
      <c r="A93" s="43" t="s">
        <v>56</v>
      </c>
      <c r="B93" s="188">
        <f>국가별수출!AD133-국가별수출!AD93</f>
        <v>10774</v>
      </c>
      <c r="C93" s="188">
        <f>국가별수출!AE133-국가별수출!AE93</f>
        <v>33217</v>
      </c>
      <c r="D93" s="188">
        <f>국가별수출!AF133-국가별수출!AF93</f>
        <v>4681</v>
      </c>
      <c r="E93" s="41">
        <f t="shared" si="6"/>
        <v>-56.6</v>
      </c>
      <c r="F93" s="188">
        <f>국가별수출!AH133-국가별수출!AH93</f>
        <v>19955</v>
      </c>
      <c r="G93" s="41">
        <f t="shared" si="7"/>
        <v>-39.9</v>
      </c>
    </row>
    <row r="94" spans="1:7" ht="19.5" hidden="1" customHeight="1">
      <c r="A94" s="43" t="s">
        <v>57</v>
      </c>
      <c r="B94" s="188">
        <f>국가별수출!AD134-국가별수출!AD94</f>
        <v>10205</v>
      </c>
      <c r="C94" s="188">
        <f>국가별수출!AE134-국가별수출!AE94</f>
        <v>54746</v>
      </c>
      <c r="D94" s="188">
        <f>국가별수출!AF134-국가별수출!AF94</f>
        <v>9231</v>
      </c>
      <c r="E94" s="41">
        <f t="shared" si="6"/>
        <v>-9.5</v>
      </c>
      <c r="F94" s="188">
        <f>국가별수출!AH134-국가별수출!AH94</f>
        <v>36278</v>
      </c>
      <c r="G94" s="41">
        <f t="shared" si="7"/>
        <v>-33.700000000000003</v>
      </c>
    </row>
    <row r="95" spans="1:7" ht="19.5" hidden="1" customHeight="1">
      <c r="A95" s="43" t="s">
        <v>55</v>
      </c>
      <c r="B95" s="188">
        <f>국가별수출!AD135-국가별수출!AD95</f>
        <v>13172</v>
      </c>
      <c r="C95" s="188">
        <f>국가별수출!AE135-국가별수출!AE95</f>
        <v>42656</v>
      </c>
      <c r="D95" s="188">
        <f>국가별수출!AF135-국가별수출!AF95</f>
        <v>9762</v>
      </c>
      <c r="E95" s="41">
        <f t="shared" si="6"/>
        <v>-25.9</v>
      </c>
      <c r="F95" s="188">
        <f>국가별수출!AH135-국가별수출!AH95</f>
        <v>30634</v>
      </c>
      <c r="G95" s="41">
        <f t="shared" si="7"/>
        <v>-28.2</v>
      </c>
    </row>
    <row r="96" spans="1:7" ht="19.5" hidden="1" customHeight="1">
      <c r="A96" s="43" t="s">
        <v>59</v>
      </c>
      <c r="B96" s="188">
        <f>국가별수출!AD136-국가별수출!AD96</f>
        <v>5812</v>
      </c>
      <c r="C96" s="188">
        <f>국가별수출!AE136-국가별수출!AE96</f>
        <v>34046</v>
      </c>
      <c r="D96" s="188">
        <f>국가별수출!AF136-국가별수출!AF96</f>
        <v>1107</v>
      </c>
      <c r="E96" s="41">
        <f t="shared" si="6"/>
        <v>-81</v>
      </c>
      <c r="F96" s="188">
        <f>국가별수출!AH136-국가별수출!AH96</f>
        <v>5777</v>
      </c>
      <c r="G96" s="41">
        <f t="shared" si="7"/>
        <v>-83</v>
      </c>
    </row>
    <row r="97" spans="1:7" ht="19.5" hidden="1" customHeight="1">
      <c r="A97" s="43" t="s">
        <v>58</v>
      </c>
      <c r="B97" s="188">
        <f>국가별수출!AD137-국가별수출!AD97</f>
        <v>8465</v>
      </c>
      <c r="C97" s="188">
        <f>국가별수출!AE137-국가별수출!AE97</f>
        <v>27580</v>
      </c>
      <c r="D97" s="188">
        <f>국가별수출!AF137-국가별수출!AF97</f>
        <v>9158</v>
      </c>
      <c r="E97" s="41">
        <f t="shared" si="6"/>
        <v>8.1999999999999993</v>
      </c>
      <c r="F97" s="188">
        <f>국가별수출!AH137-국가별수출!AH97</f>
        <v>22922</v>
      </c>
      <c r="G97" s="41">
        <f t="shared" si="7"/>
        <v>-16.899999999999999</v>
      </c>
    </row>
    <row r="98" spans="1:7" ht="19.5" hidden="1" customHeight="1">
      <c r="A98" s="43" t="s">
        <v>61</v>
      </c>
      <c r="B98" s="188">
        <f>국가별수출!AD138-국가별수출!AD98</f>
        <v>4339</v>
      </c>
      <c r="C98" s="188">
        <f>국가별수출!AE138-국가별수출!AE98</f>
        <v>18738</v>
      </c>
      <c r="D98" s="188">
        <f>국가별수출!AF138-국가별수출!AF98</f>
        <v>6799</v>
      </c>
      <c r="E98" s="41">
        <f t="shared" si="6"/>
        <v>56.7</v>
      </c>
      <c r="F98" s="188">
        <f>국가별수출!AH138-국가별수출!AH98</f>
        <v>21692</v>
      </c>
      <c r="G98" s="41">
        <f t="shared" si="7"/>
        <v>15.8</v>
      </c>
    </row>
    <row r="99" spans="1:7" ht="19.5" hidden="1" customHeight="1">
      <c r="A99" s="43" t="s">
        <v>60</v>
      </c>
      <c r="B99" s="188">
        <f>국가별수출!AD139-국가별수출!AD99</f>
        <v>4041</v>
      </c>
      <c r="C99" s="188">
        <f>국가별수출!AE139-국가별수출!AE99</f>
        <v>18849</v>
      </c>
      <c r="D99" s="188">
        <f>국가별수출!AF139-국가별수출!AF99</f>
        <v>2036</v>
      </c>
      <c r="E99" s="41">
        <f t="shared" si="6"/>
        <v>-49.6</v>
      </c>
      <c r="F99" s="188">
        <f>국가별수출!AH139-국가별수출!AH99</f>
        <v>10667</v>
      </c>
      <c r="G99" s="41">
        <f t="shared" si="7"/>
        <v>-43.4</v>
      </c>
    </row>
    <row r="100" spans="1:7" ht="19.5" hidden="1" customHeight="1">
      <c r="A100" s="43" t="s">
        <v>65</v>
      </c>
      <c r="B100" s="188">
        <f>국가별수출!AD140-국가별수출!AD100</f>
        <v>6361</v>
      </c>
      <c r="C100" s="188">
        <f>국가별수출!AE140-국가별수출!AE100</f>
        <v>20473</v>
      </c>
      <c r="D100" s="188">
        <f>국가별수출!AF140-국가별수출!AF100</f>
        <v>3393</v>
      </c>
      <c r="E100" s="41">
        <f t="shared" si="6"/>
        <v>-46.7</v>
      </c>
      <c r="F100" s="188">
        <f>국가별수출!AH140-국가별수출!AH100</f>
        <v>9238</v>
      </c>
      <c r="G100" s="41">
        <f t="shared" si="7"/>
        <v>-54.9</v>
      </c>
    </row>
    <row r="101" spans="1:7" ht="19.5" hidden="1" customHeight="1">
      <c r="A101" s="43" t="s">
        <v>63</v>
      </c>
      <c r="B101" s="188">
        <f>국가별수출!AD141-국가별수출!AD101</f>
        <v>2755</v>
      </c>
      <c r="C101" s="188">
        <f>국가별수출!AE141-국가별수출!AE101</f>
        <v>8327</v>
      </c>
      <c r="D101" s="188">
        <f>국가별수출!AF141-국가별수출!AF101</f>
        <v>3399</v>
      </c>
      <c r="E101" s="41">
        <f t="shared" si="6"/>
        <v>23.4</v>
      </c>
      <c r="F101" s="188">
        <f>국가별수출!AH141-국가별수출!AH101</f>
        <v>7889</v>
      </c>
      <c r="G101" s="41">
        <f t="shared" si="7"/>
        <v>-5.3</v>
      </c>
    </row>
    <row r="102" spans="1:7" ht="19.5" hidden="1" customHeight="1">
      <c r="A102" s="43" t="s">
        <v>64</v>
      </c>
      <c r="B102" s="188">
        <f>국가별수출!AD142-국가별수출!AD102</f>
        <v>2370</v>
      </c>
      <c r="C102" s="188">
        <f>국가별수출!AE142-국가별수출!AE102</f>
        <v>8095</v>
      </c>
      <c r="D102" s="188">
        <f>국가별수출!AF142-국가별수출!AF102</f>
        <v>5913</v>
      </c>
      <c r="E102" s="41">
        <f t="shared" si="6"/>
        <v>149.5</v>
      </c>
      <c r="F102" s="188">
        <f>국가별수출!AH142-국가별수출!AH102</f>
        <v>14311</v>
      </c>
      <c r="G102" s="41">
        <f t="shared" si="7"/>
        <v>76.8</v>
      </c>
    </row>
    <row r="103" spans="1:7" ht="19.5" hidden="1" customHeight="1">
      <c r="A103" s="43" t="s">
        <v>62</v>
      </c>
      <c r="B103" s="188">
        <f>국가별수출!AD143-국가별수출!AD103</f>
        <v>1883</v>
      </c>
      <c r="C103" s="188">
        <f>국가별수출!AE143-국가별수출!AE103</f>
        <v>8028</v>
      </c>
      <c r="D103" s="188">
        <f>국가별수출!AF143-국가별수출!AF103</f>
        <v>2544</v>
      </c>
      <c r="E103" s="41">
        <f t="shared" si="6"/>
        <v>35.1</v>
      </c>
      <c r="F103" s="188">
        <f>국가별수출!AH143-국가별수출!AH103</f>
        <v>7042</v>
      </c>
      <c r="G103" s="41">
        <f t="shared" si="7"/>
        <v>-12.3</v>
      </c>
    </row>
    <row r="104" spans="1:7" ht="19.5" hidden="1" customHeight="1">
      <c r="A104" s="43" t="s">
        <v>448</v>
      </c>
      <c r="B104" s="188">
        <f>국가별수출!AD144-국가별수출!AD104</f>
        <v>1753</v>
      </c>
      <c r="C104" s="188">
        <f>국가별수출!AE144-국가별수출!AE104</f>
        <v>10580</v>
      </c>
      <c r="D104" s="188">
        <f>국가별수출!AF144-국가별수출!AF104</f>
        <v>1560</v>
      </c>
      <c r="E104" s="41">
        <f t="shared" si="6"/>
        <v>-11</v>
      </c>
      <c r="F104" s="188">
        <f>국가별수출!AH144-국가별수출!AH104</f>
        <v>15112</v>
      </c>
      <c r="G104" s="41">
        <f t="shared" si="7"/>
        <v>42.8</v>
      </c>
    </row>
    <row r="105" spans="1:7" ht="19.5" hidden="1" customHeight="1">
      <c r="A105" s="43" t="s">
        <v>77</v>
      </c>
      <c r="B105" s="188">
        <f>국가별수출!AD145-국가별수출!AD105</f>
        <v>2992</v>
      </c>
      <c r="C105" s="188">
        <f>국가별수출!AE145-국가별수출!AE105</f>
        <v>7305</v>
      </c>
      <c r="D105" s="188">
        <f>국가별수출!AF145-국가별수출!AF105</f>
        <v>2176</v>
      </c>
      <c r="E105" s="41">
        <f t="shared" si="6"/>
        <v>-27.3</v>
      </c>
      <c r="F105" s="188">
        <f>국가별수출!AH145-국가별수출!AH105</f>
        <v>6208</v>
      </c>
      <c r="G105" s="41">
        <f t="shared" si="7"/>
        <v>-15</v>
      </c>
    </row>
    <row r="106" spans="1:7" ht="19.5" hidden="1" customHeight="1">
      <c r="A106" s="43" t="s">
        <v>75</v>
      </c>
      <c r="B106" s="188">
        <f>국가별수출!AD146-국가별수출!AD106</f>
        <v>1609</v>
      </c>
      <c r="C106" s="188">
        <f>국가별수출!AE146-국가별수출!AE106</f>
        <v>4917</v>
      </c>
      <c r="D106" s="188">
        <f>국가별수출!AF146-국가별수출!AF106</f>
        <v>2889</v>
      </c>
      <c r="E106" s="41">
        <f t="shared" si="6"/>
        <v>79.599999999999994</v>
      </c>
      <c r="F106" s="188">
        <f>국가별수출!AH146-국가별수출!AH106</f>
        <v>8158</v>
      </c>
      <c r="G106" s="41">
        <f t="shared" si="7"/>
        <v>65.900000000000006</v>
      </c>
    </row>
    <row r="107" spans="1:7" ht="19.5" hidden="1" customHeight="1">
      <c r="A107" s="43" t="s">
        <v>449</v>
      </c>
      <c r="B107" s="188">
        <f>국가별수출!AD147-국가별수출!AD107</f>
        <v>351</v>
      </c>
      <c r="C107" s="188">
        <f>국가별수출!AE147-국가별수출!AE107</f>
        <v>3345</v>
      </c>
      <c r="D107" s="188">
        <f>국가별수출!AF147-국가별수출!AF107</f>
        <v>898</v>
      </c>
      <c r="E107" s="41">
        <f t="shared" si="6"/>
        <v>155.80000000000001</v>
      </c>
      <c r="F107" s="188">
        <f>국가별수출!AH147-국가별수출!AH107</f>
        <v>6855</v>
      </c>
      <c r="G107" s="41">
        <f t="shared" si="7"/>
        <v>104.9</v>
      </c>
    </row>
    <row r="108" spans="1:7" ht="19.5" hidden="1" customHeight="1">
      <c r="A108" s="43" t="s">
        <v>68</v>
      </c>
      <c r="B108" s="188">
        <f>국가별수출!AD148-국가별수출!AD108</f>
        <v>765</v>
      </c>
      <c r="C108" s="188">
        <f>국가별수출!AE148-국가별수출!AE108</f>
        <v>5392</v>
      </c>
      <c r="D108" s="188">
        <f>국가별수출!AF148-국가별수출!AF108</f>
        <v>544</v>
      </c>
      <c r="E108" s="41">
        <f t="shared" si="6"/>
        <v>-28.9</v>
      </c>
      <c r="F108" s="188">
        <f>국가별수출!AH148-국가별수출!AH108</f>
        <v>3900</v>
      </c>
      <c r="G108" s="41">
        <f t="shared" si="7"/>
        <v>-27.7</v>
      </c>
    </row>
    <row r="109" spans="1:7" ht="19.5" hidden="1" customHeight="1">
      <c r="A109" s="43" t="s">
        <v>66</v>
      </c>
      <c r="B109" s="188">
        <f>국가별수출!AD149-국가별수출!AD109</f>
        <v>1083</v>
      </c>
      <c r="C109" s="188">
        <f>국가별수출!AE149-국가별수출!AE109</f>
        <v>5747</v>
      </c>
      <c r="D109" s="188">
        <f>국가별수출!AF149-국가별수출!AF109</f>
        <v>786</v>
      </c>
      <c r="E109" s="41">
        <f t="shared" si="6"/>
        <v>-27.4</v>
      </c>
      <c r="F109" s="188">
        <f>국가별수출!AH149-국가별수출!AH109</f>
        <v>3519</v>
      </c>
      <c r="G109" s="41">
        <f t="shared" si="7"/>
        <v>-38.799999999999997</v>
      </c>
    </row>
    <row r="110" spans="1:7" ht="19.5" hidden="1" customHeight="1">
      <c r="A110" s="43" t="s">
        <v>73</v>
      </c>
      <c r="B110" s="188">
        <f>국가별수출!AD150-국가별수출!AD110</f>
        <v>1143</v>
      </c>
      <c r="C110" s="188">
        <f>국가별수출!AE150-국가별수출!AE110</f>
        <v>3305</v>
      </c>
      <c r="D110" s="188">
        <f>국가별수출!AF150-국가별수출!AF110</f>
        <v>266</v>
      </c>
      <c r="E110" s="41">
        <f t="shared" si="6"/>
        <v>-76.7</v>
      </c>
      <c r="F110" s="188">
        <f>국가별수출!AH150-국가별수출!AH110</f>
        <v>1434</v>
      </c>
      <c r="G110" s="41">
        <f t="shared" si="7"/>
        <v>-56.6</v>
      </c>
    </row>
    <row r="111" spans="1:7" ht="19.5" hidden="1" customHeight="1">
      <c r="A111" s="43" t="s">
        <v>71</v>
      </c>
      <c r="B111" s="188">
        <f>국가별수출!AD151-국가별수출!AD111</f>
        <v>413</v>
      </c>
      <c r="C111" s="188">
        <f>국가별수출!AE151-국가별수출!AE111</f>
        <v>3088</v>
      </c>
      <c r="D111" s="188">
        <f>국가별수출!AF151-국가별수출!AF111</f>
        <v>444</v>
      </c>
      <c r="E111" s="41">
        <f t="shared" si="6"/>
        <v>7.5</v>
      </c>
      <c r="F111" s="188">
        <f>국가별수출!AH151-국가별수출!AH111</f>
        <v>2576</v>
      </c>
      <c r="G111" s="41">
        <f t="shared" si="7"/>
        <v>-16.600000000000001</v>
      </c>
    </row>
    <row r="112" spans="1:7" ht="19.5" hidden="1" customHeight="1">
      <c r="A112" s="33" t="s">
        <v>70</v>
      </c>
      <c r="B112" s="188">
        <f>국가별수출!AD152-국가별수출!AD112</f>
        <v>1365</v>
      </c>
      <c r="C112" s="188">
        <f>국가별수출!AE152-국가별수출!AE112</f>
        <v>3403</v>
      </c>
      <c r="D112" s="188">
        <f>국가별수출!AF152-국가별수출!AF112</f>
        <v>126</v>
      </c>
      <c r="E112" s="41">
        <f t="shared" si="6"/>
        <v>-90.8</v>
      </c>
      <c r="F112" s="188">
        <f>국가별수출!AH152-국가별수출!AH112</f>
        <v>540</v>
      </c>
      <c r="G112" s="41">
        <f t="shared" si="7"/>
        <v>-84.1</v>
      </c>
    </row>
    <row r="113" spans="1:7" ht="19.5" hidden="1" customHeight="1">
      <c r="A113" s="43" t="s">
        <v>74</v>
      </c>
      <c r="B113" s="188">
        <f>국가별수출!AD153-국가별수출!AD113</f>
        <v>1097</v>
      </c>
      <c r="C113" s="188">
        <f>국가별수출!AE153-국가별수출!AE113</f>
        <v>4744</v>
      </c>
      <c r="D113" s="188">
        <f>국가별수출!AF153-국가별수출!AF113</f>
        <v>706</v>
      </c>
      <c r="E113" s="41">
        <f t="shared" si="6"/>
        <v>-35.6</v>
      </c>
      <c r="F113" s="188">
        <f>국가별수출!AH153-국가별수출!AH113</f>
        <v>2397</v>
      </c>
      <c r="G113" s="41">
        <f t="shared" si="7"/>
        <v>-49.5</v>
      </c>
    </row>
    <row r="114" spans="1:7" ht="19.5" hidden="1" customHeight="1">
      <c r="A114" s="33" t="s">
        <v>88</v>
      </c>
      <c r="B114" s="188">
        <f>국가별수출!AD154-국가별수출!AD114</f>
        <v>1390</v>
      </c>
      <c r="C114" s="188">
        <f>국가별수출!AE154-국가별수출!AE114</f>
        <v>3448</v>
      </c>
      <c r="D114" s="188">
        <f>국가별수출!AF154-국가별수출!AF114</f>
        <v>933</v>
      </c>
      <c r="E114" s="41">
        <f t="shared" si="6"/>
        <v>-32.9</v>
      </c>
      <c r="F114" s="188">
        <f>국가별수출!AH154-국가별수출!AH114</f>
        <v>1986</v>
      </c>
      <c r="G114" s="41">
        <f t="shared" si="7"/>
        <v>-42.4</v>
      </c>
    </row>
    <row r="115" spans="1:7" ht="19.5" hidden="1" customHeight="1">
      <c r="A115" s="33" t="s">
        <v>67</v>
      </c>
      <c r="B115" s="188">
        <f>국가별수출!AD155-국가별수출!AD115</f>
        <v>1031</v>
      </c>
      <c r="C115" s="188">
        <f>국가별수출!AE155-국가별수출!AE115</f>
        <v>2555</v>
      </c>
      <c r="D115" s="188">
        <f>국가별수출!AF155-국가별수출!AF115</f>
        <v>1280</v>
      </c>
      <c r="E115" s="41">
        <f t="shared" si="6"/>
        <v>24.2</v>
      </c>
      <c r="F115" s="188">
        <f>국가별수출!AH155-국가별수출!AH115</f>
        <v>2853</v>
      </c>
      <c r="G115" s="41">
        <f t="shared" si="7"/>
        <v>11.7</v>
      </c>
    </row>
    <row r="116" spans="1:7" ht="19.5" hidden="1" customHeight="1">
      <c r="A116" s="43" t="s">
        <v>72</v>
      </c>
      <c r="B116" s="188">
        <f>국가별수출!AD156-국가별수출!AD116</f>
        <v>600</v>
      </c>
      <c r="C116" s="188">
        <f>국가별수출!AE156-국가별수출!AE116</f>
        <v>2750</v>
      </c>
      <c r="D116" s="188">
        <f>국가별수출!AF156-국가별수출!AF116</f>
        <v>371</v>
      </c>
      <c r="E116" s="41">
        <f t="shared" si="6"/>
        <v>-38.200000000000003</v>
      </c>
      <c r="F116" s="188">
        <f>국가별수출!AH156-국가별수출!AH116</f>
        <v>2503</v>
      </c>
      <c r="G116" s="41">
        <f t="shared" si="7"/>
        <v>-9</v>
      </c>
    </row>
    <row r="117" spans="1:7" ht="19.5" hidden="1" customHeight="1">
      <c r="A117" s="43" t="s">
        <v>69</v>
      </c>
      <c r="B117" s="188">
        <f>국가별수출!AD157-국가별수출!AD117</f>
        <v>1480</v>
      </c>
      <c r="C117" s="188">
        <f>국가별수출!AE157-국가별수출!AE117</f>
        <v>5079</v>
      </c>
      <c r="D117" s="188">
        <f>국가별수출!AF157-국가별수출!AF117</f>
        <v>187</v>
      </c>
      <c r="E117" s="41">
        <f t="shared" si="6"/>
        <v>-87.4</v>
      </c>
      <c r="F117" s="188">
        <f>국가별수출!AH157-국가별수출!AH117</f>
        <v>2179</v>
      </c>
      <c r="G117" s="41">
        <f t="shared" si="7"/>
        <v>-57.1</v>
      </c>
    </row>
    <row r="118" spans="1:7" ht="19.5" hidden="1" customHeight="1">
      <c r="A118" s="56" t="s">
        <v>24</v>
      </c>
      <c r="B118" s="37">
        <f>B119-SUM(B88:B117)</f>
        <v>11828</v>
      </c>
      <c r="C118" s="37">
        <f>C119-SUM(C88:C117)</f>
        <v>43801</v>
      </c>
      <c r="D118" s="37">
        <f>D119-SUM(D88:D117)</f>
        <v>10121</v>
      </c>
      <c r="E118" s="41">
        <f t="shared" si="6"/>
        <v>-14.4</v>
      </c>
      <c r="F118" s="37">
        <f>F119-SUM(F88:F117)</f>
        <v>34510</v>
      </c>
      <c r="G118" s="42">
        <f t="shared" si="7"/>
        <v>-21.2</v>
      </c>
    </row>
    <row r="119" spans="1:7" ht="19.5" hidden="1" customHeight="1">
      <c r="A119" s="59" t="s">
        <v>79</v>
      </c>
      <c r="B119" s="410">
        <f>국가별수출!AD159-국가별수출!AD119</f>
        <v>236104</v>
      </c>
      <c r="C119" s="410">
        <f>국가별수출!AE159-국가별수출!AE119</f>
        <v>962835</v>
      </c>
      <c r="D119" s="410">
        <f>국가별수출!AF159-국가별수출!AF119</f>
        <v>230243</v>
      </c>
      <c r="E119" s="226">
        <f t="shared" si="6"/>
        <v>-2.5</v>
      </c>
      <c r="F119" s="410">
        <f>국가별수출!AH159-국가별수출!AH119</f>
        <v>803910</v>
      </c>
      <c r="G119" s="226">
        <f t="shared" si="7"/>
        <v>-16.5</v>
      </c>
    </row>
    <row r="120" spans="1:7" hidden="1"/>
    <row r="121" spans="1:7" ht="22.5" hidden="1">
      <c r="A121" s="1143" t="s">
        <v>558</v>
      </c>
      <c r="B121" s="1143"/>
      <c r="C121" s="1143"/>
      <c r="D121" s="1143"/>
      <c r="E121" s="1143"/>
      <c r="F121" s="1143"/>
      <c r="G121" s="1143"/>
    </row>
    <row r="122" spans="1:7" hidden="1"/>
    <row r="123" spans="1:7" hidden="1">
      <c r="F123" s="1144" t="s">
        <v>80</v>
      </c>
      <c r="G123" s="1144"/>
    </row>
    <row r="124" spans="1:7" ht="21.75" hidden="1" customHeight="1">
      <c r="A124" s="1115" t="s">
        <v>43</v>
      </c>
      <c r="B124" s="1115" t="s">
        <v>559</v>
      </c>
      <c r="C124" s="1115"/>
      <c r="D124" s="1115"/>
      <c r="E124" s="1115"/>
      <c r="F124" s="1115"/>
      <c r="G124" s="1115"/>
    </row>
    <row r="125" spans="1:7" ht="21" hidden="1" customHeight="1">
      <c r="A125" s="1115"/>
      <c r="B125" s="1115" t="s">
        <v>314</v>
      </c>
      <c r="C125" s="1115"/>
      <c r="D125" s="1115" t="s">
        <v>444</v>
      </c>
      <c r="E125" s="1115"/>
      <c r="F125" s="1115"/>
      <c r="G125" s="1115"/>
    </row>
    <row r="126" spans="1:7" ht="16.5" hidden="1" customHeight="1">
      <c r="A126" s="1115"/>
      <c r="B126" s="1115" t="s">
        <v>44</v>
      </c>
      <c r="C126" s="1115" t="s">
        <v>45</v>
      </c>
      <c r="D126" s="1146" t="s">
        <v>46</v>
      </c>
      <c r="E126" s="50"/>
      <c r="F126" s="1146" t="s">
        <v>45</v>
      </c>
      <c r="G126" s="50"/>
    </row>
    <row r="127" spans="1:7" ht="16.5" hidden="1" customHeight="1" thickBot="1">
      <c r="A127" s="1145"/>
      <c r="B127" s="1145"/>
      <c r="C127" s="1145"/>
      <c r="D127" s="1145"/>
      <c r="E127" s="51" t="s">
        <v>49</v>
      </c>
      <c r="F127" s="1145"/>
      <c r="G127" s="51" t="s">
        <v>49</v>
      </c>
    </row>
    <row r="128" spans="1:7" ht="19.5" hidden="1" customHeight="1" thickTop="1">
      <c r="A128" s="43" t="s">
        <v>50</v>
      </c>
      <c r="B128" s="188">
        <f>국가별수출!AD168-국가별수출!AD128</f>
        <v>59487</v>
      </c>
      <c r="C128" s="188">
        <f>국가별수출!AE168-국가별수출!AE128</f>
        <v>275264</v>
      </c>
      <c r="D128" s="188">
        <f>국가별수출!AF168-국가별수출!AF128</f>
        <v>95006</v>
      </c>
      <c r="E128" s="41">
        <f>ROUND(((D128/B128-1)*100),1)</f>
        <v>59.7</v>
      </c>
      <c r="F128" s="188">
        <f>국가별수출!AH168-국가별수출!AH128</f>
        <v>302981</v>
      </c>
      <c r="G128" s="41">
        <f>ROUND(((F128/C128-1)*100),1)</f>
        <v>10.1</v>
      </c>
    </row>
    <row r="129" spans="1:7" ht="19.5" hidden="1" customHeight="1">
      <c r="A129" s="43" t="s">
        <v>51</v>
      </c>
      <c r="B129" s="188">
        <f>국가별수출!AD169-국가별수출!AD129</f>
        <v>39952</v>
      </c>
      <c r="C129" s="188">
        <f>국가별수출!AE169-국가별수출!AE129</f>
        <v>142414</v>
      </c>
      <c r="D129" s="188">
        <f>국가별수출!AF169-국가별수출!AF129</f>
        <v>28398</v>
      </c>
      <c r="E129" s="41">
        <f t="shared" ref="E129:E159" si="8">ROUND(((D129/B129-1)*100),1)</f>
        <v>-28.9</v>
      </c>
      <c r="F129" s="188">
        <f>국가별수출!AH169-국가별수출!AH129</f>
        <v>84486</v>
      </c>
      <c r="G129" s="41">
        <f t="shared" ref="G129:G159" si="9">ROUND(((F129/C129-1)*100),1)</f>
        <v>-40.700000000000003</v>
      </c>
    </row>
    <row r="130" spans="1:7" ht="19.5" hidden="1" customHeight="1">
      <c r="A130" s="43" t="s">
        <v>53</v>
      </c>
      <c r="B130" s="188">
        <f>국가별수출!AD170-국가별수출!AD130</f>
        <v>21838</v>
      </c>
      <c r="C130" s="188">
        <f>국가별수출!AE170-국가별수출!AE130</f>
        <v>81489</v>
      </c>
      <c r="D130" s="188">
        <f>국가별수출!AF170-국가별수출!AF130</f>
        <v>9411</v>
      </c>
      <c r="E130" s="41">
        <f t="shared" si="8"/>
        <v>-56.9</v>
      </c>
      <c r="F130" s="188">
        <f>국가별수출!AH170-국가별수출!AH130</f>
        <v>39351</v>
      </c>
      <c r="G130" s="41">
        <f t="shared" si="9"/>
        <v>-51.7</v>
      </c>
    </row>
    <row r="131" spans="1:7" ht="19.5" hidden="1" customHeight="1">
      <c r="A131" s="43" t="s">
        <v>52</v>
      </c>
      <c r="B131" s="188">
        <f>국가별수출!AD171-국가별수출!AD131</f>
        <v>24766</v>
      </c>
      <c r="C131" s="188">
        <f>국가별수출!AE171-국가별수출!AE131</f>
        <v>73254</v>
      </c>
      <c r="D131" s="188">
        <f>국가별수출!AF171-국가별수출!AF131</f>
        <v>3329</v>
      </c>
      <c r="E131" s="41">
        <f t="shared" si="8"/>
        <v>-86.6</v>
      </c>
      <c r="F131" s="188">
        <f>국가별수출!AH171-국가별수출!AH131</f>
        <v>10270</v>
      </c>
      <c r="G131" s="41">
        <f t="shared" si="9"/>
        <v>-86</v>
      </c>
    </row>
    <row r="132" spans="1:7" ht="19.5" hidden="1" customHeight="1">
      <c r="A132" s="43" t="s">
        <v>54</v>
      </c>
      <c r="B132" s="188">
        <f>국가별수출!AD172-국가별수출!AD132</f>
        <v>11432</v>
      </c>
      <c r="C132" s="188">
        <f>국가별수출!AE172-국가별수출!AE132</f>
        <v>54382</v>
      </c>
      <c r="D132" s="188">
        <f>국가별수출!AF172-국가별수출!AF132</f>
        <v>6165</v>
      </c>
      <c r="E132" s="41">
        <f t="shared" si="8"/>
        <v>-46.1</v>
      </c>
      <c r="F132" s="188">
        <f>국가별수출!AH172-국가별수출!AH132</f>
        <v>36174</v>
      </c>
      <c r="G132" s="41">
        <f t="shared" si="9"/>
        <v>-33.5</v>
      </c>
    </row>
    <row r="133" spans="1:7" ht="19.5" hidden="1" customHeight="1">
      <c r="A133" s="43" t="s">
        <v>56</v>
      </c>
      <c r="B133" s="188">
        <f>국가별수출!AD173-국가별수출!AD133</f>
        <v>12330</v>
      </c>
      <c r="C133" s="188">
        <f>국가별수출!AE173-국가별수출!AE133</f>
        <v>50252</v>
      </c>
      <c r="D133" s="188">
        <f>국가별수출!AF173-국가별수출!AF133</f>
        <v>6221</v>
      </c>
      <c r="E133" s="41">
        <f t="shared" si="8"/>
        <v>-49.5</v>
      </c>
      <c r="F133" s="188">
        <f>국가별수출!AH173-국가별수출!AH133</f>
        <v>22696</v>
      </c>
      <c r="G133" s="41">
        <f t="shared" si="9"/>
        <v>-54.8</v>
      </c>
    </row>
    <row r="134" spans="1:7" ht="19.5" hidden="1" customHeight="1">
      <c r="A134" s="43" t="s">
        <v>57</v>
      </c>
      <c r="B134" s="188">
        <f>국가별수출!AD174-국가별수출!AD134</f>
        <v>20335</v>
      </c>
      <c r="C134" s="188">
        <f>국가별수출!AE174-국가별수출!AE134</f>
        <v>115353</v>
      </c>
      <c r="D134" s="188">
        <f>국가별수출!AF174-국가별수출!AF134</f>
        <v>6449</v>
      </c>
      <c r="E134" s="41">
        <f t="shared" si="8"/>
        <v>-68.3</v>
      </c>
      <c r="F134" s="188">
        <f>국가별수출!AH174-국가별수출!AH134</f>
        <v>30853</v>
      </c>
      <c r="G134" s="41">
        <f t="shared" si="9"/>
        <v>-73.3</v>
      </c>
    </row>
    <row r="135" spans="1:7" ht="19.5" hidden="1" customHeight="1">
      <c r="A135" s="43" t="s">
        <v>55</v>
      </c>
      <c r="B135" s="188">
        <f>국가별수출!AD175-국가별수출!AD135</f>
        <v>10518</v>
      </c>
      <c r="C135" s="188">
        <f>국가별수출!AE175-국가별수출!AE135</f>
        <v>34612</v>
      </c>
      <c r="D135" s="188">
        <f>국가별수출!AF175-국가별수출!AF135</f>
        <v>7335</v>
      </c>
      <c r="E135" s="41">
        <f t="shared" si="8"/>
        <v>-30.3</v>
      </c>
      <c r="F135" s="188">
        <f>국가별수출!AH175-국가별수출!AH135</f>
        <v>21314</v>
      </c>
      <c r="G135" s="41">
        <f t="shared" si="9"/>
        <v>-38.4</v>
      </c>
    </row>
    <row r="136" spans="1:7" ht="19.5" hidden="1" customHeight="1">
      <c r="A136" s="43" t="s">
        <v>59</v>
      </c>
      <c r="B136" s="188">
        <f>국가별수출!AD176-국가별수출!AD136</f>
        <v>4754</v>
      </c>
      <c r="C136" s="188">
        <f>국가별수출!AE176-국가별수출!AE136</f>
        <v>28715</v>
      </c>
      <c r="D136" s="188">
        <f>국가별수출!AF176-국가별수출!AF136</f>
        <v>1010</v>
      </c>
      <c r="E136" s="41">
        <f t="shared" si="8"/>
        <v>-78.8</v>
      </c>
      <c r="F136" s="188">
        <f>국가별수출!AH176-국가별수출!AH136</f>
        <v>6367</v>
      </c>
      <c r="G136" s="41">
        <f t="shared" si="9"/>
        <v>-77.8</v>
      </c>
    </row>
    <row r="137" spans="1:7" ht="19.5" hidden="1" customHeight="1">
      <c r="A137" s="43" t="s">
        <v>58</v>
      </c>
      <c r="B137" s="188">
        <f>국가별수출!AD177-국가별수출!AD137</f>
        <v>5007</v>
      </c>
      <c r="C137" s="188">
        <f>국가별수출!AE177-국가별수출!AE137</f>
        <v>15440</v>
      </c>
      <c r="D137" s="188">
        <f>국가별수출!AF177-국가별수출!AF137</f>
        <v>3974</v>
      </c>
      <c r="E137" s="41">
        <f t="shared" si="8"/>
        <v>-20.6</v>
      </c>
      <c r="F137" s="188">
        <f>국가별수출!AH177-국가별수출!AH137</f>
        <v>10971</v>
      </c>
      <c r="G137" s="41">
        <f t="shared" si="9"/>
        <v>-28.9</v>
      </c>
    </row>
    <row r="138" spans="1:7" ht="19.5" hidden="1" customHeight="1">
      <c r="A138" s="43" t="s">
        <v>61</v>
      </c>
      <c r="B138" s="188">
        <f>국가별수출!AD178-국가별수출!AD138</f>
        <v>5090</v>
      </c>
      <c r="C138" s="188">
        <f>국가별수출!AE178-국가별수출!AE138</f>
        <v>21706</v>
      </c>
      <c r="D138" s="188">
        <f>국가별수출!AF178-국가별수출!AF138</f>
        <v>6997</v>
      </c>
      <c r="E138" s="41">
        <f t="shared" si="8"/>
        <v>37.5</v>
      </c>
      <c r="F138" s="188">
        <f>국가별수출!AH178-국가별수출!AH138</f>
        <v>21394</v>
      </c>
      <c r="G138" s="41">
        <f t="shared" si="9"/>
        <v>-1.4</v>
      </c>
    </row>
    <row r="139" spans="1:7" ht="19.5" hidden="1" customHeight="1">
      <c r="A139" s="43" t="s">
        <v>60</v>
      </c>
      <c r="B139" s="188">
        <f>국가별수출!AD179-국가별수출!AD139</f>
        <v>5114</v>
      </c>
      <c r="C139" s="188">
        <f>국가별수출!AE179-국가별수출!AE139</f>
        <v>20331</v>
      </c>
      <c r="D139" s="188">
        <f>국가별수출!AF179-국가별수출!AF139</f>
        <v>2459</v>
      </c>
      <c r="E139" s="41">
        <f t="shared" si="8"/>
        <v>-51.9</v>
      </c>
      <c r="F139" s="188">
        <f>국가별수출!AH179-국가별수출!AH139</f>
        <v>9838</v>
      </c>
      <c r="G139" s="41">
        <f t="shared" si="9"/>
        <v>-51.6</v>
      </c>
    </row>
    <row r="140" spans="1:7" ht="19.5" hidden="1" customHeight="1">
      <c r="A140" s="43" t="s">
        <v>65</v>
      </c>
      <c r="B140" s="188">
        <f>국가별수출!AD180-국가별수출!AD140</f>
        <v>5351</v>
      </c>
      <c r="C140" s="188">
        <f>국가별수출!AE180-국가별수출!AE140</f>
        <v>16749</v>
      </c>
      <c r="D140" s="188">
        <f>국가별수출!AF180-국가별수출!AF140</f>
        <v>3842</v>
      </c>
      <c r="E140" s="41">
        <f t="shared" si="8"/>
        <v>-28.2</v>
      </c>
      <c r="F140" s="188">
        <f>국가별수출!AH180-국가별수출!AH140</f>
        <v>9612</v>
      </c>
      <c r="G140" s="41">
        <f t="shared" si="9"/>
        <v>-42.6</v>
      </c>
    </row>
    <row r="141" spans="1:7" ht="19.5" hidden="1" customHeight="1">
      <c r="A141" s="43" t="s">
        <v>63</v>
      </c>
      <c r="B141" s="188">
        <f>국가별수출!AD181-국가별수출!AD141</f>
        <v>3392</v>
      </c>
      <c r="C141" s="188">
        <f>국가별수출!AE181-국가별수출!AE141</f>
        <v>11068</v>
      </c>
      <c r="D141" s="188">
        <f>국가별수출!AF181-국가별수출!AF141</f>
        <v>4003</v>
      </c>
      <c r="E141" s="41">
        <f t="shared" si="8"/>
        <v>18</v>
      </c>
      <c r="F141" s="188">
        <f>국가별수출!AH181-국가별수출!AH141</f>
        <v>7853</v>
      </c>
      <c r="G141" s="41">
        <f t="shared" si="9"/>
        <v>-29</v>
      </c>
    </row>
    <row r="142" spans="1:7" ht="19.5" hidden="1" customHeight="1">
      <c r="A142" s="43" t="s">
        <v>64</v>
      </c>
      <c r="B142" s="188">
        <f>국가별수출!AD182-국가별수출!AD142</f>
        <v>5400</v>
      </c>
      <c r="C142" s="188">
        <f>국가별수출!AE182-국가별수출!AE142</f>
        <v>16150</v>
      </c>
      <c r="D142" s="188">
        <f>국가별수출!AF182-국가별수출!AF142</f>
        <v>3327</v>
      </c>
      <c r="E142" s="41">
        <f t="shared" si="8"/>
        <v>-38.4</v>
      </c>
      <c r="F142" s="188">
        <f>국가별수출!AH182-국가별수출!AH142</f>
        <v>8714</v>
      </c>
      <c r="G142" s="41">
        <f t="shared" si="9"/>
        <v>-46</v>
      </c>
    </row>
    <row r="143" spans="1:7" ht="19.5" hidden="1" customHeight="1">
      <c r="A143" s="43" t="s">
        <v>62</v>
      </c>
      <c r="B143" s="188">
        <f>국가별수출!AD183-국가별수출!AD143</f>
        <v>2594</v>
      </c>
      <c r="C143" s="188">
        <f>국가별수출!AE183-국가별수출!AE143</f>
        <v>9160</v>
      </c>
      <c r="D143" s="188">
        <f>국가별수출!AF183-국가별수출!AF143</f>
        <v>1808</v>
      </c>
      <c r="E143" s="41">
        <f t="shared" si="8"/>
        <v>-30.3</v>
      </c>
      <c r="F143" s="188">
        <f>국가별수출!AH183-국가별수출!AH143</f>
        <v>5162</v>
      </c>
      <c r="G143" s="41">
        <f t="shared" si="9"/>
        <v>-43.6</v>
      </c>
    </row>
    <row r="144" spans="1:7" ht="19.5" hidden="1" customHeight="1">
      <c r="A144" s="43" t="s">
        <v>448</v>
      </c>
      <c r="B144" s="188">
        <f>국가별수출!AD184-국가별수출!AD144</f>
        <v>938</v>
      </c>
      <c r="C144" s="188">
        <f>국가별수출!AE184-국가별수출!AE144</f>
        <v>5946</v>
      </c>
      <c r="D144" s="188">
        <f>국가별수출!AF184-국가별수출!AF144</f>
        <v>1173</v>
      </c>
      <c r="E144" s="41">
        <f t="shared" si="8"/>
        <v>25.1</v>
      </c>
      <c r="F144" s="188">
        <f>국가별수출!AH184-국가별수출!AH144</f>
        <v>10764</v>
      </c>
      <c r="G144" s="41">
        <f t="shared" si="9"/>
        <v>81</v>
      </c>
    </row>
    <row r="145" spans="1:7" ht="19.5" hidden="1" customHeight="1">
      <c r="A145" s="43" t="s">
        <v>77</v>
      </c>
      <c r="B145" s="188">
        <f>국가별수출!AD185-국가별수출!AD145</f>
        <v>2874</v>
      </c>
      <c r="C145" s="188">
        <f>국가별수출!AE185-국가별수출!AE145</f>
        <v>7576</v>
      </c>
      <c r="D145" s="188">
        <f>국가별수출!AF185-국가별수출!AF145</f>
        <v>3703</v>
      </c>
      <c r="E145" s="41">
        <f t="shared" si="8"/>
        <v>28.8</v>
      </c>
      <c r="F145" s="188">
        <f>국가별수출!AH185-국가별수출!AH145</f>
        <v>8217</v>
      </c>
      <c r="G145" s="41">
        <f t="shared" si="9"/>
        <v>8.5</v>
      </c>
    </row>
    <row r="146" spans="1:7" ht="19.5" hidden="1" customHeight="1">
      <c r="A146" s="43" t="s">
        <v>75</v>
      </c>
      <c r="B146" s="188">
        <f>국가별수출!AD186-국가별수출!AD146</f>
        <v>1811</v>
      </c>
      <c r="C146" s="188">
        <f>국가별수출!AE186-국가별수출!AE146</f>
        <v>5199</v>
      </c>
      <c r="D146" s="188">
        <f>국가별수출!AF186-국가별수출!AF146</f>
        <v>2256</v>
      </c>
      <c r="E146" s="41">
        <f t="shared" si="8"/>
        <v>24.6</v>
      </c>
      <c r="F146" s="188">
        <f>국가별수출!AH186-국가별수출!AH146</f>
        <v>5973</v>
      </c>
      <c r="G146" s="41">
        <f t="shared" si="9"/>
        <v>14.9</v>
      </c>
    </row>
    <row r="147" spans="1:7" ht="19.5" hidden="1" customHeight="1">
      <c r="A147" s="43" t="s">
        <v>449</v>
      </c>
      <c r="B147" s="188">
        <f>국가별수출!AD187-국가별수출!AD147</f>
        <v>534</v>
      </c>
      <c r="C147" s="188">
        <f>국가별수출!AE187-국가별수출!AE147</f>
        <v>5362</v>
      </c>
      <c r="D147" s="188">
        <f>국가별수출!AF187-국가별수출!AF147</f>
        <v>1217</v>
      </c>
      <c r="E147" s="41">
        <f t="shared" si="8"/>
        <v>127.9</v>
      </c>
      <c r="F147" s="188">
        <f>국가별수출!AH187-국가별수출!AH147</f>
        <v>10875</v>
      </c>
      <c r="G147" s="41">
        <f t="shared" si="9"/>
        <v>102.8</v>
      </c>
    </row>
    <row r="148" spans="1:7" ht="19.5" hidden="1" customHeight="1">
      <c r="A148" s="43" t="s">
        <v>68</v>
      </c>
      <c r="B148" s="188">
        <f>국가별수출!AD188-국가별수출!AD148</f>
        <v>759</v>
      </c>
      <c r="C148" s="188">
        <f>국가별수출!AE188-국가별수출!AE148</f>
        <v>5733</v>
      </c>
      <c r="D148" s="188">
        <f>국가별수출!AF188-국가별수출!AF148</f>
        <v>237</v>
      </c>
      <c r="E148" s="41">
        <f t="shared" si="8"/>
        <v>-68.8</v>
      </c>
      <c r="F148" s="188">
        <f>국가별수출!AH188-국가별수출!AH148</f>
        <v>2583</v>
      </c>
      <c r="G148" s="41">
        <f t="shared" si="9"/>
        <v>-54.9</v>
      </c>
    </row>
    <row r="149" spans="1:7" ht="19.5" hidden="1" customHeight="1">
      <c r="A149" s="43" t="s">
        <v>66</v>
      </c>
      <c r="B149" s="188">
        <f>국가별수출!AD189-국가별수출!AD149</f>
        <v>875</v>
      </c>
      <c r="C149" s="188">
        <f>국가별수출!AE189-국가별수출!AE149</f>
        <v>4042</v>
      </c>
      <c r="D149" s="188">
        <f>국가별수출!AF189-국가별수출!AF149</f>
        <v>555</v>
      </c>
      <c r="E149" s="41">
        <f t="shared" si="8"/>
        <v>-36.6</v>
      </c>
      <c r="F149" s="188">
        <f>국가별수출!AH189-국가별수출!AH149</f>
        <v>2812</v>
      </c>
      <c r="G149" s="41">
        <f t="shared" si="9"/>
        <v>-30.4</v>
      </c>
    </row>
    <row r="150" spans="1:7" ht="19.5" hidden="1" customHeight="1">
      <c r="A150" s="43" t="s">
        <v>73</v>
      </c>
      <c r="B150" s="188">
        <f>국가별수출!AD190-국가별수출!AD150</f>
        <v>1171</v>
      </c>
      <c r="C150" s="188">
        <f>국가별수출!AE190-국가별수출!AE150</f>
        <v>3120</v>
      </c>
      <c r="D150" s="188">
        <f>국가별수출!AF190-국가별수출!AF150</f>
        <v>288</v>
      </c>
      <c r="E150" s="41">
        <f t="shared" si="8"/>
        <v>-75.400000000000006</v>
      </c>
      <c r="F150" s="188">
        <f>국가별수출!AH190-국가별수출!AH150</f>
        <v>1849</v>
      </c>
      <c r="G150" s="41">
        <f t="shared" si="9"/>
        <v>-40.700000000000003</v>
      </c>
    </row>
    <row r="151" spans="1:7" ht="19.5" hidden="1" customHeight="1">
      <c r="A151" s="43" t="s">
        <v>71</v>
      </c>
      <c r="B151" s="188">
        <f>국가별수출!AD191-국가별수출!AD151</f>
        <v>494</v>
      </c>
      <c r="C151" s="188">
        <f>국가별수출!AE191-국가별수출!AE151</f>
        <v>3360</v>
      </c>
      <c r="D151" s="188">
        <f>국가별수출!AF191-국가별수출!AF151</f>
        <v>196</v>
      </c>
      <c r="E151" s="41">
        <f t="shared" si="8"/>
        <v>-60.3</v>
      </c>
      <c r="F151" s="188">
        <f>국가별수출!AH191-국가별수출!AH151</f>
        <v>1318</v>
      </c>
      <c r="G151" s="41">
        <f t="shared" si="9"/>
        <v>-60.8</v>
      </c>
    </row>
    <row r="152" spans="1:7" ht="19.5" hidden="1" customHeight="1">
      <c r="A152" s="33" t="s">
        <v>70</v>
      </c>
      <c r="B152" s="188">
        <f>국가별수출!AD192-국가별수출!AD152</f>
        <v>2412</v>
      </c>
      <c r="C152" s="188">
        <f>국가별수출!AE192-국가별수출!AE152</f>
        <v>7073</v>
      </c>
      <c r="D152" s="188">
        <f>국가별수출!AF192-국가별수출!AF152</f>
        <v>677</v>
      </c>
      <c r="E152" s="41">
        <f t="shared" si="8"/>
        <v>-71.900000000000006</v>
      </c>
      <c r="F152" s="188">
        <f>국가별수출!AH192-국가별수출!AH152</f>
        <v>1561</v>
      </c>
      <c r="G152" s="41">
        <f t="shared" si="9"/>
        <v>-77.900000000000006</v>
      </c>
    </row>
    <row r="153" spans="1:7" ht="19.5" hidden="1" customHeight="1">
      <c r="A153" s="43" t="s">
        <v>74</v>
      </c>
      <c r="B153" s="188">
        <f>국가별수출!AD193-국가별수출!AD153</f>
        <v>1702</v>
      </c>
      <c r="C153" s="188">
        <f>국가별수출!AE193-국가별수출!AE153</f>
        <v>6251</v>
      </c>
      <c r="D153" s="188">
        <f>국가별수출!AF193-국가별수출!AF153</f>
        <v>547</v>
      </c>
      <c r="E153" s="41">
        <f t="shared" si="8"/>
        <v>-67.900000000000006</v>
      </c>
      <c r="F153" s="188">
        <f>국가별수출!AH193-국가별수출!AH153</f>
        <v>1406</v>
      </c>
      <c r="G153" s="41">
        <f t="shared" si="9"/>
        <v>-77.5</v>
      </c>
    </row>
    <row r="154" spans="1:7" ht="19.5" hidden="1" customHeight="1">
      <c r="A154" s="33" t="s">
        <v>88</v>
      </c>
      <c r="B154" s="188">
        <f>국가별수출!AD194-국가별수출!AD154</f>
        <v>1995</v>
      </c>
      <c r="C154" s="188">
        <f>국가별수출!AE194-국가별수출!AE154</f>
        <v>4619</v>
      </c>
      <c r="D154" s="188">
        <f>국가별수출!AF194-국가별수출!AF154</f>
        <v>976</v>
      </c>
      <c r="E154" s="41">
        <f t="shared" si="8"/>
        <v>-51.1</v>
      </c>
      <c r="F154" s="188">
        <f>국가별수출!AH194-국가별수출!AH154</f>
        <v>1959</v>
      </c>
      <c r="G154" s="41">
        <f t="shared" si="9"/>
        <v>-57.6</v>
      </c>
    </row>
    <row r="155" spans="1:7" ht="19.5" hidden="1" customHeight="1">
      <c r="A155" s="33" t="s">
        <v>67</v>
      </c>
      <c r="B155" s="188">
        <f>국가별수출!AD195-국가별수출!AD155</f>
        <v>1036</v>
      </c>
      <c r="C155" s="188">
        <f>국가별수출!AE195-국가별수출!AE155</f>
        <v>2566</v>
      </c>
      <c r="D155" s="188">
        <f>국가별수출!AF195-국가별수출!AF155</f>
        <v>1333</v>
      </c>
      <c r="E155" s="41">
        <f t="shared" si="8"/>
        <v>28.7</v>
      </c>
      <c r="F155" s="188">
        <f>국가별수출!AH195-국가별수출!AH155</f>
        <v>2869</v>
      </c>
      <c r="G155" s="41">
        <f t="shared" si="9"/>
        <v>11.8</v>
      </c>
    </row>
    <row r="156" spans="1:7" ht="19.5" hidden="1" customHeight="1">
      <c r="A156" s="43" t="s">
        <v>72</v>
      </c>
      <c r="B156" s="188">
        <f>국가별수출!AD196-국가별수출!AD156</f>
        <v>608</v>
      </c>
      <c r="C156" s="188">
        <f>국가별수출!AE196-국가별수출!AE156</f>
        <v>3266</v>
      </c>
      <c r="D156" s="188">
        <f>국가별수출!AF196-국가별수출!AF156</f>
        <v>416</v>
      </c>
      <c r="E156" s="41">
        <f t="shared" si="8"/>
        <v>-31.6</v>
      </c>
      <c r="F156" s="188">
        <f>국가별수출!AH196-국가별수출!AH156</f>
        <v>2278</v>
      </c>
      <c r="G156" s="41">
        <f t="shared" si="9"/>
        <v>-30.3</v>
      </c>
    </row>
    <row r="157" spans="1:7" ht="19.5" hidden="1" customHeight="1">
      <c r="A157" s="43" t="s">
        <v>69</v>
      </c>
      <c r="B157" s="188">
        <f>국가별수출!AD197-국가별수출!AD157</f>
        <v>289</v>
      </c>
      <c r="C157" s="188">
        <f>국가별수출!AE197-국가별수출!AE157</f>
        <v>2258</v>
      </c>
      <c r="D157" s="188">
        <f>국가별수출!AF197-국가별수출!AF157</f>
        <v>113</v>
      </c>
      <c r="E157" s="41">
        <f t="shared" si="8"/>
        <v>-60.9</v>
      </c>
      <c r="F157" s="188">
        <f>국가별수출!AH197-국가별수출!AH157</f>
        <v>975</v>
      </c>
      <c r="G157" s="41">
        <f t="shared" si="9"/>
        <v>-56.8</v>
      </c>
    </row>
    <row r="158" spans="1:7" ht="19.5" hidden="1" customHeight="1">
      <c r="A158" s="56" t="s">
        <v>24</v>
      </c>
      <c r="B158" s="37">
        <f>B159-SUM(B128:B157)</f>
        <v>8547</v>
      </c>
      <c r="C158" s="37">
        <f>C159-SUM(C128:C157)</f>
        <v>31309</v>
      </c>
      <c r="D158" s="37">
        <f>D159-SUM(D128:D157)</f>
        <v>7561</v>
      </c>
      <c r="E158" s="41">
        <f t="shared" si="8"/>
        <v>-11.5</v>
      </c>
      <c r="F158" s="37">
        <f>F159-SUM(F128:F157)</f>
        <v>26005</v>
      </c>
      <c r="G158" s="42">
        <f t="shared" si="9"/>
        <v>-16.899999999999999</v>
      </c>
    </row>
    <row r="159" spans="1:7" ht="19.5" hidden="1" customHeight="1">
      <c r="A159" s="59" t="s">
        <v>79</v>
      </c>
      <c r="B159" s="410">
        <f>국가별수출!AD199-국가별수출!AD159</f>
        <v>263405</v>
      </c>
      <c r="C159" s="410">
        <f>국가별수출!AE199-국가별수출!AE159</f>
        <v>1064019</v>
      </c>
      <c r="D159" s="410">
        <f>국가별수출!AF199-국가별수출!AF159</f>
        <v>210982</v>
      </c>
      <c r="E159" s="226">
        <f t="shared" si="8"/>
        <v>-19.899999999999999</v>
      </c>
      <c r="F159" s="410">
        <f>국가별수출!AH199-국가별수출!AH159</f>
        <v>709480</v>
      </c>
      <c r="G159" s="226">
        <f t="shared" si="9"/>
        <v>-33.299999999999997</v>
      </c>
    </row>
    <row r="160" spans="1:7" hidden="1"/>
    <row r="161" spans="1:7" ht="22.5" hidden="1">
      <c r="A161" s="1143" t="s">
        <v>601</v>
      </c>
      <c r="B161" s="1143"/>
      <c r="C161" s="1143"/>
      <c r="D161" s="1143"/>
      <c r="E161" s="1143"/>
      <c r="F161" s="1143"/>
      <c r="G161" s="1143"/>
    </row>
    <row r="162" spans="1:7" hidden="1">
      <c r="A162" s="898"/>
      <c r="B162" s="899"/>
      <c r="C162" s="899"/>
      <c r="D162" s="899"/>
      <c r="E162" s="900"/>
      <c r="F162" s="899"/>
      <c r="G162" s="900"/>
    </row>
    <row r="163" spans="1:7" hidden="1">
      <c r="A163" s="898"/>
      <c r="B163" s="899"/>
      <c r="C163" s="899"/>
      <c r="D163" s="899"/>
      <c r="E163" s="900"/>
      <c r="F163" s="1144" t="s">
        <v>80</v>
      </c>
      <c r="G163" s="1144"/>
    </row>
    <row r="164" spans="1:7" ht="21.75" hidden="1" customHeight="1">
      <c r="A164" s="1115" t="s">
        <v>43</v>
      </c>
      <c r="B164" s="1115" t="s">
        <v>602</v>
      </c>
      <c r="C164" s="1115"/>
      <c r="D164" s="1115"/>
      <c r="E164" s="1115"/>
      <c r="F164" s="1115"/>
      <c r="G164" s="1115"/>
    </row>
    <row r="165" spans="1:7" ht="21" hidden="1" customHeight="1">
      <c r="A165" s="1115"/>
      <c r="B165" s="1115" t="s">
        <v>314</v>
      </c>
      <c r="C165" s="1115"/>
      <c r="D165" s="1115" t="s">
        <v>444</v>
      </c>
      <c r="E165" s="1115"/>
      <c r="F165" s="1115"/>
      <c r="G165" s="1115"/>
    </row>
    <row r="166" spans="1:7" ht="16.5" hidden="1" customHeight="1">
      <c r="A166" s="1115"/>
      <c r="B166" s="1115" t="s">
        <v>44</v>
      </c>
      <c r="C166" s="1115" t="s">
        <v>45</v>
      </c>
      <c r="D166" s="1146" t="s">
        <v>46</v>
      </c>
      <c r="E166" s="901"/>
      <c r="F166" s="1146" t="s">
        <v>45</v>
      </c>
      <c r="G166" s="901"/>
    </row>
    <row r="167" spans="1:7" ht="16.5" hidden="1" customHeight="1" thickBot="1">
      <c r="A167" s="1145"/>
      <c r="B167" s="1145"/>
      <c r="C167" s="1145"/>
      <c r="D167" s="1145"/>
      <c r="E167" s="902" t="s">
        <v>49</v>
      </c>
      <c r="F167" s="1145"/>
      <c r="G167" s="902" t="s">
        <v>49</v>
      </c>
    </row>
    <row r="168" spans="1:7" ht="19.5" hidden="1" customHeight="1" thickTop="1">
      <c r="A168" s="897" t="s">
        <v>50</v>
      </c>
      <c r="B168" s="905">
        <f>국가별수출!AD208-국가별수출!AD168</f>
        <v>52377</v>
      </c>
      <c r="C168" s="905">
        <f>국가별수출!AE208-국가별수출!AE168</f>
        <v>246361</v>
      </c>
      <c r="D168" s="905">
        <f>국가별수출!AF208-국가별수출!AF168</f>
        <v>96841</v>
      </c>
      <c r="E168" s="895">
        <f>ROUND(((D168/B168-1)*100),1)</f>
        <v>84.9</v>
      </c>
      <c r="F168" s="905">
        <f>국가별수출!AH208-국가별수출!AH168</f>
        <v>331444</v>
      </c>
      <c r="G168" s="895">
        <f>ROUND(((F168/C168-1)*100),1)</f>
        <v>34.5</v>
      </c>
    </row>
    <row r="169" spans="1:7" ht="19.5" hidden="1" customHeight="1">
      <c r="A169" s="897" t="s">
        <v>51</v>
      </c>
      <c r="B169" s="905">
        <f>국가별수출!AD209-국가별수출!AD169</f>
        <v>37927</v>
      </c>
      <c r="C169" s="905">
        <f>국가별수출!AE209-국가별수출!AE169</f>
        <v>127328</v>
      </c>
      <c r="D169" s="905">
        <f>국가별수출!AF209-국가별수출!AF169</f>
        <v>35582</v>
      </c>
      <c r="E169" s="895">
        <f t="shared" ref="E169:E199" si="10">ROUND(((D169/B169-1)*100),1)</f>
        <v>-6.2</v>
      </c>
      <c r="F169" s="905">
        <f>국가별수출!AH209-국가별수출!AH169</f>
        <v>111017</v>
      </c>
      <c r="G169" s="895">
        <f t="shared" ref="G169:G199" si="11">ROUND(((F169/C169-1)*100),1)</f>
        <v>-12.8</v>
      </c>
    </row>
    <row r="170" spans="1:7" ht="19.5" hidden="1" customHeight="1">
      <c r="A170" s="897" t="s">
        <v>53</v>
      </c>
      <c r="B170" s="905">
        <f>국가별수출!AD210-국가별수출!AD170</f>
        <v>19905</v>
      </c>
      <c r="C170" s="905">
        <f>국가별수출!AE210-국가별수출!AE170</f>
        <v>77796</v>
      </c>
      <c r="D170" s="905">
        <f>국가별수출!AF210-국가별수출!AF170</f>
        <v>10179</v>
      </c>
      <c r="E170" s="895">
        <f t="shared" si="10"/>
        <v>-48.9</v>
      </c>
      <c r="F170" s="905">
        <f>국가별수출!AH210-국가별수출!AH170</f>
        <v>49991</v>
      </c>
      <c r="G170" s="895">
        <f t="shared" si="11"/>
        <v>-35.700000000000003</v>
      </c>
    </row>
    <row r="171" spans="1:7" ht="19.5" hidden="1" customHeight="1">
      <c r="A171" s="897" t="s">
        <v>52</v>
      </c>
      <c r="B171" s="905">
        <f>국가별수출!AD211-국가별수출!AD171</f>
        <v>22024</v>
      </c>
      <c r="C171" s="905">
        <f>국가별수출!AE211-국가별수출!AE171</f>
        <v>62931</v>
      </c>
      <c r="D171" s="905">
        <f>국가별수출!AF211-국가별수출!AF171</f>
        <v>12755</v>
      </c>
      <c r="E171" s="895">
        <f t="shared" si="10"/>
        <v>-42.1</v>
      </c>
      <c r="F171" s="905">
        <f>국가별수출!AH211-국가별수출!AH171</f>
        <v>29833</v>
      </c>
      <c r="G171" s="895">
        <f t="shared" si="11"/>
        <v>-52.6</v>
      </c>
    </row>
    <row r="172" spans="1:7" ht="19.5" hidden="1" customHeight="1">
      <c r="A172" s="897" t="s">
        <v>54</v>
      </c>
      <c r="B172" s="905">
        <f>국가별수출!AD212-국가별수출!AD172</f>
        <v>10990</v>
      </c>
      <c r="C172" s="905">
        <f>국가별수출!AE212-국가별수출!AE172</f>
        <v>49358</v>
      </c>
      <c r="D172" s="905">
        <f>국가별수출!AF212-국가별수출!AF172</f>
        <v>8251</v>
      </c>
      <c r="E172" s="895">
        <f t="shared" si="10"/>
        <v>-24.9</v>
      </c>
      <c r="F172" s="905">
        <f>국가별수출!AH212-국가별수출!AH172</f>
        <v>41703</v>
      </c>
      <c r="G172" s="895">
        <f t="shared" si="11"/>
        <v>-15.5</v>
      </c>
    </row>
    <row r="173" spans="1:7" ht="19.5" hidden="1" customHeight="1">
      <c r="A173" s="897" t="s">
        <v>56</v>
      </c>
      <c r="B173" s="905">
        <f>국가별수출!AD213-국가별수출!AD173</f>
        <v>39751</v>
      </c>
      <c r="C173" s="905">
        <f>국가별수출!AE213-국가별수출!AE173</f>
        <v>41773</v>
      </c>
      <c r="D173" s="905">
        <f>국가별수출!AF213-국가별수출!AF173</f>
        <v>9062</v>
      </c>
      <c r="E173" s="895">
        <f t="shared" si="10"/>
        <v>-77.2</v>
      </c>
      <c r="F173" s="905">
        <f>국가별수출!AH213-국가별수출!AH173</f>
        <v>22143</v>
      </c>
      <c r="G173" s="895">
        <f t="shared" si="11"/>
        <v>-47</v>
      </c>
    </row>
    <row r="174" spans="1:7" ht="19.5" hidden="1" customHeight="1">
      <c r="A174" s="897" t="s">
        <v>57</v>
      </c>
      <c r="B174" s="905">
        <f>국가별수출!AD214-국가별수출!AD174</f>
        <v>8652</v>
      </c>
      <c r="C174" s="905">
        <f>국가별수출!AE214-국가별수출!AE174</f>
        <v>47425</v>
      </c>
      <c r="D174" s="905">
        <f>국가별수출!AF214-국가별수출!AF174</f>
        <v>6218</v>
      </c>
      <c r="E174" s="895">
        <f t="shared" si="10"/>
        <v>-28.1</v>
      </c>
      <c r="F174" s="905">
        <f>국가별수출!AH214-국가별수출!AH174</f>
        <v>30273</v>
      </c>
      <c r="G174" s="895">
        <f t="shared" si="11"/>
        <v>-36.200000000000003</v>
      </c>
    </row>
    <row r="175" spans="1:7" ht="19.5" hidden="1" customHeight="1">
      <c r="A175" s="897" t="s">
        <v>55</v>
      </c>
      <c r="B175" s="905">
        <f>국가별수출!AD215-국가별수출!AD175</f>
        <v>10384</v>
      </c>
      <c r="C175" s="905">
        <f>국가별수출!AE215-국가별수출!AE175</f>
        <v>36335</v>
      </c>
      <c r="D175" s="905">
        <f>국가별수출!AF215-국가별수출!AF175</f>
        <v>7436</v>
      </c>
      <c r="E175" s="895">
        <f t="shared" si="10"/>
        <v>-28.4</v>
      </c>
      <c r="F175" s="905">
        <f>국가별수출!AH215-국가별수출!AH175</f>
        <v>21566</v>
      </c>
      <c r="G175" s="895">
        <f t="shared" si="11"/>
        <v>-40.6</v>
      </c>
    </row>
    <row r="176" spans="1:7" ht="19.5" hidden="1" customHeight="1">
      <c r="A176" s="897" t="s">
        <v>59</v>
      </c>
      <c r="B176" s="905">
        <f>국가별수출!AD216-국가별수출!AD176</f>
        <v>3049</v>
      </c>
      <c r="C176" s="905">
        <f>국가별수출!AE216-국가별수출!AE176</f>
        <v>17949</v>
      </c>
      <c r="D176" s="905">
        <f>국가별수출!AF216-국가별수출!AF176</f>
        <v>3691</v>
      </c>
      <c r="E176" s="895">
        <f t="shared" si="10"/>
        <v>21.1</v>
      </c>
      <c r="F176" s="905">
        <f>국가별수출!AH216-국가별수출!AH176</f>
        <v>20379</v>
      </c>
      <c r="G176" s="895">
        <f t="shared" si="11"/>
        <v>13.5</v>
      </c>
    </row>
    <row r="177" spans="1:7" ht="19.5" hidden="1" customHeight="1">
      <c r="A177" s="897" t="s">
        <v>58</v>
      </c>
      <c r="B177" s="905">
        <f>국가별수출!AD217-국가별수출!AD177</f>
        <v>6900</v>
      </c>
      <c r="C177" s="905">
        <f>국가별수출!AE217-국가별수출!AE177</f>
        <v>21706</v>
      </c>
      <c r="D177" s="905">
        <f>국가별수출!AF217-국가별수출!AF177</f>
        <v>4088</v>
      </c>
      <c r="E177" s="895">
        <f t="shared" si="10"/>
        <v>-40.799999999999997</v>
      </c>
      <c r="F177" s="905">
        <f>국가별수출!AH217-국가별수출!AH177</f>
        <v>11893</v>
      </c>
      <c r="G177" s="895">
        <f t="shared" si="11"/>
        <v>-45.2</v>
      </c>
    </row>
    <row r="178" spans="1:7" ht="19.5" hidden="1" customHeight="1">
      <c r="A178" s="897" t="s">
        <v>61</v>
      </c>
      <c r="B178" s="905">
        <f>국가별수출!AD218-국가별수출!AD178</f>
        <v>5533</v>
      </c>
      <c r="C178" s="905">
        <f>국가별수출!AE218-국가별수출!AE178</f>
        <v>20063</v>
      </c>
      <c r="D178" s="905">
        <f>국가별수출!AF218-국가별수출!AF178</f>
        <v>5658</v>
      </c>
      <c r="E178" s="895">
        <f t="shared" si="10"/>
        <v>2.2999999999999998</v>
      </c>
      <c r="F178" s="905">
        <f>국가별수출!AH218-국가별수출!AH178</f>
        <v>18986</v>
      </c>
      <c r="G178" s="895">
        <f t="shared" si="11"/>
        <v>-5.4</v>
      </c>
    </row>
    <row r="179" spans="1:7" ht="19.5" hidden="1" customHeight="1">
      <c r="A179" s="897" t="s">
        <v>60</v>
      </c>
      <c r="B179" s="905">
        <f>국가별수출!AD219-국가별수출!AD179</f>
        <v>3667</v>
      </c>
      <c r="C179" s="905">
        <f>국가별수출!AE219-국가별수출!AE179</f>
        <v>16573</v>
      </c>
      <c r="D179" s="905">
        <f>국가별수출!AF219-국가별수출!AF179</f>
        <v>1532</v>
      </c>
      <c r="E179" s="895">
        <f t="shared" si="10"/>
        <v>-58.2</v>
      </c>
      <c r="F179" s="905">
        <f>국가별수출!AH219-국가별수출!AH179</f>
        <v>8254</v>
      </c>
      <c r="G179" s="895">
        <f t="shared" si="11"/>
        <v>-50.2</v>
      </c>
    </row>
    <row r="180" spans="1:7" ht="19.5" hidden="1" customHeight="1">
      <c r="A180" s="897" t="s">
        <v>65</v>
      </c>
      <c r="B180" s="905">
        <f>국가별수출!AD220-국가별수출!AD180</f>
        <v>5013</v>
      </c>
      <c r="C180" s="905">
        <f>국가별수출!AE220-국가별수출!AE180</f>
        <v>15586</v>
      </c>
      <c r="D180" s="905">
        <f>국가별수출!AF220-국가별수출!AF180</f>
        <v>4236</v>
      </c>
      <c r="E180" s="895">
        <f t="shared" si="10"/>
        <v>-15.5</v>
      </c>
      <c r="F180" s="905">
        <f>국가별수출!AH220-국가별수출!AH180</f>
        <v>11113</v>
      </c>
      <c r="G180" s="895">
        <f t="shared" si="11"/>
        <v>-28.7</v>
      </c>
    </row>
    <row r="181" spans="1:7" ht="19.5" hidden="1" customHeight="1">
      <c r="A181" s="897" t="s">
        <v>63</v>
      </c>
      <c r="B181" s="905">
        <f>국가별수출!AD221-국가별수출!AD181</f>
        <v>3393</v>
      </c>
      <c r="C181" s="905">
        <f>국가별수출!AE221-국가별수출!AE181</f>
        <v>10929</v>
      </c>
      <c r="D181" s="905">
        <f>국가별수출!AF221-국가별수출!AF181</f>
        <v>6017</v>
      </c>
      <c r="E181" s="895">
        <f t="shared" si="10"/>
        <v>77.3</v>
      </c>
      <c r="F181" s="905">
        <f>국가별수출!AH221-국가별수출!AH181</f>
        <v>12181</v>
      </c>
      <c r="G181" s="895">
        <f t="shared" si="11"/>
        <v>11.5</v>
      </c>
    </row>
    <row r="182" spans="1:7" ht="19.5" hidden="1" customHeight="1">
      <c r="A182" s="897" t="s">
        <v>64</v>
      </c>
      <c r="B182" s="905">
        <f>국가별수출!AD222-국가별수출!AD182</f>
        <v>2529</v>
      </c>
      <c r="C182" s="905">
        <f>국가별수출!AE222-국가별수출!AE182</f>
        <v>7489</v>
      </c>
      <c r="D182" s="905">
        <f>국가별수출!AF222-국가별수출!AF182</f>
        <v>1983</v>
      </c>
      <c r="E182" s="895">
        <f t="shared" si="10"/>
        <v>-21.6</v>
      </c>
      <c r="F182" s="905">
        <f>국가별수출!AH222-국가별수출!AH182</f>
        <v>5083</v>
      </c>
      <c r="G182" s="895">
        <f t="shared" si="11"/>
        <v>-32.1</v>
      </c>
    </row>
    <row r="183" spans="1:7" ht="19.5" hidden="1" customHeight="1">
      <c r="A183" s="897" t="s">
        <v>62</v>
      </c>
      <c r="B183" s="905">
        <f>국가별수출!AD223-국가별수출!AD183</f>
        <v>2966</v>
      </c>
      <c r="C183" s="905">
        <f>국가별수출!AE223-국가별수출!AE183</f>
        <v>10736</v>
      </c>
      <c r="D183" s="905">
        <f>국가별수출!AF223-국가별수출!AF183</f>
        <v>2603</v>
      </c>
      <c r="E183" s="895">
        <f t="shared" si="10"/>
        <v>-12.2</v>
      </c>
      <c r="F183" s="905">
        <f>국가별수출!AH223-국가별수출!AH183</f>
        <v>6351</v>
      </c>
      <c r="G183" s="895">
        <f t="shared" si="11"/>
        <v>-40.799999999999997</v>
      </c>
    </row>
    <row r="184" spans="1:7" ht="19.5" hidden="1" customHeight="1">
      <c r="A184" s="897" t="s">
        <v>448</v>
      </c>
      <c r="B184" s="905">
        <f>국가별수출!AD224-국가별수출!AD184</f>
        <v>711</v>
      </c>
      <c r="C184" s="905">
        <f>국가별수출!AE224-국가별수출!AE184</f>
        <v>5079</v>
      </c>
      <c r="D184" s="905">
        <f>국가별수출!AF224-국가별수출!AF184</f>
        <v>911</v>
      </c>
      <c r="E184" s="895">
        <f t="shared" si="10"/>
        <v>28.1</v>
      </c>
      <c r="F184" s="905">
        <f>국가별수출!AH224-국가별수출!AH184</f>
        <v>9787</v>
      </c>
      <c r="G184" s="895">
        <f t="shared" si="11"/>
        <v>92.7</v>
      </c>
    </row>
    <row r="185" spans="1:7" ht="19.5" hidden="1" customHeight="1">
      <c r="A185" s="897" t="s">
        <v>77</v>
      </c>
      <c r="B185" s="905">
        <f>국가별수출!AD225-국가별수출!AD185</f>
        <v>3751</v>
      </c>
      <c r="C185" s="905">
        <f>국가별수출!AE225-국가별수출!AE185</f>
        <v>8759</v>
      </c>
      <c r="D185" s="905">
        <f>국가별수출!AF225-국가별수출!AF185</f>
        <v>1683</v>
      </c>
      <c r="E185" s="895">
        <f t="shared" si="10"/>
        <v>-55.1</v>
      </c>
      <c r="F185" s="905">
        <f>국가별수출!AH225-국가별수출!AH185</f>
        <v>3655</v>
      </c>
      <c r="G185" s="895">
        <f t="shared" si="11"/>
        <v>-58.3</v>
      </c>
    </row>
    <row r="186" spans="1:7" ht="19.5" hidden="1" customHeight="1">
      <c r="A186" s="897" t="s">
        <v>75</v>
      </c>
      <c r="B186" s="905">
        <f>국가별수출!AD226-국가별수출!AD186</f>
        <v>1672</v>
      </c>
      <c r="C186" s="905">
        <f>국가별수출!AE226-국가별수출!AE186</f>
        <v>4386</v>
      </c>
      <c r="D186" s="905">
        <f>국가별수출!AF226-국가별수출!AF186</f>
        <v>2628</v>
      </c>
      <c r="E186" s="895">
        <f t="shared" si="10"/>
        <v>57.2</v>
      </c>
      <c r="F186" s="905">
        <f>국가별수출!AH226-국가별수출!AH186</f>
        <v>6459</v>
      </c>
      <c r="G186" s="895">
        <f t="shared" si="11"/>
        <v>47.3</v>
      </c>
    </row>
    <row r="187" spans="1:7" ht="19.5" hidden="1" customHeight="1">
      <c r="A187" s="897" t="s">
        <v>449</v>
      </c>
      <c r="B187" s="905">
        <f>국가별수출!AD227-국가별수출!AD187</f>
        <v>429</v>
      </c>
      <c r="C187" s="905">
        <f>국가별수출!AE227-국가별수출!AE187</f>
        <v>4278</v>
      </c>
      <c r="D187" s="905">
        <f>국가별수출!AF227-국가별수출!AF187</f>
        <v>926</v>
      </c>
      <c r="E187" s="895">
        <f t="shared" si="10"/>
        <v>115.9</v>
      </c>
      <c r="F187" s="905">
        <f>국가별수출!AH227-국가별수출!AH187</f>
        <v>8101</v>
      </c>
      <c r="G187" s="895">
        <f t="shared" si="11"/>
        <v>89.4</v>
      </c>
    </row>
    <row r="188" spans="1:7" ht="19.5" hidden="1" customHeight="1">
      <c r="A188" s="897" t="s">
        <v>68</v>
      </c>
      <c r="B188" s="905">
        <f>국가별수출!AD228-국가별수출!AD188</f>
        <v>574</v>
      </c>
      <c r="C188" s="905">
        <f>국가별수출!AE228-국가별수출!AE188</f>
        <v>4592</v>
      </c>
      <c r="D188" s="905">
        <f>국가별수출!AF228-국가별수출!AF188</f>
        <v>283</v>
      </c>
      <c r="E188" s="895">
        <f t="shared" si="10"/>
        <v>-50.7</v>
      </c>
      <c r="F188" s="905">
        <f>국가별수출!AH228-국가별수출!AH188</f>
        <v>2533</v>
      </c>
      <c r="G188" s="895">
        <f t="shared" si="11"/>
        <v>-44.8</v>
      </c>
    </row>
    <row r="189" spans="1:7" ht="19.5" hidden="1" customHeight="1">
      <c r="A189" s="897" t="s">
        <v>66</v>
      </c>
      <c r="B189" s="905">
        <f>국가별수출!AD229-국가별수출!AD189</f>
        <v>1233</v>
      </c>
      <c r="C189" s="905">
        <f>국가별수출!AE229-국가별수출!AE189</f>
        <v>4213</v>
      </c>
      <c r="D189" s="905">
        <f>국가별수출!AF229-국가별수출!AF189</f>
        <v>533</v>
      </c>
      <c r="E189" s="895">
        <f t="shared" si="10"/>
        <v>-56.8</v>
      </c>
      <c r="F189" s="905">
        <f>국가별수출!AH229-국가별수출!AH189</f>
        <v>3567</v>
      </c>
      <c r="G189" s="895">
        <f t="shared" si="11"/>
        <v>-15.3</v>
      </c>
    </row>
    <row r="190" spans="1:7" ht="19.5" hidden="1" customHeight="1">
      <c r="A190" s="897" t="s">
        <v>73</v>
      </c>
      <c r="B190" s="905">
        <f>국가별수출!AD230-국가별수출!AD190</f>
        <v>161</v>
      </c>
      <c r="C190" s="905">
        <f>국가별수출!AE230-국가별수출!AE190</f>
        <v>1307</v>
      </c>
      <c r="D190" s="905">
        <f>국가별수출!AF230-국가별수출!AF190</f>
        <v>212</v>
      </c>
      <c r="E190" s="895">
        <f t="shared" si="10"/>
        <v>31.7</v>
      </c>
      <c r="F190" s="905">
        <f>국가별수출!AH230-국가별수출!AH190</f>
        <v>1499</v>
      </c>
      <c r="G190" s="895">
        <f t="shared" si="11"/>
        <v>14.7</v>
      </c>
    </row>
    <row r="191" spans="1:7" ht="19.5" hidden="1" customHeight="1">
      <c r="A191" s="897" t="s">
        <v>71</v>
      </c>
      <c r="B191" s="905">
        <f>국가별수출!AD231-국가별수출!AD191</f>
        <v>475</v>
      </c>
      <c r="C191" s="905">
        <f>국가별수출!AE231-국가별수출!AE191</f>
        <v>3003</v>
      </c>
      <c r="D191" s="905">
        <f>국가별수출!AF231-국가별수출!AF191</f>
        <v>154</v>
      </c>
      <c r="E191" s="895">
        <f t="shared" si="10"/>
        <v>-67.599999999999994</v>
      </c>
      <c r="F191" s="905">
        <f>국가별수출!AH231-국가별수출!AH191</f>
        <v>1103</v>
      </c>
      <c r="G191" s="895">
        <f t="shared" si="11"/>
        <v>-63.3</v>
      </c>
    </row>
    <row r="192" spans="1:7" ht="19.5" hidden="1" customHeight="1">
      <c r="A192" s="891" t="s">
        <v>70</v>
      </c>
      <c r="B192" s="905">
        <f>국가별수출!AD232-국가별수출!AD192</f>
        <v>1450</v>
      </c>
      <c r="C192" s="905">
        <f>국가별수출!AE232-국가별수출!AE192</f>
        <v>4029</v>
      </c>
      <c r="D192" s="905">
        <f>국가별수출!AF232-국가별수출!AF192</f>
        <v>1326</v>
      </c>
      <c r="E192" s="895">
        <f t="shared" si="10"/>
        <v>-8.6</v>
      </c>
      <c r="F192" s="905">
        <f>국가별수출!AH232-국가별수출!AH192</f>
        <v>2850</v>
      </c>
      <c r="G192" s="895">
        <f t="shared" si="11"/>
        <v>-29.3</v>
      </c>
    </row>
    <row r="193" spans="1:7" ht="19.5" hidden="1" customHeight="1">
      <c r="A193" s="897" t="s">
        <v>74</v>
      </c>
      <c r="B193" s="905">
        <f>국가별수출!AD233-국가별수출!AD193</f>
        <v>1070</v>
      </c>
      <c r="C193" s="905">
        <f>국가별수출!AE233-국가별수출!AE193</f>
        <v>3849</v>
      </c>
      <c r="D193" s="905">
        <f>국가별수출!AF233-국가별수출!AF193</f>
        <v>733</v>
      </c>
      <c r="E193" s="895">
        <f t="shared" si="10"/>
        <v>-31.5</v>
      </c>
      <c r="F193" s="905">
        <f>국가별수출!AH233-국가별수출!AH193</f>
        <v>2451</v>
      </c>
      <c r="G193" s="895">
        <f t="shared" si="11"/>
        <v>-36.299999999999997</v>
      </c>
    </row>
    <row r="194" spans="1:7" ht="19.5" hidden="1" customHeight="1">
      <c r="A194" s="891" t="s">
        <v>88</v>
      </c>
      <c r="B194" s="905">
        <f>국가별수출!AD234-국가별수출!AD194</f>
        <v>1406</v>
      </c>
      <c r="C194" s="905">
        <f>국가별수출!AE234-국가별수출!AE194</f>
        <v>3158</v>
      </c>
      <c r="D194" s="905">
        <f>국가별수출!AF234-국가별수출!AF194</f>
        <v>231</v>
      </c>
      <c r="E194" s="895">
        <f t="shared" si="10"/>
        <v>-83.6</v>
      </c>
      <c r="F194" s="905">
        <f>국가별수출!AH234-국가별수출!AH194</f>
        <v>453</v>
      </c>
      <c r="G194" s="895">
        <f t="shared" si="11"/>
        <v>-85.7</v>
      </c>
    </row>
    <row r="195" spans="1:7" ht="19.5" hidden="1" customHeight="1">
      <c r="A195" s="891" t="s">
        <v>67</v>
      </c>
      <c r="B195" s="905">
        <f>국가별수출!AD235-국가별수출!AD195</f>
        <v>611</v>
      </c>
      <c r="C195" s="905">
        <f>국가별수출!AE235-국가별수출!AE195</f>
        <v>1620</v>
      </c>
      <c r="D195" s="905">
        <f>국가별수출!AF235-국가별수출!AF195</f>
        <v>2446</v>
      </c>
      <c r="E195" s="895">
        <f t="shared" si="10"/>
        <v>300.3</v>
      </c>
      <c r="F195" s="905">
        <f>국가별수출!AH235-국가별수출!AH195</f>
        <v>5389</v>
      </c>
      <c r="G195" s="895">
        <f t="shared" si="11"/>
        <v>232.7</v>
      </c>
    </row>
    <row r="196" spans="1:7" ht="19.5" hidden="1" customHeight="1">
      <c r="A196" s="897" t="s">
        <v>72</v>
      </c>
      <c r="B196" s="905">
        <f>국가별수출!AD236-국가별수출!AD196</f>
        <v>487</v>
      </c>
      <c r="C196" s="905">
        <f>국가별수출!AE236-국가별수출!AE196</f>
        <v>2436</v>
      </c>
      <c r="D196" s="905">
        <f>국가별수출!AF236-국가별수출!AF196</f>
        <v>535</v>
      </c>
      <c r="E196" s="895">
        <f t="shared" si="10"/>
        <v>9.9</v>
      </c>
      <c r="F196" s="905">
        <f>국가별수출!AH236-국가별수출!AH196</f>
        <v>3419</v>
      </c>
      <c r="G196" s="895">
        <f t="shared" si="11"/>
        <v>40.4</v>
      </c>
    </row>
    <row r="197" spans="1:7" ht="19.5" hidden="1" customHeight="1">
      <c r="A197" s="897" t="s">
        <v>69</v>
      </c>
      <c r="B197" s="905">
        <f>국가별수출!AD237-국가별수출!AD197</f>
        <v>357</v>
      </c>
      <c r="C197" s="905">
        <f>국가별수출!AE237-국가별수출!AE197</f>
        <v>1818</v>
      </c>
      <c r="D197" s="905">
        <f>국가별수출!AF237-국가별수출!AF197</f>
        <v>154</v>
      </c>
      <c r="E197" s="895">
        <f t="shared" si="10"/>
        <v>-56.9</v>
      </c>
      <c r="F197" s="905">
        <f>국가별수출!AH237-국가별수출!AH197</f>
        <v>1556</v>
      </c>
      <c r="G197" s="895">
        <f t="shared" si="11"/>
        <v>-14.4</v>
      </c>
    </row>
    <row r="198" spans="1:7" ht="19.5" hidden="1" customHeight="1">
      <c r="A198" s="903" t="s">
        <v>24</v>
      </c>
      <c r="B198" s="892">
        <f>B199-SUM(B168:B197)</f>
        <v>9212</v>
      </c>
      <c r="C198" s="892">
        <f>C199-SUM(C168:C197)</f>
        <v>31828</v>
      </c>
      <c r="D198" s="892">
        <f>D199-SUM(D168:D197)</f>
        <v>8374</v>
      </c>
      <c r="E198" s="895">
        <f t="shared" si="10"/>
        <v>-9.1</v>
      </c>
      <c r="F198" s="892">
        <f>F199-SUM(F168:F197)</f>
        <v>29803</v>
      </c>
      <c r="G198" s="896">
        <f t="shared" si="11"/>
        <v>-6.4</v>
      </c>
    </row>
    <row r="199" spans="1:7" ht="19.5" hidden="1" customHeight="1">
      <c r="A199" s="904" t="s">
        <v>79</v>
      </c>
      <c r="B199" s="908">
        <f>국가별수출!AD239-국가별수출!AD199</f>
        <v>258659</v>
      </c>
      <c r="C199" s="908">
        <f>국가별수출!AE239-국가별수출!AE199</f>
        <v>894693</v>
      </c>
      <c r="D199" s="908">
        <f>국가별수출!AF239-국가별수출!AF199</f>
        <v>237261</v>
      </c>
      <c r="E199" s="906">
        <f t="shared" si="10"/>
        <v>-8.3000000000000007</v>
      </c>
      <c r="F199" s="908">
        <f>국가별수출!AH239-국가별수출!AH199</f>
        <v>814835</v>
      </c>
      <c r="G199" s="906">
        <f t="shared" si="11"/>
        <v>-8.9</v>
      </c>
    </row>
    <row r="200" spans="1:7" hidden="1"/>
    <row r="201" spans="1:7" s="846" customFormat="1" ht="22.5" hidden="1">
      <c r="A201" s="1143" t="s">
        <v>608</v>
      </c>
      <c r="B201" s="1143"/>
      <c r="C201" s="1143"/>
      <c r="D201" s="1143"/>
      <c r="E201" s="1143"/>
      <c r="F201" s="1143"/>
      <c r="G201" s="1143"/>
    </row>
    <row r="202" spans="1:7" s="846" customFormat="1" hidden="1">
      <c r="A202" s="898"/>
      <c r="B202" s="899"/>
      <c r="C202" s="899"/>
      <c r="D202" s="899"/>
      <c r="E202" s="900"/>
      <c r="F202" s="899"/>
      <c r="G202" s="900"/>
    </row>
    <row r="203" spans="1:7" s="846" customFormat="1" hidden="1">
      <c r="A203" s="898"/>
      <c r="B203" s="899"/>
      <c r="C203" s="899"/>
      <c r="D203" s="899"/>
      <c r="E203" s="900"/>
      <c r="F203" s="1144" t="s">
        <v>80</v>
      </c>
      <c r="G203" s="1144"/>
    </row>
    <row r="204" spans="1:7" s="846" customFormat="1" ht="21.75" hidden="1" customHeight="1">
      <c r="A204" s="1115" t="s">
        <v>43</v>
      </c>
      <c r="B204" s="1115" t="s">
        <v>609</v>
      </c>
      <c r="C204" s="1115"/>
      <c r="D204" s="1115"/>
      <c r="E204" s="1115"/>
      <c r="F204" s="1115"/>
      <c r="G204" s="1115"/>
    </row>
    <row r="205" spans="1:7" s="846" customFormat="1" ht="21" hidden="1" customHeight="1">
      <c r="A205" s="1115"/>
      <c r="B205" s="1115" t="s">
        <v>314</v>
      </c>
      <c r="C205" s="1115"/>
      <c r="D205" s="1115" t="s">
        <v>444</v>
      </c>
      <c r="E205" s="1115"/>
      <c r="F205" s="1115"/>
      <c r="G205" s="1115"/>
    </row>
    <row r="206" spans="1:7" s="846" customFormat="1" ht="16.5" hidden="1" customHeight="1">
      <c r="A206" s="1115"/>
      <c r="B206" s="1115" t="s">
        <v>44</v>
      </c>
      <c r="C206" s="1115" t="s">
        <v>45</v>
      </c>
      <c r="D206" s="1146" t="s">
        <v>46</v>
      </c>
      <c r="E206" s="901"/>
      <c r="F206" s="1146" t="s">
        <v>45</v>
      </c>
      <c r="G206" s="901"/>
    </row>
    <row r="207" spans="1:7" s="846" customFormat="1" ht="16.5" hidden="1" customHeight="1" thickBot="1">
      <c r="A207" s="1145"/>
      <c r="B207" s="1145"/>
      <c r="C207" s="1145"/>
      <c r="D207" s="1145"/>
      <c r="E207" s="902" t="s">
        <v>49</v>
      </c>
      <c r="F207" s="1145"/>
      <c r="G207" s="902" t="s">
        <v>49</v>
      </c>
    </row>
    <row r="208" spans="1:7" s="846" customFormat="1" ht="19.5" hidden="1" customHeight="1" thickTop="1">
      <c r="A208" s="897" t="s">
        <v>50</v>
      </c>
      <c r="B208" s="905">
        <f>국가별수출!AD248-국가별수출!AD208</f>
        <v>51597</v>
      </c>
      <c r="C208" s="905">
        <f>국가별수출!AE248-국가별수출!AE208</f>
        <v>269268</v>
      </c>
      <c r="D208" s="905">
        <f>국가별수출!AF248-국가별수출!AF208</f>
        <v>84996</v>
      </c>
      <c r="E208" s="895">
        <f>ROUND(((D208/B208-1)*100),1)</f>
        <v>64.7</v>
      </c>
      <c r="F208" s="905">
        <f>국가별수출!AH248-국가별수출!AH208</f>
        <v>347829</v>
      </c>
      <c r="G208" s="895">
        <f>ROUND(((F208/C208-1)*100),1)</f>
        <v>29.2</v>
      </c>
    </row>
    <row r="209" spans="1:7" s="846" customFormat="1" ht="19.5" hidden="1" customHeight="1">
      <c r="A209" s="897" t="s">
        <v>51</v>
      </c>
      <c r="B209" s="905">
        <f>국가별수출!AD249-국가별수출!AD209</f>
        <v>35003</v>
      </c>
      <c r="C209" s="905">
        <f>국가별수출!AE249-국가별수출!AE209</f>
        <v>121912</v>
      </c>
      <c r="D209" s="905">
        <f>국가별수출!AF249-국가별수출!AF209</f>
        <v>41186</v>
      </c>
      <c r="E209" s="895">
        <f t="shared" ref="E209:E239" si="12">ROUND(((D209/B209-1)*100),1)</f>
        <v>17.7</v>
      </c>
      <c r="F209" s="905">
        <f>국가별수출!AH249-국가별수출!AH209</f>
        <v>132400</v>
      </c>
      <c r="G209" s="895">
        <f t="shared" ref="G209:G239" si="13">ROUND(((F209/C209-1)*100),1)</f>
        <v>8.6</v>
      </c>
    </row>
    <row r="210" spans="1:7" s="846" customFormat="1" ht="19.5" hidden="1" customHeight="1">
      <c r="A210" s="897" t="s">
        <v>53</v>
      </c>
      <c r="B210" s="905">
        <f>국가별수출!AD250-국가별수출!AD210</f>
        <v>10607</v>
      </c>
      <c r="C210" s="905">
        <f>국가별수출!AE250-국가별수출!AE210</f>
        <v>60969</v>
      </c>
      <c r="D210" s="905">
        <f>국가별수출!AF250-국가별수출!AF210</f>
        <v>32697</v>
      </c>
      <c r="E210" s="895">
        <f t="shared" si="12"/>
        <v>208.3</v>
      </c>
      <c r="F210" s="905">
        <f>국가별수출!AH250-국가별수출!AH210</f>
        <v>98453</v>
      </c>
      <c r="G210" s="895">
        <f t="shared" si="13"/>
        <v>61.5</v>
      </c>
    </row>
    <row r="211" spans="1:7" s="846" customFormat="1" ht="19.5" hidden="1" customHeight="1">
      <c r="A211" s="897" t="s">
        <v>52</v>
      </c>
      <c r="B211" s="905">
        <f>국가별수출!AD251-국가별수출!AD211</f>
        <v>25200</v>
      </c>
      <c r="C211" s="905">
        <f>국가별수출!AE251-국가별수출!AE211</f>
        <v>67076</v>
      </c>
      <c r="D211" s="905">
        <f>국가별수출!AF251-국가별수출!AF211</f>
        <v>18582</v>
      </c>
      <c r="E211" s="895">
        <f t="shared" si="12"/>
        <v>-26.3</v>
      </c>
      <c r="F211" s="905">
        <f>국가별수출!AH251-국가별수출!AH211</f>
        <v>46177</v>
      </c>
      <c r="G211" s="895">
        <f t="shared" si="13"/>
        <v>-31.2</v>
      </c>
    </row>
    <row r="212" spans="1:7" s="846" customFormat="1" ht="19.5" hidden="1" customHeight="1">
      <c r="A212" s="897" t="s">
        <v>54</v>
      </c>
      <c r="B212" s="905">
        <f>국가별수출!AD252-국가별수출!AD212</f>
        <v>10599</v>
      </c>
      <c r="C212" s="905">
        <f>국가별수출!AE252-국가별수출!AE212</f>
        <v>52837</v>
      </c>
      <c r="D212" s="905">
        <f>국가별수출!AF252-국가별수출!AF212</f>
        <v>8696</v>
      </c>
      <c r="E212" s="895">
        <f t="shared" si="12"/>
        <v>-18</v>
      </c>
      <c r="F212" s="905">
        <f>국가별수출!AH252-국가별수출!AH212</f>
        <v>46301</v>
      </c>
      <c r="G212" s="895">
        <f t="shared" si="13"/>
        <v>-12.4</v>
      </c>
    </row>
    <row r="213" spans="1:7" s="846" customFormat="1" ht="19.5" hidden="1" customHeight="1">
      <c r="A213" s="897" t="s">
        <v>56</v>
      </c>
      <c r="B213" s="905">
        <f>국가별수출!AD253-국가별수출!AD213</f>
        <v>9855</v>
      </c>
      <c r="C213" s="905">
        <f>국가별수출!AE253-국가별수출!AE213</f>
        <v>36362</v>
      </c>
      <c r="D213" s="905">
        <f>국가별수출!AF253-국가별수출!AF213</f>
        <v>9124</v>
      </c>
      <c r="E213" s="895">
        <f t="shared" si="12"/>
        <v>-7.4</v>
      </c>
      <c r="F213" s="905">
        <f>국가별수출!AH253-국가별수출!AH213</f>
        <v>22602</v>
      </c>
      <c r="G213" s="895">
        <f t="shared" si="13"/>
        <v>-37.799999999999997</v>
      </c>
    </row>
    <row r="214" spans="1:7" s="846" customFormat="1" ht="19.5" hidden="1" customHeight="1">
      <c r="A214" s="897" t="s">
        <v>57</v>
      </c>
      <c r="B214" s="905">
        <f>국가별수출!AD254-국가별수출!AD214</f>
        <v>9775</v>
      </c>
      <c r="C214" s="905">
        <f>국가별수출!AE254-국가별수출!AE214</f>
        <v>51371</v>
      </c>
      <c r="D214" s="905">
        <f>국가별수출!AF254-국가별수출!AF214</f>
        <v>7003</v>
      </c>
      <c r="E214" s="895">
        <f t="shared" si="12"/>
        <v>-28.4</v>
      </c>
      <c r="F214" s="905">
        <f>국가별수출!AH254-국가별수출!AH214</f>
        <v>34613</v>
      </c>
      <c r="G214" s="895">
        <f t="shared" si="13"/>
        <v>-32.6</v>
      </c>
    </row>
    <row r="215" spans="1:7" s="846" customFormat="1" ht="19.5" hidden="1" customHeight="1">
      <c r="A215" s="897" t="s">
        <v>55</v>
      </c>
      <c r="B215" s="905">
        <f>국가별수출!AD255-국가별수출!AD215</f>
        <v>11904</v>
      </c>
      <c r="C215" s="905">
        <f>국가별수출!AE255-국가별수출!AE215</f>
        <v>44448</v>
      </c>
      <c r="D215" s="905">
        <f>국가별수출!AF255-국가별수출!AF215</f>
        <v>9106</v>
      </c>
      <c r="E215" s="895">
        <f t="shared" si="12"/>
        <v>-23.5</v>
      </c>
      <c r="F215" s="905">
        <f>국가별수출!AH255-국가별수출!AH215</f>
        <v>30742</v>
      </c>
      <c r="G215" s="895">
        <f t="shared" si="13"/>
        <v>-30.8</v>
      </c>
    </row>
    <row r="216" spans="1:7" s="846" customFormat="1" ht="19.5" hidden="1" customHeight="1">
      <c r="A216" s="897" t="s">
        <v>59</v>
      </c>
      <c r="B216" s="905">
        <f>국가별수출!AD256-국가별수출!AD216</f>
        <v>5060</v>
      </c>
      <c r="C216" s="905">
        <f>국가별수출!AE256-국가별수출!AE216</f>
        <v>27498</v>
      </c>
      <c r="D216" s="905">
        <f>국가별수출!AF256-국가별수출!AF216</f>
        <v>3616</v>
      </c>
      <c r="E216" s="895">
        <f t="shared" si="12"/>
        <v>-28.5</v>
      </c>
      <c r="F216" s="905">
        <f>국가별수출!AH256-국가별수출!AH216</f>
        <v>22167</v>
      </c>
      <c r="G216" s="895">
        <f t="shared" si="13"/>
        <v>-19.399999999999999</v>
      </c>
    </row>
    <row r="217" spans="1:7" s="846" customFormat="1" ht="19.5" hidden="1" customHeight="1">
      <c r="A217" s="897" t="s">
        <v>58</v>
      </c>
      <c r="B217" s="905">
        <f>국가별수출!AD257-국가별수출!AD217</f>
        <v>7462</v>
      </c>
      <c r="C217" s="905">
        <f>국가별수출!AE257-국가별수출!AE217</f>
        <v>22194</v>
      </c>
      <c r="D217" s="905">
        <f>국가별수출!AF257-국가별수출!AF217</f>
        <v>5418</v>
      </c>
      <c r="E217" s="895">
        <f t="shared" si="12"/>
        <v>-27.4</v>
      </c>
      <c r="F217" s="905">
        <f>국가별수출!AH257-국가별수출!AH217</f>
        <v>14916</v>
      </c>
      <c r="G217" s="895">
        <f t="shared" si="13"/>
        <v>-32.799999999999997</v>
      </c>
    </row>
    <row r="218" spans="1:7" s="846" customFormat="1" ht="19.5" hidden="1" customHeight="1">
      <c r="A218" s="897" t="s">
        <v>61</v>
      </c>
      <c r="B218" s="905">
        <f>국가별수출!AD258-국가별수출!AD218</f>
        <v>6639</v>
      </c>
      <c r="C218" s="905">
        <f>국가별수출!AE258-국가별수출!AE218</f>
        <v>22576</v>
      </c>
      <c r="D218" s="905">
        <f>국가별수출!AF258-국가별수출!AF218</f>
        <v>5172</v>
      </c>
      <c r="E218" s="895">
        <f t="shared" si="12"/>
        <v>-22.1</v>
      </c>
      <c r="F218" s="905">
        <f>국가별수출!AH258-국가별수출!AH218</f>
        <v>18455</v>
      </c>
      <c r="G218" s="895">
        <f t="shared" si="13"/>
        <v>-18.3</v>
      </c>
    </row>
    <row r="219" spans="1:7" s="846" customFormat="1" ht="19.5" hidden="1" customHeight="1">
      <c r="A219" s="897" t="s">
        <v>60</v>
      </c>
      <c r="B219" s="905">
        <f>국가별수출!AD259-국가별수출!AD219</f>
        <v>4796</v>
      </c>
      <c r="C219" s="905">
        <f>국가별수출!AE259-국가별수출!AE219</f>
        <v>20126</v>
      </c>
      <c r="D219" s="905">
        <f>국가별수출!AF259-국가별수출!AF219</f>
        <v>2394</v>
      </c>
      <c r="E219" s="895">
        <f t="shared" si="12"/>
        <v>-50.1</v>
      </c>
      <c r="F219" s="905">
        <f>국가별수출!AH259-국가별수출!AH219</f>
        <v>9920</v>
      </c>
      <c r="G219" s="895">
        <f t="shared" si="13"/>
        <v>-50.7</v>
      </c>
    </row>
    <row r="220" spans="1:7" s="846" customFormat="1" ht="19.5" hidden="1" customHeight="1">
      <c r="A220" s="897" t="s">
        <v>65</v>
      </c>
      <c r="B220" s="905">
        <f>국가별수출!AD260-국가별수출!AD220</f>
        <v>4817</v>
      </c>
      <c r="C220" s="905">
        <f>국가별수출!AE260-국가별수출!AE220</f>
        <v>16923</v>
      </c>
      <c r="D220" s="905">
        <f>국가별수출!AF260-국가별수출!AF220</f>
        <v>3878</v>
      </c>
      <c r="E220" s="895">
        <f t="shared" si="12"/>
        <v>-19.5</v>
      </c>
      <c r="F220" s="905">
        <f>국가별수출!AH260-국가별수출!AH220</f>
        <v>10967</v>
      </c>
      <c r="G220" s="895">
        <f t="shared" si="13"/>
        <v>-35.200000000000003</v>
      </c>
    </row>
    <row r="221" spans="1:7" s="846" customFormat="1" ht="19.5" hidden="1" customHeight="1">
      <c r="A221" s="897" t="s">
        <v>63</v>
      </c>
      <c r="B221" s="905">
        <f>국가별수출!AD261-국가별수출!AD221</f>
        <v>4734</v>
      </c>
      <c r="C221" s="905">
        <f>국가별수출!AE261-국가별수출!AE221</f>
        <v>12827</v>
      </c>
      <c r="D221" s="905">
        <f>국가별수출!AF261-국가별수출!AF221</f>
        <v>1953</v>
      </c>
      <c r="E221" s="895">
        <f t="shared" si="12"/>
        <v>-58.7</v>
      </c>
      <c r="F221" s="905">
        <f>국가별수출!AH261-국가별수출!AH221</f>
        <v>5162</v>
      </c>
      <c r="G221" s="895">
        <f t="shared" si="13"/>
        <v>-59.8</v>
      </c>
    </row>
    <row r="222" spans="1:7" s="846" customFormat="1" ht="19.5" hidden="1" customHeight="1">
      <c r="A222" s="897" t="s">
        <v>64</v>
      </c>
      <c r="B222" s="905">
        <f>국가별수출!AD262-국가별수출!AD222</f>
        <v>2592</v>
      </c>
      <c r="C222" s="905">
        <f>국가별수출!AE262-국가별수출!AE222</f>
        <v>7889</v>
      </c>
      <c r="D222" s="905">
        <f>국가별수출!AF262-국가별수출!AF222</f>
        <v>2100</v>
      </c>
      <c r="E222" s="895">
        <f t="shared" si="12"/>
        <v>-19</v>
      </c>
      <c r="F222" s="905">
        <f>국가별수출!AH262-국가별수출!AH222</f>
        <v>5632</v>
      </c>
      <c r="G222" s="895">
        <f t="shared" si="13"/>
        <v>-28.6</v>
      </c>
    </row>
    <row r="223" spans="1:7" s="846" customFormat="1" ht="19.5" hidden="1" customHeight="1">
      <c r="A223" s="897" t="s">
        <v>62</v>
      </c>
      <c r="B223" s="905">
        <f>국가별수출!AD263-국가별수출!AD223</f>
        <v>2167</v>
      </c>
      <c r="C223" s="905">
        <f>국가별수출!AE263-국가별수출!AE223</f>
        <v>7431</v>
      </c>
      <c r="D223" s="905">
        <f>국가별수출!AF263-국가별수출!AF223</f>
        <v>2663</v>
      </c>
      <c r="E223" s="895">
        <f t="shared" si="12"/>
        <v>22.9</v>
      </c>
      <c r="F223" s="905">
        <f>국가별수출!AH263-국가별수출!AH223</f>
        <v>7598</v>
      </c>
      <c r="G223" s="895">
        <f t="shared" si="13"/>
        <v>2.2000000000000002</v>
      </c>
    </row>
    <row r="224" spans="1:7" s="846" customFormat="1" ht="19.5" hidden="1" customHeight="1">
      <c r="A224" s="897" t="s">
        <v>448</v>
      </c>
      <c r="B224" s="905">
        <f>국가별수출!AD264-국가별수출!AD224</f>
        <v>1258</v>
      </c>
      <c r="C224" s="905">
        <f>국가별수출!AE264-국가별수출!AE224</f>
        <v>7219</v>
      </c>
      <c r="D224" s="905">
        <f>국가별수출!AF264-국가별수출!AF224</f>
        <v>1673</v>
      </c>
      <c r="E224" s="895">
        <f t="shared" si="12"/>
        <v>33</v>
      </c>
      <c r="F224" s="905">
        <f>국가별수출!AH264-국가별수출!AH224</f>
        <v>15312</v>
      </c>
      <c r="G224" s="895">
        <f t="shared" si="13"/>
        <v>112.1</v>
      </c>
    </row>
    <row r="225" spans="1:7" s="846" customFormat="1" ht="19.5" hidden="1" customHeight="1">
      <c r="A225" s="897" t="s">
        <v>77</v>
      </c>
      <c r="B225" s="905">
        <f>국가별수출!AD265-국가별수출!AD225</f>
        <v>4038</v>
      </c>
      <c r="C225" s="905">
        <f>국가별수출!AE265-국가별수출!AE225</f>
        <v>11127</v>
      </c>
      <c r="D225" s="905">
        <f>국가별수출!AF265-국가별수출!AF225</f>
        <v>3714</v>
      </c>
      <c r="E225" s="895">
        <f t="shared" si="12"/>
        <v>-8</v>
      </c>
      <c r="F225" s="905">
        <f>국가별수출!AH265-국가별수출!AH225</f>
        <v>8865</v>
      </c>
      <c r="G225" s="895">
        <f t="shared" si="13"/>
        <v>-20.3</v>
      </c>
    </row>
    <row r="226" spans="1:7" s="846" customFormat="1" ht="19.5" hidden="1" customHeight="1">
      <c r="A226" s="897" t="s">
        <v>75</v>
      </c>
      <c r="B226" s="905">
        <f>국가별수출!AD266-국가별수출!AD226</f>
        <v>1672</v>
      </c>
      <c r="C226" s="905">
        <f>국가별수출!AE266-국가별수출!AE226</f>
        <v>4755</v>
      </c>
      <c r="D226" s="905">
        <f>국가별수출!AF266-국가별수출!AF226</f>
        <v>3753</v>
      </c>
      <c r="E226" s="895">
        <f t="shared" si="12"/>
        <v>124.5</v>
      </c>
      <c r="F226" s="905">
        <f>국가별수출!AH266-국가별수출!AH226</f>
        <v>9377</v>
      </c>
      <c r="G226" s="895">
        <f t="shared" si="13"/>
        <v>97.2</v>
      </c>
    </row>
    <row r="227" spans="1:7" s="846" customFormat="1" ht="19.5" hidden="1" customHeight="1">
      <c r="A227" s="897" t="s">
        <v>449</v>
      </c>
      <c r="B227" s="905">
        <f>국가별수출!AD267-국가별수출!AD227</f>
        <v>520</v>
      </c>
      <c r="C227" s="905">
        <f>국가별수출!AE267-국가별수출!AE227</f>
        <v>4880</v>
      </c>
      <c r="D227" s="905">
        <f>국가별수출!AF267-국가별수출!AF227</f>
        <v>1051</v>
      </c>
      <c r="E227" s="895">
        <f t="shared" si="12"/>
        <v>102.1</v>
      </c>
      <c r="F227" s="905">
        <f>국가별수출!AH267-국가별수출!AH227</f>
        <v>7527</v>
      </c>
      <c r="G227" s="895">
        <f t="shared" si="13"/>
        <v>54.2</v>
      </c>
    </row>
    <row r="228" spans="1:7" s="846" customFormat="1" ht="19.5" hidden="1" customHeight="1">
      <c r="A228" s="897" t="s">
        <v>68</v>
      </c>
      <c r="B228" s="905">
        <f>국가별수출!AD268-국가별수출!AD228</f>
        <v>671</v>
      </c>
      <c r="C228" s="905">
        <f>국가별수출!AE268-국가별수출!AE228</f>
        <v>4311</v>
      </c>
      <c r="D228" s="905">
        <f>국가별수출!AF268-국가별수출!AF228</f>
        <v>366</v>
      </c>
      <c r="E228" s="895">
        <f t="shared" si="12"/>
        <v>-45.5</v>
      </c>
      <c r="F228" s="905">
        <f>국가별수출!AH268-국가별수출!AH228</f>
        <v>3095</v>
      </c>
      <c r="G228" s="895">
        <f t="shared" si="13"/>
        <v>-28.2</v>
      </c>
    </row>
    <row r="229" spans="1:7" s="846" customFormat="1" ht="19.5" hidden="1" customHeight="1">
      <c r="A229" s="897" t="s">
        <v>66</v>
      </c>
      <c r="B229" s="905">
        <f>국가별수출!AD269-국가별수출!AD229</f>
        <v>712</v>
      </c>
      <c r="C229" s="905">
        <f>국가별수출!AE269-국가별수출!AE229</f>
        <v>3900</v>
      </c>
      <c r="D229" s="905">
        <f>국가별수출!AF269-국가별수출!AF229</f>
        <v>618</v>
      </c>
      <c r="E229" s="895">
        <f t="shared" si="12"/>
        <v>-13.2</v>
      </c>
      <c r="F229" s="905">
        <f>국가별수출!AH269-국가별수출!AH229</f>
        <v>3220</v>
      </c>
      <c r="G229" s="895">
        <f t="shared" si="13"/>
        <v>-17.399999999999999</v>
      </c>
    </row>
    <row r="230" spans="1:7" s="846" customFormat="1" ht="19.5" hidden="1" customHeight="1">
      <c r="A230" s="897" t="s">
        <v>73</v>
      </c>
      <c r="B230" s="905">
        <f>국가별수출!AD270-국가별수출!AD230</f>
        <v>1506</v>
      </c>
      <c r="C230" s="905">
        <f>국가별수출!AE270-국가별수출!AE230</f>
        <v>4625</v>
      </c>
      <c r="D230" s="905">
        <f>국가별수출!AF270-국가별수출!AF230</f>
        <v>410</v>
      </c>
      <c r="E230" s="895">
        <f t="shared" si="12"/>
        <v>-72.8</v>
      </c>
      <c r="F230" s="905">
        <f>국가별수출!AH270-국가별수출!AH230</f>
        <v>1575</v>
      </c>
      <c r="G230" s="895">
        <f t="shared" si="13"/>
        <v>-65.900000000000006</v>
      </c>
    </row>
    <row r="231" spans="1:7" s="846" customFormat="1" ht="19.5" hidden="1" customHeight="1">
      <c r="A231" s="897" t="s">
        <v>71</v>
      </c>
      <c r="B231" s="905">
        <f>국가별수출!AD271-국가별수출!AD231</f>
        <v>486</v>
      </c>
      <c r="C231" s="905">
        <f>국가별수출!AE271-국가별수출!AE231</f>
        <v>3461</v>
      </c>
      <c r="D231" s="905">
        <f>국가별수출!AF271-국가별수출!AF231</f>
        <v>463</v>
      </c>
      <c r="E231" s="895">
        <f t="shared" si="12"/>
        <v>-4.7</v>
      </c>
      <c r="F231" s="905">
        <f>국가별수출!AH271-국가별수출!AH231</f>
        <v>3617</v>
      </c>
      <c r="G231" s="895">
        <f t="shared" si="13"/>
        <v>4.5</v>
      </c>
    </row>
    <row r="232" spans="1:7" s="846" customFormat="1" ht="19.5" hidden="1" customHeight="1">
      <c r="A232" s="891" t="s">
        <v>70</v>
      </c>
      <c r="B232" s="905">
        <f>국가별수출!AD272-국가별수출!AD232</f>
        <v>2411</v>
      </c>
      <c r="C232" s="905">
        <f>국가별수출!AE272-국가별수출!AE232</f>
        <v>6613</v>
      </c>
      <c r="D232" s="905">
        <f>국가별수출!AF272-국가별수출!AF232</f>
        <v>1213</v>
      </c>
      <c r="E232" s="895">
        <f t="shared" si="12"/>
        <v>-49.7</v>
      </c>
      <c r="F232" s="905">
        <f>국가별수출!AH272-국가별수출!AH232</f>
        <v>2918</v>
      </c>
      <c r="G232" s="895">
        <f t="shared" si="13"/>
        <v>-55.9</v>
      </c>
    </row>
    <row r="233" spans="1:7" s="846" customFormat="1" ht="19.5" hidden="1" customHeight="1">
      <c r="A233" s="897" t="s">
        <v>74</v>
      </c>
      <c r="B233" s="905">
        <f>국가별수출!AD273-국가별수출!AD233</f>
        <v>857</v>
      </c>
      <c r="C233" s="905">
        <f>국가별수출!AE273-국가별수출!AE233</f>
        <v>2618</v>
      </c>
      <c r="D233" s="905">
        <f>국가별수출!AF273-국가별수출!AF233</f>
        <v>1203</v>
      </c>
      <c r="E233" s="895">
        <f t="shared" si="12"/>
        <v>40.4</v>
      </c>
      <c r="F233" s="905">
        <f>국가별수출!AH273-국가별수출!AH233</f>
        <v>3654</v>
      </c>
      <c r="G233" s="895">
        <f t="shared" si="13"/>
        <v>39.6</v>
      </c>
    </row>
    <row r="234" spans="1:7" s="846" customFormat="1" ht="19.5" hidden="1" customHeight="1">
      <c r="A234" s="891" t="s">
        <v>88</v>
      </c>
      <c r="B234" s="905">
        <f>국가별수출!AD274-국가별수출!AD234</f>
        <v>551</v>
      </c>
      <c r="C234" s="905">
        <f>국가별수출!AE274-국가별수출!AE234</f>
        <v>1140</v>
      </c>
      <c r="D234" s="905">
        <f>국가별수출!AF274-국가별수출!AF234</f>
        <v>1085</v>
      </c>
      <c r="E234" s="895">
        <f t="shared" si="12"/>
        <v>96.9</v>
      </c>
      <c r="F234" s="905">
        <f>국가별수출!AH274-국가별수출!AH234</f>
        <v>2238</v>
      </c>
      <c r="G234" s="895">
        <f t="shared" si="13"/>
        <v>96.3</v>
      </c>
    </row>
    <row r="235" spans="1:7" s="846" customFormat="1" ht="19.5" hidden="1" customHeight="1">
      <c r="A235" s="891" t="s">
        <v>67</v>
      </c>
      <c r="B235" s="905">
        <f>국가별수출!AD275-국가별수출!AD235</f>
        <v>1277</v>
      </c>
      <c r="C235" s="905">
        <f>국가별수출!AE275-국가별수출!AE235</f>
        <v>3036</v>
      </c>
      <c r="D235" s="905">
        <f>국가별수출!AF275-국가별수출!AF235</f>
        <v>2216</v>
      </c>
      <c r="E235" s="895">
        <f t="shared" si="12"/>
        <v>73.5</v>
      </c>
      <c r="F235" s="905">
        <f>국가별수출!AH275-국가별수출!AH235</f>
        <v>4811</v>
      </c>
      <c r="G235" s="895">
        <f t="shared" si="13"/>
        <v>58.5</v>
      </c>
    </row>
    <row r="236" spans="1:7" s="846" customFormat="1" ht="19.5" hidden="1" customHeight="1">
      <c r="A236" s="897" t="s">
        <v>72</v>
      </c>
      <c r="B236" s="905">
        <f>국가별수출!AD276-국가별수출!AD236</f>
        <v>539</v>
      </c>
      <c r="C236" s="905">
        <f>국가별수출!AE276-국가별수출!AE236</f>
        <v>2777</v>
      </c>
      <c r="D236" s="905">
        <f>국가별수출!AF276-국가별수출!AF236</f>
        <v>672</v>
      </c>
      <c r="E236" s="895">
        <f t="shared" si="12"/>
        <v>24.7</v>
      </c>
      <c r="F236" s="905">
        <f>국가별수출!AH276-국가별수출!AH236</f>
        <v>3980</v>
      </c>
      <c r="G236" s="895">
        <f t="shared" si="13"/>
        <v>43.3</v>
      </c>
    </row>
    <row r="237" spans="1:7" s="846" customFormat="1" ht="19.5" hidden="1" customHeight="1">
      <c r="A237" s="897" t="s">
        <v>69</v>
      </c>
      <c r="B237" s="905">
        <f>국가별수출!AD277-국가별수출!AD237</f>
        <v>648</v>
      </c>
      <c r="C237" s="905">
        <f>국가별수출!AE277-국가별수출!AE237</f>
        <v>2539</v>
      </c>
      <c r="D237" s="905">
        <f>국가별수출!AF277-국가별수출!AF237</f>
        <v>123</v>
      </c>
      <c r="E237" s="895">
        <f t="shared" si="12"/>
        <v>-81</v>
      </c>
      <c r="F237" s="905">
        <f>국가별수출!AH277-국가별수출!AH237</f>
        <v>1417</v>
      </c>
      <c r="G237" s="895">
        <f t="shared" si="13"/>
        <v>-44.2</v>
      </c>
    </row>
    <row r="238" spans="1:7" s="846" customFormat="1" ht="19.5" hidden="1" customHeight="1">
      <c r="A238" s="903" t="s">
        <v>24</v>
      </c>
      <c r="B238" s="892">
        <f>B239-SUM(B208:B237)</f>
        <v>10286</v>
      </c>
      <c r="C238" s="892">
        <f>C239-SUM(C208:C237)</f>
        <v>36285</v>
      </c>
      <c r="D238" s="892">
        <f>D239-SUM(D208:D237)</f>
        <v>8801</v>
      </c>
      <c r="E238" s="895">
        <f t="shared" si="12"/>
        <v>-14.4</v>
      </c>
      <c r="F238" s="892">
        <f>F239-SUM(F208:F237)</f>
        <v>30283</v>
      </c>
      <c r="G238" s="896">
        <f t="shared" si="13"/>
        <v>-16.5</v>
      </c>
    </row>
    <row r="239" spans="1:7" s="846" customFormat="1" ht="19.5" hidden="1" customHeight="1">
      <c r="A239" s="904" t="s">
        <v>79</v>
      </c>
      <c r="B239" s="908">
        <f>국가별수출!AD279-국가별수출!AD239</f>
        <v>230239</v>
      </c>
      <c r="C239" s="908">
        <f>국가별수출!AE279-국가별수출!AE239</f>
        <v>940993</v>
      </c>
      <c r="D239" s="908">
        <f>국가별수출!AF279-국가별수출!AF239</f>
        <v>265945</v>
      </c>
      <c r="E239" s="906">
        <f t="shared" si="12"/>
        <v>15.5</v>
      </c>
      <c r="F239" s="908">
        <f>국가별수출!AH279-국가별수출!AH239</f>
        <v>955823</v>
      </c>
      <c r="G239" s="906">
        <f t="shared" si="13"/>
        <v>1.6</v>
      </c>
    </row>
    <row r="240" spans="1:7" s="846" customFormat="1" hidden="1">
      <c r="A240" s="898"/>
      <c r="B240" s="899"/>
      <c r="C240" s="899"/>
      <c r="D240" s="899"/>
      <c r="E240" s="900"/>
      <c r="F240" s="899"/>
      <c r="G240" s="900"/>
    </row>
    <row r="241" spans="1:7" s="846" customFormat="1" ht="22.5" hidden="1">
      <c r="A241" s="1143" t="s">
        <v>632</v>
      </c>
      <c r="B241" s="1143"/>
      <c r="C241" s="1143"/>
      <c r="D241" s="1143"/>
      <c r="E241" s="1143"/>
      <c r="F241" s="1143"/>
      <c r="G241" s="1143"/>
    </row>
    <row r="242" spans="1:7" s="846" customFormat="1" hidden="1">
      <c r="A242" s="898"/>
      <c r="B242" s="899"/>
      <c r="C242" s="899"/>
      <c r="D242" s="899"/>
      <c r="E242" s="900"/>
      <c r="F242" s="899"/>
      <c r="G242" s="900"/>
    </row>
    <row r="243" spans="1:7" s="846" customFormat="1" hidden="1">
      <c r="A243" s="898"/>
      <c r="B243" s="899"/>
      <c r="C243" s="899"/>
      <c r="D243" s="899"/>
      <c r="E243" s="900"/>
      <c r="F243" s="1144" t="s">
        <v>80</v>
      </c>
      <c r="G243" s="1144"/>
    </row>
    <row r="244" spans="1:7" s="846" customFormat="1" ht="21.75" hidden="1" customHeight="1">
      <c r="A244" s="1115" t="s">
        <v>43</v>
      </c>
      <c r="B244" s="1115" t="s">
        <v>633</v>
      </c>
      <c r="C244" s="1115"/>
      <c r="D244" s="1115"/>
      <c r="E244" s="1115"/>
      <c r="F244" s="1115"/>
      <c r="G244" s="1115"/>
    </row>
    <row r="245" spans="1:7" s="846" customFormat="1" ht="21" hidden="1" customHeight="1">
      <c r="A245" s="1115"/>
      <c r="B245" s="1115" t="s">
        <v>314</v>
      </c>
      <c r="C245" s="1115"/>
      <c r="D245" s="1115" t="s">
        <v>444</v>
      </c>
      <c r="E245" s="1115"/>
      <c r="F245" s="1115"/>
      <c r="G245" s="1115"/>
    </row>
    <row r="246" spans="1:7" s="846" customFormat="1" ht="16.5" hidden="1" customHeight="1">
      <c r="A246" s="1115"/>
      <c r="B246" s="1115" t="s">
        <v>44</v>
      </c>
      <c r="C246" s="1115" t="s">
        <v>45</v>
      </c>
      <c r="D246" s="1146" t="s">
        <v>46</v>
      </c>
      <c r="E246" s="901"/>
      <c r="F246" s="1146" t="s">
        <v>45</v>
      </c>
      <c r="G246" s="901"/>
    </row>
    <row r="247" spans="1:7" s="846" customFormat="1" ht="16.5" hidden="1" customHeight="1" thickBot="1">
      <c r="A247" s="1145"/>
      <c r="B247" s="1145"/>
      <c r="C247" s="1145"/>
      <c r="D247" s="1145"/>
      <c r="E247" s="902" t="s">
        <v>49</v>
      </c>
      <c r="F247" s="1145"/>
      <c r="G247" s="902" t="s">
        <v>49</v>
      </c>
    </row>
    <row r="248" spans="1:7" s="846" customFormat="1" ht="19.5" hidden="1" customHeight="1" thickTop="1">
      <c r="A248" s="897" t="s">
        <v>50</v>
      </c>
      <c r="B248" s="905">
        <f>국가별수출!AD288-국가별수출!AD248</f>
        <v>47952</v>
      </c>
      <c r="C248" s="905">
        <f>국가별수출!AE288-국가별수출!AE248</f>
        <v>233069</v>
      </c>
      <c r="D248" s="905">
        <f>국가별수출!AF288-국가별수출!AF248</f>
        <v>71869</v>
      </c>
      <c r="E248" s="895">
        <f>ROUND(((D248/B248-1)*100),1)</f>
        <v>49.9</v>
      </c>
      <c r="F248" s="905">
        <f>국가별수출!AH288-국가별수출!AH248</f>
        <v>289638</v>
      </c>
      <c r="G248" s="895">
        <f>ROUND(((F248/C248-1)*100),1)</f>
        <v>24.3</v>
      </c>
    </row>
    <row r="249" spans="1:7" s="846" customFormat="1" ht="19.5" hidden="1" customHeight="1">
      <c r="A249" s="897" t="s">
        <v>51</v>
      </c>
      <c r="B249" s="905">
        <f>국가별수출!AD289-국가별수출!AD249</f>
        <v>37171</v>
      </c>
      <c r="C249" s="905">
        <f>국가별수출!AE289-국가별수출!AE249</f>
        <v>126228</v>
      </c>
      <c r="D249" s="905">
        <f>국가별수출!AF289-국가별수출!AF249</f>
        <v>41332</v>
      </c>
      <c r="E249" s="895">
        <f t="shared" ref="E249:E279" si="14">ROUND(((D249/B249-1)*100),1)</f>
        <v>11.2</v>
      </c>
      <c r="F249" s="905">
        <f>국가별수출!AH289-국가별수출!AH249</f>
        <v>126054</v>
      </c>
      <c r="G249" s="895">
        <f t="shared" ref="G249:G279" si="15">ROUND(((F249/C249-1)*100),1)</f>
        <v>-0.1</v>
      </c>
    </row>
    <row r="250" spans="1:7" s="846" customFormat="1" ht="19.5" hidden="1" customHeight="1">
      <c r="A250" s="897" t="s">
        <v>53</v>
      </c>
      <c r="B250" s="905">
        <f>국가별수출!AD290-국가별수출!AD250</f>
        <v>23679</v>
      </c>
      <c r="C250" s="905">
        <f>국가별수출!AE290-국가별수출!AE250</f>
        <v>82596</v>
      </c>
      <c r="D250" s="905">
        <f>국가별수출!AF290-국가별수출!AF250</f>
        <v>9709</v>
      </c>
      <c r="E250" s="895">
        <f t="shared" si="14"/>
        <v>-59</v>
      </c>
      <c r="F250" s="905">
        <f>국가별수출!AH290-국가별수출!AH250</f>
        <v>49330</v>
      </c>
      <c r="G250" s="895">
        <f t="shared" si="15"/>
        <v>-40.299999999999997</v>
      </c>
    </row>
    <row r="251" spans="1:7" s="846" customFormat="1" ht="19.5" hidden="1" customHeight="1">
      <c r="A251" s="897" t="s">
        <v>52</v>
      </c>
      <c r="B251" s="905">
        <f>국가별수출!AD291-국가별수출!AD251</f>
        <v>15375</v>
      </c>
      <c r="C251" s="905">
        <f>국가별수출!AE291-국가별수출!AE251</f>
        <v>43472</v>
      </c>
      <c r="D251" s="905">
        <f>국가별수출!AF291-국가별수출!AF251</f>
        <v>15422</v>
      </c>
      <c r="E251" s="895">
        <f t="shared" si="14"/>
        <v>0.3</v>
      </c>
      <c r="F251" s="905">
        <f>국가별수출!AH291-국가별수출!AH251</f>
        <v>39566</v>
      </c>
      <c r="G251" s="895">
        <f t="shared" si="15"/>
        <v>-9</v>
      </c>
    </row>
    <row r="252" spans="1:7" s="846" customFormat="1" ht="19.5" hidden="1" customHeight="1">
      <c r="A252" s="897" t="s">
        <v>54</v>
      </c>
      <c r="B252" s="905">
        <f>국가별수출!AD292-국가별수출!AD252</f>
        <v>8736</v>
      </c>
      <c r="C252" s="905">
        <f>국가별수출!AE292-국가별수출!AE252</f>
        <v>45411</v>
      </c>
      <c r="D252" s="905">
        <f>국가별수출!AF292-국가별수출!AF252</f>
        <v>6782</v>
      </c>
      <c r="E252" s="895">
        <f t="shared" si="14"/>
        <v>-22.4</v>
      </c>
      <c r="F252" s="905">
        <f>국가별수출!AH292-국가별수출!AH252</f>
        <v>41085</v>
      </c>
      <c r="G252" s="895">
        <f t="shared" si="15"/>
        <v>-9.5</v>
      </c>
    </row>
    <row r="253" spans="1:7" s="846" customFormat="1" ht="19.5" hidden="1" customHeight="1">
      <c r="A253" s="897" t="s">
        <v>56</v>
      </c>
      <c r="B253" s="905">
        <f>국가별수출!AD293-국가별수출!AD253</f>
        <v>13737</v>
      </c>
      <c r="C253" s="905">
        <f>국가별수출!AE293-국가별수출!AE253</f>
        <v>55908</v>
      </c>
      <c r="D253" s="905">
        <f>국가별수출!AF293-국가별수출!AF253</f>
        <v>10092</v>
      </c>
      <c r="E253" s="895">
        <f t="shared" si="14"/>
        <v>-26.5</v>
      </c>
      <c r="F253" s="905">
        <f>국가별수출!AH293-국가별수출!AH253</f>
        <v>33269</v>
      </c>
      <c r="G253" s="895">
        <f t="shared" si="15"/>
        <v>-40.5</v>
      </c>
    </row>
    <row r="254" spans="1:7" s="846" customFormat="1" ht="19.5" hidden="1" customHeight="1">
      <c r="A254" s="897" t="s">
        <v>57</v>
      </c>
      <c r="B254" s="905">
        <f>국가별수출!AD294-국가별수출!AD254</f>
        <v>6190</v>
      </c>
      <c r="C254" s="905">
        <f>국가별수출!AE294-국가별수출!AE254</f>
        <v>31945</v>
      </c>
      <c r="D254" s="905">
        <f>국가별수출!AF294-국가별수출!AF254</f>
        <v>5143</v>
      </c>
      <c r="E254" s="895">
        <f t="shared" si="14"/>
        <v>-16.899999999999999</v>
      </c>
      <c r="F254" s="905">
        <f>국가별수출!AH294-국가별수출!AH254</f>
        <v>30007</v>
      </c>
      <c r="G254" s="895">
        <f t="shared" si="15"/>
        <v>-6.1</v>
      </c>
    </row>
    <row r="255" spans="1:7" s="846" customFormat="1" ht="19.5" hidden="1" customHeight="1">
      <c r="A255" s="897" t="s">
        <v>55</v>
      </c>
      <c r="B255" s="905">
        <f>국가별수출!AD295-국가별수출!AD255</f>
        <v>11465</v>
      </c>
      <c r="C255" s="905">
        <f>국가별수출!AE295-국가별수출!AE255</f>
        <v>38422</v>
      </c>
      <c r="D255" s="905">
        <f>국가별수출!AF295-국가별수출!AF255</f>
        <v>8695</v>
      </c>
      <c r="E255" s="895">
        <f t="shared" si="14"/>
        <v>-24.2</v>
      </c>
      <c r="F255" s="905">
        <f>국가별수출!AH295-국가별수출!AH255</f>
        <v>27841</v>
      </c>
      <c r="G255" s="895">
        <f t="shared" si="15"/>
        <v>-27.5</v>
      </c>
    </row>
    <row r="256" spans="1:7" s="846" customFormat="1" ht="19.5" hidden="1" customHeight="1">
      <c r="A256" s="897" t="s">
        <v>59</v>
      </c>
      <c r="B256" s="905">
        <f>국가별수출!AD296-국가별수출!AD256</f>
        <v>3691</v>
      </c>
      <c r="C256" s="905">
        <f>국가별수출!AE296-국가별수출!AE256</f>
        <v>20657</v>
      </c>
      <c r="D256" s="905">
        <f>국가별수출!AF296-국가별수출!AF256</f>
        <v>3264</v>
      </c>
      <c r="E256" s="895">
        <f t="shared" si="14"/>
        <v>-11.6</v>
      </c>
      <c r="F256" s="905">
        <f>국가별수출!AH296-국가별수출!AH256</f>
        <v>18587</v>
      </c>
      <c r="G256" s="895">
        <f t="shared" si="15"/>
        <v>-10</v>
      </c>
    </row>
    <row r="257" spans="1:7" s="846" customFormat="1" ht="19.5" hidden="1" customHeight="1">
      <c r="A257" s="897" t="s">
        <v>58</v>
      </c>
      <c r="B257" s="905">
        <f>국가별수출!AD297-국가별수출!AD257</f>
        <v>8710</v>
      </c>
      <c r="C257" s="905">
        <f>국가별수출!AE297-국가별수출!AE257</f>
        <v>25249</v>
      </c>
      <c r="D257" s="905">
        <f>국가별수출!AF297-국가별수출!AF257</f>
        <v>5557</v>
      </c>
      <c r="E257" s="895">
        <f t="shared" si="14"/>
        <v>-36.200000000000003</v>
      </c>
      <c r="F257" s="905">
        <f>국가별수출!AH297-국가별수출!AH257</f>
        <v>14698</v>
      </c>
      <c r="G257" s="895">
        <f t="shared" si="15"/>
        <v>-41.8</v>
      </c>
    </row>
    <row r="258" spans="1:7" s="846" customFormat="1" ht="19.5" hidden="1" customHeight="1">
      <c r="A258" s="897" t="s">
        <v>61</v>
      </c>
      <c r="B258" s="905">
        <f>국가별수출!AD298-국가별수출!AD258</f>
        <v>6266</v>
      </c>
      <c r="C258" s="905">
        <f>국가별수출!AE298-국가별수출!AE258</f>
        <v>21375</v>
      </c>
      <c r="D258" s="905">
        <f>국가별수출!AF298-국가별수출!AF258</f>
        <v>5906</v>
      </c>
      <c r="E258" s="895">
        <f t="shared" si="14"/>
        <v>-5.7</v>
      </c>
      <c r="F258" s="905">
        <f>국가별수출!AH298-국가별수출!AH258</f>
        <v>20026</v>
      </c>
      <c r="G258" s="895">
        <f t="shared" si="15"/>
        <v>-6.3</v>
      </c>
    </row>
    <row r="259" spans="1:7" s="846" customFormat="1" ht="19.5" hidden="1" customHeight="1">
      <c r="A259" s="897" t="s">
        <v>60</v>
      </c>
      <c r="B259" s="905">
        <f>국가별수출!AD299-국가별수출!AD259</f>
        <v>3477</v>
      </c>
      <c r="C259" s="905">
        <f>국가별수출!AE299-국가별수출!AE259</f>
        <v>14593</v>
      </c>
      <c r="D259" s="905">
        <f>국가별수출!AF299-국가별수출!AF259</f>
        <v>1995</v>
      </c>
      <c r="E259" s="895">
        <f t="shared" si="14"/>
        <v>-42.6</v>
      </c>
      <c r="F259" s="905">
        <f>국가별수출!AH299-국가별수출!AH259</f>
        <v>8819</v>
      </c>
      <c r="G259" s="895">
        <f t="shared" si="15"/>
        <v>-39.6</v>
      </c>
    </row>
    <row r="260" spans="1:7" s="846" customFormat="1" ht="19.5" hidden="1" customHeight="1">
      <c r="A260" s="897" t="s">
        <v>65</v>
      </c>
      <c r="B260" s="905">
        <f>국가별수출!AD300-국가별수출!AD260</f>
        <v>5737</v>
      </c>
      <c r="C260" s="905">
        <f>국가별수출!AE300-국가별수출!AE260</f>
        <v>17467</v>
      </c>
      <c r="D260" s="905">
        <f>국가별수출!AF300-국가별수출!AF260</f>
        <v>3091</v>
      </c>
      <c r="E260" s="895">
        <f t="shared" si="14"/>
        <v>-46.1</v>
      </c>
      <c r="F260" s="905">
        <f>국가별수출!AH300-국가별수출!AH260</f>
        <v>8653</v>
      </c>
      <c r="G260" s="895">
        <f t="shared" si="15"/>
        <v>-50.5</v>
      </c>
    </row>
    <row r="261" spans="1:7" s="846" customFormat="1" ht="19.5" hidden="1" customHeight="1">
      <c r="A261" s="897" t="s">
        <v>63</v>
      </c>
      <c r="B261" s="905">
        <f>국가별수출!AD301-국가별수출!AD261</f>
        <v>3654</v>
      </c>
      <c r="C261" s="905">
        <f>국가별수출!AE301-국가별수출!AE261</f>
        <v>9638</v>
      </c>
      <c r="D261" s="905">
        <f>국가별수출!AF301-국가별수출!AF261</f>
        <v>3968</v>
      </c>
      <c r="E261" s="895">
        <f t="shared" si="14"/>
        <v>8.6</v>
      </c>
      <c r="F261" s="905">
        <f>국가별수출!AH301-국가별수출!AH261</f>
        <v>10172</v>
      </c>
      <c r="G261" s="895">
        <f t="shared" si="15"/>
        <v>5.5</v>
      </c>
    </row>
    <row r="262" spans="1:7" s="846" customFormat="1" ht="19.5" hidden="1" customHeight="1">
      <c r="A262" s="897" t="s">
        <v>64</v>
      </c>
      <c r="B262" s="905">
        <f>국가별수출!AD302-국가별수출!AD262</f>
        <v>2365</v>
      </c>
      <c r="C262" s="905">
        <f>국가별수출!AE302-국가별수출!AE262</f>
        <v>7565</v>
      </c>
      <c r="D262" s="905">
        <f>국가별수출!AF302-국가별수출!AF262</f>
        <v>2368</v>
      </c>
      <c r="E262" s="895">
        <f t="shared" si="14"/>
        <v>0.1</v>
      </c>
      <c r="F262" s="905">
        <f>국가별수출!AH302-국가별수출!AH262</f>
        <v>5934</v>
      </c>
      <c r="G262" s="895">
        <f t="shared" si="15"/>
        <v>-21.6</v>
      </c>
    </row>
    <row r="263" spans="1:7" s="846" customFormat="1" ht="19.5" hidden="1" customHeight="1">
      <c r="A263" s="897" t="s">
        <v>62</v>
      </c>
      <c r="B263" s="905">
        <f>국가별수출!AD303-국가별수출!AD263</f>
        <v>1946</v>
      </c>
      <c r="C263" s="905">
        <f>국가별수출!AE303-국가별수출!AE263</f>
        <v>6637</v>
      </c>
      <c r="D263" s="905">
        <f>국가별수출!AF303-국가별수출!AF263</f>
        <v>1086</v>
      </c>
      <c r="E263" s="895">
        <f t="shared" si="14"/>
        <v>-44.2</v>
      </c>
      <c r="F263" s="905">
        <f>국가별수출!AH303-국가별수출!AH263</f>
        <v>4063</v>
      </c>
      <c r="G263" s="895">
        <f t="shared" si="15"/>
        <v>-38.799999999999997</v>
      </c>
    </row>
    <row r="264" spans="1:7" s="846" customFormat="1" ht="19.5" hidden="1" customHeight="1">
      <c r="A264" s="897" t="s">
        <v>448</v>
      </c>
      <c r="B264" s="905">
        <f>국가별수출!AD304-국가별수출!AD264</f>
        <v>1291</v>
      </c>
      <c r="C264" s="905">
        <f>국가별수출!AE304-국가별수출!AE264</f>
        <v>10114</v>
      </c>
      <c r="D264" s="905">
        <f>국가별수출!AF304-국가별수출!AF264</f>
        <v>1615</v>
      </c>
      <c r="E264" s="895">
        <f t="shared" si="14"/>
        <v>25.1</v>
      </c>
      <c r="F264" s="905">
        <f>국가별수출!AH304-국가별수출!AH264</f>
        <v>15987</v>
      </c>
      <c r="G264" s="895">
        <f t="shared" si="15"/>
        <v>58.1</v>
      </c>
    </row>
    <row r="265" spans="1:7" s="846" customFormat="1" ht="19.5" hidden="1" customHeight="1">
      <c r="A265" s="897" t="s">
        <v>77</v>
      </c>
      <c r="B265" s="905">
        <f>국가별수출!AD305-국가별수출!AD265</f>
        <v>2608</v>
      </c>
      <c r="C265" s="905">
        <f>국가별수출!AE305-국가별수출!AE265</f>
        <v>6754</v>
      </c>
      <c r="D265" s="905">
        <f>국가별수출!AF305-국가별수출!AF265</f>
        <v>3708</v>
      </c>
      <c r="E265" s="895">
        <f t="shared" si="14"/>
        <v>42.2</v>
      </c>
      <c r="F265" s="905">
        <f>국가별수출!AH305-국가별수출!AH265</f>
        <v>8908</v>
      </c>
      <c r="G265" s="895">
        <f t="shared" si="15"/>
        <v>31.9</v>
      </c>
    </row>
    <row r="266" spans="1:7" s="846" customFormat="1" ht="19.5" hidden="1" customHeight="1">
      <c r="A266" s="897" t="s">
        <v>75</v>
      </c>
      <c r="B266" s="905">
        <f>국가별수출!AD306-국가별수출!AD266</f>
        <v>1705</v>
      </c>
      <c r="C266" s="905">
        <f>국가별수출!AE306-국가별수출!AE266</f>
        <v>4675</v>
      </c>
      <c r="D266" s="905">
        <f>국가별수출!AF306-국가별수출!AF266</f>
        <v>2431</v>
      </c>
      <c r="E266" s="895">
        <f t="shared" si="14"/>
        <v>42.6</v>
      </c>
      <c r="F266" s="905">
        <f>국가별수출!AH306-국가별수출!AH266</f>
        <v>6232</v>
      </c>
      <c r="G266" s="895">
        <f t="shared" si="15"/>
        <v>33.299999999999997</v>
      </c>
    </row>
    <row r="267" spans="1:7" s="846" customFormat="1" ht="19.5" hidden="1" customHeight="1">
      <c r="A267" s="897" t="s">
        <v>449</v>
      </c>
      <c r="B267" s="905">
        <f>국가별수출!AD307-국가별수출!AD267</f>
        <v>431</v>
      </c>
      <c r="C267" s="905">
        <f>국가별수출!AE307-국가별수출!AE267</f>
        <v>3345</v>
      </c>
      <c r="D267" s="905">
        <f>국가별수출!AF307-국가별수출!AF267</f>
        <v>780</v>
      </c>
      <c r="E267" s="895">
        <f t="shared" si="14"/>
        <v>81</v>
      </c>
      <c r="F267" s="905">
        <f>국가별수출!AH307-국가별수출!AH267</f>
        <v>5815</v>
      </c>
      <c r="G267" s="895">
        <f t="shared" si="15"/>
        <v>73.8</v>
      </c>
    </row>
    <row r="268" spans="1:7" s="846" customFormat="1" ht="19.5" hidden="1" customHeight="1">
      <c r="A268" s="897" t="s">
        <v>68</v>
      </c>
      <c r="B268" s="905">
        <f>국가별수출!AD308-국가별수출!AD268</f>
        <v>492</v>
      </c>
      <c r="C268" s="905">
        <f>국가별수출!AE308-국가별수출!AE268</f>
        <v>5582</v>
      </c>
      <c r="D268" s="905">
        <f>국가별수출!AF308-국가별수출!AF268</f>
        <v>165</v>
      </c>
      <c r="E268" s="895">
        <f t="shared" si="14"/>
        <v>-66.5</v>
      </c>
      <c r="F268" s="905">
        <f>국가별수출!AH308-국가별수출!AH268</f>
        <v>1614</v>
      </c>
      <c r="G268" s="895">
        <f t="shared" si="15"/>
        <v>-71.099999999999994</v>
      </c>
    </row>
    <row r="269" spans="1:7" s="846" customFormat="1" ht="19.5" hidden="1" customHeight="1">
      <c r="A269" s="897" t="s">
        <v>66</v>
      </c>
      <c r="B269" s="905">
        <f>국가별수출!AD309-국가별수출!AD269</f>
        <v>713</v>
      </c>
      <c r="C269" s="905">
        <f>국가별수출!AE309-국가별수출!AE269</f>
        <v>3487</v>
      </c>
      <c r="D269" s="905">
        <f>국가별수출!AF309-국가별수출!AF269</f>
        <v>442</v>
      </c>
      <c r="E269" s="895">
        <f t="shared" si="14"/>
        <v>-38</v>
      </c>
      <c r="F269" s="905">
        <f>국가별수출!AH309-국가별수출!AH269</f>
        <v>2600</v>
      </c>
      <c r="G269" s="895">
        <f t="shared" si="15"/>
        <v>-25.4</v>
      </c>
    </row>
    <row r="270" spans="1:7" s="846" customFormat="1" ht="19.5" hidden="1" customHeight="1">
      <c r="A270" s="897" t="s">
        <v>73</v>
      </c>
      <c r="B270" s="905">
        <f>국가별수출!AD310-국가별수출!AD270</f>
        <v>1597</v>
      </c>
      <c r="C270" s="905">
        <f>국가별수출!AE310-국가별수출!AE270</f>
        <v>5329</v>
      </c>
      <c r="D270" s="905">
        <f>국가별수출!AF310-국가별수출!AF270</f>
        <v>547</v>
      </c>
      <c r="E270" s="895">
        <f t="shared" si="14"/>
        <v>-65.7</v>
      </c>
      <c r="F270" s="905">
        <f>국가별수출!AH310-국가별수출!AH270</f>
        <v>2884</v>
      </c>
      <c r="G270" s="895">
        <f t="shared" si="15"/>
        <v>-45.9</v>
      </c>
    </row>
    <row r="271" spans="1:7" s="846" customFormat="1" ht="19.5" hidden="1" customHeight="1">
      <c r="A271" s="897" t="s">
        <v>71</v>
      </c>
      <c r="B271" s="905">
        <f>국가별수출!AD311-국가별수출!AD271</f>
        <v>916</v>
      </c>
      <c r="C271" s="905">
        <f>국가별수출!AE311-국가별수출!AE271</f>
        <v>3448</v>
      </c>
      <c r="D271" s="905">
        <f>국가별수출!AF311-국가별수출!AF271</f>
        <v>165</v>
      </c>
      <c r="E271" s="895">
        <f t="shared" si="14"/>
        <v>-82</v>
      </c>
      <c r="F271" s="905">
        <f>국가별수출!AH311-국가별수출!AH271</f>
        <v>1321</v>
      </c>
      <c r="G271" s="895">
        <f t="shared" si="15"/>
        <v>-61.7</v>
      </c>
    </row>
    <row r="272" spans="1:7" s="846" customFormat="1" ht="19.5" hidden="1" customHeight="1">
      <c r="A272" s="891" t="s">
        <v>70</v>
      </c>
      <c r="B272" s="905">
        <f>국가별수출!AD312-국가별수출!AD272</f>
        <v>560</v>
      </c>
      <c r="C272" s="905">
        <f>국가별수출!AE312-국가별수출!AE272</f>
        <v>1526</v>
      </c>
      <c r="D272" s="905">
        <f>국가별수출!AF312-국가별수출!AF272</f>
        <v>979</v>
      </c>
      <c r="E272" s="895">
        <f t="shared" si="14"/>
        <v>74.8</v>
      </c>
      <c r="F272" s="905">
        <f>국가별수출!AH312-국가별수출!AH272</f>
        <v>3980</v>
      </c>
      <c r="G272" s="895">
        <f t="shared" si="15"/>
        <v>160.80000000000001</v>
      </c>
    </row>
    <row r="273" spans="1:7" s="846" customFormat="1" ht="19.5" hidden="1" customHeight="1">
      <c r="A273" s="897" t="s">
        <v>74</v>
      </c>
      <c r="B273" s="905">
        <f>국가별수출!AD313-국가별수출!AD273</f>
        <v>1443</v>
      </c>
      <c r="C273" s="905">
        <f>국가별수출!AE313-국가별수출!AE273</f>
        <v>4527</v>
      </c>
      <c r="D273" s="905">
        <f>국가별수출!AF313-국가별수출!AF273</f>
        <v>1055</v>
      </c>
      <c r="E273" s="895">
        <f t="shared" si="14"/>
        <v>-26.9</v>
      </c>
      <c r="F273" s="905">
        <f>국가별수출!AH313-국가별수출!AH273</f>
        <v>3253</v>
      </c>
      <c r="G273" s="895">
        <f t="shared" si="15"/>
        <v>-28.1</v>
      </c>
    </row>
    <row r="274" spans="1:7" s="846" customFormat="1" ht="19.5" hidden="1" customHeight="1">
      <c r="A274" s="891" t="s">
        <v>88</v>
      </c>
      <c r="B274" s="905">
        <f>국가별수출!AD314-국가별수출!AD274</f>
        <v>2575</v>
      </c>
      <c r="C274" s="905">
        <f>국가별수출!AE314-국가별수출!AE274</f>
        <v>5628</v>
      </c>
      <c r="D274" s="905">
        <f>국가별수출!AF314-국가별수출!AF274</f>
        <v>1262</v>
      </c>
      <c r="E274" s="895">
        <f t="shared" si="14"/>
        <v>-51</v>
      </c>
      <c r="F274" s="905">
        <f>국가별수출!AH314-국가별수출!AH274</f>
        <v>2699</v>
      </c>
      <c r="G274" s="895">
        <f t="shared" si="15"/>
        <v>-52</v>
      </c>
    </row>
    <row r="275" spans="1:7" s="846" customFormat="1" ht="19.5" hidden="1" customHeight="1">
      <c r="A275" s="891" t="s">
        <v>67</v>
      </c>
      <c r="B275" s="905">
        <f>국가별수출!AD315-국가별수출!AD275</f>
        <v>336</v>
      </c>
      <c r="C275" s="905">
        <f>국가별수출!AE315-국가별수출!AE275</f>
        <v>850</v>
      </c>
      <c r="D275" s="905">
        <f>국가별수출!AF315-국가별수출!AF275</f>
        <v>2776</v>
      </c>
      <c r="E275" s="895">
        <f t="shared" si="14"/>
        <v>726.2</v>
      </c>
      <c r="F275" s="905">
        <f>국가별수출!AH315-국가별수출!AH275</f>
        <v>5680</v>
      </c>
      <c r="G275" s="895">
        <f t="shared" si="15"/>
        <v>568.20000000000005</v>
      </c>
    </row>
    <row r="276" spans="1:7" s="846" customFormat="1" ht="19.5" hidden="1" customHeight="1">
      <c r="A276" s="897" t="s">
        <v>72</v>
      </c>
      <c r="B276" s="905">
        <f>국가별수출!AD316-국가별수출!AD276</f>
        <v>479</v>
      </c>
      <c r="C276" s="905">
        <f>국가별수출!AE316-국가별수출!AE276</f>
        <v>2510</v>
      </c>
      <c r="D276" s="905">
        <f>국가별수출!AF316-국가별수출!AF276</f>
        <v>464</v>
      </c>
      <c r="E276" s="895">
        <f t="shared" si="14"/>
        <v>-3.1</v>
      </c>
      <c r="F276" s="905">
        <f>국가별수출!AH316-국가별수출!AH276</f>
        <v>3028</v>
      </c>
      <c r="G276" s="895">
        <f t="shared" si="15"/>
        <v>20.6</v>
      </c>
    </row>
    <row r="277" spans="1:7" s="846" customFormat="1" ht="19.5" hidden="1" customHeight="1">
      <c r="A277" s="897" t="s">
        <v>69</v>
      </c>
      <c r="B277" s="905">
        <f>국가별수출!AD317-국가별수출!AD277</f>
        <v>1098</v>
      </c>
      <c r="C277" s="905">
        <f>국가별수출!AE317-국가별수출!AE277</f>
        <v>3524</v>
      </c>
      <c r="D277" s="905">
        <f>국가별수출!AF317-국가별수출!AF277</f>
        <v>124</v>
      </c>
      <c r="E277" s="895">
        <f t="shared" si="14"/>
        <v>-88.7</v>
      </c>
      <c r="F277" s="905">
        <f>국가별수출!AH317-국가별수출!AH277</f>
        <v>1636</v>
      </c>
      <c r="G277" s="895">
        <f t="shared" si="15"/>
        <v>-53.6</v>
      </c>
    </row>
    <row r="278" spans="1:7" s="846" customFormat="1" ht="19.5" hidden="1" customHeight="1">
      <c r="A278" s="903" t="s">
        <v>24</v>
      </c>
      <c r="B278" s="892">
        <f>B279-SUM(B248:B277)</f>
        <v>8303</v>
      </c>
      <c r="C278" s="892">
        <f>C279-SUM(C248:C277)</f>
        <v>29234</v>
      </c>
      <c r="D278" s="892">
        <f>D279-SUM(D248:D277)</f>
        <v>9052</v>
      </c>
      <c r="E278" s="895">
        <f t="shared" si="14"/>
        <v>9</v>
      </c>
      <c r="F278" s="892">
        <f>F279-SUM(F248:F277)</f>
        <v>32996</v>
      </c>
      <c r="G278" s="896">
        <f t="shared" si="15"/>
        <v>12.9</v>
      </c>
    </row>
    <row r="279" spans="1:7" s="846" customFormat="1" ht="19.5" hidden="1" customHeight="1">
      <c r="A279" s="904" t="s">
        <v>79</v>
      </c>
      <c r="B279" s="908">
        <f>국가별수출!AD319-국가별수출!AD279</f>
        <v>224698</v>
      </c>
      <c r="C279" s="908">
        <f>국가별수출!AE319-국가별수출!AE279</f>
        <v>870765</v>
      </c>
      <c r="D279" s="908">
        <f>국가별수출!AF319-국가별수출!AF279</f>
        <v>221844</v>
      </c>
      <c r="E279" s="906">
        <f t="shared" si="14"/>
        <v>-1.3</v>
      </c>
      <c r="F279" s="908">
        <f>국가별수출!AH319-국가별수출!AH279</f>
        <v>826375</v>
      </c>
      <c r="G279" s="906">
        <f t="shared" si="15"/>
        <v>-5.0999999999999996</v>
      </c>
    </row>
    <row r="280" spans="1:7" hidden="1"/>
    <row r="281" spans="1:7" s="846" customFormat="1" ht="22.5" hidden="1">
      <c r="A281" s="1143" t="s">
        <v>655</v>
      </c>
      <c r="B281" s="1143"/>
      <c r="C281" s="1143"/>
      <c r="D281" s="1143"/>
      <c r="E281" s="1143"/>
      <c r="F281" s="1143"/>
      <c r="G281" s="1143"/>
    </row>
    <row r="282" spans="1:7" s="846" customFormat="1" hidden="1">
      <c r="A282" s="898"/>
      <c r="B282" s="899"/>
      <c r="C282" s="899"/>
      <c r="D282" s="899"/>
      <c r="E282" s="900"/>
      <c r="F282" s="899"/>
      <c r="G282" s="900"/>
    </row>
    <row r="283" spans="1:7" s="846" customFormat="1" hidden="1">
      <c r="A283" s="898"/>
      <c r="B283" s="899"/>
      <c r="C283" s="899"/>
      <c r="D283" s="899"/>
      <c r="E283" s="900"/>
      <c r="F283" s="1144" t="s">
        <v>80</v>
      </c>
      <c r="G283" s="1144"/>
    </row>
    <row r="284" spans="1:7" s="846" customFormat="1" ht="21.75" hidden="1" customHeight="1">
      <c r="A284" s="1115" t="s">
        <v>43</v>
      </c>
      <c r="B284" s="1115" t="s">
        <v>666</v>
      </c>
      <c r="C284" s="1115"/>
      <c r="D284" s="1115"/>
      <c r="E284" s="1115"/>
      <c r="F284" s="1115"/>
      <c r="G284" s="1115"/>
    </row>
    <row r="285" spans="1:7" s="846" customFormat="1" ht="21" hidden="1" customHeight="1">
      <c r="A285" s="1115"/>
      <c r="B285" s="1115" t="s">
        <v>314</v>
      </c>
      <c r="C285" s="1115"/>
      <c r="D285" s="1115" t="s">
        <v>444</v>
      </c>
      <c r="E285" s="1115"/>
      <c r="F285" s="1115"/>
      <c r="G285" s="1115"/>
    </row>
    <row r="286" spans="1:7" s="846" customFormat="1" ht="16.5" hidden="1" customHeight="1">
      <c r="A286" s="1115"/>
      <c r="B286" s="1115" t="s">
        <v>44</v>
      </c>
      <c r="C286" s="1115" t="s">
        <v>45</v>
      </c>
      <c r="D286" s="1146" t="s">
        <v>46</v>
      </c>
      <c r="E286" s="901"/>
      <c r="F286" s="1146" t="s">
        <v>45</v>
      </c>
      <c r="G286" s="901"/>
    </row>
    <row r="287" spans="1:7" s="846" customFormat="1" ht="16.5" hidden="1" customHeight="1" thickBot="1">
      <c r="A287" s="1145"/>
      <c r="B287" s="1145"/>
      <c r="C287" s="1145"/>
      <c r="D287" s="1145"/>
      <c r="E287" s="902" t="s">
        <v>49</v>
      </c>
      <c r="F287" s="1145"/>
      <c r="G287" s="902" t="s">
        <v>49</v>
      </c>
    </row>
    <row r="288" spans="1:7" s="846" customFormat="1" ht="19.5" hidden="1" customHeight="1" thickTop="1">
      <c r="A288" s="897" t="s">
        <v>50</v>
      </c>
      <c r="B288" s="905">
        <f>국가별수출!AD328-국가별수출!AD288</f>
        <v>43658</v>
      </c>
      <c r="C288" s="905">
        <f>국가별수출!AE328-국가별수출!AE288</f>
        <v>209327</v>
      </c>
      <c r="D288" s="905">
        <f>국가별수출!AF328-국가별수출!AF288</f>
        <v>84038</v>
      </c>
      <c r="E288" s="895">
        <f>ROUND(((D288/B288-1)*100),1)</f>
        <v>92.5</v>
      </c>
      <c r="F288" s="905">
        <f>국가별수출!AH328-국가별수출!AH288</f>
        <v>356641</v>
      </c>
      <c r="G288" s="895">
        <f>ROUND(((F288/C288-1)*100),1)</f>
        <v>70.400000000000006</v>
      </c>
    </row>
    <row r="289" spans="1:7" s="846" customFormat="1" ht="19.5" hidden="1" customHeight="1">
      <c r="A289" s="897" t="s">
        <v>51</v>
      </c>
      <c r="B289" s="905">
        <f>국가별수출!AD329-국가별수출!AD289</f>
        <v>36695</v>
      </c>
      <c r="C289" s="905">
        <f>국가별수출!AE329-국가별수출!AE289</f>
        <v>119981</v>
      </c>
      <c r="D289" s="905">
        <f>국가별수출!AF329-국가별수출!AF289</f>
        <v>47071</v>
      </c>
      <c r="E289" s="895">
        <f t="shared" ref="E289:E319" si="16">ROUND(((D289/B289-1)*100),1)</f>
        <v>28.3</v>
      </c>
      <c r="F289" s="905">
        <f>국가별수출!AH329-국가별수출!AH289</f>
        <v>147847</v>
      </c>
      <c r="G289" s="895">
        <f t="shared" ref="G289:G319" si="17">ROUND(((F289/C289-1)*100),1)</f>
        <v>23.2</v>
      </c>
    </row>
    <row r="290" spans="1:7" s="846" customFormat="1" ht="19.5" hidden="1" customHeight="1">
      <c r="A290" s="897" t="s">
        <v>53</v>
      </c>
      <c r="B290" s="905">
        <f>국가별수출!AD330-국가별수출!AD290</f>
        <v>9521</v>
      </c>
      <c r="C290" s="905">
        <f>국가별수출!AE330-국가별수출!AE290</f>
        <v>49889</v>
      </c>
      <c r="D290" s="905">
        <f>국가별수출!AF330-국가별수출!AF290</f>
        <v>11603</v>
      </c>
      <c r="E290" s="895">
        <f t="shared" si="16"/>
        <v>21.9</v>
      </c>
      <c r="F290" s="905">
        <f>국가별수출!AH330-국가별수출!AH290</f>
        <v>62106</v>
      </c>
      <c r="G290" s="895">
        <f t="shared" si="17"/>
        <v>24.5</v>
      </c>
    </row>
    <row r="291" spans="1:7" s="846" customFormat="1" ht="19.5" hidden="1" customHeight="1">
      <c r="A291" s="897" t="s">
        <v>52</v>
      </c>
      <c r="B291" s="905">
        <f>국가별수출!AD331-국가별수출!AD291</f>
        <v>16255</v>
      </c>
      <c r="C291" s="905">
        <f>국가별수출!AE331-국가별수출!AE291</f>
        <v>46384</v>
      </c>
      <c r="D291" s="905">
        <f>국가별수출!AF331-국가별수출!AF291</f>
        <v>20616</v>
      </c>
      <c r="E291" s="895">
        <f t="shared" si="16"/>
        <v>26.8</v>
      </c>
      <c r="F291" s="905">
        <f>국가별수출!AH331-국가별수출!AH291</f>
        <v>55617</v>
      </c>
      <c r="G291" s="895">
        <f t="shared" si="17"/>
        <v>19.899999999999999</v>
      </c>
    </row>
    <row r="292" spans="1:7" s="846" customFormat="1" ht="19.5" hidden="1" customHeight="1">
      <c r="A292" s="897" t="s">
        <v>54</v>
      </c>
      <c r="B292" s="905">
        <f>국가별수출!AD332-국가별수출!AD292</f>
        <v>7403</v>
      </c>
      <c r="C292" s="905">
        <f>국가별수출!AE332-국가별수출!AE292</f>
        <v>46142</v>
      </c>
      <c r="D292" s="905">
        <f>국가별수출!AF332-국가별수출!AF292</f>
        <v>9393</v>
      </c>
      <c r="E292" s="895">
        <f t="shared" si="16"/>
        <v>26.9</v>
      </c>
      <c r="F292" s="905">
        <f>국가별수출!AH332-국가별수출!AH292</f>
        <v>51932</v>
      </c>
      <c r="G292" s="895">
        <f t="shared" si="17"/>
        <v>12.5</v>
      </c>
    </row>
    <row r="293" spans="1:7" s="846" customFormat="1" ht="19.5" hidden="1" customHeight="1">
      <c r="A293" s="897" t="s">
        <v>56</v>
      </c>
      <c r="B293" s="905">
        <f>국가별수출!AD333-국가별수출!AD293</f>
        <v>12571</v>
      </c>
      <c r="C293" s="905">
        <f>국가별수출!AE333-국가별수출!AE293</f>
        <v>49913</v>
      </c>
      <c r="D293" s="905">
        <f>국가별수출!AF333-국가별수출!AF293</f>
        <v>11831</v>
      </c>
      <c r="E293" s="895">
        <f t="shared" si="16"/>
        <v>-5.9</v>
      </c>
      <c r="F293" s="905">
        <f>국가별수출!AH333-국가별수출!AH293</f>
        <v>42456</v>
      </c>
      <c r="G293" s="895">
        <f t="shared" si="17"/>
        <v>-14.9</v>
      </c>
    </row>
    <row r="294" spans="1:7" s="846" customFormat="1" ht="19.5" hidden="1" customHeight="1">
      <c r="A294" s="897" t="s">
        <v>57</v>
      </c>
      <c r="B294" s="905">
        <f>국가별수출!AD334-국가별수출!AD294</f>
        <v>6104</v>
      </c>
      <c r="C294" s="905">
        <f>국가별수출!AE334-국가별수출!AE294</f>
        <v>29801</v>
      </c>
      <c r="D294" s="905">
        <f>국가별수출!AF334-국가별수출!AF294</f>
        <v>6098</v>
      </c>
      <c r="E294" s="895">
        <f t="shared" si="16"/>
        <v>-0.1</v>
      </c>
      <c r="F294" s="905">
        <f>국가별수출!AH334-국가별수출!AH294</f>
        <v>35438</v>
      </c>
      <c r="G294" s="895">
        <f t="shared" si="17"/>
        <v>18.899999999999999</v>
      </c>
    </row>
    <row r="295" spans="1:7" s="846" customFormat="1" ht="19.5" hidden="1" customHeight="1">
      <c r="A295" s="897" t="s">
        <v>55</v>
      </c>
      <c r="B295" s="905">
        <f>국가별수출!AD335-국가별수출!AD295</f>
        <v>11907</v>
      </c>
      <c r="C295" s="905">
        <f>국가별수출!AE335-국가별수출!AE295</f>
        <v>39797</v>
      </c>
      <c r="D295" s="905">
        <f>국가별수출!AF335-국가별수출!AF295</f>
        <v>10915</v>
      </c>
      <c r="E295" s="895">
        <f t="shared" si="16"/>
        <v>-8.3000000000000007</v>
      </c>
      <c r="F295" s="905">
        <f>국가별수출!AH335-국가별수출!AH295</f>
        <v>41375</v>
      </c>
      <c r="G295" s="895">
        <f t="shared" si="17"/>
        <v>4</v>
      </c>
    </row>
    <row r="296" spans="1:7" s="846" customFormat="1" ht="19.5" hidden="1" customHeight="1">
      <c r="A296" s="897" t="s">
        <v>59</v>
      </c>
      <c r="B296" s="905">
        <f>국가별수출!AD336-국가별수출!AD296</f>
        <v>6810</v>
      </c>
      <c r="C296" s="905">
        <f>국가별수출!AE336-국가별수출!AE296</f>
        <v>37468</v>
      </c>
      <c r="D296" s="905">
        <f>국가별수출!AF336-국가별수출!AF296</f>
        <v>3738</v>
      </c>
      <c r="E296" s="895">
        <f t="shared" si="16"/>
        <v>-45.1</v>
      </c>
      <c r="F296" s="905">
        <f>국가별수출!AH336-국가별수출!AH296</f>
        <v>23556</v>
      </c>
      <c r="G296" s="895">
        <f t="shared" si="17"/>
        <v>-37.1</v>
      </c>
    </row>
    <row r="297" spans="1:7" s="846" customFormat="1" ht="19.5" hidden="1" customHeight="1">
      <c r="A297" s="897" t="s">
        <v>58</v>
      </c>
      <c r="B297" s="905">
        <f>국가별수출!AD337-국가별수출!AD297</f>
        <v>8361</v>
      </c>
      <c r="C297" s="905">
        <f>국가별수출!AE337-국가별수출!AE297</f>
        <v>24509</v>
      </c>
      <c r="D297" s="905">
        <f>국가별수출!AF337-국가별수출!AF297</f>
        <v>8271</v>
      </c>
      <c r="E297" s="895">
        <f t="shared" si="16"/>
        <v>-1.1000000000000001</v>
      </c>
      <c r="F297" s="905">
        <f>국가별수출!AH337-국가별수출!AH297</f>
        <v>23769</v>
      </c>
      <c r="G297" s="895">
        <f t="shared" si="17"/>
        <v>-3</v>
      </c>
    </row>
    <row r="298" spans="1:7" s="846" customFormat="1" ht="19.5" hidden="1" customHeight="1">
      <c r="A298" s="897" t="s">
        <v>61</v>
      </c>
      <c r="B298" s="905">
        <f>국가별수출!AD338-국가별수출!AD298</f>
        <v>6398</v>
      </c>
      <c r="C298" s="905">
        <f>국가별수출!AE338-국가별수출!AE298</f>
        <v>24362</v>
      </c>
      <c r="D298" s="905">
        <f>국가별수출!AF338-국가별수출!AF298</f>
        <v>6220</v>
      </c>
      <c r="E298" s="895">
        <f t="shared" si="16"/>
        <v>-2.8</v>
      </c>
      <c r="F298" s="905">
        <f>국가별수출!AH338-국가별수출!AH298</f>
        <v>23647</v>
      </c>
      <c r="G298" s="895">
        <f t="shared" si="17"/>
        <v>-2.9</v>
      </c>
    </row>
    <row r="299" spans="1:7" s="846" customFormat="1" ht="19.5" hidden="1" customHeight="1">
      <c r="A299" s="897" t="s">
        <v>60</v>
      </c>
      <c r="B299" s="905">
        <f>국가별수출!AD339-국가별수출!AD299</f>
        <v>4250</v>
      </c>
      <c r="C299" s="905">
        <f>국가별수출!AE339-국가별수출!AE299</f>
        <v>17064</v>
      </c>
      <c r="D299" s="905">
        <f>국가별수출!AF339-국가별수출!AF299</f>
        <v>2923</v>
      </c>
      <c r="E299" s="895">
        <f t="shared" si="16"/>
        <v>-31.2</v>
      </c>
      <c r="F299" s="905">
        <f>국가별수출!AH339-국가별수출!AH299</f>
        <v>13487</v>
      </c>
      <c r="G299" s="895">
        <f t="shared" si="17"/>
        <v>-21</v>
      </c>
    </row>
    <row r="300" spans="1:7" s="846" customFormat="1" ht="19.5" hidden="1" customHeight="1">
      <c r="A300" s="897" t="s">
        <v>65</v>
      </c>
      <c r="B300" s="905">
        <f>국가별수출!AD340-국가별수출!AD300</f>
        <v>6226</v>
      </c>
      <c r="C300" s="905">
        <f>국가별수출!AE340-국가별수출!AE300</f>
        <v>18996</v>
      </c>
      <c r="D300" s="905">
        <f>국가별수출!AF340-국가별수출!AF300</f>
        <v>5543</v>
      </c>
      <c r="E300" s="895">
        <f t="shared" si="16"/>
        <v>-11</v>
      </c>
      <c r="F300" s="905">
        <f>국가별수출!AH340-국가별수출!AH300</f>
        <v>15282</v>
      </c>
      <c r="G300" s="895">
        <f t="shared" si="17"/>
        <v>-19.600000000000001</v>
      </c>
    </row>
    <row r="301" spans="1:7" s="846" customFormat="1" ht="19.5" hidden="1" customHeight="1">
      <c r="A301" s="897" t="s">
        <v>63</v>
      </c>
      <c r="B301" s="905">
        <f>국가별수출!AD341-국가별수출!AD301</f>
        <v>3050</v>
      </c>
      <c r="C301" s="905">
        <f>국가별수출!AE341-국가별수출!AE301</f>
        <v>7110</v>
      </c>
      <c r="D301" s="905">
        <f>국가별수출!AF341-국가별수출!AF301</f>
        <v>2844</v>
      </c>
      <c r="E301" s="895">
        <f t="shared" si="16"/>
        <v>-6.8</v>
      </c>
      <c r="F301" s="905">
        <f>국가별수출!AH341-국가별수출!AH301</f>
        <v>6214</v>
      </c>
      <c r="G301" s="895">
        <f t="shared" si="17"/>
        <v>-12.6</v>
      </c>
    </row>
    <row r="302" spans="1:7" s="846" customFormat="1" ht="19.5" hidden="1" customHeight="1">
      <c r="A302" s="897" t="s">
        <v>64</v>
      </c>
      <c r="B302" s="905">
        <f>국가별수출!AD342-국가별수출!AD302</f>
        <v>2019</v>
      </c>
      <c r="C302" s="905">
        <f>국가별수출!AE342-국가별수출!AE302</f>
        <v>5958</v>
      </c>
      <c r="D302" s="905">
        <f>국가별수출!AF342-국가별수출!AF302</f>
        <v>2161</v>
      </c>
      <c r="E302" s="895">
        <f t="shared" si="16"/>
        <v>7</v>
      </c>
      <c r="F302" s="905">
        <f>국가별수출!AH342-국가별수출!AH302</f>
        <v>6297</v>
      </c>
      <c r="G302" s="895">
        <f t="shared" si="17"/>
        <v>5.7</v>
      </c>
    </row>
    <row r="303" spans="1:7" s="846" customFormat="1" ht="19.5" hidden="1" customHeight="1">
      <c r="A303" s="897" t="s">
        <v>62</v>
      </c>
      <c r="B303" s="905">
        <f>국가별수출!AD343-국가별수출!AD303</f>
        <v>3018</v>
      </c>
      <c r="C303" s="905">
        <f>국가별수출!AE343-국가별수출!AE303</f>
        <v>9156</v>
      </c>
      <c r="D303" s="905">
        <f>국가별수출!AF343-국가별수출!AF303</f>
        <v>833</v>
      </c>
      <c r="E303" s="895">
        <f t="shared" si="16"/>
        <v>-72.400000000000006</v>
      </c>
      <c r="F303" s="905">
        <f>국가별수출!AH343-국가별수출!AH303</f>
        <v>3575</v>
      </c>
      <c r="G303" s="895">
        <f t="shared" si="17"/>
        <v>-61</v>
      </c>
    </row>
    <row r="304" spans="1:7" s="846" customFormat="1" ht="19.5" hidden="1" customHeight="1">
      <c r="A304" s="897" t="s">
        <v>448</v>
      </c>
      <c r="B304" s="905">
        <f>국가별수출!AD344-국가별수출!AD304</f>
        <v>1052</v>
      </c>
      <c r="C304" s="905">
        <f>국가별수출!AE344-국가별수출!AE304</f>
        <v>8609</v>
      </c>
      <c r="D304" s="905">
        <f>국가별수출!AF344-국가별수출!AF304</f>
        <v>2192</v>
      </c>
      <c r="E304" s="895">
        <f t="shared" si="16"/>
        <v>108.4</v>
      </c>
      <c r="F304" s="905">
        <f>국가별수출!AH344-국가별수출!AH304</f>
        <v>22768</v>
      </c>
      <c r="G304" s="895">
        <f t="shared" si="17"/>
        <v>164.5</v>
      </c>
    </row>
    <row r="305" spans="1:7" s="846" customFormat="1" ht="19.5" hidden="1" customHeight="1">
      <c r="A305" s="897" t="s">
        <v>77</v>
      </c>
      <c r="B305" s="905">
        <f>국가별수출!AD345-국가별수출!AD305</f>
        <v>3158</v>
      </c>
      <c r="C305" s="905">
        <f>국가별수출!AE345-국가별수출!AE305</f>
        <v>8281</v>
      </c>
      <c r="D305" s="905">
        <f>국가별수출!AF345-국가별수출!AF305</f>
        <v>2332</v>
      </c>
      <c r="E305" s="895">
        <f t="shared" si="16"/>
        <v>-26.2</v>
      </c>
      <c r="F305" s="905">
        <f>국가별수출!AH345-국가별수출!AH305</f>
        <v>6292</v>
      </c>
      <c r="G305" s="895">
        <f t="shared" si="17"/>
        <v>-24</v>
      </c>
    </row>
    <row r="306" spans="1:7" s="846" customFormat="1" ht="19.5" hidden="1" customHeight="1">
      <c r="A306" s="897" t="s">
        <v>75</v>
      </c>
      <c r="B306" s="905">
        <f>국가별수출!AD346-국가별수출!AD306</f>
        <v>2319</v>
      </c>
      <c r="C306" s="905">
        <f>국가별수출!AE346-국가별수출!AE306</f>
        <v>6129</v>
      </c>
      <c r="D306" s="905">
        <f>국가별수출!AF346-국가별수출!AF306</f>
        <v>1989</v>
      </c>
      <c r="E306" s="895">
        <f t="shared" si="16"/>
        <v>-14.2</v>
      </c>
      <c r="F306" s="905">
        <f>국가별수출!AH346-국가별수출!AH306</f>
        <v>5808</v>
      </c>
      <c r="G306" s="895">
        <f t="shared" si="17"/>
        <v>-5.2</v>
      </c>
    </row>
    <row r="307" spans="1:7" s="846" customFormat="1" ht="19.5" hidden="1" customHeight="1">
      <c r="A307" s="897" t="s">
        <v>449</v>
      </c>
      <c r="B307" s="905">
        <f>국가별수출!AD347-국가별수출!AD307</f>
        <v>597</v>
      </c>
      <c r="C307" s="905">
        <f>국가별수출!AE347-국가별수출!AE307</f>
        <v>5178</v>
      </c>
      <c r="D307" s="905">
        <f>국가별수출!AF347-국가별수출!AF307</f>
        <v>1485</v>
      </c>
      <c r="E307" s="895">
        <f t="shared" si="16"/>
        <v>148.69999999999999</v>
      </c>
      <c r="F307" s="905">
        <f>국가별수출!AH347-국가별수출!AH307</f>
        <v>10905</v>
      </c>
      <c r="G307" s="895">
        <f t="shared" si="17"/>
        <v>110.6</v>
      </c>
    </row>
    <row r="308" spans="1:7" s="846" customFormat="1" ht="19.5" hidden="1" customHeight="1">
      <c r="A308" s="897" t="s">
        <v>68</v>
      </c>
      <c r="B308" s="905">
        <f>국가별수출!AD348-국가별수출!AD308</f>
        <v>443</v>
      </c>
      <c r="C308" s="905">
        <f>국가별수출!AE348-국가별수출!AE308</f>
        <v>3336</v>
      </c>
      <c r="D308" s="905">
        <f>국가별수출!AF348-국가별수출!AF308</f>
        <v>274</v>
      </c>
      <c r="E308" s="895">
        <f t="shared" si="16"/>
        <v>-38.1</v>
      </c>
      <c r="F308" s="905">
        <f>국가별수출!AH348-국가별수출!AH308</f>
        <v>2776</v>
      </c>
      <c r="G308" s="895">
        <f t="shared" si="17"/>
        <v>-16.8</v>
      </c>
    </row>
    <row r="309" spans="1:7" s="846" customFormat="1" ht="19.5" hidden="1" customHeight="1">
      <c r="A309" s="897" t="s">
        <v>66</v>
      </c>
      <c r="B309" s="905">
        <f>국가별수출!AD349-국가별수출!AD309</f>
        <v>848</v>
      </c>
      <c r="C309" s="905">
        <f>국가별수출!AE349-국가별수출!AE309</f>
        <v>4043</v>
      </c>
      <c r="D309" s="905">
        <f>국가별수출!AF349-국가별수출!AF309</f>
        <v>732</v>
      </c>
      <c r="E309" s="895">
        <f t="shared" si="16"/>
        <v>-13.7</v>
      </c>
      <c r="F309" s="905">
        <f>국가별수출!AH349-국가별수출!AH309</f>
        <v>4116</v>
      </c>
      <c r="G309" s="895">
        <f t="shared" si="17"/>
        <v>1.8</v>
      </c>
    </row>
    <row r="310" spans="1:7" s="846" customFormat="1" ht="19.5" hidden="1" customHeight="1">
      <c r="A310" s="897" t="s">
        <v>73</v>
      </c>
      <c r="B310" s="905">
        <f>국가별수출!AD350-국가별수출!AD310</f>
        <v>796</v>
      </c>
      <c r="C310" s="905">
        <f>국가별수출!AE350-국가별수출!AE310</f>
        <v>2245</v>
      </c>
      <c r="D310" s="905">
        <f>국가별수출!AF350-국가별수출!AF310</f>
        <v>535</v>
      </c>
      <c r="E310" s="895">
        <f t="shared" si="16"/>
        <v>-32.799999999999997</v>
      </c>
      <c r="F310" s="905">
        <f>국가별수출!AH350-국가별수출!AH310</f>
        <v>2453</v>
      </c>
      <c r="G310" s="895">
        <f t="shared" si="17"/>
        <v>9.3000000000000007</v>
      </c>
    </row>
    <row r="311" spans="1:7" s="846" customFormat="1" ht="19.5" hidden="1" customHeight="1">
      <c r="A311" s="897" t="s">
        <v>71</v>
      </c>
      <c r="B311" s="905">
        <f>국가별수출!AD351-국가별수출!AD311</f>
        <v>642</v>
      </c>
      <c r="C311" s="905">
        <f>국가별수출!AE351-국가별수출!AE311</f>
        <v>2594</v>
      </c>
      <c r="D311" s="905">
        <f>국가별수출!AF351-국가별수출!AF311</f>
        <v>338</v>
      </c>
      <c r="E311" s="895">
        <f t="shared" si="16"/>
        <v>-47.4</v>
      </c>
      <c r="F311" s="905">
        <f>국가별수출!AH351-국가별수출!AH311</f>
        <v>2572</v>
      </c>
      <c r="G311" s="895">
        <f t="shared" si="17"/>
        <v>-0.8</v>
      </c>
    </row>
    <row r="312" spans="1:7" s="846" customFormat="1" ht="19.5" hidden="1" customHeight="1">
      <c r="A312" s="891" t="s">
        <v>70</v>
      </c>
      <c r="B312" s="905">
        <f>국가별수출!AD352-국가별수출!AD312</f>
        <v>1107</v>
      </c>
      <c r="C312" s="905">
        <f>국가별수출!AE352-국가별수출!AE312</f>
        <v>2680</v>
      </c>
      <c r="D312" s="905">
        <f>국가별수출!AF352-국가별수출!AF312</f>
        <v>525</v>
      </c>
      <c r="E312" s="895">
        <f t="shared" si="16"/>
        <v>-52.6</v>
      </c>
      <c r="F312" s="905">
        <f>국가별수출!AH352-국가별수출!AH312</f>
        <v>1359</v>
      </c>
      <c r="G312" s="895">
        <f t="shared" si="17"/>
        <v>-49.3</v>
      </c>
    </row>
    <row r="313" spans="1:7" s="846" customFormat="1" ht="19.5" hidden="1" customHeight="1">
      <c r="A313" s="897" t="s">
        <v>74</v>
      </c>
      <c r="B313" s="905">
        <f>국가별수출!AD353-국가별수출!AD313</f>
        <v>436</v>
      </c>
      <c r="C313" s="905">
        <f>국가별수출!AE353-국가별수출!AE313</f>
        <v>1921</v>
      </c>
      <c r="D313" s="905">
        <f>국가별수출!AF353-국가별수출!AF313</f>
        <v>749</v>
      </c>
      <c r="E313" s="895">
        <f t="shared" si="16"/>
        <v>71.8</v>
      </c>
      <c r="F313" s="905">
        <f>국가별수출!AH353-국가별수출!AH313</f>
        <v>3041</v>
      </c>
      <c r="G313" s="895">
        <f t="shared" si="17"/>
        <v>58.3</v>
      </c>
    </row>
    <row r="314" spans="1:7" s="846" customFormat="1" ht="19.5" hidden="1" customHeight="1">
      <c r="A314" s="891" t="s">
        <v>88</v>
      </c>
      <c r="B314" s="905">
        <f>국가별수출!AD354-국가별수출!AD314</f>
        <v>1255</v>
      </c>
      <c r="C314" s="905">
        <f>국가별수출!AE354-국가별수출!AE314</f>
        <v>2777</v>
      </c>
      <c r="D314" s="905">
        <f>국가별수출!AF354-국가별수출!AF314</f>
        <v>21</v>
      </c>
      <c r="E314" s="895">
        <f t="shared" si="16"/>
        <v>-98.3</v>
      </c>
      <c r="F314" s="905">
        <f>국가별수출!AH354-국가별수출!AH314</f>
        <v>46</v>
      </c>
      <c r="G314" s="895">
        <f t="shared" si="17"/>
        <v>-98.3</v>
      </c>
    </row>
    <row r="315" spans="1:7" s="846" customFormat="1" ht="19.5" hidden="1" customHeight="1">
      <c r="A315" s="891" t="s">
        <v>67</v>
      </c>
      <c r="B315" s="905">
        <f>국가별수출!AD355-국가별수출!AD315</f>
        <v>611</v>
      </c>
      <c r="C315" s="905">
        <f>국가별수출!AE355-국가별수출!AE315</f>
        <v>1537</v>
      </c>
      <c r="D315" s="905">
        <f>국가별수출!AF355-국가별수출!AF315</f>
        <v>2089</v>
      </c>
      <c r="E315" s="895">
        <f t="shared" si="16"/>
        <v>241.9</v>
      </c>
      <c r="F315" s="905">
        <f>국가별수출!AH355-국가별수출!AH315</f>
        <v>4862</v>
      </c>
      <c r="G315" s="895">
        <f t="shared" si="17"/>
        <v>216.3</v>
      </c>
    </row>
    <row r="316" spans="1:7" s="846" customFormat="1" ht="19.5" hidden="1" customHeight="1">
      <c r="A316" s="897" t="s">
        <v>72</v>
      </c>
      <c r="B316" s="905">
        <f>국가별수출!AD356-국가별수출!AD316</f>
        <v>479</v>
      </c>
      <c r="C316" s="905">
        <f>국가별수출!AE356-국가별수출!AE316</f>
        <v>2618</v>
      </c>
      <c r="D316" s="905">
        <f>국가별수출!AF356-국가별수출!AF316</f>
        <v>488</v>
      </c>
      <c r="E316" s="895">
        <f t="shared" si="16"/>
        <v>1.9</v>
      </c>
      <c r="F316" s="905">
        <f>국가별수출!AH356-국가별수출!AH316</f>
        <v>3872</v>
      </c>
      <c r="G316" s="895">
        <f t="shared" si="17"/>
        <v>47.9</v>
      </c>
    </row>
    <row r="317" spans="1:7" s="846" customFormat="1" ht="19.5" hidden="1" customHeight="1">
      <c r="A317" s="897" t="s">
        <v>69</v>
      </c>
      <c r="B317" s="905">
        <f>국가별수출!AD357-국가별수출!AD317</f>
        <v>500</v>
      </c>
      <c r="C317" s="905">
        <f>국가별수출!AE357-국가별수출!AE317</f>
        <v>2377</v>
      </c>
      <c r="D317" s="905">
        <f>국가별수출!AF357-국가별수출!AF317</f>
        <v>113</v>
      </c>
      <c r="E317" s="895">
        <f t="shared" si="16"/>
        <v>-77.400000000000006</v>
      </c>
      <c r="F317" s="905">
        <f>국가별수출!AH357-국가별수출!AH317</f>
        <v>1067</v>
      </c>
      <c r="G317" s="895">
        <f t="shared" si="17"/>
        <v>-55.1</v>
      </c>
    </row>
    <row r="318" spans="1:7" s="846" customFormat="1" ht="19.5" hidden="1" customHeight="1">
      <c r="A318" s="903" t="s">
        <v>24</v>
      </c>
      <c r="B318" s="892">
        <f>B319-SUM(B288:B317)</f>
        <v>9004</v>
      </c>
      <c r="C318" s="892">
        <f>C319-SUM(C288:C317)</f>
        <v>34068</v>
      </c>
      <c r="D318" s="892">
        <f>D319-SUM(D288:D317)</f>
        <v>8956</v>
      </c>
      <c r="E318" s="895">
        <f t="shared" si="16"/>
        <v>-0.5</v>
      </c>
      <c r="F318" s="892">
        <f>F319-SUM(F288:F317)</f>
        <v>34684</v>
      </c>
      <c r="G318" s="896">
        <f t="shared" si="17"/>
        <v>1.8</v>
      </c>
    </row>
    <row r="319" spans="1:7" s="846" customFormat="1" ht="19.5" hidden="1" customHeight="1">
      <c r="A319" s="904" t="s">
        <v>79</v>
      </c>
      <c r="B319" s="908">
        <f>국가별수출!AD359-국가별수출!AD319</f>
        <v>207493</v>
      </c>
      <c r="C319" s="908">
        <f>국가별수출!AE359-국가별수출!AE319</f>
        <v>824250</v>
      </c>
      <c r="D319" s="908">
        <f>국가별수출!AF359-국가별수출!AF319</f>
        <v>256916</v>
      </c>
      <c r="E319" s="906">
        <f t="shared" si="16"/>
        <v>23.8</v>
      </c>
      <c r="F319" s="908">
        <f>국가별수출!AH359-국가별수출!AH319</f>
        <v>1015860</v>
      </c>
      <c r="G319" s="906">
        <f t="shared" si="17"/>
        <v>23.2</v>
      </c>
    </row>
    <row r="320" spans="1:7" hidden="1"/>
    <row r="321" spans="1:7" s="846" customFormat="1" ht="22.5" hidden="1">
      <c r="A321" s="1143" t="s">
        <v>682</v>
      </c>
      <c r="B321" s="1143"/>
      <c r="C321" s="1143"/>
      <c r="D321" s="1143"/>
      <c r="E321" s="1143"/>
      <c r="F321" s="1143"/>
      <c r="G321" s="1143"/>
    </row>
    <row r="322" spans="1:7" s="846" customFormat="1" hidden="1">
      <c r="A322" s="898"/>
      <c r="B322" s="899"/>
      <c r="C322" s="899"/>
      <c r="D322" s="899"/>
      <c r="E322" s="900"/>
      <c r="F322" s="899"/>
      <c r="G322" s="900"/>
    </row>
    <row r="323" spans="1:7" s="846" customFormat="1" hidden="1">
      <c r="A323" s="898"/>
      <c r="B323" s="899"/>
      <c r="C323" s="899"/>
      <c r="D323" s="899"/>
      <c r="E323" s="900"/>
      <c r="F323" s="1144" t="s">
        <v>80</v>
      </c>
      <c r="G323" s="1144"/>
    </row>
    <row r="324" spans="1:7" s="846" customFormat="1" ht="21.75" hidden="1" customHeight="1">
      <c r="A324" s="1115" t="s">
        <v>43</v>
      </c>
      <c r="B324" s="1115" t="s">
        <v>683</v>
      </c>
      <c r="C324" s="1115"/>
      <c r="D324" s="1115"/>
      <c r="E324" s="1115"/>
      <c r="F324" s="1115"/>
      <c r="G324" s="1115"/>
    </row>
    <row r="325" spans="1:7" s="846" customFormat="1" ht="21" hidden="1" customHeight="1">
      <c r="A325" s="1115"/>
      <c r="B325" s="1115" t="s">
        <v>314</v>
      </c>
      <c r="C325" s="1115"/>
      <c r="D325" s="1115" t="s">
        <v>444</v>
      </c>
      <c r="E325" s="1115"/>
      <c r="F325" s="1115"/>
      <c r="G325" s="1115"/>
    </row>
    <row r="326" spans="1:7" s="846" customFormat="1" ht="16.5" hidden="1" customHeight="1">
      <c r="A326" s="1115"/>
      <c r="B326" s="1115" t="s">
        <v>44</v>
      </c>
      <c r="C326" s="1115" t="s">
        <v>45</v>
      </c>
      <c r="D326" s="1146" t="s">
        <v>46</v>
      </c>
      <c r="E326" s="901"/>
      <c r="F326" s="1146" t="s">
        <v>45</v>
      </c>
      <c r="G326" s="901"/>
    </row>
    <row r="327" spans="1:7" s="846" customFormat="1" ht="16.5" hidden="1" customHeight="1" thickBot="1">
      <c r="A327" s="1145"/>
      <c r="B327" s="1145"/>
      <c r="C327" s="1145"/>
      <c r="D327" s="1145"/>
      <c r="E327" s="902" t="s">
        <v>49</v>
      </c>
      <c r="F327" s="1145"/>
      <c r="G327" s="902" t="s">
        <v>49</v>
      </c>
    </row>
    <row r="328" spans="1:7" s="846" customFormat="1" ht="19.5" hidden="1" customHeight="1" thickTop="1">
      <c r="A328" s="897" t="s">
        <v>50</v>
      </c>
      <c r="B328" s="905">
        <f>국가별수출!AD368-국가별수출!AD328</f>
        <v>61100</v>
      </c>
      <c r="C328" s="905">
        <f>국가별수출!AE368-국가별수출!AE328</f>
        <v>271298</v>
      </c>
      <c r="D328" s="905">
        <f>국가별수출!AF368-국가별수출!AF328</f>
        <v>79325</v>
      </c>
      <c r="E328" s="895">
        <f>ROUND(((D328/B328-1)*100),1)</f>
        <v>29.8</v>
      </c>
      <c r="F328" s="905">
        <f>국가별수출!AH368-국가별수출!AH328</f>
        <v>360844</v>
      </c>
      <c r="G328" s="895">
        <f>ROUND(((F328/C328-1)*100),1)</f>
        <v>33</v>
      </c>
    </row>
    <row r="329" spans="1:7" s="846" customFormat="1" ht="19.5" hidden="1" customHeight="1">
      <c r="A329" s="897" t="s">
        <v>51</v>
      </c>
      <c r="B329" s="905">
        <f>국가별수출!AD369-국가별수출!AD329</f>
        <v>43008</v>
      </c>
      <c r="C329" s="905">
        <f>국가별수출!AE369-국가별수출!AE329</f>
        <v>135436</v>
      </c>
      <c r="D329" s="905">
        <f>국가별수출!AF369-국가별수출!AF329</f>
        <v>42416</v>
      </c>
      <c r="E329" s="895">
        <f t="shared" ref="E329:E359" si="18">ROUND(((D329/B329-1)*100),1)</f>
        <v>-1.4</v>
      </c>
      <c r="F329" s="905">
        <f>국가별수출!AH369-국가별수출!AH329</f>
        <v>145509</v>
      </c>
      <c r="G329" s="895">
        <f t="shared" ref="G329:G359" si="19">ROUND(((F329/C329-1)*100),1)</f>
        <v>7.4</v>
      </c>
    </row>
    <row r="330" spans="1:7" s="846" customFormat="1" ht="19.5" hidden="1" customHeight="1">
      <c r="A330" s="897" t="s">
        <v>53</v>
      </c>
      <c r="B330" s="905">
        <f>국가별수출!AD370-국가별수출!AD330</f>
        <v>13549</v>
      </c>
      <c r="C330" s="905">
        <f>국가별수출!AE370-국가별수출!AE330</f>
        <v>64975</v>
      </c>
      <c r="D330" s="905">
        <f>국가별수출!AF370-국가별수출!AF330</f>
        <v>15162</v>
      </c>
      <c r="E330" s="895">
        <f t="shared" si="18"/>
        <v>11.9</v>
      </c>
      <c r="F330" s="905">
        <f>국가별수출!AH370-국가별수출!AH330</f>
        <v>69826</v>
      </c>
      <c r="G330" s="895">
        <f t="shared" si="19"/>
        <v>7.5</v>
      </c>
    </row>
    <row r="331" spans="1:7" s="846" customFormat="1" ht="19.5" hidden="1" customHeight="1">
      <c r="A331" s="897" t="s">
        <v>52</v>
      </c>
      <c r="B331" s="905">
        <f>국가별수출!AD371-국가별수출!AD331</f>
        <v>14196</v>
      </c>
      <c r="C331" s="905">
        <f>국가별수출!AE371-국가별수출!AE331</f>
        <v>41281</v>
      </c>
      <c r="D331" s="905">
        <f>국가별수출!AF371-국가별수출!AF331</f>
        <v>21293</v>
      </c>
      <c r="E331" s="895">
        <f t="shared" si="18"/>
        <v>50</v>
      </c>
      <c r="F331" s="905">
        <f>국가별수출!AH371-국가별수출!AH331</f>
        <v>56740</v>
      </c>
      <c r="G331" s="895">
        <f t="shared" si="19"/>
        <v>37.4</v>
      </c>
    </row>
    <row r="332" spans="1:7" s="846" customFormat="1" ht="19.5" hidden="1" customHeight="1">
      <c r="A332" s="897" t="s">
        <v>54</v>
      </c>
      <c r="B332" s="905">
        <f>국가별수출!AD372-국가별수출!AD332</f>
        <v>9851</v>
      </c>
      <c r="C332" s="905">
        <f>국가별수출!AE372-국가별수출!AE332</f>
        <v>53561</v>
      </c>
      <c r="D332" s="905">
        <f>국가별수출!AF372-국가별수출!AF332</f>
        <v>10725</v>
      </c>
      <c r="E332" s="895">
        <f t="shared" si="18"/>
        <v>8.9</v>
      </c>
      <c r="F332" s="905">
        <f>국가별수출!AH372-국가별수출!AH332</f>
        <v>53848</v>
      </c>
      <c r="G332" s="895">
        <f t="shared" si="19"/>
        <v>0.5</v>
      </c>
    </row>
    <row r="333" spans="1:7" s="846" customFormat="1" ht="19.5" hidden="1" customHeight="1">
      <c r="A333" s="897" t="s">
        <v>56</v>
      </c>
      <c r="B333" s="905">
        <f>국가별수출!AD373-국가별수출!AD333</f>
        <v>15124</v>
      </c>
      <c r="C333" s="905">
        <f>국가별수출!AE373-국가별수출!AE333</f>
        <v>60107</v>
      </c>
      <c r="D333" s="905">
        <f>국가별수출!AF373-국가별수출!AF333</f>
        <v>9193</v>
      </c>
      <c r="E333" s="895">
        <f t="shared" si="18"/>
        <v>-39.200000000000003</v>
      </c>
      <c r="F333" s="905">
        <f>국가별수출!AH373-국가별수출!AH333</f>
        <v>31587</v>
      </c>
      <c r="G333" s="895">
        <f t="shared" si="19"/>
        <v>-47.4</v>
      </c>
    </row>
    <row r="334" spans="1:7" s="846" customFormat="1" ht="19.5" hidden="1" customHeight="1">
      <c r="A334" s="897" t="s">
        <v>57</v>
      </c>
      <c r="B334" s="905">
        <f>국가별수출!AD374-국가별수출!AD334</f>
        <v>6991</v>
      </c>
      <c r="C334" s="905">
        <f>국가별수출!AE374-국가별수출!AE334</f>
        <v>36619</v>
      </c>
      <c r="D334" s="905">
        <f>국가별수출!AF374-국가별수출!AF334</f>
        <v>6620</v>
      </c>
      <c r="E334" s="895">
        <f t="shared" si="18"/>
        <v>-5.3</v>
      </c>
      <c r="F334" s="905">
        <f>국가별수출!AH374-국가별수출!AH334</f>
        <v>36550</v>
      </c>
      <c r="G334" s="895">
        <f t="shared" si="19"/>
        <v>-0.2</v>
      </c>
    </row>
    <row r="335" spans="1:7" s="846" customFormat="1" ht="19.5" hidden="1" customHeight="1">
      <c r="A335" s="897" t="s">
        <v>55</v>
      </c>
      <c r="B335" s="905">
        <f>국가별수출!AD375-국가별수출!AD335</f>
        <v>13738</v>
      </c>
      <c r="C335" s="905">
        <f>국가별수출!AE375-국가별수출!AE335</f>
        <v>47840</v>
      </c>
      <c r="D335" s="905">
        <f>국가별수출!AF375-국가별수출!AF335</f>
        <v>9832</v>
      </c>
      <c r="E335" s="895">
        <f t="shared" si="18"/>
        <v>-28.4</v>
      </c>
      <c r="F335" s="905">
        <f>국가별수출!AH375-국가별수출!AH335</f>
        <v>38262</v>
      </c>
      <c r="G335" s="895">
        <f t="shared" si="19"/>
        <v>-20</v>
      </c>
    </row>
    <row r="336" spans="1:7" s="846" customFormat="1" ht="19.5" hidden="1" customHeight="1">
      <c r="A336" s="897" t="s">
        <v>59</v>
      </c>
      <c r="B336" s="905">
        <f>국가별수출!AD376-국가별수출!AD336</f>
        <v>4456</v>
      </c>
      <c r="C336" s="905">
        <f>국가별수출!AE376-국가별수출!AE336</f>
        <v>25345</v>
      </c>
      <c r="D336" s="905">
        <f>국가별수출!AF376-국가별수출!AF336</f>
        <v>4012</v>
      </c>
      <c r="E336" s="895">
        <f t="shared" si="18"/>
        <v>-10</v>
      </c>
      <c r="F336" s="905">
        <f>국가별수출!AH376-국가별수출!AH336</f>
        <v>23295</v>
      </c>
      <c r="G336" s="895">
        <f t="shared" si="19"/>
        <v>-8.1</v>
      </c>
    </row>
    <row r="337" spans="1:7" s="846" customFormat="1" ht="19.5" hidden="1" customHeight="1">
      <c r="A337" s="897" t="s">
        <v>58</v>
      </c>
      <c r="B337" s="905">
        <f>국가별수출!AD377-국가별수출!AD337</f>
        <v>10224</v>
      </c>
      <c r="C337" s="905">
        <f>국가별수출!AE377-국가별수출!AE337</f>
        <v>30050</v>
      </c>
      <c r="D337" s="905">
        <f>국가별수출!AF377-국가별수출!AF337</f>
        <v>6762</v>
      </c>
      <c r="E337" s="895">
        <f t="shared" si="18"/>
        <v>-33.9</v>
      </c>
      <c r="F337" s="905">
        <f>국가별수출!AH377-국가별수출!AH337</f>
        <v>20085</v>
      </c>
      <c r="G337" s="895">
        <f t="shared" si="19"/>
        <v>-33.200000000000003</v>
      </c>
    </row>
    <row r="338" spans="1:7" s="846" customFormat="1" ht="19.5" hidden="1" customHeight="1">
      <c r="A338" s="897" t="s">
        <v>61</v>
      </c>
      <c r="B338" s="905">
        <f>국가별수출!AD378-국가별수출!AD338</f>
        <v>6649</v>
      </c>
      <c r="C338" s="905">
        <f>국가별수출!AE378-국가별수출!AE338</f>
        <v>26075</v>
      </c>
      <c r="D338" s="905">
        <f>국가별수출!AF378-국가별수출!AF338</f>
        <v>6500</v>
      </c>
      <c r="E338" s="895">
        <f t="shared" si="18"/>
        <v>-2.2000000000000002</v>
      </c>
      <c r="F338" s="905">
        <f>국가별수출!AH378-국가별수출!AH338</f>
        <v>23158</v>
      </c>
      <c r="G338" s="895">
        <f t="shared" si="19"/>
        <v>-11.2</v>
      </c>
    </row>
    <row r="339" spans="1:7" s="846" customFormat="1" ht="19.5" hidden="1" customHeight="1">
      <c r="A339" s="897" t="s">
        <v>60</v>
      </c>
      <c r="B339" s="905">
        <f>국가별수출!AD379-국가별수출!AD339</f>
        <v>3511</v>
      </c>
      <c r="C339" s="905">
        <f>국가별수출!AE379-국가별수출!AE339</f>
        <v>15729</v>
      </c>
      <c r="D339" s="905">
        <f>국가별수출!AF379-국가별수출!AF339</f>
        <v>3596</v>
      </c>
      <c r="E339" s="895">
        <f t="shared" si="18"/>
        <v>2.4</v>
      </c>
      <c r="F339" s="905">
        <f>국가별수출!AH379-국가별수출!AH339</f>
        <v>15681</v>
      </c>
      <c r="G339" s="895">
        <f t="shared" si="19"/>
        <v>-0.3</v>
      </c>
    </row>
    <row r="340" spans="1:7" s="846" customFormat="1" ht="19.5" hidden="1" customHeight="1">
      <c r="A340" s="897" t="s">
        <v>65</v>
      </c>
      <c r="B340" s="905">
        <f>국가별수출!AD380-국가별수출!AD340</f>
        <v>4972</v>
      </c>
      <c r="C340" s="905">
        <f>국가별수출!AE380-국가별수출!AE340</f>
        <v>16620</v>
      </c>
      <c r="D340" s="905">
        <f>국가별수출!AF380-국가별수출!AF340</f>
        <v>4886</v>
      </c>
      <c r="E340" s="895">
        <f t="shared" si="18"/>
        <v>-1.7</v>
      </c>
      <c r="F340" s="905">
        <f>국가별수출!AH380-국가별수출!AH340</f>
        <v>13792</v>
      </c>
      <c r="G340" s="895">
        <f t="shared" si="19"/>
        <v>-17</v>
      </c>
    </row>
    <row r="341" spans="1:7" s="846" customFormat="1" ht="19.5" hidden="1" customHeight="1">
      <c r="A341" s="897" t="s">
        <v>63</v>
      </c>
      <c r="B341" s="905">
        <f>국가별수출!AD381-국가별수출!AD341</f>
        <v>5121</v>
      </c>
      <c r="C341" s="905">
        <f>국가별수출!AE381-국가별수출!AE341</f>
        <v>13642</v>
      </c>
      <c r="D341" s="905">
        <f>국가별수출!AF381-국가별수출!AF341</f>
        <v>2177</v>
      </c>
      <c r="E341" s="895">
        <f t="shared" si="18"/>
        <v>-57.5</v>
      </c>
      <c r="F341" s="905">
        <f>국가별수출!AH381-국가별수출!AH341</f>
        <v>5090</v>
      </c>
      <c r="G341" s="895">
        <f t="shared" si="19"/>
        <v>-62.7</v>
      </c>
    </row>
    <row r="342" spans="1:7" s="846" customFormat="1" ht="19.5" hidden="1" customHeight="1">
      <c r="A342" s="897" t="s">
        <v>64</v>
      </c>
      <c r="B342" s="905">
        <f>국가별수출!AD382-국가별수출!AD342</f>
        <v>2003</v>
      </c>
      <c r="C342" s="905">
        <f>국가별수출!AE382-국가별수출!AE342</f>
        <v>6280</v>
      </c>
      <c r="D342" s="905">
        <f>국가별수출!AF382-국가별수출!AF342</f>
        <v>2777</v>
      </c>
      <c r="E342" s="895">
        <f t="shared" si="18"/>
        <v>38.6</v>
      </c>
      <c r="F342" s="905">
        <f>국가별수출!AH382-국가별수출!AH342</f>
        <v>8279</v>
      </c>
      <c r="G342" s="895">
        <f t="shared" si="19"/>
        <v>31.8</v>
      </c>
    </row>
    <row r="343" spans="1:7" s="846" customFormat="1" ht="19.5" hidden="1" customHeight="1">
      <c r="A343" s="897" t="s">
        <v>62</v>
      </c>
      <c r="B343" s="905">
        <f>국가별수출!AD383-국가별수출!AD343</f>
        <v>2441</v>
      </c>
      <c r="C343" s="905">
        <f>국가별수출!AE383-국가별수출!AE343</f>
        <v>7960</v>
      </c>
      <c r="D343" s="905">
        <f>국가별수출!AF383-국가별수출!AF343</f>
        <v>1015</v>
      </c>
      <c r="E343" s="895">
        <f t="shared" si="18"/>
        <v>-58.4</v>
      </c>
      <c r="F343" s="905">
        <f>국가별수출!AH383-국가별수출!AH343</f>
        <v>3911</v>
      </c>
      <c r="G343" s="895">
        <f t="shared" si="19"/>
        <v>-50.9</v>
      </c>
    </row>
    <row r="344" spans="1:7" s="846" customFormat="1" ht="19.5" hidden="1" customHeight="1">
      <c r="A344" s="897" t="s">
        <v>448</v>
      </c>
      <c r="B344" s="905">
        <f>국가별수출!AD384-국가별수출!AD344</f>
        <v>721</v>
      </c>
      <c r="C344" s="905">
        <f>국가별수출!AE384-국가별수출!AE344</f>
        <v>7774</v>
      </c>
      <c r="D344" s="905">
        <f>국가별수출!AF384-국가별수출!AF344</f>
        <v>2217</v>
      </c>
      <c r="E344" s="895">
        <f t="shared" si="18"/>
        <v>207.5</v>
      </c>
      <c r="F344" s="905">
        <f>국가별수출!AH384-국가별수출!AH344</f>
        <v>23059</v>
      </c>
      <c r="G344" s="895">
        <f t="shared" si="19"/>
        <v>196.6</v>
      </c>
    </row>
    <row r="345" spans="1:7" s="846" customFormat="1" ht="19.5" hidden="1" customHeight="1">
      <c r="A345" s="897" t="s">
        <v>77</v>
      </c>
      <c r="B345" s="905">
        <f>국가별수출!AD385-국가별수출!AD345</f>
        <v>3074</v>
      </c>
      <c r="C345" s="905">
        <f>국가별수출!AE385-국가별수출!AE345</f>
        <v>6997</v>
      </c>
      <c r="D345" s="905">
        <f>국가별수출!AF385-국가별수출!AF345</f>
        <v>3163</v>
      </c>
      <c r="E345" s="895">
        <f t="shared" si="18"/>
        <v>2.9</v>
      </c>
      <c r="F345" s="905">
        <f>국가별수출!AH385-국가별수출!AH345</f>
        <v>7754</v>
      </c>
      <c r="G345" s="895">
        <f t="shared" si="19"/>
        <v>10.8</v>
      </c>
    </row>
    <row r="346" spans="1:7" s="846" customFormat="1" ht="19.5" hidden="1" customHeight="1">
      <c r="A346" s="897" t="s">
        <v>75</v>
      </c>
      <c r="B346" s="905">
        <f>국가별수출!AD386-국가별수출!AD346</f>
        <v>1451</v>
      </c>
      <c r="C346" s="905">
        <f>국가별수출!AE386-국가별수출!AE346</f>
        <v>4255</v>
      </c>
      <c r="D346" s="905">
        <f>국가별수출!AF386-국가별수출!AF346</f>
        <v>2151</v>
      </c>
      <c r="E346" s="895">
        <f t="shared" si="18"/>
        <v>48.2</v>
      </c>
      <c r="F346" s="905">
        <f>국가별수출!AH386-국가별수출!AH346</f>
        <v>6318</v>
      </c>
      <c r="G346" s="895">
        <f t="shared" si="19"/>
        <v>48.5</v>
      </c>
    </row>
    <row r="347" spans="1:7" s="846" customFormat="1" ht="19.5" hidden="1" customHeight="1">
      <c r="A347" s="897" t="s">
        <v>449</v>
      </c>
      <c r="B347" s="905">
        <f>국가별수출!AD387-국가별수출!AD347</f>
        <v>661</v>
      </c>
      <c r="C347" s="905">
        <f>국가별수출!AE387-국가별수출!AE347</f>
        <v>5787</v>
      </c>
      <c r="D347" s="905">
        <f>국가별수출!AF387-국가별수출!AF347</f>
        <v>1424</v>
      </c>
      <c r="E347" s="895">
        <f t="shared" si="18"/>
        <v>115.4</v>
      </c>
      <c r="F347" s="905">
        <f>국가별수출!AH387-국가별수출!AH347</f>
        <v>11774</v>
      </c>
      <c r="G347" s="895">
        <f t="shared" si="19"/>
        <v>103.5</v>
      </c>
    </row>
    <row r="348" spans="1:7" s="846" customFormat="1" ht="19.5" hidden="1" customHeight="1">
      <c r="A348" s="897" t="s">
        <v>68</v>
      </c>
      <c r="B348" s="905">
        <f>국가별수출!AD388-국가별수출!AD348</f>
        <v>414</v>
      </c>
      <c r="C348" s="905">
        <f>국가별수출!AE388-국가별수출!AE348</f>
        <v>2964</v>
      </c>
      <c r="D348" s="905">
        <f>국가별수출!AF388-국가별수출!AF348</f>
        <v>339</v>
      </c>
      <c r="E348" s="895">
        <f t="shared" si="18"/>
        <v>-18.100000000000001</v>
      </c>
      <c r="F348" s="905">
        <f>국가별수출!AH388-국가별수출!AH348</f>
        <v>2758</v>
      </c>
      <c r="G348" s="895">
        <f t="shared" si="19"/>
        <v>-7</v>
      </c>
    </row>
    <row r="349" spans="1:7" s="846" customFormat="1" ht="19.5" hidden="1" customHeight="1">
      <c r="A349" s="897" t="s">
        <v>66</v>
      </c>
      <c r="B349" s="905">
        <f>국가별수출!AD389-국가별수출!AD349</f>
        <v>918</v>
      </c>
      <c r="C349" s="905">
        <f>국가별수출!AE389-국가별수출!AE349</f>
        <v>4816</v>
      </c>
      <c r="D349" s="905">
        <f>국가별수출!AF389-국가별수출!AF349</f>
        <v>511</v>
      </c>
      <c r="E349" s="895">
        <f t="shared" si="18"/>
        <v>-44.3</v>
      </c>
      <c r="F349" s="905">
        <f>국가별수출!AH389-국가별수출!AH349</f>
        <v>2976</v>
      </c>
      <c r="G349" s="895">
        <f t="shared" si="19"/>
        <v>-38.200000000000003</v>
      </c>
    </row>
    <row r="350" spans="1:7" s="846" customFormat="1" ht="19.5" hidden="1" customHeight="1">
      <c r="A350" s="897" t="s">
        <v>73</v>
      </c>
      <c r="B350" s="905">
        <f>국가별수출!AD390-국가별수출!AD350</f>
        <v>1658</v>
      </c>
      <c r="C350" s="905">
        <f>국가별수출!AE390-국가별수출!AE350</f>
        <v>4140</v>
      </c>
      <c r="D350" s="905">
        <f>국가별수출!AF390-국가별수출!AF350</f>
        <v>460</v>
      </c>
      <c r="E350" s="895">
        <f t="shared" si="18"/>
        <v>-72.3</v>
      </c>
      <c r="F350" s="905">
        <f>국가별수출!AH390-국가별수출!AH350</f>
        <v>1910</v>
      </c>
      <c r="G350" s="895">
        <f t="shared" si="19"/>
        <v>-53.9</v>
      </c>
    </row>
    <row r="351" spans="1:7" s="846" customFormat="1" ht="19.5" hidden="1" customHeight="1">
      <c r="A351" s="897" t="s">
        <v>71</v>
      </c>
      <c r="B351" s="905">
        <f>국가별수출!AD391-국가별수출!AD351</f>
        <v>1009</v>
      </c>
      <c r="C351" s="905">
        <f>국가별수출!AE391-국가별수출!AE351</f>
        <v>3584</v>
      </c>
      <c r="D351" s="905">
        <f>국가별수출!AF391-국가별수출!AF351</f>
        <v>296</v>
      </c>
      <c r="E351" s="895">
        <f t="shared" si="18"/>
        <v>-70.7</v>
      </c>
      <c r="F351" s="905">
        <f>국가별수출!AH391-국가별수출!AH351</f>
        <v>2385</v>
      </c>
      <c r="G351" s="895">
        <f t="shared" si="19"/>
        <v>-33.5</v>
      </c>
    </row>
    <row r="352" spans="1:7" s="846" customFormat="1" ht="19.5" hidden="1" customHeight="1">
      <c r="A352" s="891" t="s">
        <v>70</v>
      </c>
      <c r="B352" s="905">
        <f>국가별수출!AD392-국가별수출!AD352</f>
        <v>1291</v>
      </c>
      <c r="C352" s="905">
        <f>국가별수출!AE392-국가별수출!AE352</f>
        <v>3503</v>
      </c>
      <c r="D352" s="1184" t="s">
        <v>725</v>
      </c>
      <c r="E352" s="895" t="e">
        <f t="shared" si="18"/>
        <v>#VALUE!</v>
      </c>
      <c r="F352" s="905">
        <f>국가별수출!AH392-국가별수출!AH352</f>
        <v>1147</v>
      </c>
      <c r="G352" s="895">
        <f t="shared" si="19"/>
        <v>-67.3</v>
      </c>
    </row>
    <row r="353" spans="1:7" s="846" customFormat="1" ht="19.5" hidden="1" customHeight="1">
      <c r="A353" s="897" t="s">
        <v>74</v>
      </c>
      <c r="B353" s="905">
        <f>국가별수출!AD393-국가별수출!AD353</f>
        <v>965</v>
      </c>
      <c r="C353" s="905">
        <f>국가별수출!AE393-국가별수출!AE353</f>
        <v>3415</v>
      </c>
      <c r="D353" s="905">
        <f>국가별수출!AF393-국가별수출!AF353</f>
        <v>764</v>
      </c>
      <c r="E353" s="895">
        <f t="shared" si="18"/>
        <v>-20.8</v>
      </c>
      <c r="F353" s="905">
        <f>국가별수출!AH393-국가별수출!AH353</f>
        <v>2712</v>
      </c>
      <c r="G353" s="895">
        <f t="shared" si="19"/>
        <v>-20.6</v>
      </c>
    </row>
    <row r="354" spans="1:7" s="846" customFormat="1" ht="19.5" hidden="1" customHeight="1">
      <c r="A354" s="891" t="s">
        <v>88</v>
      </c>
      <c r="B354" s="905">
        <f>국가별수출!AD394-국가별수출!AD354</f>
        <v>207</v>
      </c>
      <c r="C354" s="905">
        <f>국가별수출!AE394-국가별수출!AE354</f>
        <v>578</v>
      </c>
      <c r="D354" s="905">
        <f>국가별수출!AF394-국가별수출!AF354</f>
        <v>64</v>
      </c>
      <c r="E354" s="895">
        <f t="shared" si="18"/>
        <v>-69.099999999999994</v>
      </c>
      <c r="F354" s="905">
        <f>국가별수출!AH394-국가별수출!AH354</f>
        <v>141</v>
      </c>
      <c r="G354" s="895">
        <f t="shared" si="19"/>
        <v>-75.599999999999994</v>
      </c>
    </row>
    <row r="355" spans="1:7" s="846" customFormat="1" ht="19.5" hidden="1" customHeight="1">
      <c r="A355" s="891" t="s">
        <v>67</v>
      </c>
      <c r="B355" s="905">
        <f>국가별수출!AD395-국가별수출!AD355</f>
        <v>1978</v>
      </c>
      <c r="C355" s="905">
        <f>국가별수출!AE395-국가별수출!AE355</f>
        <v>4522</v>
      </c>
      <c r="D355" s="905">
        <f>국가별수출!AF395-국가별수출!AF355</f>
        <v>1135</v>
      </c>
      <c r="E355" s="895">
        <f t="shared" si="18"/>
        <v>-42.6</v>
      </c>
      <c r="F355" s="905">
        <f>국가별수출!AH395-국가별수출!AH355</f>
        <v>2611</v>
      </c>
      <c r="G355" s="895">
        <f t="shared" si="19"/>
        <v>-42.3</v>
      </c>
    </row>
    <row r="356" spans="1:7" s="846" customFormat="1" ht="19.5" hidden="1" customHeight="1">
      <c r="A356" s="897" t="s">
        <v>72</v>
      </c>
      <c r="B356" s="905">
        <f>국가별수출!AD396-국가별수출!AD356</f>
        <v>513</v>
      </c>
      <c r="C356" s="905">
        <f>국가별수출!AE396-국가별수출!AE356</f>
        <v>2791</v>
      </c>
      <c r="D356" s="905">
        <f>국가별수출!AF396-국가별수출!AF356</f>
        <v>419</v>
      </c>
      <c r="E356" s="895">
        <f t="shared" si="18"/>
        <v>-18.3</v>
      </c>
      <c r="F356" s="905">
        <f>국가별수출!AH396-국가별수출!AH356</f>
        <v>2998</v>
      </c>
      <c r="G356" s="895">
        <f t="shared" si="19"/>
        <v>7.4</v>
      </c>
    </row>
    <row r="357" spans="1:7" s="846" customFormat="1" ht="19.5" hidden="1" customHeight="1">
      <c r="A357" s="897" t="s">
        <v>69</v>
      </c>
      <c r="B357" s="905">
        <f>국가별수출!AD397-국가별수출!AD357</f>
        <v>280</v>
      </c>
      <c r="C357" s="905">
        <f>국가별수출!AE397-국가별수출!AE357</f>
        <v>2595</v>
      </c>
      <c r="D357" s="905">
        <f>국가별수출!AF397-국가별수출!AF357</f>
        <v>142</v>
      </c>
      <c r="E357" s="895">
        <f t="shared" si="18"/>
        <v>-49.3</v>
      </c>
      <c r="F357" s="905">
        <f>국가별수출!AH397-국가별수출!AH357</f>
        <v>1736</v>
      </c>
      <c r="G357" s="895">
        <f t="shared" si="19"/>
        <v>-33.1</v>
      </c>
    </row>
    <row r="358" spans="1:7" s="846" customFormat="1" ht="19.5" hidden="1" customHeight="1">
      <c r="A358" s="903" t="s">
        <v>24</v>
      </c>
      <c r="B358" s="892">
        <f>B359-SUM(B328:B357)</f>
        <v>8779</v>
      </c>
      <c r="C358" s="892">
        <f>C359-SUM(C328:C357)</f>
        <v>33671</v>
      </c>
      <c r="D358" s="892">
        <f>D359-SUM(D328:D357)</f>
        <v>7868</v>
      </c>
      <c r="E358" s="895">
        <f t="shared" si="18"/>
        <v>-10.4</v>
      </c>
      <c r="F358" s="892">
        <f>F359-SUM(F328:F357)</f>
        <v>29127</v>
      </c>
      <c r="G358" s="896">
        <f t="shared" si="19"/>
        <v>-13.5</v>
      </c>
    </row>
    <row r="359" spans="1:7" s="846" customFormat="1" ht="19.5" hidden="1" customHeight="1">
      <c r="A359" s="904" t="s">
        <v>79</v>
      </c>
      <c r="B359" s="908">
        <f>국가별수출!AD399-국가별수출!AD359</f>
        <v>240853</v>
      </c>
      <c r="C359" s="908">
        <f>국가별수출!AE399-국가별수출!AE359</f>
        <v>944210</v>
      </c>
      <c r="D359" s="908">
        <f>국가별수출!AF399-국가별수출!AF359</f>
        <v>247244</v>
      </c>
      <c r="E359" s="906">
        <f t="shared" si="18"/>
        <v>2.7</v>
      </c>
      <c r="F359" s="908">
        <f>국가별수출!AH399-국가별수출!AH359</f>
        <v>1005863</v>
      </c>
      <c r="G359" s="906">
        <f t="shared" si="19"/>
        <v>6.5</v>
      </c>
    </row>
    <row r="360" spans="1:7" hidden="1"/>
    <row r="361" spans="1:7" s="846" customFormat="1" ht="22.5">
      <c r="A361" s="1143" t="s">
        <v>723</v>
      </c>
      <c r="B361" s="1143"/>
      <c r="C361" s="1143"/>
      <c r="D361" s="1143"/>
      <c r="E361" s="1143"/>
      <c r="F361" s="1143"/>
      <c r="G361" s="1143"/>
    </row>
    <row r="362" spans="1:7" s="846" customFormat="1">
      <c r="A362" s="898"/>
      <c r="B362" s="899"/>
      <c r="C362" s="899"/>
      <c r="D362" s="899"/>
      <c r="E362" s="900"/>
      <c r="F362" s="899"/>
      <c r="G362" s="900"/>
    </row>
    <row r="363" spans="1:7" s="846" customFormat="1">
      <c r="A363" s="898"/>
      <c r="B363" s="899"/>
      <c r="C363" s="899"/>
      <c r="D363" s="899"/>
      <c r="E363" s="900"/>
      <c r="F363" s="1144" t="s">
        <v>80</v>
      </c>
      <c r="G363" s="1144"/>
    </row>
    <row r="364" spans="1:7" s="846" customFormat="1" ht="21.75" customHeight="1">
      <c r="A364" s="1115" t="s">
        <v>43</v>
      </c>
      <c r="B364" s="1115" t="s">
        <v>724</v>
      </c>
      <c r="C364" s="1115"/>
      <c r="D364" s="1115"/>
      <c r="E364" s="1115"/>
      <c r="F364" s="1115"/>
      <c r="G364" s="1115"/>
    </row>
    <row r="365" spans="1:7" s="846" customFormat="1" ht="21" customHeight="1">
      <c r="A365" s="1115"/>
      <c r="B365" s="1115" t="s">
        <v>314</v>
      </c>
      <c r="C365" s="1115"/>
      <c r="D365" s="1115" t="s">
        <v>444</v>
      </c>
      <c r="E365" s="1115"/>
      <c r="F365" s="1115"/>
      <c r="G365" s="1115"/>
    </row>
    <row r="366" spans="1:7" s="846" customFormat="1" ht="16.5" customHeight="1">
      <c r="A366" s="1115"/>
      <c r="B366" s="1115" t="s">
        <v>44</v>
      </c>
      <c r="C366" s="1115" t="s">
        <v>45</v>
      </c>
      <c r="D366" s="1146" t="s">
        <v>46</v>
      </c>
      <c r="E366" s="901"/>
      <c r="F366" s="1146" t="s">
        <v>45</v>
      </c>
      <c r="G366" s="901"/>
    </row>
    <row r="367" spans="1:7" s="846" customFormat="1" ht="16.5" customHeight="1" thickBot="1">
      <c r="A367" s="1145"/>
      <c r="B367" s="1145"/>
      <c r="C367" s="1145"/>
      <c r="D367" s="1145"/>
      <c r="E367" s="902" t="s">
        <v>49</v>
      </c>
      <c r="F367" s="1145"/>
      <c r="G367" s="902" t="s">
        <v>49</v>
      </c>
    </row>
    <row r="368" spans="1:7" s="846" customFormat="1" ht="19.5" customHeight="1" thickTop="1">
      <c r="A368" s="897" t="s">
        <v>50</v>
      </c>
      <c r="B368" s="905">
        <f>국가별수출!AD408-국가별수출!AD368</f>
        <v>47901</v>
      </c>
      <c r="C368" s="905">
        <f>국가별수출!AE408-국가별수출!AE368</f>
        <v>227078</v>
      </c>
      <c r="D368" s="905">
        <f>국가별수출!AF408-국가별수출!AF368</f>
        <v>79826</v>
      </c>
      <c r="E368" s="895">
        <f>ROUND(((D368/B368-1)*100),1)</f>
        <v>66.599999999999994</v>
      </c>
      <c r="F368" s="905">
        <f>국가별수출!AH408-국가별수출!AH368</f>
        <v>375875</v>
      </c>
      <c r="G368" s="895">
        <f>ROUND(((F368/C368-1)*100),1)</f>
        <v>65.5</v>
      </c>
    </row>
    <row r="369" spans="1:7" s="846" customFormat="1" ht="19.5" customHeight="1">
      <c r="A369" s="897" t="s">
        <v>51</v>
      </c>
      <c r="B369" s="905">
        <f>국가별수출!AD409-국가별수출!AD369</f>
        <v>41292</v>
      </c>
      <c r="C369" s="905">
        <f>국가별수출!AE409-국가별수출!AE369</f>
        <v>136680</v>
      </c>
      <c r="D369" s="905">
        <f>국가별수출!AF409-국가별수출!AF369</f>
        <v>44536</v>
      </c>
      <c r="E369" s="895">
        <f t="shared" ref="E369:E399" si="20">ROUND(((D369/B369-1)*100),1)</f>
        <v>7.9</v>
      </c>
      <c r="F369" s="905">
        <f>국가별수출!AH409-국가별수출!AH369</f>
        <v>153702</v>
      </c>
      <c r="G369" s="895">
        <f t="shared" ref="G369:G399" si="21">ROUND(((F369/C369-1)*100),1)</f>
        <v>12.5</v>
      </c>
    </row>
    <row r="370" spans="1:7" s="846" customFormat="1" ht="19.5" customHeight="1">
      <c r="A370" s="897" t="s">
        <v>53</v>
      </c>
      <c r="B370" s="905">
        <f>국가별수출!AD410-국가별수출!AD370</f>
        <v>20498</v>
      </c>
      <c r="C370" s="905">
        <f>국가별수출!AE410-국가별수출!AE370</f>
        <v>80131</v>
      </c>
      <c r="D370" s="905">
        <f>국가별수출!AF410-국가별수출!AF370</f>
        <v>30140</v>
      </c>
      <c r="E370" s="895">
        <f t="shared" si="20"/>
        <v>47</v>
      </c>
      <c r="F370" s="905">
        <f>국가별수출!AH410-국가별수출!AH370</f>
        <v>105826</v>
      </c>
      <c r="G370" s="895">
        <f t="shared" si="21"/>
        <v>32.1</v>
      </c>
    </row>
    <row r="371" spans="1:7" s="846" customFormat="1" ht="19.5" customHeight="1">
      <c r="A371" s="897" t="s">
        <v>52</v>
      </c>
      <c r="B371" s="905">
        <f>국가별수출!AD411-국가별수출!AD371</f>
        <v>16019</v>
      </c>
      <c r="C371" s="905">
        <f>국가별수출!AE411-국가별수출!AE371</f>
        <v>45579</v>
      </c>
      <c r="D371" s="905">
        <f>국가별수출!AF411-국가별수출!AF371</f>
        <v>19600</v>
      </c>
      <c r="E371" s="895">
        <f t="shared" si="20"/>
        <v>22.4</v>
      </c>
      <c r="F371" s="905">
        <f>국가별수출!AH411-국가별수출!AH371</f>
        <v>53784</v>
      </c>
      <c r="G371" s="895">
        <f t="shared" si="21"/>
        <v>18</v>
      </c>
    </row>
    <row r="372" spans="1:7" s="846" customFormat="1" ht="19.5" customHeight="1">
      <c r="A372" s="897" t="s">
        <v>54</v>
      </c>
      <c r="B372" s="905">
        <f>국가별수출!AD412-국가별수출!AD372</f>
        <v>9157</v>
      </c>
      <c r="C372" s="905">
        <f>국가별수출!AE412-국가별수출!AE372</f>
        <v>50272</v>
      </c>
      <c r="D372" s="905">
        <f>국가별수출!AF412-국가별수출!AF372</f>
        <v>10897</v>
      </c>
      <c r="E372" s="895">
        <f t="shared" si="20"/>
        <v>19</v>
      </c>
      <c r="F372" s="905">
        <f>국가별수출!AH412-국가별수출!AH372</f>
        <v>50832</v>
      </c>
      <c r="G372" s="895">
        <f t="shared" si="21"/>
        <v>1.1000000000000001</v>
      </c>
    </row>
    <row r="373" spans="1:7" s="846" customFormat="1" ht="19.5" customHeight="1">
      <c r="A373" s="897" t="s">
        <v>56</v>
      </c>
      <c r="B373" s="905">
        <f>국가별수출!AD413-국가별수출!AD373</f>
        <v>13135</v>
      </c>
      <c r="C373" s="905">
        <f>국가별수출!AE413-국가별수출!AE373</f>
        <v>53721</v>
      </c>
      <c r="D373" s="905">
        <f>국가별수출!AF413-국가별수출!AF373</f>
        <v>8889</v>
      </c>
      <c r="E373" s="895">
        <f t="shared" si="20"/>
        <v>-32.299999999999997</v>
      </c>
      <c r="F373" s="905">
        <f>국가별수출!AH413-국가별수출!AH373</f>
        <v>29269</v>
      </c>
      <c r="G373" s="895">
        <f t="shared" si="21"/>
        <v>-45.5</v>
      </c>
    </row>
    <row r="374" spans="1:7" s="846" customFormat="1" ht="19.5" customHeight="1">
      <c r="A374" s="897" t="s">
        <v>57</v>
      </c>
      <c r="B374" s="905">
        <f>국가별수출!AD414-국가별수출!AD374</f>
        <v>6508</v>
      </c>
      <c r="C374" s="905">
        <f>국가별수출!AE414-국가별수출!AE374</f>
        <v>30906</v>
      </c>
      <c r="D374" s="905">
        <f>국가별수출!AF414-국가별수출!AF374</f>
        <v>9358</v>
      </c>
      <c r="E374" s="895">
        <f t="shared" si="20"/>
        <v>43.8</v>
      </c>
      <c r="F374" s="905">
        <f>국가별수출!AH414-국가별수출!AH374</f>
        <v>56352</v>
      </c>
      <c r="G374" s="895">
        <f t="shared" si="21"/>
        <v>82.3</v>
      </c>
    </row>
    <row r="375" spans="1:7" s="846" customFormat="1" ht="19.5" customHeight="1">
      <c r="A375" s="897" t="s">
        <v>55</v>
      </c>
      <c r="B375" s="905">
        <f>국가별수출!AD415-국가별수출!AD375</f>
        <v>12254</v>
      </c>
      <c r="C375" s="905">
        <f>국가별수출!AE415-국가별수출!AE375</f>
        <v>43841</v>
      </c>
      <c r="D375" s="905">
        <f>국가별수출!AF415-국가별수출!AF375</f>
        <v>11065</v>
      </c>
      <c r="E375" s="895">
        <f t="shared" si="20"/>
        <v>-9.6999999999999993</v>
      </c>
      <c r="F375" s="905">
        <f>국가별수출!AH415-국가별수출!AH375</f>
        <v>43433</v>
      </c>
      <c r="G375" s="895">
        <f t="shared" si="21"/>
        <v>-0.9</v>
      </c>
    </row>
    <row r="376" spans="1:7" s="846" customFormat="1" ht="19.5" customHeight="1">
      <c r="A376" s="897" t="s">
        <v>59</v>
      </c>
      <c r="B376" s="905">
        <f>국가별수출!AD416-국가별수출!AD376</f>
        <v>4744</v>
      </c>
      <c r="C376" s="905">
        <f>국가별수출!AE416-국가별수출!AE376</f>
        <v>27422</v>
      </c>
      <c r="D376" s="905">
        <f>국가별수출!AF416-국가별수출!AF376</f>
        <v>4292</v>
      </c>
      <c r="E376" s="895">
        <f t="shared" si="20"/>
        <v>-9.5</v>
      </c>
      <c r="F376" s="905">
        <f>국가별수출!AH416-국가별수출!AH376</f>
        <v>27012</v>
      </c>
      <c r="G376" s="895">
        <f t="shared" si="21"/>
        <v>-1.5</v>
      </c>
    </row>
    <row r="377" spans="1:7" s="846" customFormat="1" ht="19.5" customHeight="1">
      <c r="A377" s="897" t="s">
        <v>58</v>
      </c>
      <c r="B377" s="905">
        <f>국가별수출!AD417-국가별수출!AD377</f>
        <v>6801</v>
      </c>
      <c r="C377" s="905">
        <f>국가별수출!AE417-국가별수출!AE377</f>
        <v>21319</v>
      </c>
      <c r="D377" s="905">
        <f>국가별수출!AF417-국가별수출!AF377</f>
        <v>6536</v>
      </c>
      <c r="E377" s="895">
        <f t="shared" si="20"/>
        <v>-3.9</v>
      </c>
      <c r="F377" s="905">
        <f>국가별수출!AH417-국가별수출!AH377</f>
        <v>18858</v>
      </c>
      <c r="G377" s="895">
        <f t="shared" si="21"/>
        <v>-11.5</v>
      </c>
    </row>
    <row r="378" spans="1:7" s="846" customFormat="1" ht="19.5" customHeight="1">
      <c r="A378" s="897" t="s">
        <v>61</v>
      </c>
      <c r="B378" s="905">
        <f>국가별수출!AD418-국가별수출!AD378</f>
        <v>5347</v>
      </c>
      <c r="C378" s="905">
        <f>국가별수출!AE418-국가별수출!AE378</f>
        <v>19574</v>
      </c>
      <c r="D378" s="905">
        <f>국가별수출!AF418-국가별수출!AF378</f>
        <v>5612</v>
      </c>
      <c r="E378" s="895">
        <f t="shared" si="20"/>
        <v>5</v>
      </c>
      <c r="F378" s="905">
        <f>국가별수출!AH418-국가별수출!AH378</f>
        <v>20612</v>
      </c>
      <c r="G378" s="895">
        <f t="shared" si="21"/>
        <v>5.3</v>
      </c>
    </row>
    <row r="379" spans="1:7" s="846" customFormat="1" ht="19.5" customHeight="1">
      <c r="A379" s="897" t="s">
        <v>60</v>
      </c>
      <c r="B379" s="905">
        <f>국가별수출!AD419-국가별수출!AD379</f>
        <v>3053</v>
      </c>
      <c r="C379" s="905">
        <f>국가별수출!AE419-국가별수출!AE379</f>
        <v>13309</v>
      </c>
      <c r="D379" s="905">
        <f>국가별수출!AF419-국가별수출!AF379</f>
        <v>4413</v>
      </c>
      <c r="E379" s="895">
        <f t="shared" si="20"/>
        <v>44.5</v>
      </c>
      <c r="F379" s="905">
        <f>국가별수출!AH419-국가별수출!AH379</f>
        <v>19148</v>
      </c>
      <c r="G379" s="895">
        <f t="shared" si="21"/>
        <v>43.9</v>
      </c>
    </row>
    <row r="380" spans="1:7" s="846" customFormat="1" ht="19.5" customHeight="1">
      <c r="A380" s="897" t="s">
        <v>65</v>
      </c>
      <c r="B380" s="905">
        <f>국가별수출!AD420-국가별수출!AD380</f>
        <v>3212</v>
      </c>
      <c r="C380" s="905">
        <f>국가별수출!AE420-국가별수출!AE380</f>
        <v>9829</v>
      </c>
      <c r="D380" s="905">
        <f>국가별수출!AF420-국가별수출!AF380</f>
        <v>1964</v>
      </c>
      <c r="E380" s="895">
        <f t="shared" si="20"/>
        <v>-38.9</v>
      </c>
      <c r="F380" s="905">
        <f>국가별수출!AH420-국가별수출!AH380</f>
        <v>6035</v>
      </c>
      <c r="G380" s="895">
        <f t="shared" si="21"/>
        <v>-38.6</v>
      </c>
    </row>
    <row r="381" spans="1:7" s="846" customFormat="1" ht="19.5" customHeight="1">
      <c r="A381" s="897" t="s">
        <v>63</v>
      </c>
      <c r="B381" s="905">
        <f>국가별수출!AD421-국가별수출!AD381</f>
        <v>3270</v>
      </c>
      <c r="C381" s="905">
        <f>국가별수출!AE421-국가별수출!AE381</f>
        <v>7517</v>
      </c>
      <c r="D381" s="905">
        <f>국가별수출!AF421-국가별수출!AF381</f>
        <v>2802</v>
      </c>
      <c r="E381" s="895">
        <f t="shared" si="20"/>
        <v>-14.3</v>
      </c>
      <c r="F381" s="905">
        <f>국가별수출!AH421-국가별수출!AH381</f>
        <v>7871</v>
      </c>
      <c r="G381" s="895">
        <f t="shared" si="21"/>
        <v>4.7</v>
      </c>
    </row>
    <row r="382" spans="1:7" s="846" customFormat="1" ht="19.5" customHeight="1">
      <c r="A382" s="897" t="s">
        <v>64</v>
      </c>
      <c r="B382" s="905">
        <f>국가별수출!AD422-국가별수출!AD382</f>
        <v>3786</v>
      </c>
      <c r="C382" s="905">
        <f>국가별수출!AE422-국가별수출!AE382</f>
        <v>9742</v>
      </c>
      <c r="D382" s="905">
        <f>국가별수출!AF422-국가별수출!AF382</f>
        <v>2341</v>
      </c>
      <c r="E382" s="895">
        <f t="shared" si="20"/>
        <v>-38.200000000000003</v>
      </c>
      <c r="F382" s="905">
        <f>국가별수출!AH422-국가별수출!AH382</f>
        <v>8211</v>
      </c>
      <c r="G382" s="895">
        <f t="shared" si="21"/>
        <v>-15.7</v>
      </c>
    </row>
    <row r="383" spans="1:7" s="846" customFormat="1" ht="19.5" customHeight="1">
      <c r="A383" s="897" t="s">
        <v>62</v>
      </c>
      <c r="B383" s="905">
        <f>국가별수출!AD423-국가별수출!AD383</f>
        <v>2619</v>
      </c>
      <c r="C383" s="905">
        <f>국가별수출!AE423-국가별수출!AE383</f>
        <v>8447</v>
      </c>
      <c r="D383" s="905">
        <f>국가별수출!AF423-국가별수출!AF383</f>
        <v>991</v>
      </c>
      <c r="E383" s="895">
        <f t="shared" si="20"/>
        <v>-62.2</v>
      </c>
      <c r="F383" s="905">
        <f>국가별수출!AH423-국가별수출!AH383</f>
        <v>3955</v>
      </c>
      <c r="G383" s="895">
        <f t="shared" si="21"/>
        <v>-53.2</v>
      </c>
    </row>
    <row r="384" spans="1:7" s="846" customFormat="1" ht="19.5" customHeight="1">
      <c r="A384" s="897" t="s">
        <v>448</v>
      </c>
      <c r="B384" s="905">
        <f>국가별수출!AD424-국가별수출!AD384</f>
        <v>665</v>
      </c>
      <c r="C384" s="905">
        <f>국가별수출!AE424-국가별수출!AE384</f>
        <v>6416</v>
      </c>
      <c r="D384" s="905">
        <f>국가별수출!AF424-국가별수출!AF384</f>
        <v>2316</v>
      </c>
      <c r="E384" s="895">
        <f t="shared" si="20"/>
        <v>248.3</v>
      </c>
      <c r="F384" s="905">
        <f>국가별수출!AH424-국가별수출!AH384</f>
        <v>24119</v>
      </c>
      <c r="G384" s="895">
        <f t="shared" si="21"/>
        <v>275.89999999999998</v>
      </c>
    </row>
    <row r="385" spans="1:7" s="846" customFormat="1" ht="19.5" customHeight="1">
      <c r="A385" s="897" t="s">
        <v>77</v>
      </c>
      <c r="B385" s="905">
        <f>국가별수출!AD425-국가별수출!AD385</f>
        <v>1244</v>
      </c>
      <c r="C385" s="905">
        <f>국가별수출!AE425-국가별수출!AE385</f>
        <v>3392</v>
      </c>
      <c r="D385" s="905">
        <f>국가별수출!AF425-국가별수출!AF385</f>
        <v>3021</v>
      </c>
      <c r="E385" s="895">
        <f t="shared" si="20"/>
        <v>142.80000000000001</v>
      </c>
      <c r="F385" s="905">
        <f>국가별수출!AH425-국가별수출!AH385</f>
        <v>7722</v>
      </c>
      <c r="G385" s="895">
        <f t="shared" si="21"/>
        <v>127.7</v>
      </c>
    </row>
    <row r="386" spans="1:7" s="846" customFormat="1" ht="19.5" customHeight="1">
      <c r="A386" s="897" t="s">
        <v>75</v>
      </c>
      <c r="B386" s="905">
        <f>국가별수출!AD426-국가별수출!AD386</f>
        <v>1622</v>
      </c>
      <c r="C386" s="905">
        <f>국가별수출!AE426-국가별수출!AE386</f>
        <v>3982</v>
      </c>
      <c r="D386" s="905">
        <f>국가별수출!AF426-국가별수출!AF386</f>
        <v>2209</v>
      </c>
      <c r="E386" s="895">
        <f t="shared" si="20"/>
        <v>36.200000000000003</v>
      </c>
      <c r="F386" s="905">
        <f>국가별수출!AH426-국가별수출!AH386</f>
        <v>6960</v>
      </c>
      <c r="G386" s="895">
        <f t="shared" si="21"/>
        <v>74.8</v>
      </c>
    </row>
    <row r="387" spans="1:7" s="846" customFormat="1" ht="19.5" customHeight="1">
      <c r="A387" s="897" t="s">
        <v>449</v>
      </c>
      <c r="B387" s="905">
        <f>국가별수출!AD427-국가별수출!AD387</f>
        <v>714</v>
      </c>
      <c r="C387" s="905">
        <f>국가별수출!AE427-국가별수출!AE387</f>
        <v>7452</v>
      </c>
      <c r="D387" s="905">
        <f>국가별수출!AF427-국가별수출!AF387</f>
        <v>1284</v>
      </c>
      <c r="E387" s="895">
        <f t="shared" si="20"/>
        <v>79.8</v>
      </c>
      <c r="F387" s="905">
        <f>국가별수출!AH427-국가별수출!AH387</f>
        <v>10632</v>
      </c>
      <c r="G387" s="895">
        <f t="shared" si="21"/>
        <v>42.7</v>
      </c>
    </row>
    <row r="388" spans="1:7" s="846" customFormat="1" ht="19.5" customHeight="1">
      <c r="A388" s="897" t="s">
        <v>68</v>
      </c>
      <c r="B388" s="905">
        <f>국가별수출!AD428-국가별수출!AD388</f>
        <v>593</v>
      </c>
      <c r="C388" s="905">
        <f>국가별수출!AE428-국가별수출!AE388</f>
        <v>3229</v>
      </c>
      <c r="D388" s="905">
        <f>국가별수출!AF428-국가별수출!AF388</f>
        <v>103</v>
      </c>
      <c r="E388" s="895">
        <f t="shared" si="20"/>
        <v>-82.6</v>
      </c>
      <c r="F388" s="905">
        <f>국가별수출!AH428-국가별수출!AH388</f>
        <v>1944</v>
      </c>
      <c r="G388" s="895">
        <f t="shared" si="21"/>
        <v>-39.799999999999997</v>
      </c>
    </row>
    <row r="389" spans="1:7" s="846" customFormat="1" ht="19.5" customHeight="1">
      <c r="A389" s="897" t="s">
        <v>66</v>
      </c>
      <c r="B389" s="905">
        <f>국가별수출!AD429-국가별수출!AD389</f>
        <v>634</v>
      </c>
      <c r="C389" s="905">
        <f>국가별수출!AE429-국가별수출!AE389</f>
        <v>3848</v>
      </c>
      <c r="D389" s="905">
        <f>국가별수출!AF429-국가별수출!AF389</f>
        <v>721</v>
      </c>
      <c r="E389" s="895">
        <f t="shared" si="20"/>
        <v>13.7</v>
      </c>
      <c r="F389" s="905">
        <f>국가별수출!AH429-국가별수출!AH389</f>
        <v>4142</v>
      </c>
      <c r="G389" s="895">
        <f t="shared" si="21"/>
        <v>7.6</v>
      </c>
    </row>
    <row r="390" spans="1:7" s="846" customFormat="1" ht="19.5" customHeight="1">
      <c r="A390" s="897" t="s">
        <v>73</v>
      </c>
      <c r="B390" s="905">
        <f>국가별수출!AD430-국가별수출!AD390</f>
        <v>507</v>
      </c>
      <c r="C390" s="905">
        <f>국가별수출!AE430-국가별수출!AE390</f>
        <v>2876</v>
      </c>
      <c r="D390" s="905">
        <f>국가별수출!AF430-국가별수출!AF390</f>
        <v>281</v>
      </c>
      <c r="E390" s="895">
        <f t="shared" si="20"/>
        <v>-44.6</v>
      </c>
      <c r="F390" s="905">
        <f>국가별수출!AH430-국가별수출!AH390</f>
        <v>1335</v>
      </c>
      <c r="G390" s="895">
        <f t="shared" si="21"/>
        <v>-53.6</v>
      </c>
    </row>
    <row r="391" spans="1:7" s="846" customFormat="1" ht="19.5" customHeight="1">
      <c r="A391" s="897" t="s">
        <v>71</v>
      </c>
      <c r="B391" s="905">
        <f>국가별수출!AD431-국가별수출!AD391</f>
        <v>350</v>
      </c>
      <c r="C391" s="905">
        <f>국가별수출!AE431-국가별수출!AE391</f>
        <v>1957</v>
      </c>
      <c r="D391" s="905">
        <f>국가별수출!AF431-국가별수출!AF391</f>
        <v>305</v>
      </c>
      <c r="E391" s="895">
        <f t="shared" si="20"/>
        <v>-12.9</v>
      </c>
      <c r="F391" s="905">
        <f>국가별수출!AH431-국가별수출!AH391</f>
        <v>2471</v>
      </c>
      <c r="G391" s="895">
        <f t="shared" si="21"/>
        <v>26.3</v>
      </c>
    </row>
    <row r="392" spans="1:7" s="846" customFormat="1" ht="19.5" customHeight="1">
      <c r="A392" s="891" t="s">
        <v>70</v>
      </c>
      <c r="B392" s="905">
        <f>국가별수출!AD432-국가별수출!AD392</f>
        <v>408</v>
      </c>
      <c r="C392" s="905">
        <f>국가별수출!AE432-국가별수출!AE392</f>
        <v>1499</v>
      </c>
      <c r="D392" s="905">
        <f>국가별수출!AF432-국가별수출!AF392</f>
        <v>676</v>
      </c>
      <c r="E392" s="895">
        <f t="shared" si="20"/>
        <v>65.7</v>
      </c>
      <c r="F392" s="905">
        <f>국가별수출!AH432-국가별수출!AH392</f>
        <v>2384</v>
      </c>
      <c r="G392" s="895">
        <f t="shared" si="21"/>
        <v>59</v>
      </c>
    </row>
    <row r="393" spans="1:7" s="846" customFormat="1" ht="19.5" customHeight="1">
      <c r="A393" s="897" t="s">
        <v>74</v>
      </c>
      <c r="B393" s="905">
        <f>국가별수출!AD433-국가별수출!AD393</f>
        <v>697</v>
      </c>
      <c r="C393" s="905">
        <f>국가별수출!AE433-국가별수출!AE393</f>
        <v>2593</v>
      </c>
      <c r="D393" s="905">
        <f>국가별수출!AF433-국가별수출!AF393</f>
        <v>915</v>
      </c>
      <c r="E393" s="895">
        <f t="shared" si="20"/>
        <v>31.3</v>
      </c>
      <c r="F393" s="905">
        <f>국가별수출!AH433-국가별수출!AH393</f>
        <v>2582</v>
      </c>
      <c r="G393" s="895">
        <f t="shared" si="21"/>
        <v>-0.4</v>
      </c>
    </row>
    <row r="394" spans="1:7" s="846" customFormat="1" ht="19.5" customHeight="1">
      <c r="A394" s="891" t="s">
        <v>88</v>
      </c>
      <c r="B394" s="905">
        <f>국가별수출!AD434-국가별수출!AD394</f>
        <v>1</v>
      </c>
      <c r="C394" s="905">
        <f>국가별수출!AE434-국가별수출!AE394</f>
        <v>5</v>
      </c>
      <c r="D394" s="905">
        <f>국가별수출!AF434-국가별수출!AF394</f>
        <v>601</v>
      </c>
      <c r="E394" s="895">
        <f t="shared" si="20"/>
        <v>60000</v>
      </c>
      <c r="F394" s="905">
        <f>국가별수출!AH434-국가별수출!AH394</f>
        <v>1371</v>
      </c>
      <c r="G394" s="895">
        <f t="shared" si="21"/>
        <v>27320</v>
      </c>
    </row>
    <row r="395" spans="1:7" s="846" customFormat="1" ht="19.5" customHeight="1">
      <c r="A395" s="891" t="s">
        <v>67</v>
      </c>
      <c r="B395" s="905">
        <f>국가별수출!AD435-국가별수출!AD395</f>
        <v>843</v>
      </c>
      <c r="C395" s="905">
        <f>국가별수출!AE435-국가별수출!AE395</f>
        <v>1900</v>
      </c>
      <c r="D395" s="905">
        <f>국가별수출!AF435-국가별수출!AF395</f>
        <v>946</v>
      </c>
      <c r="E395" s="895">
        <f t="shared" si="20"/>
        <v>12.2</v>
      </c>
      <c r="F395" s="905">
        <f>국가별수출!AH435-국가별수출!AH395</f>
        <v>2352</v>
      </c>
      <c r="G395" s="895">
        <f t="shared" si="21"/>
        <v>23.8</v>
      </c>
    </row>
    <row r="396" spans="1:7" s="846" customFormat="1" ht="19.5" customHeight="1">
      <c r="A396" s="897" t="s">
        <v>72</v>
      </c>
      <c r="B396" s="905">
        <f>국가별수출!AD436-국가별수출!AD396</f>
        <v>559</v>
      </c>
      <c r="C396" s="905">
        <f>국가별수출!AE436-국가별수출!AE396</f>
        <v>3039</v>
      </c>
      <c r="D396" s="905">
        <f>국가별수출!AF436-국가별수출!AF396</f>
        <v>454</v>
      </c>
      <c r="E396" s="895">
        <f t="shared" si="20"/>
        <v>-18.8</v>
      </c>
      <c r="F396" s="905">
        <f>국가별수출!AH436-국가별수출!AH396</f>
        <v>2823</v>
      </c>
      <c r="G396" s="895">
        <f t="shared" si="21"/>
        <v>-7.1</v>
      </c>
    </row>
    <row r="397" spans="1:7" s="846" customFormat="1" ht="19.5" customHeight="1">
      <c r="A397" s="897" t="s">
        <v>69</v>
      </c>
      <c r="B397" s="905">
        <f>국가별수출!AD437-국가별수출!AD397</f>
        <v>137</v>
      </c>
      <c r="C397" s="905">
        <f>국가별수출!AE437-국가별수출!AE397</f>
        <v>1251</v>
      </c>
      <c r="D397" s="905">
        <f>국가별수출!AF437-국가별수출!AF397</f>
        <v>142</v>
      </c>
      <c r="E397" s="895">
        <f t="shared" si="20"/>
        <v>3.6</v>
      </c>
      <c r="F397" s="905">
        <f>국가별수출!AH437-국가별수출!AH397</f>
        <v>1523</v>
      </c>
      <c r="G397" s="895">
        <f t="shared" si="21"/>
        <v>21.7</v>
      </c>
    </row>
    <row r="398" spans="1:7" s="846" customFormat="1" ht="19.5" customHeight="1">
      <c r="A398" s="903" t="s">
        <v>24</v>
      </c>
      <c r="B398" s="892">
        <f>B399-SUM(B368:B397)</f>
        <v>8171</v>
      </c>
      <c r="C398" s="892">
        <f>C399-SUM(C368:C397)</f>
        <v>31753</v>
      </c>
      <c r="D398" s="892">
        <f>D399-SUM(D368:D397)</f>
        <v>8085</v>
      </c>
      <c r="E398" s="895">
        <f t="shared" si="20"/>
        <v>-1.1000000000000001</v>
      </c>
      <c r="F398" s="892">
        <f>F399-SUM(F368:F397)</f>
        <v>34552</v>
      </c>
      <c r="G398" s="896">
        <f t="shared" si="21"/>
        <v>8.8000000000000007</v>
      </c>
    </row>
    <row r="399" spans="1:7" s="846" customFormat="1" ht="19.5" customHeight="1">
      <c r="A399" s="904" t="s">
        <v>79</v>
      </c>
      <c r="B399" s="908">
        <f>국가별수출!AD439-국가별수출!AD399</f>
        <v>216741</v>
      </c>
      <c r="C399" s="908">
        <f>국가별수출!AE439-국가별수출!AE399</f>
        <v>860559</v>
      </c>
      <c r="D399" s="908">
        <f>국가별수출!AF439-국가별수출!AF399</f>
        <v>265321</v>
      </c>
      <c r="E399" s="906">
        <f t="shared" si="20"/>
        <v>22.4</v>
      </c>
      <c r="F399" s="908">
        <f>국가별수출!AH439-국가별수출!AH399</f>
        <v>1087687</v>
      </c>
      <c r="G399" s="906">
        <f t="shared" si="21"/>
        <v>26.4</v>
      </c>
    </row>
  </sheetData>
  <mergeCells count="100">
    <mergeCell ref="A361:G361"/>
    <mergeCell ref="F363:G363"/>
    <mergeCell ref="A364:A367"/>
    <mergeCell ref="B364:G364"/>
    <mergeCell ref="B365:C365"/>
    <mergeCell ref="D365:G365"/>
    <mergeCell ref="B366:B367"/>
    <mergeCell ref="C366:C367"/>
    <mergeCell ref="D366:D367"/>
    <mergeCell ref="F366:F367"/>
    <mergeCell ref="A321:G321"/>
    <mergeCell ref="F323:G323"/>
    <mergeCell ref="A324:A327"/>
    <mergeCell ref="B324:G324"/>
    <mergeCell ref="B325:C325"/>
    <mergeCell ref="D325:G325"/>
    <mergeCell ref="B326:B327"/>
    <mergeCell ref="C326:C327"/>
    <mergeCell ref="D326:D327"/>
    <mergeCell ref="F326:F327"/>
    <mergeCell ref="A281:G281"/>
    <mergeCell ref="F283:G283"/>
    <mergeCell ref="A284:A287"/>
    <mergeCell ref="B284:G284"/>
    <mergeCell ref="B285:C285"/>
    <mergeCell ref="D285:G285"/>
    <mergeCell ref="B286:B287"/>
    <mergeCell ref="C286:C287"/>
    <mergeCell ref="D286:D287"/>
    <mergeCell ref="F286:F287"/>
    <mergeCell ref="A241:G241"/>
    <mergeCell ref="F243:G243"/>
    <mergeCell ref="A244:A247"/>
    <mergeCell ref="B244:G244"/>
    <mergeCell ref="B245:C245"/>
    <mergeCell ref="D245:G245"/>
    <mergeCell ref="B246:B247"/>
    <mergeCell ref="C246:C247"/>
    <mergeCell ref="D246:D247"/>
    <mergeCell ref="F246:F247"/>
    <mergeCell ref="A81:G81"/>
    <mergeCell ref="F83:G83"/>
    <mergeCell ref="A84:A87"/>
    <mergeCell ref="B84:G84"/>
    <mergeCell ref="B85:C85"/>
    <mergeCell ref="D85:G85"/>
    <mergeCell ref="B86:B87"/>
    <mergeCell ref="C86:C87"/>
    <mergeCell ref="D86:D87"/>
    <mergeCell ref="F86:F87"/>
    <mergeCell ref="A1:G1"/>
    <mergeCell ref="F3:G3"/>
    <mergeCell ref="A4:A7"/>
    <mergeCell ref="B4:G4"/>
    <mergeCell ref="B5:C5"/>
    <mergeCell ref="D5:G5"/>
    <mergeCell ref="B6:B7"/>
    <mergeCell ref="C6:C7"/>
    <mergeCell ref="D6:D7"/>
    <mergeCell ref="F6:F7"/>
    <mergeCell ref="A41:G41"/>
    <mergeCell ref="F43:G43"/>
    <mergeCell ref="A44:A47"/>
    <mergeCell ref="B44:G44"/>
    <mergeCell ref="B45:C45"/>
    <mergeCell ref="D45:G45"/>
    <mergeCell ref="B46:B47"/>
    <mergeCell ref="C46:C47"/>
    <mergeCell ref="D46:D47"/>
    <mergeCell ref="F46:F47"/>
    <mergeCell ref="A121:G121"/>
    <mergeCell ref="F123:G123"/>
    <mergeCell ref="A124:A127"/>
    <mergeCell ref="B124:G124"/>
    <mergeCell ref="B125:C125"/>
    <mergeCell ref="D125:G125"/>
    <mergeCell ref="B126:B127"/>
    <mergeCell ref="C126:C127"/>
    <mergeCell ref="D126:D127"/>
    <mergeCell ref="F126:F127"/>
    <mergeCell ref="A161:G161"/>
    <mergeCell ref="F163:G163"/>
    <mergeCell ref="A164:A167"/>
    <mergeCell ref="B164:G164"/>
    <mergeCell ref="B165:C165"/>
    <mergeCell ref="D165:G165"/>
    <mergeCell ref="B166:B167"/>
    <mergeCell ref="C166:C167"/>
    <mergeCell ref="D166:D167"/>
    <mergeCell ref="F166:F167"/>
    <mergeCell ref="A201:G201"/>
    <mergeCell ref="F203:G203"/>
    <mergeCell ref="A204:A207"/>
    <mergeCell ref="B204:G204"/>
    <mergeCell ref="B205:C205"/>
    <mergeCell ref="D205:G205"/>
    <mergeCell ref="B206:B207"/>
    <mergeCell ref="C206:C207"/>
    <mergeCell ref="D206:D207"/>
    <mergeCell ref="F206:F207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9"/>
  <sheetViews>
    <sheetView topLeftCell="A401" workbookViewId="0">
      <selection activeCell="A401" sqref="A401:AI401"/>
    </sheetView>
  </sheetViews>
  <sheetFormatPr defaultRowHeight="16.5"/>
  <cols>
    <col min="1" max="1" width="22.625" style="24" customWidth="1"/>
    <col min="2" max="2" width="12.625" style="24" hidden="1" customWidth="1"/>
    <col min="3" max="4" width="12.625" style="25" hidden="1" customWidth="1"/>
    <col min="5" max="5" width="12.625" style="24" hidden="1" customWidth="1"/>
    <col min="6" max="6" width="12.625" style="25" hidden="1" customWidth="1"/>
    <col min="7" max="7" width="12.625" style="24" hidden="1" customWidth="1"/>
    <col min="8" max="17" width="12.625" style="25" hidden="1" customWidth="1"/>
    <col min="18" max="19" width="12.625" style="26" hidden="1" customWidth="1"/>
    <col min="20" max="29" width="12.625" style="25" hidden="1" customWidth="1"/>
    <col min="30" max="32" width="12.625" style="25" customWidth="1"/>
    <col min="33" max="33" width="8.625" style="25" customWidth="1"/>
    <col min="34" max="34" width="12.625" style="25" customWidth="1"/>
    <col min="35" max="35" width="8.625" style="25" customWidth="1"/>
    <col min="36" max="16384" width="9" style="291"/>
  </cols>
  <sheetData>
    <row r="1" spans="1:35" ht="22.5" hidden="1" customHeight="1">
      <c r="A1" s="1095" t="s">
        <v>450</v>
      </c>
      <c r="B1" s="1095"/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  <c r="AA1" s="1095"/>
      <c r="AB1" s="1095"/>
      <c r="AC1" s="1095"/>
      <c r="AD1" s="1095"/>
      <c r="AE1" s="1095"/>
      <c r="AF1" s="1095"/>
      <c r="AG1" s="1095"/>
      <c r="AH1" s="1095"/>
      <c r="AI1" s="1095"/>
    </row>
    <row r="2" spans="1:35" ht="16.5" hidden="1" customHeight="1">
      <c r="B2" s="25"/>
      <c r="E2" s="25"/>
    </row>
    <row r="3" spans="1:35" ht="16.5" hidden="1" customHeight="1">
      <c r="A3" s="27"/>
      <c r="B3" s="28"/>
      <c r="C3" s="28"/>
      <c r="D3" s="28"/>
      <c r="E3" s="28"/>
      <c r="F3" s="28"/>
      <c r="G3" s="27"/>
      <c r="H3" s="28"/>
      <c r="I3" s="28"/>
      <c r="J3" s="28"/>
      <c r="K3" s="28"/>
      <c r="L3" s="28"/>
      <c r="M3" s="28"/>
      <c r="N3" s="28"/>
      <c r="O3" s="28"/>
      <c r="P3" s="28"/>
      <c r="Q3" s="28"/>
      <c r="R3" s="29"/>
      <c r="S3" s="29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30" t="s">
        <v>0</v>
      </c>
    </row>
    <row r="4" spans="1:35" ht="21.75" hidden="1" customHeight="1">
      <c r="A4" s="1149" t="s">
        <v>43</v>
      </c>
      <c r="B4" s="1151" t="s">
        <v>451</v>
      </c>
      <c r="C4" s="1153"/>
      <c r="D4" s="1153"/>
      <c r="E4" s="1152"/>
      <c r="F4" s="1151" t="s">
        <v>452</v>
      </c>
      <c r="G4" s="1153"/>
      <c r="H4" s="1153"/>
      <c r="I4" s="1152"/>
      <c r="J4" s="1151" t="s">
        <v>453</v>
      </c>
      <c r="K4" s="1153"/>
      <c r="L4" s="1153"/>
      <c r="M4" s="1152"/>
      <c r="N4" s="1151" t="s">
        <v>454</v>
      </c>
      <c r="O4" s="1153"/>
      <c r="P4" s="1153"/>
      <c r="Q4" s="1152"/>
      <c r="R4" s="1151" t="s">
        <v>455</v>
      </c>
      <c r="S4" s="1153"/>
      <c r="T4" s="1153"/>
      <c r="U4" s="1152"/>
      <c r="V4" s="1151" t="s">
        <v>456</v>
      </c>
      <c r="W4" s="1153"/>
      <c r="X4" s="1153"/>
      <c r="Y4" s="1152"/>
      <c r="Z4" s="1151" t="s">
        <v>457</v>
      </c>
      <c r="AA4" s="1153"/>
      <c r="AB4" s="1153"/>
      <c r="AC4" s="1152"/>
      <c r="AD4" s="1151" t="s">
        <v>458</v>
      </c>
      <c r="AE4" s="1153"/>
      <c r="AF4" s="1153"/>
      <c r="AG4" s="1153"/>
      <c r="AH4" s="1153"/>
      <c r="AI4" s="1152"/>
    </row>
    <row r="5" spans="1:35" ht="21" hidden="1" customHeight="1">
      <c r="A5" s="1154"/>
      <c r="B5" s="1151" t="s">
        <v>315</v>
      </c>
      <c r="C5" s="1152"/>
      <c r="D5" s="1151" t="s">
        <v>459</v>
      </c>
      <c r="E5" s="1152"/>
      <c r="F5" s="1151" t="s">
        <v>315</v>
      </c>
      <c r="G5" s="1152"/>
      <c r="H5" s="1151" t="s">
        <v>459</v>
      </c>
      <c r="I5" s="1152"/>
      <c r="J5" s="1151" t="s">
        <v>315</v>
      </c>
      <c r="K5" s="1152"/>
      <c r="L5" s="1151" t="s">
        <v>459</v>
      </c>
      <c r="M5" s="1152"/>
      <c r="N5" s="1151" t="s">
        <v>315</v>
      </c>
      <c r="O5" s="1152"/>
      <c r="P5" s="1151" t="s">
        <v>459</v>
      </c>
      <c r="Q5" s="1152"/>
      <c r="R5" s="1151" t="s">
        <v>315</v>
      </c>
      <c r="S5" s="1152"/>
      <c r="T5" s="1151" t="s">
        <v>459</v>
      </c>
      <c r="U5" s="1152"/>
      <c r="V5" s="1151" t="s">
        <v>315</v>
      </c>
      <c r="W5" s="1152"/>
      <c r="X5" s="1151" t="s">
        <v>459</v>
      </c>
      <c r="Y5" s="1152"/>
      <c r="Z5" s="1151" t="s">
        <v>315</v>
      </c>
      <c r="AA5" s="1152"/>
      <c r="AB5" s="1151" t="s">
        <v>459</v>
      </c>
      <c r="AC5" s="1152"/>
      <c r="AD5" s="1151" t="s">
        <v>315</v>
      </c>
      <c r="AE5" s="1152"/>
      <c r="AF5" s="1151" t="s">
        <v>459</v>
      </c>
      <c r="AG5" s="1153"/>
      <c r="AH5" s="1153"/>
      <c r="AI5" s="1152"/>
    </row>
    <row r="6" spans="1:35" hidden="1">
      <c r="A6" s="1154"/>
      <c r="B6" s="1149" t="s">
        <v>44</v>
      </c>
      <c r="C6" s="1149" t="s">
        <v>45</v>
      </c>
      <c r="D6" s="1149" t="s">
        <v>46</v>
      </c>
      <c r="E6" s="1149" t="s">
        <v>45</v>
      </c>
      <c r="F6" s="1149" t="s">
        <v>47</v>
      </c>
      <c r="G6" s="1149" t="s">
        <v>45</v>
      </c>
      <c r="H6" s="1149" t="s">
        <v>46</v>
      </c>
      <c r="I6" s="1149" t="s">
        <v>45</v>
      </c>
      <c r="J6" s="1149" t="s">
        <v>44</v>
      </c>
      <c r="K6" s="1149" t="s">
        <v>45</v>
      </c>
      <c r="L6" s="1149" t="s">
        <v>46</v>
      </c>
      <c r="M6" s="1149" t="s">
        <v>45</v>
      </c>
      <c r="N6" s="1149" t="s">
        <v>44</v>
      </c>
      <c r="O6" s="1149" t="s">
        <v>45</v>
      </c>
      <c r="P6" s="1149" t="s">
        <v>46</v>
      </c>
      <c r="Q6" s="1149" t="s">
        <v>45</v>
      </c>
      <c r="R6" s="1149" t="s">
        <v>44</v>
      </c>
      <c r="S6" s="1149" t="s">
        <v>45</v>
      </c>
      <c r="T6" s="1149" t="s">
        <v>46</v>
      </c>
      <c r="U6" s="1149" t="s">
        <v>45</v>
      </c>
      <c r="V6" s="1149" t="s">
        <v>44</v>
      </c>
      <c r="W6" s="1149" t="s">
        <v>45</v>
      </c>
      <c r="X6" s="1149" t="s">
        <v>48</v>
      </c>
      <c r="Y6" s="1149" t="s">
        <v>45</v>
      </c>
      <c r="Z6" s="1149" t="s">
        <v>44</v>
      </c>
      <c r="AA6" s="1149" t="s">
        <v>45</v>
      </c>
      <c r="AB6" s="1149" t="s">
        <v>46</v>
      </c>
      <c r="AC6" s="1149" t="s">
        <v>45</v>
      </c>
      <c r="AD6" s="1149" t="s">
        <v>44</v>
      </c>
      <c r="AE6" s="1149" t="s">
        <v>45</v>
      </c>
      <c r="AF6" s="1147" t="s">
        <v>46</v>
      </c>
      <c r="AG6" s="31"/>
      <c r="AH6" s="1147" t="s">
        <v>45</v>
      </c>
      <c r="AI6" s="31"/>
    </row>
    <row r="7" spans="1:35" ht="17.25" hidden="1" thickBot="1">
      <c r="A7" s="1150"/>
      <c r="B7" s="1150"/>
      <c r="C7" s="1150"/>
      <c r="D7" s="1150"/>
      <c r="E7" s="1150"/>
      <c r="F7" s="1150"/>
      <c r="G7" s="1150"/>
      <c r="H7" s="1150"/>
      <c r="I7" s="1150"/>
      <c r="J7" s="1150"/>
      <c r="K7" s="1150"/>
      <c r="L7" s="1150"/>
      <c r="M7" s="1150"/>
      <c r="N7" s="1150"/>
      <c r="O7" s="1150"/>
      <c r="P7" s="1150"/>
      <c r="Q7" s="1150"/>
      <c r="R7" s="1150"/>
      <c r="S7" s="1150"/>
      <c r="T7" s="1150"/>
      <c r="U7" s="1150"/>
      <c r="V7" s="1150"/>
      <c r="W7" s="1150"/>
      <c r="X7" s="1150"/>
      <c r="Y7" s="1150"/>
      <c r="Z7" s="1150"/>
      <c r="AA7" s="1150"/>
      <c r="AB7" s="1150"/>
      <c r="AC7" s="1150"/>
      <c r="AD7" s="1150"/>
      <c r="AE7" s="1150"/>
      <c r="AF7" s="1148"/>
      <c r="AG7" s="32" t="s">
        <v>49</v>
      </c>
      <c r="AH7" s="1148"/>
      <c r="AI7" s="32" t="s">
        <v>49</v>
      </c>
    </row>
    <row r="8" spans="1:35" ht="19.5" hidden="1" customHeight="1" thickTop="1">
      <c r="A8" s="43" t="s">
        <v>50</v>
      </c>
      <c r="B8" s="44">
        <v>18601</v>
      </c>
      <c r="C8" s="44">
        <v>130366</v>
      </c>
      <c r="D8" s="44">
        <v>19646</v>
      </c>
      <c r="E8" s="44">
        <v>139924</v>
      </c>
      <c r="F8" s="44">
        <v>237</v>
      </c>
      <c r="G8" s="44">
        <v>4140</v>
      </c>
      <c r="H8" s="44">
        <v>346</v>
      </c>
      <c r="I8" s="44">
        <v>2472</v>
      </c>
      <c r="J8" s="44">
        <v>6057</v>
      </c>
      <c r="K8" s="44">
        <v>30896</v>
      </c>
      <c r="L8" s="44">
        <v>22273</v>
      </c>
      <c r="M8" s="44">
        <v>61004</v>
      </c>
      <c r="N8" s="44">
        <v>7155</v>
      </c>
      <c r="O8" s="44">
        <v>15003</v>
      </c>
      <c r="P8" s="44">
        <v>1139</v>
      </c>
      <c r="Q8" s="44">
        <v>2684</v>
      </c>
      <c r="R8" s="44">
        <v>7231</v>
      </c>
      <c r="S8" s="44">
        <v>19815</v>
      </c>
      <c r="T8" s="44">
        <v>2484</v>
      </c>
      <c r="U8" s="44">
        <v>6351</v>
      </c>
      <c r="V8" s="44">
        <v>24</v>
      </c>
      <c r="W8" s="44">
        <v>639</v>
      </c>
      <c r="X8" s="44">
        <v>17</v>
      </c>
      <c r="Y8" s="44">
        <v>564</v>
      </c>
      <c r="Z8" s="44">
        <v>283</v>
      </c>
      <c r="AA8" s="44">
        <v>8563</v>
      </c>
      <c r="AB8" s="44">
        <v>316</v>
      </c>
      <c r="AC8" s="44">
        <v>4680</v>
      </c>
      <c r="AD8" s="36">
        <f t="shared" ref="AD8:AF37" si="0">SUM(B8+F8+J8+N8+R8+V8+Z8)</f>
        <v>39588</v>
      </c>
      <c r="AE8" s="36">
        <f>SUM(C8+G8+K8+O8+S8+W8+AA8)</f>
        <v>209422</v>
      </c>
      <c r="AF8" s="36">
        <f>SUM(D8+H8+L8+P8+T8+X8+AB8)</f>
        <v>46221</v>
      </c>
      <c r="AG8" s="41">
        <f>ROUND(((AF8/AD8-1)*100),1)</f>
        <v>16.8</v>
      </c>
      <c r="AH8" s="36">
        <f>SUM(E8+I8+M8+Q8+U8+Y8+AC8)</f>
        <v>217679</v>
      </c>
      <c r="AI8" s="41">
        <f>ROUND(((AH8/AE8-1)*100),1)</f>
        <v>3.9</v>
      </c>
    </row>
    <row r="9" spans="1:35" ht="19.5" hidden="1" customHeight="1">
      <c r="A9" s="43" t="s">
        <v>51</v>
      </c>
      <c r="B9" s="44">
        <v>6089</v>
      </c>
      <c r="C9" s="44">
        <v>47515</v>
      </c>
      <c r="D9" s="44">
        <v>3606</v>
      </c>
      <c r="E9" s="44">
        <v>32642</v>
      </c>
      <c r="F9" s="44">
        <v>69</v>
      </c>
      <c r="G9" s="44">
        <v>1710</v>
      </c>
      <c r="H9" s="44">
        <v>26</v>
      </c>
      <c r="I9" s="44">
        <v>749</v>
      </c>
      <c r="J9" s="44">
        <v>19075</v>
      </c>
      <c r="K9" s="44">
        <v>54007</v>
      </c>
      <c r="L9" s="44">
        <v>19158</v>
      </c>
      <c r="M9" s="44">
        <v>53377</v>
      </c>
      <c r="N9" s="44">
        <v>4306</v>
      </c>
      <c r="O9" s="44">
        <v>9262</v>
      </c>
      <c r="P9" s="44">
        <v>6594</v>
      </c>
      <c r="Q9" s="44">
        <v>13905</v>
      </c>
      <c r="R9" s="44">
        <v>4219</v>
      </c>
      <c r="S9" s="44">
        <v>11818</v>
      </c>
      <c r="T9" s="44">
        <v>6389</v>
      </c>
      <c r="U9" s="44">
        <v>15886</v>
      </c>
      <c r="V9" s="44">
        <v>33</v>
      </c>
      <c r="W9" s="44">
        <v>432</v>
      </c>
      <c r="X9" s="44">
        <v>18</v>
      </c>
      <c r="Y9" s="44">
        <v>313</v>
      </c>
      <c r="Z9" s="44">
        <v>330</v>
      </c>
      <c r="AA9" s="44">
        <v>1111</v>
      </c>
      <c r="AB9" s="44">
        <v>6</v>
      </c>
      <c r="AC9" s="44">
        <v>412</v>
      </c>
      <c r="AD9" s="36">
        <f t="shared" si="0"/>
        <v>34121</v>
      </c>
      <c r="AE9" s="36">
        <f t="shared" si="0"/>
        <v>125855</v>
      </c>
      <c r="AF9" s="36">
        <f>SUM(D9+H9+L9+P9+T9+X9+AB9)</f>
        <v>35797</v>
      </c>
      <c r="AG9" s="41">
        <f t="shared" ref="AG9:AG39" si="1">ROUND(((AF9/AD9-1)*100),1)</f>
        <v>4.9000000000000004</v>
      </c>
      <c r="AH9" s="36">
        <f t="shared" ref="AH9:AH37" si="2">SUM(E9+I9+M9+Q9+U9+Y9+AC9)</f>
        <v>117284</v>
      </c>
      <c r="AI9" s="41">
        <f t="shared" ref="AI9:AI39" si="3">ROUND(((AH9/AE9-1)*100),1)</f>
        <v>-6.8</v>
      </c>
    </row>
    <row r="10" spans="1:35" ht="19.5" hidden="1" customHeight="1">
      <c r="A10" s="43" t="s">
        <v>53</v>
      </c>
      <c r="B10" s="44">
        <v>2392</v>
      </c>
      <c r="C10" s="44">
        <v>20696</v>
      </c>
      <c r="D10" s="44">
        <v>2530</v>
      </c>
      <c r="E10" s="44">
        <v>21851</v>
      </c>
      <c r="F10" s="44">
        <v>45</v>
      </c>
      <c r="G10" s="44">
        <v>545</v>
      </c>
      <c r="H10" s="44">
        <v>56</v>
      </c>
      <c r="I10" s="44">
        <v>630</v>
      </c>
      <c r="J10" s="44">
        <v>12507</v>
      </c>
      <c r="K10" s="44">
        <v>48687</v>
      </c>
      <c r="L10" s="44">
        <v>8020</v>
      </c>
      <c r="M10" s="44">
        <v>31815</v>
      </c>
      <c r="N10" s="44">
        <v>30</v>
      </c>
      <c r="O10" s="44">
        <v>59</v>
      </c>
      <c r="P10" s="44">
        <v>13050</v>
      </c>
      <c r="Q10" s="44">
        <v>27432</v>
      </c>
      <c r="R10" s="44">
        <v>9</v>
      </c>
      <c r="S10" s="44">
        <v>163</v>
      </c>
      <c r="T10" s="44">
        <v>5500</v>
      </c>
      <c r="U10" s="44">
        <v>13399</v>
      </c>
      <c r="V10" s="44">
        <v>0</v>
      </c>
      <c r="W10" s="44">
        <v>270</v>
      </c>
      <c r="X10" s="44">
        <v>1</v>
      </c>
      <c r="Y10" s="44">
        <v>206</v>
      </c>
      <c r="Z10" s="44">
        <v>333</v>
      </c>
      <c r="AA10" s="44">
        <v>4304</v>
      </c>
      <c r="AB10" s="44">
        <v>307</v>
      </c>
      <c r="AC10" s="44">
        <v>3918</v>
      </c>
      <c r="AD10" s="36">
        <f t="shared" si="0"/>
        <v>15316</v>
      </c>
      <c r="AE10" s="36">
        <f t="shared" si="0"/>
        <v>74724</v>
      </c>
      <c r="AF10" s="36">
        <f t="shared" si="0"/>
        <v>29464</v>
      </c>
      <c r="AG10" s="41">
        <f t="shared" si="1"/>
        <v>92.4</v>
      </c>
      <c r="AH10" s="36">
        <f t="shared" si="2"/>
        <v>99251</v>
      </c>
      <c r="AI10" s="41">
        <f t="shared" si="3"/>
        <v>32.799999999999997</v>
      </c>
    </row>
    <row r="11" spans="1:35" ht="19.5" hidden="1" customHeight="1">
      <c r="A11" s="43" t="s">
        <v>52</v>
      </c>
      <c r="B11" s="44">
        <v>918</v>
      </c>
      <c r="C11" s="44">
        <v>6358</v>
      </c>
      <c r="D11" s="44">
        <v>772</v>
      </c>
      <c r="E11" s="44">
        <v>4802</v>
      </c>
      <c r="F11" s="44">
        <v>275</v>
      </c>
      <c r="G11" s="44">
        <v>2616</v>
      </c>
      <c r="H11" s="44">
        <v>74</v>
      </c>
      <c r="I11" s="44">
        <v>1014</v>
      </c>
      <c r="J11" s="44">
        <v>5717</v>
      </c>
      <c r="K11" s="44">
        <v>18209</v>
      </c>
      <c r="L11" s="44">
        <v>4362</v>
      </c>
      <c r="M11" s="44">
        <v>12463</v>
      </c>
      <c r="N11" s="44">
        <v>7466</v>
      </c>
      <c r="O11" s="44">
        <v>16060</v>
      </c>
      <c r="P11" s="44">
        <v>7545</v>
      </c>
      <c r="Q11" s="44">
        <v>15745</v>
      </c>
      <c r="R11" s="44">
        <v>8880</v>
      </c>
      <c r="S11" s="44">
        <v>25591</v>
      </c>
      <c r="T11" s="44">
        <v>12019</v>
      </c>
      <c r="U11" s="44">
        <v>29841</v>
      </c>
      <c r="V11" s="44">
        <v>148</v>
      </c>
      <c r="W11" s="44">
        <v>106</v>
      </c>
      <c r="X11" s="44">
        <v>1</v>
      </c>
      <c r="Y11" s="44">
        <v>24</v>
      </c>
      <c r="Z11" s="44">
        <v>14868</v>
      </c>
      <c r="AA11" s="44">
        <v>1801</v>
      </c>
      <c r="AB11" s="44">
        <v>137</v>
      </c>
      <c r="AC11" s="44">
        <v>522</v>
      </c>
      <c r="AD11" s="36">
        <f t="shared" si="0"/>
        <v>38272</v>
      </c>
      <c r="AE11" s="36">
        <f t="shared" si="0"/>
        <v>70741</v>
      </c>
      <c r="AF11" s="36">
        <f t="shared" si="0"/>
        <v>24910</v>
      </c>
      <c r="AG11" s="41">
        <f t="shared" si="1"/>
        <v>-34.9</v>
      </c>
      <c r="AH11" s="36">
        <f t="shared" si="2"/>
        <v>64411</v>
      </c>
      <c r="AI11" s="41">
        <f t="shared" si="3"/>
        <v>-8.9</v>
      </c>
    </row>
    <row r="12" spans="1:35" ht="19.5" hidden="1" customHeight="1">
      <c r="A12" s="43" t="s">
        <v>54</v>
      </c>
      <c r="B12" s="44">
        <v>2524</v>
      </c>
      <c r="C12" s="44">
        <v>18651</v>
      </c>
      <c r="D12" s="44">
        <v>2212</v>
      </c>
      <c r="E12" s="44">
        <v>15042</v>
      </c>
      <c r="F12" s="44">
        <v>593</v>
      </c>
      <c r="G12" s="44">
        <v>2385</v>
      </c>
      <c r="H12" s="44">
        <v>385</v>
      </c>
      <c r="I12" s="44">
        <v>2023</v>
      </c>
      <c r="J12" s="44">
        <v>5131</v>
      </c>
      <c r="K12" s="44">
        <v>22320</v>
      </c>
      <c r="L12" s="44">
        <v>6580</v>
      </c>
      <c r="M12" s="44">
        <v>24649</v>
      </c>
      <c r="N12" s="44">
        <v>690</v>
      </c>
      <c r="O12" s="44">
        <v>1499</v>
      </c>
      <c r="P12" s="44">
        <v>606</v>
      </c>
      <c r="Q12" s="44">
        <v>1248</v>
      </c>
      <c r="R12" s="44">
        <v>247</v>
      </c>
      <c r="S12" s="44">
        <v>758</v>
      </c>
      <c r="T12" s="44">
        <v>124</v>
      </c>
      <c r="U12" s="44">
        <v>377</v>
      </c>
      <c r="V12" s="44">
        <v>1</v>
      </c>
      <c r="W12" s="44">
        <v>88</v>
      </c>
      <c r="X12" s="44">
        <v>29</v>
      </c>
      <c r="Y12" s="44">
        <v>394</v>
      </c>
      <c r="Z12" s="44">
        <v>254</v>
      </c>
      <c r="AA12" s="44">
        <v>6948</v>
      </c>
      <c r="AB12" s="44">
        <v>125</v>
      </c>
      <c r="AC12" s="44">
        <v>3294</v>
      </c>
      <c r="AD12" s="36">
        <f t="shared" si="0"/>
        <v>9440</v>
      </c>
      <c r="AE12" s="36">
        <f t="shared" si="0"/>
        <v>52649</v>
      </c>
      <c r="AF12" s="36">
        <f t="shared" si="0"/>
        <v>10061</v>
      </c>
      <c r="AG12" s="41">
        <f t="shared" si="1"/>
        <v>6.6</v>
      </c>
      <c r="AH12" s="36">
        <f t="shared" si="2"/>
        <v>47027</v>
      </c>
      <c r="AI12" s="41">
        <f t="shared" si="3"/>
        <v>-10.7</v>
      </c>
    </row>
    <row r="13" spans="1:35" ht="19.5" hidden="1" customHeight="1">
      <c r="A13" s="43" t="s">
        <v>56</v>
      </c>
      <c r="B13" s="44">
        <v>9712</v>
      </c>
      <c r="C13" s="44">
        <v>43687</v>
      </c>
      <c r="D13" s="44">
        <v>6925</v>
      </c>
      <c r="E13" s="44">
        <v>29440</v>
      </c>
      <c r="F13" s="44">
        <v>13</v>
      </c>
      <c r="G13" s="44">
        <v>391</v>
      </c>
      <c r="H13" s="44">
        <v>6</v>
      </c>
      <c r="I13" s="44">
        <v>208</v>
      </c>
      <c r="J13" s="44">
        <v>2463</v>
      </c>
      <c r="K13" s="44">
        <v>9833</v>
      </c>
      <c r="L13" s="44">
        <v>1295</v>
      </c>
      <c r="M13" s="44">
        <v>4146</v>
      </c>
      <c r="N13" s="44">
        <v>880</v>
      </c>
      <c r="O13" s="44">
        <v>1878</v>
      </c>
      <c r="P13" s="44">
        <v>442</v>
      </c>
      <c r="Q13" s="44">
        <v>884</v>
      </c>
      <c r="R13" s="44">
        <v>915</v>
      </c>
      <c r="S13" s="44">
        <v>2513</v>
      </c>
      <c r="T13" s="44">
        <v>1999</v>
      </c>
      <c r="U13" s="44">
        <v>5004</v>
      </c>
      <c r="V13" s="44">
        <v>0</v>
      </c>
      <c r="W13" s="44">
        <v>3</v>
      </c>
      <c r="X13" s="44">
        <v>1</v>
      </c>
      <c r="Y13" s="44">
        <v>18</v>
      </c>
      <c r="Z13" s="44">
        <v>35</v>
      </c>
      <c r="AA13" s="44">
        <v>1278</v>
      </c>
      <c r="AB13" s="44">
        <v>78</v>
      </c>
      <c r="AC13" s="44">
        <v>2189</v>
      </c>
      <c r="AD13" s="36">
        <f t="shared" si="0"/>
        <v>14018</v>
      </c>
      <c r="AE13" s="36">
        <f t="shared" si="0"/>
        <v>59583</v>
      </c>
      <c r="AF13" s="36">
        <f t="shared" si="0"/>
        <v>10746</v>
      </c>
      <c r="AG13" s="41">
        <f t="shared" si="1"/>
        <v>-23.3</v>
      </c>
      <c r="AH13" s="36">
        <f t="shared" si="2"/>
        <v>41889</v>
      </c>
      <c r="AI13" s="41">
        <f t="shared" si="3"/>
        <v>-29.7</v>
      </c>
    </row>
    <row r="14" spans="1:35" ht="19.5" hidden="1" customHeight="1">
      <c r="A14" s="43" t="s">
        <v>57</v>
      </c>
      <c r="B14" s="44">
        <v>1660</v>
      </c>
      <c r="C14" s="44">
        <v>16914</v>
      </c>
      <c r="D14" s="44">
        <v>3482</v>
      </c>
      <c r="E14" s="44">
        <v>28004</v>
      </c>
      <c r="F14" s="44">
        <v>4</v>
      </c>
      <c r="G14" s="44">
        <v>91</v>
      </c>
      <c r="H14" s="44">
        <v>0</v>
      </c>
      <c r="I14" s="44">
        <v>46</v>
      </c>
      <c r="J14" s="44">
        <v>861</v>
      </c>
      <c r="K14" s="44">
        <v>4321</v>
      </c>
      <c r="L14" s="44">
        <v>1290</v>
      </c>
      <c r="M14" s="44">
        <v>8737</v>
      </c>
      <c r="N14" s="44">
        <v>203</v>
      </c>
      <c r="O14" s="44">
        <v>453</v>
      </c>
      <c r="P14" s="44">
        <v>187</v>
      </c>
      <c r="Q14" s="44">
        <v>403</v>
      </c>
      <c r="R14" s="44">
        <v>3118</v>
      </c>
      <c r="S14" s="44">
        <v>6883</v>
      </c>
      <c r="T14" s="44">
        <v>2924</v>
      </c>
      <c r="U14" s="44">
        <v>6353</v>
      </c>
      <c r="V14" s="44">
        <v>17</v>
      </c>
      <c r="W14" s="44">
        <v>885</v>
      </c>
      <c r="X14" s="44">
        <v>7</v>
      </c>
      <c r="Y14" s="44">
        <v>641</v>
      </c>
      <c r="Z14" s="44">
        <v>29</v>
      </c>
      <c r="AA14" s="44">
        <v>860</v>
      </c>
      <c r="AB14" s="44">
        <v>41</v>
      </c>
      <c r="AC14" s="44">
        <v>931</v>
      </c>
      <c r="AD14" s="36">
        <f t="shared" si="0"/>
        <v>5892</v>
      </c>
      <c r="AE14" s="36">
        <f t="shared" si="0"/>
        <v>30407</v>
      </c>
      <c r="AF14" s="36">
        <f t="shared" si="0"/>
        <v>7931</v>
      </c>
      <c r="AG14" s="41">
        <f t="shared" si="1"/>
        <v>34.6</v>
      </c>
      <c r="AH14" s="36">
        <f t="shared" si="2"/>
        <v>45115</v>
      </c>
      <c r="AI14" s="41">
        <f t="shared" si="3"/>
        <v>48.4</v>
      </c>
    </row>
    <row r="15" spans="1:35" ht="19.5" hidden="1" customHeight="1">
      <c r="A15" s="43" t="s">
        <v>55</v>
      </c>
      <c r="B15" s="44">
        <v>2379</v>
      </c>
      <c r="C15" s="44">
        <v>15784</v>
      </c>
      <c r="D15" s="44">
        <v>2784</v>
      </c>
      <c r="E15" s="44">
        <v>15785</v>
      </c>
      <c r="F15" s="44">
        <v>2</v>
      </c>
      <c r="G15" s="44">
        <v>38</v>
      </c>
      <c r="H15" s="44">
        <v>2</v>
      </c>
      <c r="I15" s="44">
        <v>78</v>
      </c>
      <c r="J15" s="44">
        <v>4463</v>
      </c>
      <c r="K15" s="44">
        <v>14390</v>
      </c>
      <c r="L15" s="44">
        <v>5336</v>
      </c>
      <c r="M15" s="44">
        <v>14757</v>
      </c>
      <c r="N15" s="44">
        <v>1853</v>
      </c>
      <c r="O15" s="44">
        <v>3893</v>
      </c>
      <c r="P15" s="44">
        <v>2389</v>
      </c>
      <c r="Q15" s="44">
        <v>4900</v>
      </c>
      <c r="R15" s="44">
        <v>2045</v>
      </c>
      <c r="S15" s="44">
        <v>5730</v>
      </c>
      <c r="T15" s="44">
        <v>2427</v>
      </c>
      <c r="U15" s="44">
        <v>6140</v>
      </c>
      <c r="V15" s="44">
        <v>7</v>
      </c>
      <c r="W15" s="44">
        <v>187</v>
      </c>
      <c r="X15" s="44">
        <v>6</v>
      </c>
      <c r="Y15" s="44">
        <v>160</v>
      </c>
      <c r="Z15" s="44">
        <v>1</v>
      </c>
      <c r="AA15" s="44">
        <v>68</v>
      </c>
      <c r="AB15" s="44">
        <v>1</v>
      </c>
      <c r="AC15" s="44">
        <v>210</v>
      </c>
      <c r="AD15" s="36">
        <f t="shared" si="0"/>
        <v>10750</v>
      </c>
      <c r="AE15" s="36">
        <f t="shared" si="0"/>
        <v>40090</v>
      </c>
      <c r="AF15" s="36">
        <f t="shared" si="0"/>
        <v>12945</v>
      </c>
      <c r="AG15" s="41">
        <f t="shared" si="1"/>
        <v>20.399999999999999</v>
      </c>
      <c r="AH15" s="36">
        <f t="shared" si="2"/>
        <v>42030</v>
      </c>
      <c r="AI15" s="41">
        <f t="shared" si="3"/>
        <v>4.8</v>
      </c>
    </row>
    <row r="16" spans="1:35" ht="19.5" hidden="1" customHeight="1">
      <c r="A16" s="43" t="s">
        <v>59</v>
      </c>
      <c r="B16" s="44">
        <v>4366</v>
      </c>
      <c r="C16" s="44">
        <v>28450</v>
      </c>
      <c r="D16" s="44">
        <v>3433</v>
      </c>
      <c r="E16" s="44">
        <v>20615</v>
      </c>
      <c r="F16" s="44">
        <v>13</v>
      </c>
      <c r="G16" s="44">
        <v>998</v>
      </c>
      <c r="H16" s="44">
        <v>15</v>
      </c>
      <c r="I16" s="44">
        <v>332</v>
      </c>
      <c r="J16" s="44">
        <v>568</v>
      </c>
      <c r="K16" s="44">
        <v>2901</v>
      </c>
      <c r="L16" s="44">
        <v>918</v>
      </c>
      <c r="M16" s="44">
        <v>3671</v>
      </c>
      <c r="N16" s="44">
        <v>0</v>
      </c>
      <c r="O16" s="44">
        <v>0</v>
      </c>
      <c r="P16" s="44">
        <v>5</v>
      </c>
      <c r="Q16" s="44">
        <v>132</v>
      </c>
      <c r="R16" s="44">
        <v>377</v>
      </c>
      <c r="S16" s="44">
        <v>1125</v>
      </c>
      <c r="T16" s="44">
        <v>482</v>
      </c>
      <c r="U16" s="44">
        <v>1232</v>
      </c>
      <c r="V16" s="44">
        <v>17</v>
      </c>
      <c r="W16" s="44">
        <v>569</v>
      </c>
      <c r="X16" s="44">
        <v>2</v>
      </c>
      <c r="Y16" s="44">
        <v>145</v>
      </c>
      <c r="Z16" s="44">
        <v>22</v>
      </c>
      <c r="AA16" s="44">
        <v>32</v>
      </c>
      <c r="AB16" s="44">
        <v>0</v>
      </c>
      <c r="AC16" s="44">
        <v>0</v>
      </c>
      <c r="AD16" s="36">
        <f t="shared" si="0"/>
        <v>5363</v>
      </c>
      <c r="AE16" s="36">
        <f t="shared" si="0"/>
        <v>34075</v>
      </c>
      <c r="AF16" s="36">
        <f t="shared" si="0"/>
        <v>4855</v>
      </c>
      <c r="AG16" s="41">
        <f t="shared" si="1"/>
        <v>-9.5</v>
      </c>
      <c r="AH16" s="36">
        <f t="shared" si="2"/>
        <v>26127</v>
      </c>
      <c r="AI16" s="41">
        <f t="shared" si="3"/>
        <v>-23.3</v>
      </c>
    </row>
    <row r="17" spans="1:35" ht="19.5" hidden="1" customHeight="1">
      <c r="A17" s="43" t="s">
        <v>58</v>
      </c>
      <c r="B17" s="44">
        <v>797</v>
      </c>
      <c r="C17" s="44">
        <v>4961</v>
      </c>
      <c r="D17" s="44">
        <v>933</v>
      </c>
      <c r="E17" s="44">
        <v>5645</v>
      </c>
      <c r="F17" s="44">
        <v>0</v>
      </c>
      <c r="G17" s="44">
        <v>17</v>
      </c>
      <c r="H17" s="44">
        <v>7</v>
      </c>
      <c r="I17" s="44">
        <v>210</v>
      </c>
      <c r="J17" s="44">
        <v>2521</v>
      </c>
      <c r="K17" s="44">
        <v>8663</v>
      </c>
      <c r="L17" s="44">
        <v>1594</v>
      </c>
      <c r="M17" s="44">
        <v>4998</v>
      </c>
      <c r="N17" s="44">
        <v>1656</v>
      </c>
      <c r="O17" s="44">
        <v>3627</v>
      </c>
      <c r="P17" s="44">
        <v>2737</v>
      </c>
      <c r="Q17" s="44">
        <v>5652</v>
      </c>
      <c r="R17" s="44">
        <v>3979</v>
      </c>
      <c r="S17" s="44">
        <v>10942</v>
      </c>
      <c r="T17" s="44">
        <v>3989</v>
      </c>
      <c r="U17" s="44">
        <v>9813</v>
      </c>
      <c r="V17" s="44">
        <v>4</v>
      </c>
      <c r="W17" s="44">
        <v>103</v>
      </c>
      <c r="X17" s="44">
        <v>4</v>
      </c>
      <c r="Y17" s="44">
        <v>108</v>
      </c>
      <c r="Z17" s="44">
        <v>10</v>
      </c>
      <c r="AA17" s="44">
        <v>181</v>
      </c>
      <c r="AB17" s="44">
        <v>0</v>
      </c>
      <c r="AC17" s="44">
        <v>4</v>
      </c>
      <c r="AD17" s="36">
        <f t="shared" si="0"/>
        <v>8967</v>
      </c>
      <c r="AE17" s="36">
        <f t="shared" si="0"/>
        <v>28494</v>
      </c>
      <c r="AF17" s="36">
        <f t="shared" si="0"/>
        <v>9264</v>
      </c>
      <c r="AG17" s="41">
        <f t="shared" si="1"/>
        <v>3.3</v>
      </c>
      <c r="AH17" s="36">
        <f t="shared" si="2"/>
        <v>26430</v>
      </c>
      <c r="AI17" s="41">
        <f t="shared" si="3"/>
        <v>-7.2</v>
      </c>
    </row>
    <row r="18" spans="1:35" ht="19.5" hidden="1" customHeight="1">
      <c r="A18" s="43" t="s">
        <v>61</v>
      </c>
      <c r="B18" s="44">
        <v>1327</v>
      </c>
      <c r="C18" s="44">
        <v>8578</v>
      </c>
      <c r="D18" s="44">
        <v>964</v>
      </c>
      <c r="E18" s="44">
        <v>6495</v>
      </c>
      <c r="F18" s="44">
        <v>0</v>
      </c>
      <c r="G18" s="44">
        <v>5</v>
      </c>
      <c r="H18" s="44">
        <v>0</v>
      </c>
      <c r="I18" s="44">
        <v>9</v>
      </c>
      <c r="J18" s="44">
        <v>4669</v>
      </c>
      <c r="K18" s="44">
        <v>13541</v>
      </c>
      <c r="L18" s="44">
        <v>4157</v>
      </c>
      <c r="M18" s="44">
        <v>12014</v>
      </c>
      <c r="N18" s="44">
        <v>30</v>
      </c>
      <c r="O18" s="44">
        <v>136</v>
      </c>
      <c r="P18" s="44">
        <v>286</v>
      </c>
      <c r="Q18" s="44">
        <v>1392</v>
      </c>
      <c r="R18" s="44">
        <v>873</v>
      </c>
      <c r="S18" s="44">
        <v>2613</v>
      </c>
      <c r="T18" s="44">
        <v>782</v>
      </c>
      <c r="U18" s="44">
        <v>2079</v>
      </c>
      <c r="V18" s="44">
        <v>0</v>
      </c>
      <c r="W18" s="44">
        <v>0</v>
      </c>
      <c r="X18" s="44">
        <v>0</v>
      </c>
      <c r="Y18" s="44">
        <v>0</v>
      </c>
      <c r="Z18" s="44">
        <v>10</v>
      </c>
      <c r="AA18" s="44">
        <v>84</v>
      </c>
      <c r="AB18" s="44">
        <v>0</v>
      </c>
      <c r="AC18" s="44">
        <v>10</v>
      </c>
      <c r="AD18" s="36">
        <f t="shared" si="0"/>
        <v>6909</v>
      </c>
      <c r="AE18" s="36">
        <f t="shared" si="0"/>
        <v>24957</v>
      </c>
      <c r="AF18" s="36">
        <f t="shared" si="0"/>
        <v>6189</v>
      </c>
      <c r="AG18" s="41">
        <f t="shared" si="1"/>
        <v>-10.4</v>
      </c>
      <c r="AH18" s="36">
        <f t="shared" si="2"/>
        <v>21999</v>
      </c>
      <c r="AI18" s="41">
        <f t="shared" si="3"/>
        <v>-11.9</v>
      </c>
    </row>
    <row r="19" spans="1:35" ht="19.5" hidden="1" customHeight="1">
      <c r="A19" s="43" t="s">
        <v>60</v>
      </c>
      <c r="B19" s="44">
        <v>1126</v>
      </c>
      <c r="C19" s="44">
        <v>8094</v>
      </c>
      <c r="D19" s="44">
        <v>1895</v>
      </c>
      <c r="E19" s="44">
        <v>6613</v>
      </c>
      <c r="F19" s="44">
        <v>0</v>
      </c>
      <c r="G19" s="44">
        <v>8</v>
      </c>
      <c r="H19" s="44">
        <v>1</v>
      </c>
      <c r="I19" s="44">
        <v>68</v>
      </c>
      <c r="J19" s="44">
        <v>456</v>
      </c>
      <c r="K19" s="44">
        <v>1464</v>
      </c>
      <c r="L19" s="44">
        <v>283</v>
      </c>
      <c r="M19" s="44">
        <v>1631</v>
      </c>
      <c r="N19" s="44">
        <v>0</v>
      </c>
      <c r="O19" s="44">
        <v>0</v>
      </c>
      <c r="P19" s="44">
        <v>4</v>
      </c>
      <c r="Q19" s="44">
        <v>20</v>
      </c>
      <c r="R19" s="44">
        <v>1483</v>
      </c>
      <c r="S19" s="44">
        <v>4337</v>
      </c>
      <c r="T19" s="44">
        <v>2589</v>
      </c>
      <c r="U19" s="44">
        <v>6449</v>
      </c>
      <c r="V19" s="44">
        <v>1</v>
      </c>
      <c r="W19" s="44">
        <v>28</v>
      </c>
      <c r="X19" s="44">
        <v>0</v>
      </c>
      <c r="Y19" s="44">
        <v>0</v>
      </c>
      <c r="Z19" s="44">
        <v>14</v>
      </c>
      <c r="AA19" s="44">
        <v>348</v>
      </c>
      <c r="AB19" s="44">
        <v>131</v>
      </c>
      <c r="AC19" s="44">
        <v>552</v>
      </c>
      <c r="AD19" s="36">
        <f t="shared" si="0"/>
        <v>3080</v>
      </c>
      <c r="AE19" s="36">
        <f t="shared" si="0"/>
        <v>14279</v>
      </c>
      <c r="AF19" s="36">
        <f t="shared" si="0"/>
        <v>4903</v>
      </c>
      <c r="AG19" s="41">
        <f t="shared" si="1"/>
        <v>59.2</v>
      </c>
      <c r="AH19" s="36">
        <f t="shared" si="2"/>
        <v>15333</v>
      </c>
      <c r="AI19" s="41">
        <f t="shared" si="3"/>
        <v>7.4</v>
      </c>
    </row>
    <row r="20" spans="1:35" ht="19.5" hidden="1" customHeight="1">
      <c r="A20" s="43" t="s">
        <v>65</v>
      </c>
      <c r="B20" s="44">
        <v>573</v>
      </c>
      <c r="C20" s="44">
        <v>3718</v>
      </c>
      <c r="D20" s="44">
        <v>112</v>
      </c>
      <c r="E20" s="44">
        <v>832</v>
      </c>
      <c r="F20" s="44">
        <v>0</v>
      </c>
      <c r="G20" s="44">
        <v>7</v>
      </c>
      <c r="H20" s="44">
        <v>0</v>
      </c>
      <c r="I20" s="44">
        <v>4</v>
      </c>
      <c r="J20" s="44">
        <v>3550</v>
      </c>
      <c r="K20" s="44">
        <v>10113</v>
      </c>
      <c r="L20" s="44">
        <v>3852</v>
      </c>
      <c r="M20" s="44">
        <v>10838</v>
      </c>
      <c r="N20" s="44">
        <v>0</v>
      </c>
      <c r="O20" s="44">
        <v>0</v>
      </c>
      <c r="P20" s="44">
        <v>0</v>
      </c>
      <c r="Q20" s="44">
        <v>0</v>
      </c>
      <c r="R20" s="44">
        <v>2</v>
      </c>
      <c r="S20" s="44">
        <v>41</v>
      </c>
      <c r="T20" s="44">
        <v>2</v>
      </c>
      <c r="U20" s="44">
        <v>36</v>
      </c>
      <c r="V20" s="44">
        <v>1</v>
      </c>
      <c r="W20" s="44">
        <v>35</v>
      </c>
      <c r="X20" s="44">
        <v>1</v>
      </c>
      <c r="Y20" s="44">
        <v>35</v>
      </c>
      <c r="Z20" s="44">
        <v>0</v>
      </c>
      <c r="AA20" s="44">
        <v>18</v>
      </c>
      <c r="AB20" s="44">
        <v>0</v>
      </c>
      <c r="AC20" s="44">
        <v>17</v>
      </c>
      <c r="AD20" s="36">
        <f t="shared" si="0"/>
        <v>4126</v>
      </c>
      <c r="AE20" s="36">
        <f t="shared" si="0"/>
        <v>13932</v>
      </c>
      <c r="AF20" s="36">
        <f t="shared" si="0"/>
        <v>3967</v>
      </c>
      <c r="AG20" s="41">
        <f t="shared" si="1"/>
        <v>-3.9</v>
      </c>
      <c r="AH20" s="36">
        <f t="shared" si="2"/>
        <v>11762</v>
      </c>
      <c r="AI20" s="41">
        <f t="shared" si="3"/>
        <v>-15.6</v>
      </c>
    </row>
    <row r="21" spans="1:35" ht="19.5" hidden="1" customHeight="1">
      <c r="A21" s="43" t="s">
        <v>63</v>
      </c>
      <c r="B21" s="44">
        <v>63</v>
      </c>
      <c r="C21" s="44">
        <v>472</v>
      </c>
      <c r="D21" s="44">
        <v>92</v>
      </c>
      <c r="E21" s="44">
        <v>696</v>
      </c>
      <c r="F21" s="44">
        <v>4</v>
      </c>
      <c r="G21" s="44">
        <v>119</v>
      </c>
      <c r="H21" s="44">
        <v>0</v>
      </c>
      <c r="I21" s="44">
        <v>27</v>
      </c>
      <c r="J21" s="44">
        <v>1936</v>
      </c>
      <c r="K21" s="44">
        <v>4304</v>
      </c>
      <c r="L21" s="44">
        <v>2327</v>
      </c>
      <c r="M21" s="44">
        <v>4491</v>
      </c>
      <c r="N21" s="44">
        <v>0</v>
      </c>
      <c r="O21" s="44">
        <v>0</v>
      </c>
      <c r="P21" s="44">
        <v>0</v>
      </c>
      <c r="Q21" s="44">
        <v>0</v>
      </c>
      <c r="R21" s="44">
        <v>1304</v>
      </c>
      <c r="S21" s="44">
        <v>3679</v>
      </c>
      <c r="T21" s="44">
        <v>729</v>
      </c>
      <c r="U21" s="44">
        <v>1840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  <c r="AC21" s="44">
        <v>1</v>
      </c>
      <c r="AD21" s="36">
        <f t="shared" si="0"/>
        <v>3307</v>
      </c>
      <c r="AE21" s="36">
        <f t="shared" si="0"/>
        <v>8574</v>
      </c>
      <c r="AF21" s="36">
        <f t="shared" si="0"/>
        <v>3148</v>
      </c>
      <c r="AG21" s="41">
        <f t="shared" si="1"/>
        <v>-4.8</v>
      </c>
      <c r="AH21" s="36">
        <f t="shared" si="2"/>
        <v>7055</v>
      </c>
      <c r="AI21" s="41">
        <f t="shared" si="3"/>
        <v>-17.7</v>
      </c>
    </row>
    <row r="22" spans="1:35" ht="19.5" hidden="1" customHeight="1">
      <c r="A22" s="43" t="s">
        <v>64</v>
      </c>
      <c r="B22" s="44">
        <v>188</v>
      </c>
      <c r="C22" s="44">
        <v>1424</v>
      </c>
      <c r="D22" s="44">
        <v>108</v>
      </c>
      <c r="E22" s="44">
        <v>926</v>
      </c>
      <c r="F22" s="44">
        <v>4</v>
      </c>
      <c r="G22" s="44">
        <v>119</v>
      </c>
      <c r="H22" s="44">
        <v>2</v>
      </c>
      <c r="I22" s="44">
        <v>310</v>
      </c>
      <c r="J22" s="44">
        <v>1281</v>
      </c>
      <c r="K22" s="44">
        <v>4067</v>
      </c>
      <c r="L22" s="44">
        <v>760</v>
      </c>
      <c r="M22" s="44">
        <v>2088</v>
      </c>
      <c r="N22" s="44">
        <v>0</v>
      </c>
      <c r="O22" s="44">
        <v>0</v>
      </c>
      <c r="P22" s="44">
        <v>0</v>
      </c>
      <c r="Q22" s="44">
        <v>0</v>
      </c>
      <c r="R22" s="44">
        <v>1396</v>
      </c>
      <c r="S22" s="44">
        <v>3877</v>
      </c>
      <c r="T22" s="44">
        <v>1108</v>
      </c>
      <c r="U22" s="44">
        <v>2701</v>
      </c>
      <c r="V22" s="44">
        <v>16</v>
      </c>
      <c r="W22" s="44">
        <v>54</v>
      </c>
      <c r="X22" s="44">
        <v>0</v>
      </c>
      <c r="Y22" s="44">
        <v>0</v>
      </c>
      <c r="Z22" s="44">
        <v>0</v>
      </c>
      <c r="AA22" s="44">
        <v>1</v>
      </c>
      <c r="AB22" s="44">
        <v>0</v>
      </c>
      <c r="AC22" s="44">
        <v>2</v>
      </c>
      <c r="AD22" s="36">
        <f t="shared" si="0"/>
        <v>2885</v>
      </c>
      <c r="AE22" s="36">
        <f t="shared" si="0"/>
        <v>9542</v>
      </c>
      <c r="AF22" s="36">
        <f t="shared" si="0"/>
        <v>1978</v>
      </c>
      <c r="AG22" s="41">
        <f t="shared" si="1"/>
        <v>-31.4</v>
      </c>
      <c r="AH22" s="36">
        <f t="shared" si="2"/>
        <v>6027</v>
      </c>
      <c r="AI22" s="41">
        <f t="shared" si="3"/>
        <v>-36.799999999999997</v>
      </c>
    </row>
    <row r="23" spans="1:35" ht="19.5" hidden="1" customHeight="1">
      <c r="A23" s="43" t="s">
        <v>62</v>
      </c>
      <c r="B23" s="44">
        <v>140</v>
      </c>
      <c r="C23" s="44">
        <v>832</v>
      </c>
      <c r="D23" s="44">
        <v>313</v>
      </c>
      <c r="E23" s="44">
        <v>1972</v>
      </c>
      <c r="F23" s="44">
        <v>0</v>
      </c>
      <c r="G23" s="44">
        <v>0</v>
      </c>
      <c r="H23" s="44">
        <v>0</v>
      </c>
      <c r="I23" s="44">
        <v>0</v>
      </c>
      <c r="J23" s="44">
        <v>431</v>
      </c>
      <c r="K23" s="44">
        <v>2289</v>
      </c>
      <c r="L23" s="44">
        <v>340</v>
      </c>
      <c r="M23" s="44">
        <v>1374</v>
      </c>
      <c r="N23" s="44">
        <v>0</v>
      </c>
      <c r="O23" s="44">
        <v>0</v>
      </c>
      <c r="P23" s="44">
        <v>93</v>
      </c>
      <c r="Q23" s="44">
        <v>181</v>
      </c>
      <c r="R23" s="44">
        <v>1305</v>
      </c>
      <c r="S23" s="44">
        <v>3586</v>
      </c>
      <c r="T23" s="44">
        <v>1624</v>
      </c>
      <c r="U23" s="44">
        <v>4216</v>
      </c>
      <c r="V23" s="44">
        <v>0</v>
      </c>
      <c r="W23" s="44">
        <v>0</v>
      </c>
      <c r="X23" s="44">
        <v>0</v>
      </c>
      <c r="Y23" s="44">
        <v>0</v>
      </c>
      <c r="Z23" s="44">
        <v>15136</v>
      </c>
      <c r="AA23" s="44">
        <v>851</v>
      </c>
      <c r="AB23" s="44">
        <v>0</v>
      </c>
      <c r="AC23" s="44">
        <v>0</v>
      </c>
      <c r="AD23" s="36">
        <f t="shared" si="0"/>
        <v>17012</v>
      </c>
      <c r="AE23" s="36">
        <f t="shared" si="0"/>
        <v>7558</v>
      </c>
      <c r="AF23" s="36">
        <f t="shared" si="0"/>
        <v>2370</v>
      </c>
      <c r="AG23" s="41">
        <f t="shared" si="1"/>
        <v>-86.1</v>
      </c>
      <c r="AH23" s="36">
        <f t="shared" si="2"/>
        <v>7743</v>
      </c>
      <c r="AI23" s="41">
        <f t="shared" si="3"/>
        <v>2.4</v>
      </c>
    </row>
    <row r="24" spans="1:35" ht="19.5" hidden="1" customHeight="1">
      <c r="A24" s="43" t="s">
        <v>448</v>
      </c>
      <c r="B24" s="44">
        <v>229</v>
      </c>
      <c r="C24" s="44">
        <v>3672</v>
      </c>
      <c r="D24" s="44">
        <v>325</v>
      </c>
      <c r="E24" s="44">
        <v>4534</v>
      </c>
      <c r="F24" s="44">
        <v>4</v>
      </c>
      <c r="G24" s="44">
        <v>261</v>
      </c>
      <c r="H24" s="44">
        <v>6</v>
      </c>
      <c r="I24" s="44">
        <v>420</v>
      </c>
      <c r="J24" s="44">
        <v>521</v>
      </c>
      <c r="K24" s="44">
        <v>4706</v>
      </c>
      <c r="L24" s="44">
        <v>453</v>
      </c>
      <c r="M24" s="44">
        <v>3825</v>
      </c>
      <c r="N24" s="44">
        <v>2</v>
      </c>
      <c r="O24" s="44">
        <v>0</v>
      </c>
      <c r="P24" s="44">
        <v>0</v>
      </c>
      <c r="Q24" s="44">
        <v>0</v>
      </c>
      <c r="R24" s="44">
        <v>5</v>
      </c>
      <c r="S24" s="44">
        <v>39</v>
      </c>
      <c r="T24" s="44">
        <v>0</v>
      </c>
      <c r="U24" s="44">
        <v>20</v>
      </c>
      <c r="V24" s="44">
        <v>1</v>
      </c>
      <c r="W24" s="44">
        <v>30</v>
      </c>
      <c r="X24" s="44">
        <v>0</v>
      </c>
      <c r="Y24" s="44">
        <v>9</v>
      </c>
      <c r="Z24" s="44">
        <v>0</v>
      </c>
      <c r="AA24" s="44">
        <v>3</v>
      </c>
      <c r="AB24" s="44">
        <v>0</v>
      </c>
      <c r="AC24" s="44">
        <v>1</v>
      </c>
      <c r="AD24" s="36">
        <f t="shared" si="0"/>
        <v>762</v>
      </c>
      <c r="AE24" s="36">
        <f t="shared" si="0"/>
        <v>8711</v>
      </c>
      <c r="AF24" s="36">
        <f t="shared" si="0"/>
        <v>784</v>
      </c>
      <c r="AG24" s="41">
        <f t="shared" si="1"/>
        <v>2.9</v>
      </c>
      <c r="AH24" s="36">
        <f t="shared" si="2"/>
        <v>8809</v>
      </c>
      <c r="AI24" s="41">
        <f t="shared" si="3"/>
        <v>1.1000000000000001</v>
      </c>
    </row>
    <row r="25" spans="1:35" ht="19.5" hidden="1" customHeight="1">
      <c r="A25" s="43" t="s">
        <v>77</v>
      </c>
      <c r="B25" s="44">
        <v>173</v>
      </c>
      <c r="C25" s="44">
        <v>2183</v>
      </c>
      <c r="D25" s="44">
        <v>238</v>
      </c>
      <c r="E25" s="44">
        <v>2154</v>
      </c>
      <c r="F25" s="44">
        <v>0</v>
      </c>
      <c r="G25" s="44">
        <v>0</v>
      </c>
      <c r="H25" s="44">
        <v>0</v>
      </c>
      <c r="I25" s="44">
        <v>4</v>
      </c>
      <c r="J25" s="44">
        <v>2550</v>
      </c>
      <c r="K25" s="44">
        <v>5934</v>
      </c>
      <c r="L25" s="44">
        <v>1338</v>
      </c>
      <c r="M25" s="44">
        <v>3297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1</v>
      </c>
      <c r="AB25" s="44">
        <v>0</v>
      </c>
      <c r="AC25" s="44">
        <v>0</v>
      </c>
      <c r="AD25" s="36">
        <f t="shared" si="0"/>
        <v>2723</v>
      </c>
      <c r="AE25" s="36">
        <f t="shared" si="0"/>
        <v>8118</v>
      </c>
      <c r="AF25" s="36">
        <f t="shared" si="0"/>
        <v>1576</v>
      </c>
      <c r="AG25" s="41">
        <f t="shared" si="1"/>
        <v>-42.1</v>
      </c>
      <c r="AH25" s="36">
        <f t="shared" si="2"/>
        <v>5455</v>
      </c>
      <c r="AI25" s="41">
        <f t="shared" si="3"/>
        <v>-32.799999999999997</v>
      </c>
    </row>
    <row r="26" spans="1:35" ht="19.5" hidden="1" customHeight="1">
      <c r="A26" s="43" t="s">
        <v>75</v>
      </c>
      <c r="B26" s="44">
        <v>67</v>
      </c>
      <c r="C26" s="44">
        <v>469</v>
      </c>
      <c r="D26" s="44">
        <v>172</v>
      </c>
      <c r="E26" s="44">
        <v>1277</v>
      </c>
      <c r="F26" s="44">
        <v>0</v>
      </c>
      <c r="G26" s="44">
        <v>0</v>
      </c>
      <c r="H26" s="44">
        <v>0</v>
      </c>
      <c r="I26" s="44">
        <v>0</v>
      </c>
      <c r="J26" s="44">
        <v>2842</v>
      </c>
      <c r="K26" s="44">
        <v>6984</v>
      </c>
      <c r="L26" s="44">
        <v>1781</v>
      </c>
      <c r="M26" s="44">
        <v>4339</v>
      </c>
      <c r="N26" s="44">
        <v>0</v>
      </c>
      <c r="O26" s="44">
        <v>0</v>
      </c>
      <c r="P26" s="44">
        <v>0</v>
      </c>
      <c r="Q26" s="44">
        <v>0</v>
      </c>
      <c r="R26" s="44">
        <v>0</v>
      </c>
      <c r="S26" s="44">
        <v>0</v>
      </c>
      <c r="T26" s="44">
        <v>0</v>
      </c>
      <c r="U26" s="44">
        <v>0</v>
      </c>
      <c r="V26" s="44">
        <v>25</v>
      </c>
      <c r="W26" s="44">
        <v>512</v>
      </c>
      <c r="X26" s="44">
        <v>1</v>
      </c>
      <c r="Y26" s="44">
        <v>16</v>
      </c>
      <c r="Z26" s="44">
        <v>41</v>
      </c>
      <c r="AA26" s="44">
        <v>204</v>
      </c>
      <c r="AB26" s="44">
        <v>0</v>
      </c>
      <c r="AC26" s="44">
        <v>0</v>
      </c>
      <c r="AD26" s="36">
        <f t="shared" si="0"/>
        <v>2975</v>
      </c>
      <c r="AE26" s="36">
        <f t="shared" si="0"/>
        <v>8169</v>
      </c>
      <c r="AF26" s="36">
        <f t="shared" si="0"/>
        <v>1954</v>
      </c>
      <c r="AG26" s="41">
        <f t="shared" si="1"/>
        <v>-34.299999999999997</v>
      </c>
      <c r="AH26" s="36">
        <f t="shared" si="2"/>
        <v>5632</v>
      </c>
      <c r="AI26" s="41">
        <f t="shared" si="3"/>
        <v>-31.1</v>
      </c>
    </row>
    <row r="27" spans="1:35" ht="19.5" hidden="1" customHeight="1">
      <c r="A27" s="43" t="s">
        <v>449</v>
      </c>
      <c r="B27" s="44">
        <v>248</v>
      </c>
      <c r="C27" s="44">
        <v>2769</v>
      </c>
      <c r="D27" s="44">
        <v>113</v>
      </c>
      <c r="E27" s="44">
        <v>1105</v>
      </c>
      <c r="F27" s="44">
        <v>0</v>
      </c>
      <c r="G27" s="44">
        <v>0</v>
      </c>
      <c r="H27" s="44">
        <v>1</v>
      </c>
      <c r="I27" s="44">
        <v>0</v>
      </c>
      <c r="J27" s="44">
        <v>59</v>
      </c>
      <c r="K27" s="44">
        <v>452</v>
      </c>
      <c r="L27" s="44">
        <v>525</v>
      </c>
      <c r="M27" s="44">
        <v>2598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10</v>
      </c>
      <c r="AB27" s="44">
        <v>0</v>
      </c>
      <c r="AC27" s="44">
        <v>29</v>
      </c>
      <c r="AD27" s="36">
        <f t="shared" si="0"/>
        <v>307</v>
      </c>
      <c r="AE27" s="36">
        <f t="shared" si="0"/>
        <v>3231</v>
      </c>
      <c r="AF27" s="36">
        <f t="shared" si="0"/>
        <v>639</v>
      </c>
      <c r="AG27" s="41">
        <f t="shared" si="1"/>
        <v>108.1</v>
      </c>
      <c r="AH27" s="36">
        <f t="shared" si="2"/>
        <v>3732</v>
      </c>
      <c r="AI27" s="41">
        <f t="shared" si="3"/>
        <v>15.5</v>
      </c>
    </row>
    <row r="28" spans="1:35" ht="19.5" hidden="1" customHeight="1">
      <c r="A28" s="43" t="s">
        <v>68</v>
      </c>
      <c r="B28" s="44">
        <v>63</v>
      </c>
      <c r="C28" s="44">
        <v>999</v>
      </c>
      <c r="D28" s="44">
        <v>72</v>
      </c>
      <c r="E28" s="44">
        <v>1095</v>
      </c>
      <c r="F28" s="44">
        <v>3</v>
      </c>
      <c r="G28" s="44">
        <v>245</v>
      </c>
      <c r="H28" s="44">
        <v>0</v>
      </c>
      <c r="I28" s="44">
        <v>93</v>
      </c>
      <c r="J28" s="44">
        <v>866</v>
      </c>
      <c r="K28" s="44">
        <v>3472</v>
      </c>
      <c r="L28" s="44">
        <v>248</v>
      </c>
      <c r="M28" s="44">
        <v>1182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1</v>
      </c>
      <c r="T28" s="44">
        <v>0</v>
      </c>
      <c r="U28" s="44">
        <v>1</v>
      </c>
      <c r="V28" s="44">
        <v>0</v>
      </c>
      <c r="W28" s="44">
        <v>0</v>
      </c>
      <c r="X28" s="44">
        <v>0</v>
      </c>
      <c r="Y28" s="44">
        <v>2</v>
      </c>
      <c r="Z28" s="44">
        <v>4</v>
      </c>
      <c r="AA28" s="44">
        <v>639</v>
      </c>
      <c r="AB28" s="44">
        <v>1</v>
      </c>
      <c r="AC28" s="44">
        <v>327</v>
      </c>
      <c r="AD28" s="36">
        <f t="shared" si="0"/>
        <v>936</v>
      </c>
      <c r="AE28" s="36">
        <f t="shared" si="0"/>
        <v>5356</v>
      </c>
      <c r="AF28" s="36">
        <f t="shared" si="0"/>
        <v>321</v>
      </c>
      <c r="AG28" s="41">
        <f t="shared" si="1"/>
        <v>-65.7</v>
      </c>
      <c r="AH28" s="36">
        <f t="shared" si="2"/>
        <v>2700</v>
      </c>
      <c r="AI28" s="41">
        <f t="shared" si="3"/>
        <v>-49.6</v>
      </c>
    </row>
    <row r="29" spans="1:35" ht="19.5" hidden="1" customHeight="1">
      <c r="A29" s="43" t="s">
        <v>66</v>
      </c>
      <c r="B29" s="44">
        <v>247</v>
      </c>
      <c r="C29" s="44">
        <v>1654</v>
      </c>
      <c r="D29" s="44">
        <v>119</v>
      </c>
      <c r="E29" s="44">
        <v>1133</v>
      </c>
      <c r="F29" s="44">
        <v>0</v>
      </c>
      <c r="G29" s="44">
        <v>20</v>
      </c>
      <c r="H29" s="44">
        <v>6</v>
      </c>
      <c r="I29" s="44">
        <v>52</v>
      </c>
      <c r="J29" s="44">
        <v>405</v>
      </c>
      <c r="K29" s="44">
        <v>1813</v>
      </c>
      <c r="L29" s="44">
        <v>353</v>
      </c>
      <c r="M29" s="44">
        <v>1507</v>
      </c>
      <c r="N29" s="44">
        <v>0</v>
      </c>
      <c r="O29" s="44">
        <v>0</v>
      </c>
      <c r="P29" s="44">
        <v>0</v>
      </c>
      <c r="Q29" s="44">
        <v>0</v>
      </c>
      <c r="R29" s="44">
        <v>181</v>
      </c>
      <c r="S29" s="44">
        <v>527</v>
      </c>
      <c r="T29" s="44">
        <v>101</v>
      </c>
      <c r="U29" s="44">
        <v>280</v>
      </c>
      <c r="V29" s="44">
        <v>0</v>
      </c>
      <c r="W29" s="44">
        <v>0</v>
      </c>
      <c r="X29" s="44">
        <v>0</v>
      </c>
      <c r="Y29" s="44">
        <v>4</v>
      </c>
      <c r="Z29" s="44">
        <v>6</v>
      </c>
      <c r="AA29" s="44">
        <v>432</v>
      </c>
      <c r="AB29" s="44">
        <v>0</v>
      </c>
      <c r="AC29" s="44">
        <v>85</v>
      </c>
      <c r="AD29" s="36">
        <f t="shared" si="0"/>
        <v>839</v>
      </c>
      <c r="AE29" s="36">
        <f t="shared" si="0"/>
        <v>4446</v>
      </c>
      <c r="AF29" s="36">
        <f t="shared" si="0"/>
        <v>579</v>
      </c>
      <c r="AG29" s="41">
        <f t="shared" si="1"/>
        <v>-31</v>
      </c>
      <c r="AH29" s="36">
        <f t="shared" si="2"/>
        <v>3061</v>
      </c>
      <c r="AI29" s="41">
        <f t="shared" si="3"/>
        <v>-31.2</v>
      </c>
    </row>
    <row r="30" spans="1:35" ht="19.5" hidden="1" customHeight="1">
      <c r="A30" s="43" t="s">
        <v>73</v>
      </c>
      <c r="B30" s="44">
        <v>178</v>
      </c>
      <c r="C30" s="44">
        <v>1177</v>
      </c>
      <c r="D30" s="44">
        <v>118</v>
      </c>
      <c r="E30" s="44">
        <v>642</v>
      </c>
      <c r="F30" s="44">
        <v>0</v>
      </c>
      <c r="G30" s="44">
        <v>27</v>
      </c>
      <c r="H30" s="44">
        <v>0</v>
      </c>
      <c r="I30" s="44">
        <v>36</v>
      </c>
      <c r="J30" s="44">
        <v>1841</v>
      </c>
      <c r="K30" s="44">
        <v>4046</v>
      </c>
      <c r="L30" s="44">
        <v>115</v>
      </c>
      <c r="M30" s="44">
        <v>395</v>
      </c>
      <c r="N30" s="44">
        <v>0</v>
      </c>
      <c r="O30" s="44">
        <v>0</v>
      </c>
      <c r="P30" s="44">
        <v>0</v>
      </c>
      <c r="Q30" s="44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1</v>
      </c>
      <c r="AB30" s="44">
        <v>0</v>
      </c>
      <c r="AC30" s="44">
        <v>2</v>
      </c>
      <c r="AD30" s="36">
        <f t="shared" si="0"/>
        <v>2019</v>
      </c>
      <c r="AE30" s="36">
        <f t="shared" si="0"/>
        <v>5251</v>
      </c>
      <c r="AF30" s="36">
        <f t="shared" si="0"/>
        <v>233</v>
      </c>
      <c r="AG30" s="41">
        <f t="shared" si="1"/>
        <v>-88.5</v>
      </c>
      <c r="AH30" s="36">
        <f t="shared" si="2"/>
        <v>1075</v>
      </c>
      <c r="AI30" s="41">
        <f t="shared" si="3"/>
        <v>-79.5</v>
      </c>
    </row>
    <row r="31" spans="1:35" ht="19.5" hidden="1" customHeight="1">
      <c r="A31" s="43" t="s">
        <v>71</v>
      </c>
      <c r="B31" s="44">
        <v>359</v>
      </c>
      <c r="C31" s="44">
        <v>2909</v>
      </c>
      <c r="D31" s="44">
        <v>283</v>
      </c>
      <c r="E31" s="44">
        <v>2142</v>
      </c>
      <c r="F31" s="44">
        <v>16</v>
      </c>
      <c r="G31" s="44">
        <v>165</v>
      </c>
      <c r="H31" s="44">
        <v>52</v>
      </c>
      <c r="I31" s="44">
        <v>120</v>
      </c>
      <c r="J31" s="44">
        <v>1425</v>
      </c>
      <c r="K31" s="44">
        <v>3694</v>
      </c>
      <c r="L31" s="44">
        <v>136</v>
      </c>
      <c r="M31" s="44">
        <v>394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1</v>
      </c>
      <c r="T31" s="44">
        <v>0</v>
      </c>
      <c r="U31" s="44">
        <v>1</v>
      </c>
      <c r="V31" s="44">
        <v>0</v>
      </c>
      <c r="W31" s="44">
        <v>0</v>
      </c>
      <c r="X31" s="44">
        <v>0</v>
      </c>
      <c r="Y31" s="44">
        <v>0</v>
      </c>
      <c r="Z31" s="44">
        <v>19</v>
      </c>
      <c r="AA31" s="44">
        <v>695</v>
      </c>
      <c r="AB31" s="44">
        <v>13</v>
      </c>
      <c r="AC31" s="44">
        <v>79</v>
      </c>
      <c r="AD31" s="36">
        <f t="shared" si="0"/>
        <v>1819</v>
      </c>
      <c r="AE31" s="36">
        <f t="shared" si="0"/>
        <v>7464</v>
      </c>
      <c r="AF31" s="36">
        <f t="shared" si="0"/>
        <v>484</v>
      </c>
      <c r="AG31" s="41">
        <f t="shared" si="1"/>
        <v>-73.400000000000006</v>
      </c>
      <c r="AH31" s="36">
        <f t="shared" si="2"/>
        <v>2736</v>
      </c>
      <c r="AI31" s="41">
        <f t="shared" si="3"/>
        <v>-63.3</v>
      </c>
    </row>
    <row r="32" spans="1:35" ht="19.5" hidden="1" customHeight="1">
      <c r="A32" s="33" t="s">
        <v>70</v>
      </c>
      <c r="B32" s="44">
        <v>35</v>
      </c>
      <c r="C32" s="44">
        <v>79</v>
      </c>
      <c r="D32" s="44">
        <v>10</v>
      </c>
      <c r="E32" s="44">
        <v>78</v>
      </c>
      <c r="F32" s="44">
        <v>0</v>
      </c>
      <c r="G32" s="44">
        <v>0</v>
      </c>
      <c r="H32" s="44">
        <v>0</v>
      </c>
      <c r="I32" s="44">
        <v>0</v>
      </c>
      <c r="J32" s="44">
        <v>359</v>
      </c>
      <c r="K32" s="44">
        <v>1007</v>
      </c>
      <c r="L32" s="44">
        <v>7</v>
      </c>
      <c r="M32" s="44">
        <v>39</v>
      </c>
      <c r="N32" s="44">
        <v>0</v>
      </c>
      <c r="O32" s="44">
        <v>0</v>
      </c>
      <c r="P32" s="44">
        <v>0</v>
      </c>
      <c r="Q32" s="44">
        <v>0</v>
      </c>
      <c r="R32" s="44">
        <v>1320</v>
      </c>
      <c r="S32" s="44">
        <v>3647</v>
      </c>
      <c r="T32" s="44">
        <v>100</v>
      </c>
      <c r="U32" s="44">
        <v>245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4</v>
      </c>
      <c r="AB32" s="44">
        <v>0</v>
      </c>
      <c r="AC32" s="44">
        <v>0</v>
      </c>
      <c r="AD32" s="36">
        <f t="shared" si="0"/>
        <v>1714</v>
      </c>
      <c r="AE32" s="36">
        <f t="shared" si="0"/>
        <v>4737</v>
      </c>
      <c r="AF32" s="36">
        <f t="shared" si="0"/>
        <v>117</v>
      </c>
      <c r="AG32" s="41">
        <f t="shared" si="1"/>
        <v>-93.2</v>
      </c>
      <c r="AH32" s="36">
        <f t="shared" si="2"/>
        <v>362</v>
      </c>
      <c r="AI32" s="41">
        <f t="shared" si="3"/>
        <v>-92.4</v>
      </c>
    </row>
    <row r="33" spans="1:35" ht="19.5" hidden="1" customHeight="1">
      <c r="A33" s="43" t="s">
        <v>74</v>
      </c>
      <c r="B33" s="44">
        <v>105</v>
      </c>
      <c r="C33" s="44">
        <v>911</v>
      </c>
      <c r="D33" s="44">
        <v>126</v>
      </c>
      <c r="E33" s="44">
        <v>974</v>
      </c>
      <c r="F33" s="44">
        <v>0</v>
      </c>
      <c r="G33" s="44">
        <v>14</v>
      </c>
      <c r="H33" s="44">
        <v>0</v>
      </c>
      <c r="I33" s="44">
        <v>21</v>
      </c>
      <c r="J33" s="44">
        <v>562</v>
      </c>
      <c r="K33" s="44">
        <v>1690</v>
      </c>
      <c r="L33" s="44">
        <v>564</v>
      </c>
      <c r="M33" s="44">
        <v>1612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12</v>
      </c>
      <c r="AB33" s="44">
        <v>196</v>
      </c>
      <c r="AC33" s="44">
        <v>496</v>
      </c>
      <c r="AD33" s="36">
        <f t="shared" si="0"/>
        <v>667</v>
      </c>
      <c r="AE33" s="36">
        <f t="shared" si="0"/>
        <v>2627</v>
      </c>
      <c r="AF33" s="36">
        <f t="shared" si="0"/>
        <v>886</v>
      </c>
      <c r="AG33" s="41">
        <f t="shared" si="1"/>
        <v>32.799999999999997</v>
      </c>
      <c r="AH33" s="36">
        <f t="shared" si="2"/>
        <v>3103</v>
      </c>
      <c r="AI33" s="41">
        <f t="shared" si="3"/>
        <v>18.100000000000001</v>
      </c>
    </row>
    <row r="34" spans="1:35" ht="19.5" hidden="1" customHeight="1">
      <c r="A34" s="33" t="s">
        <v>88</v>
      </c>
      <c r="B34" s="44">
        <v>0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1818</v>
      </c>
      <c r="K34" s="44">
        <v>4311</v>
      </c>
      <c r="L34" s="44">
        <v>380</v>
      </c>
      <c r="M34" s="44">
        <v>861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36">
        <f t="shared" si="0"/>
        <v>1818</v>
      </c>
      <c r="AE34" s="36">
        <f t="shared" si="0"/>
        <v>4311</v>
      </c>
      <c r="AF34" s="36">
        <f t="shared" si="0"/>
        <v>380</v>
      </c>
      <c r="AG34" s="41">
        <f t="shared" si="1"/>
        <v>-79.099999999999994</v>
      </c>
      <c r="AH34" s="36">
        <f t="shared" si="2"/>
        <v>861</v>
      </c>
      <c r="AI34" s="41">
        <f t="shared" si="3"/>
        <v>-80</v>
      </c>
    </row>
    <row r="35" spans="1:35" ht="19.5" hidden="1" customHeight="1">
      <c r="A35" s="33" t="s">
        <v>67</v>
      </c>
      <c r="B35" s="44">
        <v>1</v>
      </c>
      <c r="C35" s="44">
        <v>12</v>
      </c>
      <c r="D35" s="44">
        <v>20</v>
      </c>
      <c r="E35" s="44">
        <v>20</v>
      </c>
      <c r="F35" s="44">
        <v>0</v>
      </c>
      <c r="G35" s="44">
        <v>0</v>
      </c>
      <c r="H35" s="44">
        <v>0</v>
      </c>
      <c r="I35" s="44">
        <v>0</v>
      </c>
      <c r="J35" s="44">
        <v>2201</v>
      </c>
      <c r="K35" s="44">
        <v>5582</v>
      </c>
      <c r="L35" s="44">
        <v>861</v>
      </c>
      <c r="M35" s="44">
        <v>2241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36">
        <f t="shared" si="0"/>
        <v>2202</v>
      </c>
      <c r="AE35" s="36">
        <f t="shared" si="0"/>
        <v>5594</v>
      </c>
      <c r="AF35" s="36">
        <f t="shared" si="0"/>
        <v>881</v>
      </c>
      <c r="AG35" s="41">
        <f t="shared" si="1"/>
        <v>-60</v>
      </c>
      <c r="AH35" s="36">
        <f t="shared" si="2"/>
        <v>2261</v>
      </c>
      <c r="AI35" s="41">
        <f t="shared" si="3"/>
        <v>-59.6</v>
      </c>
    </row>
    <row r="36" spans="1:35" ht="19.5" hidden="1" customHeight="1">
      <c r="A36" s="43" t="s">
        <v>72</v>
      </c>
      <c r="B36" s="44">
        <v>52</v>
      </c>
      <c r="C36" s="44">
        <v>326</v>
      </c>
      <c r="D36" s="44">
        <v>68</v>
      </c>
      <c r="E36" s="44">
        <v>695</v>
      </c>
      <c r="F36" s="44">
        <v>0</v>
      </c>
      <c r="G36" s="44">
        <v>0</v>
      </c>
      <c r="H36" s="44">
        <v>0</v>
      </c>
      <c r="I36" s="44">
        <v>0</v>
      </c>
      <c r="J36" s="44">
        <v>833</v>
      </c>
      <c r="K36" s="44">
        <v>2852</v>
      </c>
      <c r="L36" s="44">
        <v>303</v>
      </c>
      <c r="M36" s="44">
        <v>1895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1</v>
      </c>
      <c r="T36" s="44">
        <v>0</v>
      </c>
      <c r="U36" s="44">
        <v>1</v>
      </c>
      <c r="V36" s="44">
        <v>0</v>
      </c>
      <c r="W36" s="44">
        <v>0</v>
      </c>
      <c r="X36" s="44">
        <v>0</v>
      </c>
      <c r="Y36" s="44">
        <v>0</v>
      </c>
      <c r="Z36" s="44">
        <v>3</v>
      </c>
      <c r="AA36" s="44">
        <v>229</v>
      </c>
      <c r="AB36" s="44">
        <v>5</v>
      </c>
      <c r="AC36" s="44">
        <v>219</v>
      </c>
      <c r="AD36" s="36">
        <f t="shared" si="0"/>
        <v>888</v>
      </c>
      <c r="AE36" s="36">
        <f t="shared" si="0"/>
        <v>3408</v>
      </c>
      <c r="AF36" s="36">
        <f t="shared" si="0"/>
        <v>376</v>
      </c>
      <c r="AG36" s="41">
        <f t="shared" si="1"/>
        <v>-57.7</v>
      </c>
      <c r="AH36" s="36">
        <f t="shared" si="2"/>
        <v>2810</v>
      </c>
      <c r="AI36" s="41">
        <f t="shared" si="3"/>
        <v>-17.5</v>
      </c>
    </row>
    <row r="37" spans="1:35" ht="19.5" hidden="1" customHeight="1">
      <c r="A37" s="43" t="s">
        <v>69</v>
      </c>
      <c r="B37" s="44">
        <v>78</v>
      </c>
      <c r="C37" s="44">
        <v>790</v>
      </c>
      <c r="D37" s="44">
        <v>21</v>
      </c>
      <c r="E37" s="44">
        <v>239</v>
      </c>
      <c r="F37" s="44">
        <v>0</v>
      </c>
      <c r="G37" s="44">
        <v>7</v>
      </c>
      <c r="H37" s="44">
        <v>0</v>
      </c>
      <c r="I37" s="44">
        <v>2</v>
      </c>
      <c r="J37" s="44">
        <v>1045</v>
      </c>
      <c r="K37" s="44">
        <v>3169</v>
      </c>
      <c r="L37" s="44">
        <v>34</v>
      </c>
      <c r="M37" s="44">
        <v>571</v>
      </c>
      <c r="N37" s="44">
        <v>1</v>
      </c>
      <c r="O37" s="44">
        <v>0</v>
      </c>
      <c r="P37" s="44">
        <v>1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78</v>
      </c>
      <c r="AA37" s="44">
        <v>597</v>
      </c>
      <c r="AB37" s="44">
        <v>74</v>
      </c>
      <c r="AC37" s="44">
        <v>594</v>
      </c>
      <c r="AD37" s="36">
        <f t="shared" si="0"/>
        <v>1202</v>
      </c>
      <c r="AE37" s="36">
        <f t="shared" si="0"/>
        <v>4563</v>
      </c>
      <c r="AF37" s="36">
        <f t="shared" si="0"/>
        <v>130</v>
      </c>
      <c r="AG37" s="41">
        <f t="shared" si="1"/>
        <v>-89.2</v>
      </c>
      <c r="AH37" s="36">
        <f t="shared" si="2"/>
        <v>1406</v>
      </c>
      <c r="AI37" s="41">
        <f t="shared" si="3"/>
        <v>-69.2</v>
      </c>
    </row>
    <row r="38" spans="1:35" ht="19.5" hidden="1" customHeight="1">
      <c r="A38" s="34" t="s">
        <v>78</v>
      </c>
      <c r="B38" s="37">
        <f>B39-SUM(B8:B37)</f>
        <v>1278</v>
      </c>
      <c r="C38" s="37">
        <f>C39-SUM(C8:C37)</f>
        <v>11550</v>
      </c>
      <c r="D38" s="37">
        <f>D39-SUM(D8:D37)</f>
        <v>883</v>
      </c>
      <c r="E38" s="37">
        <f t="shared" ref="E38:AC38" si="4">E39-SUM(E8:E37)</f>
        <v>7479</v>
      </c>
      <c r="F38" s="37">
        <f t="shared" si="4"/>
        <v>11</v>
      </c>
      <c r="G38" s="37"/>
      <c r="H38" s="37">
        <f t="shared" si="4"/>
        <v>90</v>
      </c>
      <c r="I38" s="37">
        <f t="shared" si="4"/>
        <v>1489</v>
      </c>
      <c r="J38" s="37">
        <f t="shared" si="4"/>
        <v>7581</v>
      </c>
      <c r="K38" s="37">
        <f t="shared" si="4"/>
        <v>23360</v>
      </c>
      <c r="L38" s="37">
        <f t="shared" si="4"/>
        <v>4876</v>
      </c>
      <c r="M38" s="37">
        <f t="shared" si="4"/>
        <v>15108</v>
      </c>
      <c r="N38" s="37">
        <f t="shared" si="4"/>
        <v>801</v>
      </c>
      <c r="O38" s="37">
        <f t="shared" si="4"/>
        <v>1737</v>
      </c>
      <c r="P38" s="37">
        <f t="shared" si="4"/>
        <v>410</v>
      </c>
      <c r="Q38" s="37">
        <f t="shared" si="4"/>
        <v>956</v>
      </c>
      <c r="R38" s="37">
        <f t="shared" si="4"/>
        <v>1205</v>
      </c>
      <c r="S38" s="37">
        <f t="shared" si="4"/>
        <v>3452</v>
      </c>
      <c r="T38" s="37">
        <f t="shared" si="4"/>
        <v>1994</v>
      </c>
      <c r="U38" s="37">
        <f t="shared" si="4"/>
        <v>5080</v>
      </c>
      <c r="V38" s="37">
        <f t="shared" si="4"/>
        <v>9</v>
      </c>
      <c r="W38" s="37">
        <f t="shared" si="4"/>
        <v>128</v>
      </c>
      <c r="X38" s="37">
        <f t="shared" si="4"/>
        <v>5</v>
      </c>
      <c r="Y38" s="37">
        <f t="shared" si="4"/>
        <v>46</v>
      </c>
      <c r="Z38" s="37">
        <f t="shared" si="4"/>
        <v>44</v>
      </c>
      <c r="AA38" s="37">
        <f t="shared" si="4"/>
        <v>715</v>
      </c>
      <c r="AB38" s="37">
        <f t="shared" si="4"/>
        <v>54</v>
      </c>
      <c r="AC38" s="37">
        <f t="shared" si="4"/>
        <v>951</v>
      </c>
      <c r="AD38" s="37">
        <f>AD39-SUM(AD8:AD37)</f>
        <v>10929</v>
      </c>
      <c r="AE38" s="37">
        <f>AE39-SUM(AE8:AE37)</f>
        <v>41317</v>
      </c>
      <c r="AF38" s="37">
        <f>AF39-SUM(AF8:AF37)</f>
        <v>8312</v>
      </c>
      <c r="AG38" s="41">
        <f t="shared" si="1"/>
        <v>-23.9</v>
      </c>
      <c r="AH38" s="37">
        <f>AH39-SUM(AH8:AH37)</f>
        <v>31109</v>
      </c>
      <c r="AI38" s="42">
        <f t="shared" si="3"/>
        <v>-24.7</v>
      </c>
    </row>
    <row r="39" spans="1:35" ht="19.5" hidden="1" customHeight="1">
      <c r="A39" s="396" t="s">
        <v>79</v>
      </c>
      <c r="B39" s="46">
        <v>55968</v>
      </c>
      <c r="C39" s="46">
        <v>386000</v>
      </c>
      <c r="D39" s="46">
        <v>52375</v>
      </c>
      <c r="E39" s="46">
        <v>354851</v>
      </c>
      <c r="F39" s="46">
        <v>1293</v>
      </c>
      <c r="G39" s="392">
        <v>14303</v>
      </c>
      <c r="H39" s="46">
        <v>1075</v>
      </c>
      <c r="I39" s="46">
        <v>10417</v>
      </c>
      <c r="J39" s="46">
        <v>96594</v>
      </c>
      <c r="K39" s="46">
        <v>323077</v>
      </c>
      <c r="L39" s="46">
        <v>94519</v>
      </c>
      <c r="M39" s="46">
        <v>291917</v>
      </c>
      <c r="N39" s="46">
        <v>25073</v>
      </c>
      <c r="O39" s="46">
        <v>53607</v>
      </c>
      <c r="P39" s="46">
        <v>35488</v>
      </c>
      <c r="Q39" s="46">
        <v>75534</v>
      </c>
      <c r="R39" s="46">
        <v>40094</v>
      </c>
      <c r="S39" s="46">
        <v>111139</v>
      </c>
      <c r="T39" s="46">
        <v>47366</v>
      </c>
      <c r="U39" s="46">
        <v>117345</v>
      </c>
      <c r="V39" s="46">
        <v>304</v>
      </c>
      <c r="W39" s="46">
        <v>4069</v>
      </c>
      <c r="X39" s="46">
        <v>93</v>
      </c>
      <c r="Y39" s="46">
        <v>2685</v>
      </c>
      <c r="Z39" s="46">
        <v>31520</v>
      </c>
      <c r="AA39" s="392">
        <v>29990</v>
      </c>
      <c r="AB39" s="46">
        <v>1485</v>
      </c>
      <c r="AC39" s="46">
        <v>19525</v>
      </c>
      <c r="AD39" s="39">
        <f>SUM(B39+F39+J39+N39+R39+V39+Z39)</f>
        <v>250846</v>
      </c>
      <c r="AE39" s="39">
        <f>SUM(C39+G39+K39+O39+S39+W39+AA39)</f>
        <v>922185</v>
      </c>
      <c r="AF39" s="39">
        <f>SUM(D39+H39+L39+P39+T39+X39+AB39)</f>
        <v>232401</v>
      </c>
      <c r="AG39" s="226">
        <f t="shared" si="1"/>
        <v>-7.4</v>
      </c>
      <c r="AH39" s="39">
        <f>SUM(E39+I39+M39+Q39+U39+Y39+AC39)</f>
        <v>872274</v>
      </c>
      <c r="AI39" s="42">
        <f t="shared" si="3"/>
        <v>-5.4</v>
      </c>
    </row>
    <row r="40" spans="1:35" hidden="1"/>
    <row r="41" spans="1:35" ht="22.5" hidden="1" customHeight="1">
      <c r="A41" s="1095" t="s">
        <v>494</v>
      </c>
      <c r="B41" s="1095"/>
      <c r="C41" s="1095"/>
      <c r="D41" s="1095"/>
      <c r="E41" s="1095"/>
      <c r="F41" s="1095"/>
      <c r="G41" s="1095"/>
      <c r="H41" s="1095"/>
      <c r="I41" s="1095"/>
      <c r="J41" s="1095"/>
      <c r="K41" s="1095"/>
      <c r="L41" s="1095"/>
      <c r="M41" s="1095"/>
      <c r="N41" s="1095"/>
      <c r="O41" s="1095"/>
      <c r="P41" s="1095"/>
      <c r="Q41" s="1095"/>
      <c r="R41" s="1095"/>
      <c r="S41" s="1095"/>
      <c r="T41" s="1095"/>
      <c r="U41" s="1095"/>
      <c r="V41" s="1095"/>
      <c r="W41" s="1095"/>
      <c r="X41" s="1095"/>
      <c r="Y41" s="1095"/>
      <c r="Z41" s="1095"/>
      <c r="AA41" s="1095"/>
      <c r="AB41" s="1095"/>
      <c r="AC41" s="1095"/>
      <c r="AD41" s="1095"/>
      <c r="AE41" s="1095"/>
      <c r="AF41" s="1095"/>
      <c r="AG41" s="1095"/>
      <c r="AH41" s="1095"/>
      <c r="AI41" s="1095"/>
    </row>
    <row r="42" spans="1:35" ht="16.5" hidden="1" customHeight="1">
      <c r="B42" s="25"/>
      <c r="E42" s="25"/>
    </row>
    <row r="43" spans="1:35" ht="16.5" hidden="1" customHeight="1">
      <c r="A43" s="27"/>
      <c r="B43" s="28"/>
      <c r="C43" s="28"/>
      <c r="D43" s="28"/>
      <c r="E43" s="28"/>
      <c r="F43" s="28"/>
      <c r="G43" s="27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9"/>
      <c r="S43" s="29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30" t="s">
        <v>0</v>
      </c>
    </row>
    <row r="44" spans="1:35" ht="21.75" hidden="1" customHeight="1">
      <c r="A44" s="1149" t="s">
        <v>43</v>
      </c>
      <c r="B44" s="1151" t="s">
        <v>495</v>
      </c>
      <c r="C44" s="1153"/>
      <c r="D44" s="1153"/>
      <c r="E44" s="1152"/>
      <c r="F44" s="1151" t="s">
        <v>496</v>
      </c>
      <c r="G44" s="1153"/>
      <c r="H44" s="1153"/>
      <c r="I44" s="1152"/>
      <c r="J44" s="1151" t="s">
        <v>497</v>
      </c>
      <c r="K44" s="1153"/>
      <c r="L44" s="1153"/>
      <c r="M44" s="1152"/>
      <c r="N44" s="1151" t="s">
        <v>498</v>
      </c>
      <c r="O44" s="1153"/>
      <c r="P44" s="1153"/>
      <c r="Q44" s="1152"/>
      <c r="R44" s="1151" t="s">
        <v>499</v>
      </c>
      <c r="S44" s="1153"/>
      <c r="T44" s="1153"/>
      <c r="U44" s="1152"/>
      <c r="V44" s="1151" t="s">
        <v>500</v>
      </c>
      <c r="W44" s="1153"/>
      <c r="X44" s="1153"/>
      <c r="Y44" s="1152"/>
      <c r="Z44" s="1151" t="s">
        <v>501</v>
      </c>
      <c r="AA44" s="1153"/>
      <c r="AB44" s="1153"/>
      <c r="AC44" s="1152"/>
      <c r="AD44" s="1151" t="s">
        <v>502</v>
      </c>
      <c r="AE44" s="1153"/>
      <c r="AF44" s="1153"/>
      <c r="AG44" s="1153"/>
      <c r="AH44" s="1153"/>
      <c r="AI44" s="1152"/>
    </row>
    <row r="45" spans="1:35" ht="21" hidden="1" customHeight="1">
      <c r="A45" s="1154"/>
      <c r="B45" s="1151" t="s">
        <v>315</v>
      </c>
      <c r="C45" s="1152"/>
      <c r="D45" s="1151" t="s">
        <v>459</v>
      </c>
      <c r="E45" s="1152"/>
      <c r="F45" s="1151" t="s">
        <v>315</v>
      </c>
      <c r="G45" s="1152"/>
      <c r="H45" s="1151" t="s">
        <v>459</v>
      </c>
      <c r="I45" s="1152"/>
      <c r="J45" s="1151" t="s">
        <v>315</v>
      </c>
      <c r="K45" s="1152"/>
      <c r="L45" s="1151" t="s">
        <v>459</v>
      </c>
      <c r="M45" s="1152"/>
      <c r="N45" s="1151" t="s">
        <v>315</v>
      </c>
      <c r="O45" s="1152"/>
      <c r="P45" s="1151" t="s">
        <v>459</v>
      </c>
      <c r="Q45" s="1152"/>
      <c r="R45" s="1151" t="s">
        <v>315</v>
      </c>
      <c r="S45" s="1152"/>
      <c r="T45" s="1151" t="s">
        <v>459</v>
      </c>
      <c r="U45" s="1152"/>
      <c r="V45" s="1151" t="s">
        <v>315</v>
      </c>
      <c r="W45" s="1152"/>
      <c r="X45" s="1151" t="s">
        <v>459</v>
      </c>
      <c r="Y45" s="1152"/>
      <c r="Z45" s="1151" t="s">
        <v>315</v>
      </c>
      <c r="AA45" s="1152"/>
      <c r="AB45" s="1151" t="s">
        <v>459</v>
      </c>
      <c r="AC45" s="1152"/>
      <c r="AD45" s="1151" t="s">
        <v>315</v>
      </c>
      <c r="AE45" s="1152"/>
      <c r="AF45" s="1151" t="s">
        <v>459</v>
      </c>
      <c r="AG45" s="1153"/>
      <c r="AH45" s="1153"/>
      <c r="AI45" s="1152"/>
    </row>
    <row r="46" spans="1:35" hidden="1">
      <c r="A46" s="1154"/>
      <c r="B46" s="1149" t="s">
        <v>44</v>
      </c>
      <c r="C46" s="1149" t="s">
        <v>45</v>
      </c>
      <c r="D46" s="1149" t="s">
        <v>46</v>
      </c>
      <c r="E46" s="1149" t="s">
        <v>45</v>
      </c>
      <c r="F46" s="1149" t="s">
        <v>47</v>
      </c>
      <c r="G46" s="1149" t="s">
        <v>45</v>
      </c>
      <c r="H46" s="1149" t="s">
        <v>46</v>
      </c>
      <c r="I46" s="1149" t="s">
        <v>45</v>
      </c>
      <c r="J46" s="1149" t="s">
        <v>44</v>
      </c>
      <c r="K46" s="1149" t="s">
        <v>45</v>
      </c>
      <c r="L46" s="1149" t="s">
        <v>46</v>
      </c>
      <c r="M46" s="1149" t="s">
        <v>45</v>
      </c>
      <c r="N46" s="1149" t="s">
        <v>44</v>
      </c>
      <c r="O46" s="1149" t="s">
        <v>45</v>
      </c>
      <c r="P46" s="1149" t="s">
        <v>46</v>
      </c>
      <c r="Q46" s="1149" t="s">
        <v>45</v>
      </c>
      <c r="R46" s="1149" t="s">
        <v>44</v>
      </c>
      <c r="S46" s="1149" t="s">
        <v>45</v>
      </c>
      <c r="T46" s="1149" t="s">
        <v>46</v>
      </c>
      <c r="U46" s="1149" t="s">
        <v>45</v>
      </c>
      <c r="V46" s="1149" t="s">
        <v>44</v>
      </c>
      <c r="W46" s="1149" t="s">
        <v>45</v>
      </c>
      <c r="X46" s="1149" t="s">
        <v>48</v>
      </c>
      <c r="Y46" s="1149" t="s">
        <v>45</v>
      </c>
      <c r="Z46" s="1149" t="s">
        <v>44</v>
      </c>
      <c r="AA46" s="1149" t="s">
        <v>45</v>
      </c>
      <c r="AB46" s="1149" t="s">
        <v>46</v>
      </c>
      <c r="AC46" s="1149" t="s">
        <v>45</v>
      </c>
      <c r="AD46" s="1149" t="s">
        <v>44</v>
      </c>
      <c r="AE46" s="1149" t="s">
        <v>45</v>
      </c>
      <c r="AF46" s="1147" t="s">
        <v>46</v>
      </c>
      <c r="AG46" s="31"/>
      <c r="AH46" s="1147" t="s">
        <v>45</v>
      </c>
      <c r="AI46" s="31"/>
    </row>
    <row r="47" spans="1:35" ht="17.25" hidden="1" thickBot="1">
      <c r="A47" s="1150"/>
      <c r="B47" s="1150"/>
      <c r="C47" s="1150"/>
      <c r="D47" s="1150"/>
      <c r="E47" s="1150"/>
      <c r="F47" s="1150"/>
      <c r="G47" s="1150"/>
      <c r="H47" s="1150"/>
      <c r="I47" s="1150"/>
      <c r="J47" s="1150"/>
      <c r="K47" s="1150"/>
      <c r="L47" s="1150"/>
      <c r="M47" s="1150"/>
      <c r="N47" s="1150"/>
      <c r="O47" s="1150"/>
      <c r="P47" s="1150"/>
      <c r="Q47" s="1150"/>
      <c r="R47" s="1150"/>
      <c r="S47" s="1150"/>
      <c r="T47" s="1150"/>
      <c r="U47" s="1150"/>
      <c r="V47" s="1150"/>
      <c r="W47" s="1150"/>
      <c r="X47" s="1150"/>
      <c r="Y47" s="1150"/>
      <c r="Z47" s="1150"/>
      <c r="AA47" s="1150"/>
      <c r="AB47" s="1150"/>
      <c r="AC47" s="1150"/>
      <c r="AD47" s="1150"/>
      <c r="AE47" s="1150"/>
      <c r="AF47" s="1148"/>
      <c r="AG47" s="32" t="s">
        <v>49</v>
      </c>
      <c r="AH47" s="1148"/>
      <c r="AI47" s="32" t="s">
        <v>49</v>
      </c>
    </row>
    <row r="48" spans="1:35" ht="19.5" hidden="1" customHeight="1" thickTop="1">
      <c r="A48" s="43" t="s">
        <v>50</v>
      </c>
      <c r="B48" s="44">
        <v>44485</v>
      </c>
      <c r="C48" s="44">
        <v>303113</v>
      </c>
      <c r="D48" s="44">
        <v>32946</v>
      </c>
      <c r="E48" s="44">
        <v>234504</v>
      </c>
      <c r="F48" s="44">
        <v>402</v>
      </c>
      <c r="G48" s="44">
        <v>8888</v>
      </c>
      <c r="H48" s="44">
        <v>422</v>
      </c>
      <c r="I48" s="44">
        <v>3889</v>
      </c>
      <c r="J48" s="44">
        <v>13174</v>
      </c>
      <c r="K48" s="44">
        <v>60856</v>
      </c>
      <c r="L48" s="44">
        <v>40677</v>
      </c>
      <c r="M48" s="44">
        <v>109422</v>
      </c>
      <c r="N48" s="44">
        <v>11763</v>
      </c>
      <c r="O48" s="44">
        <v>24969</v>
      </c>
      <c r="P48" s="44">
        <v>1140</v>
      </c>
      <c r="Q48" s="44">
        <v>2705</v>
      </c>
      <c r="R48" s="44">
        <v>11101</v>
      </c>
      <c r="S48" s="44">
        <v>30929</v>
      </c>
      <c r="T48" s="44">
        <v>4644</v>
      </c>
      <c r="U48" s="44">
        <v>11575</v>
      </c>
      <c r="V48" s="44">
        <v>39</v>
      </c>
      <c r="W48" s="44">
        <v>1083</v>
      </c>
      <c r="X48" s="44">
        <v>42</v>
      </c>
      <c r="Y48" s="44">
        <v>1363</v>
      </c>
      <c r="Z48" s="44">
        <v>422</v>
      </c>
      <c r="AA48" s="44">
        <v>13688</v>
      </c>
      <c r="AB48" s="44">
        <v>842</v>
      </c>
      <c r="AC48" s="44">
        <v>10662</v>
      </c>
      <c r="AD48" s="36">
        <f t="shared" ref="AD48:AD77" si="5">SUM(B48+F48+J48+N48+R48+V48+Z48)</f>
        <v>81386</v>
      </c>
      <c r="AE48" s="36">
        <f>SUM(C48+G48+K48+O48+S48+W48+AA48)</f>
        <v>443526</v>
      </c>
      <c r="AF48" s="36">
        <f>SUM(D48+H48+L48+P48+T48+X48+AB48)</f>
        <v>80713</v>
      </c>
      <c r="AG48" s="41">
        <f>ROUND(((AF48/AD48-1)*100),1)</f>
        <v>-0.8</v>
      </c>
      <c r="AH48" s="36">
        <f>SUM(E48+I48+M48+Q48+U48+Y48+AC48)</f>
        <v>374120</v>
      </c>
      <c r="AI48" s="41">
        <f>ROUND(((AH48/AE48-1)*100),1)</f>
        <v>-15.6</v>
      </c>
    </row>
    <row r="49" spans="1:35" ht="19.5" hidden="1" customHeight="1">
      <c r="A49" s="43" t="s">
        <v>51</v>
      </c>
      <c r="B49" s="44">
        <v>11312</v>
      </c>
      <c r="C49" s="44">
        <v>85513</v>
      </c>
      <c r="D49" s="44">
        <v>11012</v>
      </c>
      <c r="E49" s="44">
        <v>86428</v>
      </c>
      <c r="F49" s="44">
        <v>157</v>
      </c>
      <c r="G49" s="44">
        <v>3637</v>
      </c>
      <c r="H49" s="44">
        <v>47</v>
      </c>
      <c r="I49" s="44">
        <v>1869</v>
      </c>
      <c r="J49" s="44">
        <v>35751</v>
      </c>
      <c r="K49" s="44">
        <v>99970</v>
      </c>
      <c r="L49" s="44">
        <v>40332</v>
      </c>
      <c r="M49" s="44">
        <v>107922</v>
      </c>
      <c r="N49" s="44">
        <v>9984</v>
      </c>
      <c r="O49" s="44">
        <v>21836</v>
      </c>
      <c r="P49" s="44">
        <v>13878</v>
      </c>
      <c r="Q49" s="44">
        <v>29324</v>
      </c>
      <c r="R49" s="44">
        <v>8231</v>
      </c>
      <c r="S49" s="44">
        <v>23104</v>
      </c>
      <c r="T49" s="44">
        <v>12776</v>
      </c>
      <c r="U49" s="44">
        <v>31942</v>
      </c>
      <c r="V49" s="44">
        <v>51</v>
      </c>
      <c r="W49" s="44">
        <v>824</v>
      </c>
      <c r="X49" s="44">
        <v>41</v>
      </c>
      <c r="Y49" s="44">
        <v>742</v>
      </c>
      <c r="Z49" s="44">
        <v>540</v>
      </c>
      <c r="AA49" s="44">
        <v>1630</v>
      </c>
      <c r="AB49" s="44">
        <v>23</v>
      </c>
      <c r="AC49" s="44">
        <v>1656</v>
      </c>
      <c r="AD49" s="36">
        <f t="shared" si="5"/>
        <v>66026</v>
      </c>
      <c r="AE49" s="36">
        <f t="shared" ref="AE49:AE77" si="6">SUM(C49+G49+K49+O49+S49+W49+AA49)</f>
        <v>236514</v>
      </c>
      <c r="AF49" s="36">
        <f>SUM(D49+H49+L49+P49+T49+X49+AB49)</f>
        <v>78109</v>
      </c>
      <c r="AG49" s="41">
        <f t="shared" ref="AG49:AG79" si="7">ROUND(((AF49/AD49-1)*100),1)</f>
        <v>18.3</v>
      </c>
      <c r="AH49" s="36">
        <f t="shared" ref="AH49:AH77" si="8">SUM(E49+I49+M49+Q49+U49+Y49+AC49)</f>
        <v>259883</v>
      </c>
      <c r="AI49" s="41">
        <f t="shared" ref="AI49:AI79" si="9">ROUND(((AH49/AE49-1)*100),1)</f>
        <v>9.9</v>
      </c>
    </row>
    <row r="50" spans="1:35" ht="19.5" hidden="1" customHeight="1">
      <c r="A50" s="43" t="s">
        <v>53</v>
      </c>
      <c r="B50" s="44">
        <v>4502</v>
      </c>
      <c r="C50" s="44">
        <v>38789</v>
      </c>
      <c r="D50" s="44">
        <v>4933</v>
      </c>
      <c r="E50" s="44">
        <v>43288</v>
      </c>
      <c r="F50" s="44">
        <v>100</v>
      </c>
      <c r="G50" s="44">
        <v>1224</v>
      </c>
      <c r="H50" s="44">
        <v>108</v>
      </c>
      <c r="I50" s="44">
        <v>1120</v>
      </c>
      <c r="J50" s="44">
        <v>22011</v>
      </c>
      <c r="K50" s="44">
        <v>85249</v>
      </c>
      <c r="L50" s="44">
        <v>16580</v>
      </c>
      <c r="M50" s="44">
        <v>64332</v>
      </c>
      <c r="N50" s="44">
        <v>11066</v>
      </c>
      <c r="O50" s="44">
        <v>24075</v>
      </c>
      <c r="P50" s="44">
        <v>14583</v>
      </c>
      <c r="Q50" s="44">
        <v>30608</v>
      </c>
      <c r="R50" s="44">
        <v>13</v>
      </c>
      <c r="S50" s="44">
        <v>219</v>
      </c>
      <c r="T50" s="44">
        <v>9519</v>
      </c>
      <c r="U50" s="44">
        <v>23178</v>
      </c>
      <c r="V50" s="44">
        <v>0</v>
      </c>
      <c r="W50" s="44">
        <v>504</v>
      </c>
      <c r="X50" s="44">
        <v>2</v>
      </c>
      <c r="Y50" s="44">
        <v>403</v>
      </c>
      <c r="Z50" s="44">
        <v>522</v>
      </c>
      <c r="AA50" s="44">
        <v>7064</v>
      </c>
      <c r="AB50" s="44">
        <v>612</v>
      </c>
      <c r="AC50" s="44">
        <v>7105</v>
      </c>
      <c r="AD50" s="36">
        <f t="shared" si="5"/>
        <v>38214</v>
      </c>
      <c r="AE50" s="36">
        <f t="shared" si="6"/>
        <v>157124</v>
      </c>
      <c r="AF50" s="36">
        <f t="shared" ref="AF50:AF77" si="10">SUM(D50+H50+L50+P50+T50+X50+AB50)</f>
        <v>46337</v>
      </c>
      <c r="AG50" s="41">
        <f t="shared" si="7"/>
        <v>21.3</v>
      </c>
      <c r="AH50" s="36">
        <f t="shared" si="8"/>
        <v>170034</v>
      </c>
      <c r="AI50" s="41">
        <f t="shared" si="9"/>
        <v>8.1999999999999993</v>
      </c>
    </row>
    <row r="51" spans="1:35" ht="19.5" hidden="1" customHeight="1">
      <c r="A51" s="43" t="s">
        <v>52</v>
      </c>
      <c r="B51" s="44">
        <v>1783</v>
      </c>
      <c r="C51" s="44">
        <v>12370</v>
      </c>
      <c r="D51" s="44">
        <v>1736</v>
      </c>
      <c r="E51" s="44">
        <v>11285</v>
      </c>
      <c r="F51" s="44">
        <v>421</v>
      </c>
      <c r="G51" s="44">
        <v>4576</v>
      </c>
      <c r="H51" s="44">
        <v>259</v>
      </c>
      <c r="I51" s="44">
        <v>3637</v>
      </c>
      <c r="J51" s="44">
        <v>10417</v>
      </c>
      <c r="K51" s="44">
        <v>31511</v>
      </c>
      <c r="L51" s="44">
        <v>11809</v>
      </c>
      <c r="M51" s="44">
        <v>31906</v>
      </c>
      <c r="N51" s="44">
        <v>14484</v>
      </c>
      <c r="O51" s="44">
        <v>31456</v>
      </c>
      <c r="P51" s="44">
        <v>18319</v>
      </c>
      <c r="Q51" s="44">
        <v>37965</v>
      </c>
      <c r="R51" s="44">
        <v>16604</v>
      </c>
      <c r="S51" s="44">
        <v>47743</v>
      </c>
      <c r="T51" s="44">
        <v>23747</v>
      </c>
      <c r="U51" s="44">
        <v>57833</v>
      </c>
      <c r="V51" s="44">
        <v>148</v>
      </c>
      <c r="W51" s="44">
        <v>106</v>
      </c>
      <c r="X51" s="44">
        <v>1</v>
      </c>
      <c r="Y51" s="44">
        <v>35</v>
      </c>
      <c r="Z51" s="44">
        <v>15063</v>
      </c>
      <c r="AA51" s="44">
        <v>2693</v>
      </c>
      <c r="AB51" s="44">
        <v>282</v>
      </c>
      <c r="AC51" s="44">
        <v>1243</v>
      </c>
      <c r="AD51" s="36">
        <f t="shared" si="5"/>
        <v>58920</v>
      </c>
      <c r="AE51" s="36">
        <f t="shared" si="6"/>
        <v>130455</v>
      </c>
      <c r="AF51" s="36">
        <f t="shared" si="10"/>
        <v>56153</v>
      </c>
      <c r="AG51" s="41">
        <f t="shared" si="7"/>
        <v>-4.7</v>
      </c>
      <c r="AH51" s="36">
        <f t="shared" si="8"/>
        <v>143904</v>
      </c>
      <c r="AI51" s="41">
        <f t="shared" si="9"/>
        <v>10.3</v>
      </c>
    </row>
    <row r="52" spans="1:35" ht="19.5" hidden="1" customHeight="1">
      <c r="A52" s="43" t="s">
        <v>54</v>
      </c>
      <c r="B52" s="44">
        <v>4916</v>
      </c>
      <c r="C52" s="44">
        <v>35694</v>
      </c>
      <c r="D52" s="44">
        <v>4370</v>
      </c>
      <c r="E52" s="44">
        <v>29316</v>
      </c>
      <c r="F52" s="44">
        <v>1295</v>
      </c>
      <c r="G52" s="44">
        <v>5351</v>
      </c>
      <c r="H52" s="44">
        <v>869</v>
      </c>
      <c r="I52" s="44">
        <v>4998</v>
      </c>
      <c r="J52" s="44">
        <v>9609</v>
      </c>
      <c r="K52" s="44">
        <v>42305</v>
      </c>
      <c r="L52" s="44">
        <v>13378</v>
      </c>
      <c r="M52" s="44">
        <v>49464</v>
      </c>
      <c r="N52" s="44">
        <v>1711</v>
      </c>
      <c r="O52" s="44">
        <v>3707</v>
      </c>
      <c r="P52" s="44">
        <v>1216</v>
      </c>
      <c r="Q52" s="44">
        <v>2501</v>
      </c>
      <c r="R52" s="44">
        <v>487</v>
      </c>
      <c r="S52" s="44">
        <v>1564</v>
      </c>
      <c r="T52" s="44">
        <v>257</v>
      </c>
      <c r="U52" s="44">
        <v>773</v>
      </c>
      <c r="V52" s="44">
        <v>22</v>
      </c>
      <c r="W52" s="44">
        <v>150</v>
      </c>
      <c r="X52" s="44">
        <v>30</v>
      </c>
      <c r="Y52" s="44">
        <v>508</v>
      </c>
      <c r="Z52" s="44">
        <v>438</v>
      </c>
      <c r="AA52" s="44">
        <v>12587</v>
      </c>
      <c r="AB52" s="44">
        <v>264</v>
      </c>
      <c r="AC52" s="44">
        <v>6086</v>
      </c>
      <c r="AD52" s="36">
        <f t="shared" si="5"/>
        <v>18478</v>
      </c>
      <c r="AE52" s="36">
        <f t="shared" si="6"/>
        <v>101358</v>
      </c>
      <c r="AF52" s="36">
        <f t="shared" si="10"/>
        <v>20384</v>
      </c>
      <c r="AG52" s="41">
        <f t="shared" si="7"/>
        <v>10.3</v>
      </c>
      <c r="AH52" s="36">
        <f t="shared" si="8"/>
        <v>93646</v>
      </c>
      <c r="AI52" s="41">
        <f t="shared" si="9"/>
        <v>-7.6</v>
      </c>
    </row>
    <row r="53" spans="1:35" ht="19.5" hidden="1" customHeight="1">
      <c r="A53" s="43" t="s">
        <v>56</v>
      </c>
      <c r="B53" s="44">
        <v>14609</v>
      </c>
      <c r="C53" s="44">
        <v>66832</v>
      </c>
      <c r="D53" s="44">
        <v>14938</v>
      </c>
      <c r="E53" s="44">
        <v>68603</v>
      </c>
      <c r="F53" s="44">
        <v>19</v>
      </c>
      <c r="G53" s="44">
        <v>570</v>
      </c>
      <c r="H53" s="44">
        <v>20</v>
      </c>
      <c r="I53" s="44">
        <v>611</v>
      </c>
      <c r="J53" s="44">
        <v>4257</v>
      </c>
      <c r="K53" s="44">
        <v>16619</v>
      </c>
      <c r="L53" s="44">
        <v>3677</v>
      </c>
      <c r="M53" s="44">
        <v>11912</v>
      </c>
      <c r="N53" s="44">
        <v>2056</v>
      </c>
      <c r="O53" s="44">
        <v>4272</v>
      </c>
      <c r="P53" s="44">
        <v>845</v>
      </c>
      <c r="Q53" s="44">
        <v>1695</v>
      </c>
      <c r="R53" s="44">
        <v>1985</v>
      </c>
      <c r="S53" s="44">
        <v>5516</v>
      </c>
      <c r="T53" s="44">
        <v>3726</v>
      </c>
      <c r="U53" s="44">
        <v>9221</v>
      </c>
      <c r="V53" s="44">
        <v>2</v>
      </c>
      <c r="W53" s="44">
        <v>53</v>
      </c>
      <c r="X53" s="44">
        <v>6</v>
      </c>
      <c r="Y53" s="44">
        <v>115</v>
      </c>
      <c r="Z53" s="44">
        <v>39</v>
      </c>
      <c r="AA53" s="44">
        <v>1791</v>
      </c>
      <c r="AB53" s="44">
        <v>82</v>
      </c>
      <c r="AC53" s="44">
        <v>2585</v>
      </c>
      <c r="AD53" s="36">
        <f t="shared" si="5"/>
        <v>22967</v>
      </c>
      <c r="AE53" s="36">
        <f t="shared" si="6"/>
        <v>95653</v>
      </c>
      <c r="AF53" s="36">
        <f t="shared" si="10"/>
        <v>23294</v>
      </c>
      <c r="AG53" s="41">
        <f t="shared" si="7"/>
        <v>1.4</v>
      </c>
      <c r="AH53" s="36">
        <f t="shared" si="8"/>
        <v>94742</v>
      </c>
      <c r="AI53" s="41">
        <f t="shared" si="9"/>
        <v>-1</v>
      </c>
    </row>
    <row r="54" spans="1:35" ht="19.5" hidden="1" customHeight="1">
      <c r="A54" s="43" t="s">
        <v>57</v>
      </c>
      <c r="B54" s="44">
        <v>3216</v>
      </c>
      <c r="C54" s="44">
        <v>33367</v>
      </c>
      <c r="D54" s="44">
        <v>7855</v>
      </c>
      <c r="E54" s="44">
        <v>60215</v>
      </c>
      <c r="F54" s="44">
        <v>6</v>
      </c>
      <c r="G54" s="44">
        <v>253</v>
      </c>
      <c r="H54" s="44">
        <v>10</v>
      </c>
      <c r="I54" s="44">
        <v>204</v>
      </c>
      <c r="J54" s="44">
        <v>1906</v>
      </c>
      <c r="K54" s="44">
        <v>9114</v>
      </c>
      <c r="L54" s="44">
        <v>1998</v>
      </c>
      <c r="M54" s="44">
        <v>12591</v>
      </c>
      <c r="N54" s="44">
        <v>421</v>
      </c>
      <c r="O54" s="44">
        <v>964</v>
      </c>
      <c r="P54" s="44">
        <v>308</v>
      </c>
      <c r="Q54" s="44">
        <v>666</v>
      </c>
      <c r="R54" s="44">
        <v>7426</v>
      </c>
      <c r="S54" s="44">
        <v>17053</v>
      </c>
      <c r="T54" s="44">
        <v>6629</v>
      </c>
      <c r="U54" s="44">
        <v>14464</v>
      </c>
      <c r="V54" s="44">
        <v>35</v>
      </c>
      <c r="W54" s="44">
        <v>1653</v>
      </c>
      <c r="X54" s="44">
        <v>26</v>
      </c>
      <c r="Y54" s="44">
        <v>2014</v>
      </c>
      <c r="Z54" s="44">
        <v>57</v>
      </c>
      <c r="AA54" s="44">
        <v>1799</v>
      </c>
      <c r="AB54" s="44">
        <v>66</v>
      </c>
      <c r="AC54" s="44">
        <v>2036</v>
      </c>
      <c r="AD54" s="36">
        <f t="shared" si="5"/>
        <v>13067</v>
      </c>
      <c r="AE54" s="36">
        <f t="shared" si="6"/>
        <v>64203</v>
      </c>
      <c r="AF54" s="36">
        <f t="shared" si="10"/>
        <v>16892</v>
      </c>
      <c r="AG54" s="41">
        <f t="shared" si="7"/>
        <v>29.3</v>
      </c>
      <c r="AH54" s="36">
        <f t="shared" si="8"/>
        <v>92190</v>
      </c>
      <c r="AI54" s="41">
        <f t="shared" si="9"/>
        <v>43.6</v>
      </c>
    </row>
    <row r="55" spans="1:35" ht="19.5" hidden="1" customHeight="1">
      <c r="A55" s="43" t="s">
        <v>55</v>
      </c>
      <c r="B55" s="44">
        <v>4157</v>
      </c>
      <c r="C55" s="44">
        <v>24496</v>
      </c>
      <c r="D55" s="44">
        <v>5347</v>
      </c>
      <c r="E55" s="44">
        <v>30289</v>
      </c>
      <c r="F55" s="44">
        <v>9</v>
      </c>
      <c r="G55" s="44">
        <v>101</v>
      </c>
      <c r="H55" s="44">
        <v>12</v>
      </c>
      <c r="I55" s="44">
        <v>205</v>
      </c>
      <c r="J55" s="44">
        <v>7320</v>
      </c>
      <c r="K55" s="44">
        <v>23952</v>
      </c>
      <c r="L55" s="44">
        <v>7687</v>
      </c>
      <c r="M55" s="44">
        <v>22827</v>
      </c>
      <c r="N55" s="44">
        <v>3231</v>
      </c>
      <c r="O55" s="44">
        <v>6827</v>
      </c>
      <c r="P55" s="44">
        <v>3605</v>
      </c>
      <c r="Q55" s="44">
        <v>7423</v>
      </c>
      <c r="R55" s="44">
        <v>3612</v>
      </c>
      <c r="S55" s="44">
        <v>10195</v>
      </c>
      <c r="T55" s="44">
        <v>5564</v>
      </c>
      <c r="U55" s="44">
        <v>13983</v>
      </c>
      <c r="V55" s="44">
        <v>16</v>
      </c>
      <c r="W55" s="44">
        <v>400</v>
      </c>
      <c r="X55" s="44">
        <v>13</v>
      </c>
      <c r="Y55" s="44">
        <v>316</v>
      </c>
      <c r="Z55" s="44">
        <v>2</v>
      </c>
      <c r="AA55" s="44">
        <v>237</v>
      </c>
      <c r="AB55" s="44">
        <v>2</v>
      </c>
      <c r="AC55" s="44">
        <v>319</v>
      </c>
      <c r="AD55" s="36">
        <f t="shared" si="5"/>
        <v>18347</v>
      </c>
      <c r="AE55" s="36">
        <f t="shared" si="6"/>
        <v>66208</v>
      </c>
      <c r="AF55" s="36">
        <f t="shared" si="10"/>
        <v>22230</v>
      </c>
      <c r="AG55" s="41">
        <f t="shared" si="7"/>
        <v>21.2</v>
      </c>
      <c r="AH55" s="36">
        <f t="shared" si="8"/>
        <v>75362</v>
      </c>
      <c r="AI55" s="41">
        <f t="shared" si="9"/>
        <v>13.8</v>
      </c>
    </row>
    <row r="56" spans="1:35" ht="19.5" hidden="1" customHeight="1">
      <c r="A56" s="43" t="s">
        <v>59</v>
      </c>
      <c r="B56" s="44">
        <v>7344</v>
      </c>
      <c r="C56" s="44">
        <v>47807</v>
      </c>
      <c r="D56" s="44">
        <v>7413</v>
      </c>
      <c r="E56" s="44">
        <v>44382</v>
      </c>
      <c r="F56" s="44">
        <v>16</v>
      </c>
      <c r="G56" s="44">
        <v>1435</v>
      </c>
      <c r="H56" s="44">
        <v>27</v>
      </c>
      <c r="I56" s="44">
        <v>607</v>
      </c>
      <c r="J56" s="44">
        <v>859</v>
      </c>
      <c r="K56" s="44">
        <v>4647</v>
      </c>
      <c r="L56" s="44">
        <v>2055</v>
      </c>
      <c r="M56" s="44">
        <v>10425</v>
      </c>
      <c r="N56" s="44">
        <v>0</v>
      </c>
      <c r="O56" s="44">
        <v>0</v>
      </c>
      <c r="P56" s="44">
        <v>5</v>
      </c>
      <c r="Q56" s="44">
        <v>132</v>
      </c>
      <c r="R56" s="44">
        <v>576</v>
      </c>
      <c r="S56" s="44">
        <v>1684</v>
      </c>
      <c r="T56" s="44">
        <v>559</v>
      </c>
      <c r="U56" s="44">
        <v>1422</v>
      </c>
      <c r="V56" s="44">
        <v>33</v>
      </c>
      <c r="W56" s="44">
        <v>1060</v>
      </c>
      <c r="X56" s="44">
        <v>35</v>
      </c>
      <c r="Y56" s="44">
        <v>1075</v>
      </c>
      <c r="Z56" s="44">
        <v>22</v>
      </c>
      <c r="AA56" s="44">
        <v>32</v>
      </c>
      <c r="AB56" s="44">
        <v>0</v>
      </c>
      <c r="AC56" s="44">
        <v>53</v>
      </c>
      <c r="AD56" s="36">
        <f t="shared" si="5"/>
        <v>8850</v>
      </c>
      <c r="AE56" s="36">
        <f t="shared" si="6"/>
        <v>56665</v>
      </c>
      <c r="AF56" s="36">
        <f t="shared" si="10"/>
        <v>10094</v>
      </c>
      <c r="AG56" s="41">
        <f t="shared" si="7"/>
        <v>14.1</v>
      </c>
      <c r="AH56" s="36">
        <f t="shared" si="8"/>
        <v>58096</v>
      </c>
      <c r="AI56" s="41">
        <f t="shared" si="9"/>
        <v>2.5</v>
      </c>
    </row>
    <row r="57" spans="1:35" ht="19.5" hidden="1" customHeight="1">
      <c r="A57" s="43" t="s">
        <v>58</v>
      </c>
      <c r="B57" s="44">
        <v>1359</v>
      </c>
      <c r="C57" s="44">
        <v>8469</v>
      </c>
      <c r="D57" s="44">
        <v>1765</v>
      </c>
      <c r="E57" s="44">
        <v>11073</v>
      </c>
      <c r="F57" s="44">
        <v>19</v>
      </c>
      <c r="G57" s="44">
        <v>307</v>
      </c>
      <c r="H57" s="44">
        <v>15</v>
      </c>
      <c r="I57" s="44">
        <v>326</v>
      </c>
      <c r="J57" s="44">
        <v>4629</v>
      </c>
      <c r="K57" s="44">
        <v>15313</v>
      </c>
      <c r="L57" s="44">
        <v>3183</v>
      </c>
      <c r="M57" s="44">
        <v>10261</v>
      </c>
      <c r="N57" s="44">
        <v>4027</v>
      </c>
      <c r="O57" s="44">
        <v>8731</v>
      </c>
      <c r="P57" s="44">
        <v>4155</v>
      </c>
      <c r="Q57" s="44">
        <v>8531</v>
      </c>
      <c r="R57" s="44">
        <v>7082</v>
      </c>
      <c r="S57" s="44">
        <v>19632</v>
      </c>
      <c r="T57" s="44">
        <v>6592</v>
      </c>
      <c r="U57" s="44">
        <v>16205</v>
      </c>
      <c r="V57" s="44">
        <v>7</v>
      </c>
      <c r="W57" s="44">
        <v>180</v>
      </c>
      <c r="X57" s="44">
        <v>6</v>
      </c>
      <c r="Y57" s="44">
        <v>173</v>
      </c>
      <c r="Z57" s="44">
        <v>10</v>
      </c>
      <c r="AA57" s="44">
        <v>181</v>
      </c>
      <c r="AB57" s="44">
        <v>0</v>
      </c>
      <c r="AC57" s="44">
        <v>5</v>
      </c>
      <c r="AD57" s="36">
        <f t="shared" si="5"/>
        <v>17133</v>
      </c>
      <c r="AE57" s="36">
        <f t="shared" si="6"/>
        <v>52813</v>
      </c>
      <c r="AF57" s="36">
        <f t="shared" si="10"/>
        <v>15716</v>
      </c>
      <c r="AG57" s="41">
        <f t="shared" si="7"/>
        <v>-8.3000000000000007</v>
      </c>
      <c r="AH57" s="36">
        <f t="shared" si="8"/>
        <v>46574</v>
      </c>
      <c r="AI57" s="41">
        <f t="shared" si="9"/>
        <v>-11.8</v>
      </c>
    </row>
    <row r="58" spans="1:35" ht="19.5" hidden="1" customHeight="1">
      <c r="A58" s="43" t="s">
        <v>61</v>
      </c>
      <c r="B58" s="44">
        <v>2643</v>
      </c>
      <c r="C58" s="44">
        <v>17329</v>
      </c>
      <c r="D58" s="44">
        <v>2250</v>
      </c>
      <c r="E58" s="44">
        <v>15558</v>
      </c>
      <c r="F58" s="44">
        <v>4</v>
      </c>
      <c r="G58" s="44">
        <v>23</v>
      </c>
      <c r="H58" s="44">
        <v>0</v>
      </c>
      <c r="I58" s="44">
        <v>11</v>
      </c>
      <c r="J58" s="44">
        <v>8520</v>
      </c>
      <c r="K58" s="44">
        <v>24138</v>
      </c>
      <c r="L58" s="44">
        <v>7542</v>
      </c>
      <c r="M58" s="44">
        <v>21124</v>
      </c>
      <c r="N58" s="44">
        <v>259</v>
      </c>
      <c r="O58" s="44">
        <v>1154</v>
      </c>
      <c r="P58" s="44">
        <v>371</v>
      </c>
      <c r="Q58" s="44">
        <v>1802</v>
      </c>
      <c r="R58" s="44">
        <v>2058</v>
      </c>
      <c r="S58" s="44">
        <v>6083</v>
      </c>
      <c r="T58" s="44">
        <v>863</v>
      </c>
      <c r="U58" s="44">
        <v>2348</v>
      </c>
      <c r="V58" s="44">
        <v>0</v>
      </c>
      <c r="W58" s="44">
        <v>0</v>
      </c>
      <c r="X58" s="44">
        <v>0</v>
      </c>
      <c r="Y58" s="44">
        <v>0</v>
      </c>
      <c r="Z58" s="44">
        <v>10</v>
      </c>
      <c r="AA58" s="44">
        <v>102</v>
      </c>
      <c r="AB58" s="44">
        <v>1</v>
      </c>
      <c r="AC58" s="44">
        <v>114</v>
      </c>
      <c r="AD58" s="36">
        <f t="shared" si="5"/>
        <v>13494</v>
      </c>
      <c r="AE58" s="36">
        <f t="shared" si="6"/>
        <v>48829</v>
      </c>
      <c r="AF58" s="36">
        <f t="shared" si="10"/>
        <v>11027</v>
      </c>
      <c r="AG58" s="41">
        <f t="shared" si="7"/>
        <v>-18.3</v>
      </c>
      <c r="AH58" s="36">
        <f t="shared" si="8"/>
        <v>40957</v>
      </c>
      <c r="AI58" s="41">
        <f t="shared" si="9"/>
        <v>-16.100000000000001</v>
      </c>
    </row>
    <row r="59" spans="1:35" ht="19.5" hidden="1" customHeight="1">
      <c r="A59" s="43" t="s">
        <v>60</v>
      </c>
      <c r="B59" s="44">
        <v>2083</v>
      </c>
      <c r="C59" s="44">
        <v>14988</v>
      </c>
      <c r="D59" s="44">
        <v>2618</v>
      </c>
      <c r="E59" s="44">
        <v>11909</v>
      </c>
      <c r="F59" s="44">
        <v>0</v>
      </c>
      <c r="G59" s="44">
        <v>9</v>
      </c>
      <c r="H59" s="44">
        <v>2</v>
      </c>
      <c r="I59" s="44">
        <v>80</v>
      </c>
      <c r="J59" s="44">
        <v>701</v>
      </c>
      <c r="K59" s="44">
        <v>3054</v>
      </c>
      <c r="L59" s="44">
        <v>486</v>
      </c>
      <c r="M59" s="44">
        <v>2864</v>
      </c>
      <c r="N59" s="44">
        <v>0</v>
      </c>
      <c r="O59" s="44">
        <v>0</v>
      </c>
      <c r="P59" s="44">
        <v>8</v>
      </c>
      <c r="Q59" s="44">
        <v>38</v>
      </c>
      <c r="R59" s="44">
        <v>5778</v>
      </c>
      <c r="S59" s="44">
        <v>17416</v>
      </c>
      <c r="T59" s="44">
        <v>3894</v>
      </c>
      <c r="U59" s="44">
        <v>9730</v>
      </c>
      <c r="V59" s="44">
        <v>1</v>
      </c>
      <c r="W59" s="44">
        <v>28</v>
      </c>
      <c r="X59" s="44">
        <v>0</v>
      </c>
      <c r="Y59" s="44">
        <v>0</v>
      </c>
      <c r="Z59" s="44">
        <v>109</v>
      </c>
      <c r="AA59" s="44">
        <v>992</v>
      </c>
      <c r="AB59" s="44">
        <v>248</v>
      </c>
      <c r="AC59" s="44">
        <v>1078</v>
      </c>
      <c r="AD59" s="36">
        <f t="shared" si="5"/>
        <v>8672</v>
      </c>
      <c r="AE59" s="36">
        <f t="shared" si="6"/>
        <v>36487</v>
      </c>
      <c r="AF59" s="36">
        <f t="shared" si="10"/>
        <v>7256</v>
      </c>
      <c r="AG59" s="41">
        <f t="shared" si="7"/>
        <v>-16.3</v>
      </c>
      <c r="AH59" s="36">
        <f t="shared" si="8"/>
        <v>25699</v>
      </c>
      <c r="AI59" s="41">
        <f t="shared" si="9"/>
        <v>-29.6</v>
      </c>
    </row>
    <row r="60" spans="1:35" ht="19.5" hidden="1" customHeight="1">
      <c r="A60" s="43" t="s">
        <v>65</v>
      </c>
      <c r="B60" s="44">
        <v>967</v>
      </c>
      <c r="C60" s="44">
        <v>6748</v>
      </c>
      <c r="D60" s="44">
        <v>403</v>
      </c>
      <c r="E60" s="44">
        <v>2719</v>
      </c>
      <c r="F60" s="44">
        <v>0</v>
      </c>
      <c r="G60" s="44">
        <v>7</v>
      </c>
      <c r="H60" s="44">
        <v>0</v>
      </c>
      <c r="I60" s="44">
        <v>4</v>
      </c>
      <c r="J60" s="44">
        <v>7259</v>
      </c>
      <c r="K60" s="44">
        <v>20453</v>
      </c>
      <c r="L60" s="44">
        <v>8296</v>
      </c>
      <c r="M60" s="44">
        <v>22577</v>
      </c>
      <c r="N60" s="44">
        <v>1</v>
      </c>
      <c r="O60" s="44">
        <v>8</v>
      </c>
      <c r="P60" s="44">
        <v>0</v>
      </c>
      <c r="Q60" s="44">
        <v>0</v>
      </c>
      <c r="R60" s="44">
        <v>8</v>
      </c>
      <c r="S60" s="44">
        <v>91</v>
      </c>
      <c r="T60" s="44">
        <v>9</v>
      </c>
      <c r="U60" s="44">
        <v>86</v>
      </c>
      <c r="V60" s="44">
        <v>2</v>
      </c>
      <c r="W60" s="44">
        <v>69</v>
      </c>
      <c r="X60" s="44">
        <v>1</v>
      </c>
      <c r="Y60" s="44">
        <v>35</v>
      </c>
      <c r="Z60" s="44">
        <v>1</v>
      </c>
      <c r="AA60" s="44">
        <v>52</v>
      </c>
      <c r="AB60" s="44">
        <v>0</v>
      </c>
      <c r="AC60" s="44">
        <v>17</v>
      </c>
      <c r="AD60" s="36">
        <f t="shared" si="5"/>
        <v>8238</v>
      </c>
      <c r="AE60" s="36">
        <f t="shared" si="6"/>
        <v>27428</v>
      </c>
      <c r="AF60" s="36">
        <f t="shared" si="10"/>
        <v>8709</v>
      </c>
      <c r="AG60" s="41">
        <f t="shared" si="7"/>
        <v>5.7</v>
      </c>
      <c r="AH60" s="36">
        <f t="shared" si="8"/>
        <v>25438</v>
      </c>
      <c r="AI60" s="41">
        <f t="shared" si="9"/>
        <v>-7.3</v>
      </c>
    </row>
    <row r="61" spans="1:35" ht="19.5" hidden="1" customHeight="1">
      <c r="A61" s="43" t="s">
        <v>63</v>
      </c>
      <c r="B61" s="44">
        <v>93</v>
      </c>
      <c r="C61" s="44">
        <v>993</v>
      </c>
      <c r="D61" s="44">
        <v>352</v>
      </c>
      <c r="E61" s="44">
        <v>2735</v>
      </c>
      <c r="F61" s="44">
        <v>6</v>
      </c>
      <c r="G61" s="44">
        <v>355</v>
      </c>
      <c r="H61" s="44">
        <v>2</v>
      </c>
      <c r="I61" s="44">
        <v>103</v>
      </c>
      <c r="J61" s="44">
        <v>3404</v>
      </c>
      <c r="K61" s="44">
        <v>8376</v>
      </c>
      <c r="L61" s="44">
        <v>4752</v>
      </c>
      <c r="M61" s="44">
        <v>11017</v>
      </c>
      <c r="N61" s="44">
        <v>0</v>
      </c>
      <c r="O61" s="44">
        <v>0</v>
      </c>
      <c r="P61" s="44">
        <v>6</v>
      </c>
      <c r="Q61" s="44">
        <v>11</v>
      </c>
      <c r="R61" s="44">
        <v>2433</v>
      </c>
      <c r="S61" s="44">
        <v>6787</v>
      </c>
      <c r="T61" s="44">
        <v>2627</v>
      </c>
      <c r="U61" s="44">
        <v>6424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1</v>
      </c>
      <c r="AB61" s="44">
        <v>0</v>
      </c>
      <c r="AC61" s="44">
        <v>1</v>
      </c>
      <c r="AD61" s="36">
        <f t="shared" si="5"/>
        <v>5936</v>
      </c>
      <c r="AE61" s="36">
        <f t="shared" si="6"/>
        <v>16512</v>
      </c>
      <c r="AF61" s="36">
        <f t="shared" si="10"/>
        <v>7739</v>
      </c>
      <c r="AG61" s="41">
        <f t="shared" si="7"/>
        <v>30.4</v>
      </c>
      <c r="AH61" s="36">
        <f t="shared" si="8"/>
        <v>20291</v>
      </c>
      <c r="AI61" s="41">
        <f t="shared" si="9"/>
        <v>22.9</v>
      </c>
    </row>
    <row r="62" spans="1:35" ht="19.5" hidden="1" customHeight="1">
      <c r="A62" s="43" t="s">
        <v>64</v>
      </c>
      <c r="B62" s="44">
        <v>361</v>
      </c>
      <c r="C62" s="44">
        <v>2822</v>
      </c>
      <c r="D62" s="44">
        <v>304</v>
      </c>
      <c r="E62" s="44">
        <v>2442</v>
      </c>
      <c r="F62" s="44">
        <v>5</v>
      </c>
      <c r="G62" s="44">
        <v>212</v>
      </c>
      <c r="H62" s="44">
        <v>4</v>
      </c>
      <c r="I62" s="44">
        <v>566</v>
      </c>
      <c r="J62" s="44">
        <v>1987</v>
      </c>
      <c r="K62" s="44">
        <v>5963</v>
      </c>
      <c r="L62" s="44">
        <v>2201</v>
      </c>
      <c r="M62" s="44">
        <v>5948</v>
      </c>
      <c r="N62" s="44">
        <v>0</v>
      </c>
      <c r="O62" s="44">
        <v>0</v>
      </c>
      <c r="P62" s="44">
        <v>0</v>
      </c>
      <c r="Q62" s="44">
        <v>0</v>
      </c>
      <c r="R62" s="44">
        <v>2832</v>
      </c>
      <c r="S62" s="44">
        <v>8092</v>
      </c>
      <c r="T62" s="44">
        <v>2158</v>
      </c>
      <c r="U62" s="44">
        <v>5385</v>
      </c>
      <c r="V62" s="44">
        <v>43</v>
      </c>
      <c r="W62" s="44">
        <v>200</v>
      </c>
      <c r="X62" s="44">
        <v>32</v>
      </c>
      <c r="Y62" s="44">
        <v>263</v>
      </c>
      <c r="Z62" s="44">
        <v>0</v>
      </c>
      <c r="AA62" s="44">
        <v>3</v>
      </c>
      <c r="AB62" s="44">
        <v>0</v>
      </c>
      <c r="AC62" s="44">
        <v>4</v>
      </c>
      <c r="AD62" s="36">
        <f t="shared" si="5"/>
        <v>5228</v>
      </c>
      <c r="AE62" s="36">
        <f t="shared" si="6"/>
        <v>17292</v>
      </c>
      <c r="AF62" s="36">
        <f t="shared" si="10"/>
        <v>4699</v>
      </c>
      <c r="AG62" s="41">
        <f t="shared" si="7"/>
        <v>-10.1</v>
      </c>
      <c r="AH62" s="36">
        <f t="shared" si="8"/>
        <v>14608</v>
      </c>
      <c r="AI62" s="41">
        <f t="shared" si="9"/>
        <v>-15.5</v>
      </c>
    </row>
    <row r="63" spans="1:35" ht="19.5" hidden="1" customHeight="1">
      <c r="A63" s="43" t="s">
        <v>62</v>
      </c>
      <c r="B63" s="44">
        <v>240</v>
      </c>
      <c r="C63" s="44">
        <v>1512</v>
      </c>
      <c r="D63" s="44">
        <v>513</v>
      </c>
      <c r="E63" s="44">
        <v>3157</v>
      </c>
      <c r="F63" s="44">
        <v>0</v>
      </c>
      <c r="G63" s="44">
        <v>0</v>
      </c>
      <c r="H63" s="44">
        <v>0</v>
      </c>
      <c r="I63" s="44">
        <v>0</v>
      </c>
      <c r="J63" s="44">
        <v>716</v>
      </c>
      <c r="K63" s="44">
        <v>3759</v>
      </c>
      <c r="L63" s="44">
        <v>879</v>
      </c>
      <c r="M63" s="44">
        <v>3514</v>
      </c>
      <c r="N63" s="44">
        <v>19</v>
      </c>
      <c r="O63" s="44">
        <v>47</v>
      </c>
      <c r="P63" s="44">
        <v>868</v>
      </c>
      <c r="Q63" s="44">
        <v>1713</v>
      </c>
      <c r="R63" s="44">
        <v>2740</v>
      </c>
      <c r="S63" s="44">
        <v>7585</v>
      </c>
      <c r="T63" s="44">
        <v>2588</v>
      </c>
      <c r="U63" s="44">
        <v>6611</v>
      </c>
      <c r="V63" s="44">
        <v>0</v>
      </c>
      <c r="W63" s="44">
        <v>0</v>
      </c>
      <c r="X63" s="44">
        <v>0</v>
      </c>
      <c r="Y63" s="44">
        <v>0</v>
      </c>
      <c r="Z63" s="44">
        <v>15136</v>
      </c>
      <c r="AA63" s="44">
        <v>851</v>
      </c>
      <c r="AB63" s="44">
        <v>0</v>
      </c>
      <c r="AC63" s="44">
        <v>0</v>
      </c>
      <c r="AD63" s="36">
        <f t="shared" si="5"/>
        <v>18851</v>
      </c>
      <c r="AE63" s="36">
        <f t="shared" si="6"/>
        <v>13754</v>
      </c>
      <c r="AF63" s="36">
        <f t="shared" si="10"/>
        <v>4848</v>
      </c>
      <c r="AG63" s="41">
        <f t="shared" si="7"/>
        <v>-74.3</v>
      </c>
      <c r="AH63" s="36">
        <f t="shared" si="8"/>
        <v>14995</v>
      </c>
      <c r="AI63" s="41">
        <f t="shared" si="9"/>
        <v>9</v>
      </c>
    </row>
    <row r="64" spans="1:35" ht="19.5" hidden="1" customHeight="1">
      <c r="A64" s="43" t="s">
        <v>448</v>
      </c>
      <c r="B64" s="44">
        <v>358</v>
      </c>
      <c r="C64" s="44">
        <v>5764</v>
      </c>
      <c r="D64" s="44">
        <v>727</v>
      </c>
      <c r="E64" s="44">
        <v>10191</v>
      </c>
      <c r="F64" s="44">
        <v>8</v>
      </c>
      <c r="G64" s="44">
        <v>552</v>
      </c>
      <c r="H64" s="44">
        <v>9</v>
      </c>
      <c r="I64" s="44">
        <v>630</v>
      </c>
      <c r="J64" s="44">
        <v>994</v>
      </c>
      <c r="K64" s="44">
        <v>9149</v>
      </c>
      <c r="L64" s="44">
        <v>1019</v>
      </c>
      <c r="M64" s="44">
        <v>8171</v>
      </c>
      <c r="N64" s="44">
        <v>3</v>
      </c>
      <c r="O64" s="44">
        <v>0</v>
      </c>
      <c r="P64" s="44">
        <v>2</v>
      </c>
      <c r="Q64" s="44">
        <v>6</v>
      </c>
      <c r="R64" s="44">
        <v>10</v>
      </c>
      <c r="S64" s="44">
        <v>56</v>
      </c>
      <c r="T64" s="44">
        <v>1</v>
      </c>
      <c r="U64" s="44">
        <v>44</v>
      </c>
      <c r="V64" s="44">
        <v>1</v>
      </c>
      <c r="W64" s="44">
        <v>33</v>
      </c>
      <c r="X64" s="44">
        <v>0</v>
      </c>
      <c r="Y64" s="44">
        <v>17</v>
      </c>
      <c r="Z64" s="44">
        <v>0</v>
      </c>
      <c r="AA64" s="44">
        <v>3</v>
      </c>
      <c r="AB64" s="44">
        <v>0</v>
      </c>
      <c r="AC64" s="44">
        <v>1</v>
      </c>
      <c r="AD64" s="36">
        <f t="shared" si="5"/>
        <v>1374</v>
      </c>
      <c r="AE64" s="36">
        <f t="shared" si="6"/>
        <v>15557</v>
      </c>
      <c r="AF64" s="36">
        <f t="shared" si="10"/>
        <v>1758</v>
      </c>
      <c r="AG64" s="41">
        <f t="shared" si="7"/>
        <v>27.9</v>
      </c>
      <c r="AH64" s="36">
        <f t="shared" si="8"/>
        <v>19060</v>
      </c>
      <c r="AI64" s="41">
        <f t="shared" si="9"/>
        <v>22.5</v>
      </c>
    </row>
    <row r="65" spans="1:35" ht="19.5" hidden="1" customHeight="1">
      <c r="A65" s="43" t="s">
        <v>77</v>
      </c>
      <c r="B65" s="44">
        <v>188</v>
      </c>
      <c r="C65" s="44">
        <v>2376</v>
      </c>
      <c r="D65" s="44">
        <v>403</v>
      </c>
      <c r="E65" s="44">
        <v>3974</v>
      </c>
      <c r="F65" s="44">
        <v>0</v>
      </c>
      <c r="G65" s="44">
        <v>0</v>
      </c>
      <c r="H65" s="44">
        <v>0</v>
      </c>
      <c r="I65" s="44">
        <v>10</v>
      </c>
      <c r="J65" s="44">
        <v>5026</v>
      </c>
      <c r="K65" s="44">
        <v>11539</v>
      </c>
      <c r="L65" s="44">
        <v>4014</v>
      </c>
      <c r="M65" s="44">
        <v>9388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2</v>
      </c>
      <c r="AB65" s="44">
        <v>0</v>
      </c>
      <c r="AC65" s="44">
        <v>0</v>
      </c>
      <c r="AD65" s="36">
        <f t="shared" si="5"/>
        <v>5214</v>
      </c>
      <c r="AE65" s="36">
        <f t="shared" si="6"/>
        <v>13917</v>
      </c>
      <c r="AF65" s="36">
        <f t="shared" si="10"/>
        <v>4417</v>
      </c>
      <c r="AG65" s="41">
        <f t="shared" si="7"/>
        <v>-15.3</v>
      </c>
      <c r="AH65" s="36">
        <f t="shared" si="8"/>
        <v>13372</v>
      </c>
      <c r="AI65" s="41">
        <f t="shared" si="9"/>
        <v>-3.9</v>
      </c>
    </row>
    <row r="66" spans="1:35" ht="19.5" hidden="1" customHeight="1">
      <c r="A66" s="43" t="s">
        <v>75</v>
      </c>
      <c r="B66" s="44">
        <v>131</v>
      </c>
      <c r="C66" s="44">
        <v>1035</v>
      </c>
      <c r="D66" s="44">
        <v>392</v>
      </c>
      <c r="E66" s="44">
        <v>2890</v>
      </c>
      <c r="F66" s="44">
        <v>0</v>
      </c>
      <c r="G66" s="44">
        <v>0</v>
      </c>
      <c r="H66" s="44">
        <v>0</v>
      </c>
      <c r="I66" s="44">
        <v>3</v>
      </c>
      <c r="J66" s="44">
        <v>4711</v>
      </c>
      <c r="K66" s="44">
        <v>11566</v>
      </c>
      <c r="L66" s="44">
        <v>4048</v>
      </c>
      <c r="M66" s="44">
        <v>10103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0</v>
      </c>
      <c r="V66" s="44">
        <v>75</v>
      </c>
      <c r="W66" s="44">
        <v>1598</v>
      </c>
      <c r="X66" s="44">
        <v>1</v>
      </c>
      <c r="Y66" s="44">
        <v>16</v>
      </c>
      <c r="Z66" s="44">
        <v>41</v>
      </c>
      <c r="AA66" s="44">
        <v>208</v>
      </c>
      <c r="AB66" s="44">
        <v>1</v>
      </c>
      <c r="AC66" s="44">
        <v>43</v>
      </c>
      <c r="AD66" s="36">
        <f t="shared" si="5"/>
        <v>4958</v>
      </c>
      <c r="AE66" s="36">
        <f t="shared" si="6"/>
        <v>14407</v>
      </c>
      <c r="AF66" s="36">
        <f t="shared" si="10"/>
        <v>4442</v>
      </c>
      <c r="AG66" s="41">
        <f t="shared" si="7"/>
        <v>-10.4</v>
      </c>
      <c r="AH66" s="36">
        <f t="shared" si="8"/>
        <v>13055</v>
      </c>
      <c r="AI66" s="41">
        <f t="shared" si="9"/>
        <v>-9.4</v>
      </c>
    </row>
    <row r="67" spans="1:35" ht="19.5" hidden="1" customHeight="1">
      <c r="A67" s="43" t="s">
        <v>449</v>
      </c>
      <c r="B67" s="44">
        <v>468</v>
      </c>
      <c r="C67" s="44">
        <v>5413</v>
      </c>
      <c r="D67" s="44">
        <v>409</v>
      </c>
      <c r="E67" s="44">
        <v>4068</v>
      </c>
      <c r="F67" s="44">
        <v>0</v>
      </c>
      <c r="G67" s="44">
        <v>0</v>
      </c>
      <c r="H67" s="44">
        <v>1</v>
      </c>
      <c r="I67" s="44">
        <v>0</v>
      </c>
      <c r="J67" s="44">
        <v>140</v>
      </c>
      <c r="K67" s="44">
        <v>907</v>
      </c>
      <c r="L67" s="44">
        <v>890</v>
      </c>
      <c r="M67" s="44">
        <v>4271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1</v>
      </c>
      <c r="Z67" s="44">
        <v>0</v>
      </c>
      <c r="AA67" s="44">
        <v>10</v>
      </c>
      <c r="AB67" s="44">
        <v>0</v>
      </c>
      <c r="AC67" s="44">
        <v>29</v>
      </c>
      <c r="AD67" s="36">
        <f t="shared" si="5"/>
        <v>608</v>
      </c>
      <c r="AE67" s="36">
        <f t="shared" si="6"/>
        <v>6330</v>
      </c>
      <c r="AF67" s="36">
        <f t="shared" si="10"/>
        <v>1300</v>
      </c>
      <c r="AG67" s="41">
        <f t="shared" si="7"/>
        <v>113.8</v>
      </c>
      <c r="AH67" s="36">
        <f t="shared" si="8"/>
        <v>8369</v>
      </c>
      <c r="AI67" s="41">
        <f t="shared" si="9"/>
        <v>32.200000000000003</v>
      </c>
    </row>
    <row r="68" spans="1:35" ht="19.5" hidden="1" customHeight="1">
      <c r="A68" s="43" t="s">
        <v>68</v>
      </c>
      <c r="B68" s="44">
        <v>92</v>
      </c>
      <c r="C68" s="44">
        <v>1638</v>
      </c>
      <c r="D68" s="44">
        <v>198</v>
      </c>
      <c r="E68" s="44">
        <v>2261</v>
      </c>
      <c r="F68" s="44">
        <v>28</v>
      </c>
      <c r="G68" s="44">
        <v>339</v>
      </c>
      <c r="H68" s="44">
        <v>46</v>
      </c>
      <c r="I68" s="44">
        <v>251</v>
      </c>
      <c r="J68" s="44">
        <v>1767</v>
      </c>
      <c r="K68" s="44">
        <v>7283</v>
      </c>
      <c r="L68" s="44">
        <v>447</v>
      </c>
      <c r="M68" s="44">
        <v>2262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1</v>
      </c>
      <c r="T68" s="44">
        <v>0</v>
      </c>
      <c r="U68" s="44">
        <v>1</v>
      </c>
      <c r="V68" s="44">
        <v>0</v>
      </c>
      <c r="W68" s="44">
        <v>14</v>
      </c>
      <c r="X68" s="44">
        <v>0</v>
      </c>
      <c r="Y68" s="44">
        <v>4</v>
      </c>
      <c r="Z68" s="44">
        <v>10</v>
      </c>
      <c r="AA68" s="44">
        <v>1425</v>
      </c>
      <c r="AB68" s="44">
        <v>3</v>
      </c>
      <c r="AC68" s="44">
        <v>988</v>
      </c>
      <c r="AD68" s="36">
        <f t="shared" si="5"/>
        <v>1897</v>
      </c>
      <c r="AE68" s="36">
        <f t="shared" si="6"/>
        <v>10700</v>
      </c>
      <c r="AF68" s="36">
        <f t="shared" si="10"/>
        <v>694</v>
      </c>
      <c r="AG68" s="41">
        <f t="shared" si="7"/>
        <v>-63.4</v>
      </c>
      <c r="AH68" s="36">
        <f t="shared" si="8"/>
        <v>5767</v>
      </c>
      <c r="AI68" s="41">
        <f t="shared" si="9"/>
        <v>-46.1</v>
      </c>
    </row>
    <row r="69" spans="1:35" ht="19.5" hidden="1" customHeight="1">
      <c r="A69" s="43" t="s">
        <v>66</v>
      </c>
      <c r="B69" s="44">
        <v>487</v>
      </c>
      <c r="C69" s="44">
        <v>3284</v>
      </c>
      <c r="D69" s="44">
        <v>366</v>
      </c>
      <c r="E69" s="44">
        <v>2682</v>
      </c>
      <c r="F69" s="44">
        <v>4</v>
      </c>
      <c r="G69" s="44">
        <v>74</v>
      </c>
      <c r="H69" s="44">
        <v>14</v>
      </c>
      <c r="I69" s="44">
        <v>141</v>
      </c>
      <c r="J69" s="44">
        <v>721</v>
      </c>
      <c r="K69" s="44">
        <v>3130</v>
      </c>
      <c r="L69" s="44">
        <v>648</v>
      </c>
      <c r="M69" s="44">
        <v>3325</v>
      </c>
      <c r="N69" s="44">
        <v>0</v>
      </c>
      <c r="O69" s="44">
        <v>0</v>
      </c>
      <c r="P69" s="44">
        <v>0</v>
      </c>
      <c r="Q69" s="44">
        <v>0</v>
      </c>
      <c r="R69" s="44">
        <v>403</v>
      </c>
      <c r="S69" s="44">
        <v>1213</v>
      </c>
      <c r="T69" s="44">
        <v>283</v>
      </c>
      <c r="U69" s="44">
        <v>763</v>
      </c>
      <c r="V69" s="44">
        <v>10</v>
      </c>
      <c r="W69" s="44">
        <v>160</v>
      </c>
      <c r="X69" s="44">
        <v>0</v>
      </c>
      <c r="Y69" s="44">
        <v>5</v>
      </c>
      <c r="Z69" s="44">
        <v>10</v>
      </c>
      <c r="AA69" s="44">
        <v>584</v>
      </c>
      <c r="AB69" s="44">
        <v>4</v>
      </c>
      <c r="AC69" s="44">
        <v>194</v>
      </c>
      <c r="AD69" s="36">
        <f t="shared" si="5"/>
        <v>1635</v>
      </c>
      <c r="AE69" s="36">
        <f t="shared" si="6"/>
        <v>8445</v>
      </c>
      <c r="AF69" s="36">
        <f t="shared" si="10"/>
        <v>1315</v>
      </c>
      <c r="AG69" s="41">
        <f t="shared" si="7"/>
        <v>-19.600000000000001</v>
      </c>
      <c r="AH69" s="36">
        <f t="shared" si="8"/>
        <v>7110</v>
      </c>
      <c r="AI69" s="41">
        <f t="shared" si="9"/>
        <v>-15.8</v>
      </c>
    </row>
    <row r="70" spans="1:35" ht="19.5" hidden="1" customHeight="1">
      <c r="A70" s="43" t="s">
        <v>73</v>
      </c>
      <c r="B70" s="44">
        <v>265</v>
      </c>
      <c r="C70" s="44">
        <v>1667</v>
      </c>
      <c r="D70" s="44">
        <v>210</v>
      </c>
      <c r="E70" s="44">
        <v>1183</v>
      </c>
      <c r="F70" s="44">
        <v>0</v>
      </c>
      <c r="G70" s="44">
        <v>59</v>
      </c>
      <c r="H70" s="44">
        <v>19</v>
      </c>
      <c r="I70" s="44">
        <v>122</v>
      </c>
      <c r="J70" s="44">
        <v>2889</v>
      </c>
      <c r="K70" s="44">
        <v>6644</v>
      </c>
      <c r="L70" s="44">
        <v>382</v>
      </c>
      <c r="M70" s="44">
        <v>1540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7</v>
      </c>
      <c r="W70" s="44">
        <v>134</v>
      </c>
      <c r="X70" s="44">
        <v>0</v>
      </c>
      <c r="Y70" s="44">
        <v>0</v>
      </c>
      <c r="Z70" s="44">
        <v>0</v>
      </c>
      <c r="AA70" s="44">
        <v>1</v>
      </c>
      <c r="AB70" s="44">
        <v>1</v>
      </c>
      <c r="AC70" s="44">
        <v>39</v>
      </c>
      <c r="AD70" s="36">
        <f t="shared" si="5"/>
        <v>3161</v>
      </c>
      <c r="AE70" s="36">
        <f t="shared" si="6"/>
        <v>8505</v>
      </c>
      <c r="AF70" s="36">
        <f t="shared" si="10"/>
        <v>612</v>
      </c>
      <c r="AG70" s="41">
        <f t="shared" si="7"/>
        <v>-80.599999999999994</v>
      </c>
      <c r="AH70" s="36">
        <f t="shared" si="8"/>
        <v>2884</v>
      </c>
      <c r="AI70" s="41">
        <f t="shared" si="9"/>
        <v>-66.099999999999994</v>
      </c>
    </row>
    <row r="71" spans="1:35" ht="19.5" hidden="1" customHeight="1">
      <c r="A71" s="43" t="s">
        <v>71</v>
      </c>
      <c r="B71" s="44">
        <v>569</v>
      </c>
      <c r="C71" s="44">
        <v>4657</v>
      </c>
      <c r="D71" s="44">
        <v>477</v>
      </c>
      <c r="E71" s="44">
        <v>3568</v>
      </c>
      <c r="F71" s="44">
        <v>47</v>
      </c>
      <c r="G71" s="44">
        <v>795</v>
      </c>
      <c r="H71" s="44">
        <v>59</v>
      </c>
      <c r="I71" s="44">
        <v>226</v>
      </c>
      <c r="J71" s="44">
        <v>1629</v>
      </c>
      <c r="K71" s="44">
        <v>4303</v>
      </c>
      <c r="L71" s="44">
        <v>269</v>
      </c>
      <c r="M71" s="44">
        <v>840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1</v>
      </c>
      <c r="T71" s="44">
        <v>0</v>
      </c>
      <c r="U71" s="44">
        <v>1</v>
      </c>
      <c r="V71" s="44">
        <v>0</v>
      </c>
      <c r="W71" s="44">
        <v>0</v>
      </c>
      <c r="X71" s="44">
        <v>0</v>
      </c>
      <c r="Y71" s="44">
        <v>0</v>
      </c>
      <c r="Z71" s="44">
        <v>40</v>
      </c>
      <c r="AA71" s="44">
        <v>1118</v>
      </c>
      <c r="AB71" s="44">
        <v>33</v>
      </c>
      <c r="AC71" s="44">
        <v>135</v>
      </c>
      <c r="AD71" s="36">
        <f t="shared" si="5"/>
        <v>2285</v>
      </c>
      <c r="AE71" s="36">
        <f t="shared" si="6"/>
        <v>10874</v>
      </c>
      <c r="AF71" s="36">
        <f t="shared" si="10"/>
        <v>838</v>
      </c>
      <c r="AG71" s="41">
        <f t="shared" si="7"/>
        <v>-63.3</v>
      </c>
      <c r="AH71" s="36">
        <f t="shared" si="8"/>
        <v>4770</v>
      </c>
      <c r="AI71" s="41">
        <f t="shared" si="9"/>
        <v>-56.1</v>
      </c>
    </row>
    <row r="72" spans="1:35" ht="19.5" hidden="1" customHeight="1">
      <c r="A72" s="33" t="s">
        <v>70</v>
      </c>
      <c r="B72" s="44">
        <v>128</v>
      </c>
      <c r="C72" s="44">
        <v>217</v>
      </c>
      <c r="D72" s="44">
        <v>37</v>
      </c>
      <c r="E72" s="44">
        <v>248</v>
      </c>
      <c r="F72" s="44">
        <v>0</v>
      </c>
      <c r="G72" s="44">
        <v>0</v>
      </c>
      <c r="H72" s="44">
        <v>0</v>
      </c>
      <c r="I72" s="44">
        <v>0</v>
      </c>
      <c r="J72" s="44">
        <v>1226</v>
      </c>
      <c r="K72" s="44">
        <v>3108</v>
      </c>
      <c r="L72" s="44">
        <v>1809</v>
      </c>
      <c r="M72" s="44">
        <v>4115</v>
      </c>
      <c r="N72" s="44">
        <v>0</v>
      </c>
      <c r="O72" s="44">
        <v>0</v>
      </c>
      <c r="P72" s="44">
        <v>0</v>
      </c>
      <c r="Q72" s="44">
        <v>0</v>
      </c>
      <c r="R72" s="44">
        <v>1642</v>
      </c>
      <c r="S72" s="44">
        <v>4520</v>
      </c>
      <c r="T72" s="44">
        <v>564</v>
      </c>
      <c r="U72" s="44">
        <v>1393</v>
      </c>
      <c r="V72" s="44">
        <v>0</v>
      </c>
      <c r="W72" s="44">
        <v>0</v>
      </c>
      <c r="X72" s="44">
        <v>0</v>
      </c>
      <c r="Y72" s="44">
        <v>0</v>
      </c>
      <c r="Z72" s="44">
        <v>20</v>
      </c>
      <c r="AA72" s="44">
        <v>60</v>
      </c>
      <c r="AB72" s="44">
        <v>0</v>
      </c>
      <c r="AC72" s="44">
        <v>0</v>
      </c>
      <c r="AD72" s="36">
        <f t="shared" si="5"/>
        <v>3016</v>
      </c>
      <c r="AE72" s="36">
        <f t="shared" si="6"/>
        <v>7905</v>
      </c>
      <c r="AF72" s="36">
        <f t="shared" si="10"/>
        <v>2410</v>
      </c>
      <c r="AG72" s="41">
        <f t="shared" si="7"/>
        <v>-20.100000000000001</v>
      </c>
      <c r="AH72" s="36">
        <f t="shared" si="8"/>
        <v>5756</v>
      </c>
      <c r="AI72" s="41">
        <f t="shared" si="9"/>
        <v>-27.2</v>
      </c>
    </row>
    <row r="73" spans="1:35" ht="19.5" hidden="1" customHeight="1">
      <c r="A73" s="43" t="s">
        <v>74</v>
      </c>
      <c r="B73" s="44">
        <v>225</v>
      </c>
      <c r="C73" s="44">
        <v>1876</v>
      </c>
      <c r="D73" s="44">
        <v>280</v>
      </c>
      <c r="E73" s="44">
        <v>2267</v>
      </c>
      <c r="F73" s="44">
        <v>0</v>
      </c>
      <c r="G73" s="44">
        <v>31</v>
      </c>
      <c r="H73" s="44">
        <v>0</v>
      </c>
      <c r="I73" s="44">
        <v>21</v>
      </c>
      <c r="J73" s="44">
        <v>1164</v>
      </c>
      <c r="K73" s="44">
        <v>3142</v>
      </c>
      <c r="L73" s="44">
        <v>1128</v>
      </c>
      <c r="M73" s="44">
        <v>3066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15</v>
      </c>
      <c r="AB73" s="44">
        <v>315</v>
      </c>
      <c r="AC73" s="44">
        <v>792</v>
      </c>
      <c r="AD73" s="36">
        <f t="shared" si="5"/>
        <v>1389</v>
      </c>
      <c r="AE73" s="36">
        <f t="shared" si="6"/>
        <v>5064</v>
      </c>
      <c r="AF73" s="36">
        <f t="shared" si="10"/>
        <v>1723</v>
      </c>
      <c r="AG73" s="41">
        <f t="shared" si="7"/>
        <v>24</v>
      </c>
      <c r="AH73" s="36">
        <f t="shared" si="8"/>
        <v>6146</v>
      </c>
      <c r="AI73" s="41">
        <f t="shared" si="9"/>
        <v>21.4</v>
      </c>
    </row>
    <row r="74" spans="1:35" ht="19.5" hidden="1" customHeight="1">
      <c r="A74" s="33" t="s">
        <v>88</v>
      </c>
      <c r="B74" s="44">
        <v>0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5210</v>
      </c>
      <c r="K74" s="44">
        <v>12213</v>
      </c>
      <c r="L74" s="44">
        <v>1011</v>
      </c>
      <c r="M74" s="44">
        <v>2246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36">
        <f t="shared" si="5"/>
        <v>5210</v>
      </c>
      <c r="AE74" s="36">
        <f t="shared" si="6"/>
        <v>12213</v>
      </c>
      <c r="AF74" s="36">
        <f t="shared" si="10"/>
        <v>1011</v>
      </c>
      <c r="AG74" s="41">
        <f t="shared" si="7"/>
        <v>-80.599999999999994</v>
      </c>
      <c r="AH74" s="36">
        <f t="shared" si="8"/>
        <v>2246</v>
      </c>
      <c r="AI74" s="41">
        <f t="shared" si="9"/>
        <v>-81.599999999999994</v>
      </c>
    </row>
    <row r="75" spans="1:35" ht="19.5" hidden="1" customHeight="1">
      <c r="A75" s="33" t="s">
        <v>67</v>
      </c>
      <c r="B75" s="44">
        <v>2</v>
      </c>
      <c r="C75" s="44">
        <v>28</v>
      </c>
      <c r="D75" s="44">
        <v>42</v>
      </c>
      <c r="E75" s="44">
        <v>42</v>
      </c>
      <c r="F75" s="44">
        <v>0</v>
      </c>
      <c r="G75" s="44">
        <v>0</v>
      </c>
      <c r="H75" s="44">
        <v>0</v>
      </c>
      <c r="I75" s="44">
        <v>1</v>
      </c>
      <c r="J75" s="44">
        <v>3235</v>
      </c>
      <c r="K75" s="44">
        <v>8316</v>
      </c>
      <c r="L75" s="44">
        <v>2242</v>
      </c>
      <c r="M75" s="44">
        <v>5480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36">
        <f t="shared" si="5"/>
        <v>3237</v>
      </c>
      <c r="AE75" s="36">
        <f t="shared" si="6"/>
        <v>8344</v>
      </c>
      <c r="AF75" s="36">
        <f t="shared" si="10"/>
        <v>2284</v>
      </c>
      <c r="AG75" s="41">
        <f t="shared" si="7"/>
        <v>-29.4</v>
      </c>
      <c r="AH75" s="36">
        <f t="shared" si="8"/>
        <v>5523</v>
      </c>
      <c r="AI75" s="41">
        <f t="shared" si="9"/>
        <v>-33.799999999999997</v>
      </c>
    </row>
    <row r="76" spans="1:35" ht="19.5" hidden="1" customHeight="1">
      <c r="A76" s="43" t="s">
        <v>72</v>
      </c>
      <c r="B76" s="44">
        <v>190</v>
      </c>
      <c r="C76" s="44">
        <v>1320</v>
      </c>
      <c r="D76" s="44">
        <v>112</v>
      </c>
      <c r="E76" s="44">
        <v>1009</v>
      </c>
      <c r="F76" s="44">
        <v>0</v>
      </c>
      <c r="G76" s="44">
        <v>0</v>
      </c>
      <c r="H76" s="44">
        <v>0</v>
      </c>
      <c r="I76" s="44">
        <v>1</v>
      </c>
      <c r="J76" s="44">
        <v>1120</v>
      </c>
      <c r="K76" s="44">
        <v>4545</v>
      </c>
      <c r="L76" s="44">
        <v>650</v>
      </c>
      <c r="M76" s="44">
        <v>3749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1</v>
      </c>
      <c r="T76" s="44">
        <v>0</v>
      </c>
      <c r="U76" s="44">
        <v>4</v>
      </c>
      <c r="V76" s="44">
        <v>0</v>
      </c>
      <c r="W76" s="44">
        <v>0</v>
      </c>
      <c r="X76" s="44">
        <v>0</v>
      </c>
      <c r="Y76" s="44">
        <v>0</v>
      </c>
      <c r="Z76" s="44">
        <v>3</v>
      </c>
      <c r="AA76" s="44">
        <v>299</v>
      </c>
      <c r="AB76" s="44">
        <v>8</v>
      </c>
      <c r="AC76" s="44">
        <v>402</v>
      </c>
      <c r="AD76" s="36">
        <f t="shared" si="5"/>
        <v>1313</v>
      </c>
      <c r="AE76" s="36">
        <f t="shared" si="6"/>
        <v>6165</v>
      </c>
      <c r="AF76" s="36">
        <f t="shared" si="10"/>
        <v>770</v>
      </c>
      <c r="AG76" s="41">
        <f t="shared" si="7"/>
        <v>-41.4</v>
      </c>
      <c r="AH76" s="36">
        <f t="shared" si="8"/>
        <v>5165</v>
      </c>
      <c r="AI76" s="41">
        <f t="shared" si="9"/>
        <v>-16.2</v>
      </c>
    </row>
    <row r="77" spans="1:35" ht="19.5" hidden="1" customHeight="1">
      <c r="A77" s="43" t="s">
        <v>69</v>
      </c>
      <c r="B77" s="44">
        <v>128</v>
      </c>
      <c r="C77" s="44">
        <v>1360</v>
      </c>
      <c r="D77" s="44">
        <v>63</v>
      </c>
      <c r="E77" s="44">
        <v>770</v>
      </c>
      <c r="F77" s="44">
        <v>18</v>
      </c>
      <c r="G77" s="44">
        <v>96</v>
      </c>
      <c r="H77" s="44">
        <v>0</v>
      </c>
      <c r="I77" s="44">
        <v>4</v>
      </c>
      <c r="J77" s="44">
        <v>1362</v>
      </c>
      <c r="K77" s="44">
        <v>4104</v>
      </c>
      <c r="L77" s="44">
        <v>71</v>
      </c>
      <c r="M77" s="44">
        <v>895</v>
      </c>
      <c r="N77" s="44">
        <v>1</v>
      </c>
      <c r="O77" s="44">
        <v>0</v>
      </c>
      <c r="P77" s="44">
        <v>2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213</v>
      </c>
      <c r="AA77" s="44">
        <v>1799</v>
      </c>
      <c r="AB77" s="44">
        <v>153</v>
      </c>
      <c r="AC77" s="44">
        <v>1079</v>
      </c>
      <c r="AD77" s="36">
        <f t="shared" si="5"/>
        <v>1722</v>
      </c>
      <c r="AE77" s="36">
        <f t="shared" si="6"/>
        <v>7359</v>
      </c>
      <c r="AF77" s="36">
        <f t="shared" si="10"/>
        <v>289</v>
      </c>
      <c r="AG77" s="41">
        <f t="shared" si="7"/>
        <v>-83.2</v>
      </c>
      <c r="AH77" s="36">
        <f t="shared" si="8"/>
        <v>2748</v>
      </c>
      <c r="AI77" s="41">
        <f t="shared" si="9"/>
        <v>-62.7</v>
      </c>
    </row>
    <row r="78" spans="1:35" ht="19.5" hidden="1" customHeight="1">
      <c r="A78" s="34" t="s">
        <v>78</v>
      </c>
      <c r="B78" s="37">
        <f t="shared" ref="B78:G78" si="11">B79-SUM(B48:B77)</f>
        <v>2183</v>
      </c>
      <c r="C78" s="37">
        <f t="shared" si="11"/>
        <v>19312</v>
      </c>
      <c r="D78" s="37">
        <f t="shared" si="11"/>
        <v>2237</v>
      </c>
      <c r="E78" s="37">
        <f t="shared" si="11"/>
        <v>17293</v>
      </c>
      <c r="F78" s="37">
        <f t="shared" si="11"/>
        <v>141</v>
      </c>
      <c r="G78" s="37">
        <f t="shared" si="11"/>
        <v>758</v>
      </c>
      <c r="H78" s="37">
        <f t="shared" ref="H78:AC78" si="12">H79-SUM(H48:H77)</f>
        <v>103</v>
      </c>
      <c r="I78" s="37">
        <f t="shared" si="12"/>
        <v>1891</v>
      </c>
      <c r="J78" s="37">
        <f t="shared" si="12"/>
        <v>14060</v>
      </c>
      <c r="K78" s="37">
        <f t="shared" si="12"/>
        <v>42156</v>
      </c>
      <c r="L78" s="37">
        <f t="shared" si="12"/>
        <v>9409</v>
      </c>
      <c r="M78" s="37">
        <f t="shared" si="12"/>
        <v>30223</v>
      </c>
      <c r="N78" s="37">
        <f t="shared" si="12"/>
        <v>1351</v>
      </c>
      <c r="O78" s="37">
        <f t="shared" si="12"/>
        <v>2962</v>
      </c>
      <c r="P78" s="37">
        <f t="shared" si="12"/>
        <v>840</v>
      </c>
      <c r="Q78" s="37">
        <f t="shared" si="12"/>
        <v>1851</v>
      </c>
      <c r="R78" s="37">
        <f t="shared" si="12"/>
        <v>2367</v>
      </c>
      <c r="S78" s="37">
        <f t="shared" si="12"/>
        <v>6875</v>
      </c>
      <c r="T78" s="37">
        <f t="shared" si="12"/>
        <v>5556</v>
      </c>
      <c r="U78" s="37">
        <f t="shared" si="12"/>
        <v>13853</v>
      </c>
      <c r="V78" s="37">
        <f t="shared" si="12"/>
        <v>7</v>
      </c>
      <c r="W78" s="37">
        <f t="shared" si="12"/>
        <v>159</v>
      </c>
      <c r="X78" s="37">
        <f t="shared" si="12"/>
        <v>6</v>
      </c>
      <c r="Y78" s="37">
        <f t="shared" si="12"/>
        <v>51</v>
      </c>
      <c r="Z78" s="37">
        <f t="shared" si="12"/>
        <v>67</v>
      </c>
      <c r="AA78" s="37">
        <f t="shared" si="12"/>
        <v>1339</v>
      </c>
      <c r="AB78" s="37">
        <f t="shared" si="12"/>
        <v>205</v>
      </c>
      <c r="AC78" s="37">
        <f t="shared" si="12"/>
        <v>2702</v>
      </c>
      <c r="AD78" s="37">
        <f>AD79-SUM(AD48:AD77)</f>
        <v>20176</v>
      </c>
      <c r="AE78" s="37">
        <f>AE79-SUM(AE48:AE77)</f>
        <v>73561</v>
      </c>
      <c r="AF78" s="37">
        <f>AF79-SUM(AF48:AF77)</f>
        <v>18356</v>
      </c>
      <c r="AG78" s="41">
        <f t="shared" si="7"/>
        <v>-9</v>
      </c>
      <c r="AH78" s="37">
        <f>AH79-SUM(AH48:AH77)</f>
        <v>67864</v>
      </c>
      <c r="AI78" s="42">
        <f t="shared" si="9"/>
        <v>-7.7</v>
      </c>
    </row>
    <row r="79" spans="1:35" ht="19.5" hidden="1" customHeight="1">
      <c r="A79" s="467" t="s">
        <v>79</v>
      </c>
      <c r="B79" s="46">
        <v>109484</v>
      </c>
      <c r="C79" s="46">
        <v>750789</v>
      </c>
      <c r="D79" s="46">
        <v>104708</v>
      </c>
      <c r="E79" s="46">
        <v>710349</v>
      </c>
      <c r="F79" s="46">
        <v>2705</v>
      </c>
      <c r="G79" s="392">
        <v>29652</v>
      </c>
      <c r="H79" s="46">
        <v>2048</v>
      </c>
      <c r="I79" s="46">
        <v>21531</v>
      </c>
      <c r="J79" s="46">
        <v>177774</v>
      </c>
      <c r="K79" s="46">
        <v>587384</v>
      </c>
      <c r="L79" s="46">
        <v>193569</v>
      </c>
      <c r="M79" s="46">
        <v>587780</v>
      </c>
      <c r="N79" s="46">
        <v>60377</v>
      </c>
      <c r="O79" s="46">
        <v>131008</v>
      </c>
      <c r="P79" s="46">
        <v>60151</v>
      </c>
      <c r="Q79" s="46">
        <v>126971</v>
      </c>
      <c r="R79" s="46">
        <v>77388</v>
      </c>
      <c r="S79" s="46">
        <v>216360</v>
      </c>
      <c r="T79" s="46">
        <v>92556</v>
      </c>
      <c r="U79" s="46">
        <v>227239</v>
      </c>
      <c r="V79" s="46">
        <v>499</v>
      </c>
      <c r="W79" s="46">
        <v>8408</v>
      </c>
      <c r="X79" s="46">
        <v>242</v>
      </c>
      <c r="Y79" s="46">
        <v>7136</v>
      </c>
      <c r="Z79" s="46">
        <v>32775</v>
      </c>
      <c r="AA79" s="392">
        <v>50566</v>
      </c>
      <c r="AB79" s="46">
        <v>3145</v>
      </c>
      <c r="AC79" s="46">
        <v>39368</v>
      </c>
      <c r="AD79" s="39">
        <f>SUM(B79+F79+J79+N79+R79+V79+Z79)</f>
        <v>461002</v>
      </c>
      <c r="AE79" s="39">
        <f>SUM(C79+G79+K79+O79+S79+W79+AA79)</f>
        <v>1774167</v>
      </c>
      <c r="AF79" s="39">
        <f>SUM(D79+H79+L79+P79+T79+X79+AB79)</f>
        <v>456419</v>
      </c>
      <c r="AG79" s="226">
        <f t="shared" si="7"/>
        <v>-1</v>
      </c>
      <c r="AH79" s="39">
        <f>SUM(E79+I79+M79+Q79+U79+Y79+AC79)</f>
        <v>1720374</v>
      </c>
      <c r="AI79" s="42">
        <f t="shared" si="9"/>
        <v>-3</v>
      </c>
    </row>
    <row r="80" spans="1:35" hidden="1">
      <c r="I80" s="291"/>
    </row>
    <row r="81" spans="1:35" ht="22.5" hidden="1" customHeight="1">
      <c r="A81" s="1095" t="s">
        <v>539</v>
      </c>
      <c r="B81" s="1095"/>
      <c r="C81" s="1095"/>
      <c r="D81" s="1095"/>
      <c r="E81" s="1095"/>
      <c r="F81" s="1095"/>
      <c r="G81" s="1095"/>
      <c r="H81" s="1095"/>
      <c r="I81" s="1095"/>
      <c r="J81" s="1095"/>
      <c r="K81" s="1095"/>
      <c r="L81" s="1095"/>
      <c r="M81" s="1095"/>
      <c r="N81" s="1095"/>
      <c r="O81" s="1095"/>
      <c r="P81" s="1095"/>
      <c r="Q81" s="1095"/>
      <c r="R81" s="1095"/>
      <c r="S81" s="1095"/>
      <c r="T81" s="1095"/>
      <c r="U81" s="1095"/>
      <c r="V81" s="1095"/>
      <c r="W81" s="1095"/>
      <c r="X81" s="1095"/>
      <c r="Y81" s="1095"/>
      <c r="Z81" s="1095"/>
      <c r="AA81" s="1095"/>
      <c r="AB81" s="1095"/>
      <c r="AC81" s="1095"/>
      <c r="AD81" s="1095"/>
      <c r="AE81" s="1095"/>
      <c r="AF81" s="1095"/>
      <c r="AG81" s="1095"/>
      <c r="AH81" s="1095"/>
      <c r="AI81" s="1095"/>
    </row>
    <row r="82" spans="1:35" ht="16.5" hidden="1" customHeight="1">
      <c r="B82" s="25"/>
      <c r="E82" s="25"/>
    </row>
    <row r="83" spans="1:35" ht="16.5" hidden="1" customHeight="1">
      <c r="A83" s="27"/>
      <c r="B83" s="28"/>
      <c r="C83" s="28"/>
      <c r="D83" s="28"/>
      <c r="E83" s="28"/>
      <c r="F83" s="28"/>
      <c r="G83" s="27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9"/>
      <c r="S83" s="29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30" t="s">
        <v>0</v>
      </c>
    </row>
    <row r="84" spans="1:35" ht="21.75" hidden="1" customHeight="1">
      <c r="A84" s="1149" t="s">
        <v>43</v>
      </c>
      <c r="B84" s="1151" t="s">
        <v>518</v>
      </c>
      <c r="C84" s="1153"/>
      <c r="D84" s="1153"/>
      <c r="E84" s="1152"/>
      <c r="F84" s="1151" t="s">
        <v>519</v>
      </c>
      <c r="G84" s="1153"/>
      <c r="H84" s="1153"/>
      <c r="I84" s="1152"/>
      <c r="J84" s="1151" t="s">
        <v>520</v>
      </c>
      <c r="K84" s="1153"/>
      <c r="L84" s="1153"/>
      <c r="M84" s="1152"/>
      <c r="N84" s="1151" t="s">
        <v>521</v>
      </c>
      <c r="O84" s="1153"/>
      <c r="P84" s="1153"/>
      <c r="Q84" s="1152"/>
      <c r="R84" s="1151" t="s">
        <v>522</v>
      </c>
      <c r="S84" s="1153"/>
      <c r="T84" s="1153"/>
      <c r="U84" s="1152"/>
      <c r="V84" s="1151" t="s">
        <v>523</v>
      </c>
      <c r="W84" s="1153"/>
      <c r="X84" s="1153"/>
      <c r="Y84" s="1152"/>
      <c r="Z84" s="1151" t="s">
        <v>524</v>
      </c>
      <c r="AA84" s="1153"/>
      <c r="AB84" s="1153"/>
      <c r="AC84" s="1152"/>
      <c r="AD84" s="1151" t="s">
        <v>525</v>
      </c>
      <c r="AE84" s="1153"/>
      <c r="AF84" s="1153"/>
      <c r="AG84" s="1153"/>
      <c r="AH84" s="1153"/>
      <c r="AI84" s="1152"/>
    </row>
    <row r="85" spans="1:35" ht="21" hidden="1" customHeight="1">
      <c r="A85" s="1154"/>
      <c r="B85" s="1151" t="s">
        <v>315</v>
      </c>
      <c r="C85" s="1152"/>
      <c r="D85" s="1151" t="s">
        <v>459</v>
      </c>
      <c r="E85" s="1152"/>
      <c r="F85" s="1151" t="s">
        <v>315</v>
      </c>
      <c r="G85" s="1152"/>
      <c r="H85" s="1151" t="s">
        <v>459</v>
      </c>
      <c r="I85" s="1152"/>
      <c r="J85" s="1151" t="s">
        <v>315</v>
      </c>
      <c r="K85" s="1152"/>
      <c r="L85" s="1151" t="s">
        <v>459</v>
      </c>
      <c r="M85" s="1152"/>
      <c r="N85" s="1151" t="s">
        <v>315</v>
      </c>
      <c r="O85" s="1152"/>
      <c r="P85" s="1151" t="s">
        <v>459</v>
      </c>
      <c r="Q85" s="1152"/>
      <c r="R85" s="1151" t="s">
        <v>315</v>
      </c>
      <c r="S85" s="1152"/>
      <c r="T85" s="1151" t="s">
        <v>459</v>
      </c>
      <c r="U85" s="1152"/>
      <c r="V85" s="1151" t="s">
        <v>315</v>
      </c>
      <c r="W85" s="1152"/>
      <c r="X85" s="1151" t="s">
        <v>459</v>
      </c>
      <c r="Y85" s="1152"/>
      <c r="Z85" s="1151" t="s">
        <v>315</v>
      </c>
      <c r="AA85" s="1152"/>
      <c r="AB85" s="1151" t="s">
        <v>459</v>
      </c>
      <c r="AC85" s="1152"/>
      <c r="AD85" s="1151" t="s">
        <v>315</v>
      </c>
      <c r="AE85" s="1152"/>
      <c r="AF85" s="1151" t="s">
        <v>459</v>
      </c>
      <c r="AG85" s="1153"/>
      <c r="AH85" s="1153"/>
      <c r="AI85" s="1152"/>
    </row>
    <row r="86" spans="1:35" hidden="1">
      <c r="A86" s="1154"/>
      <c r="B86" s="1149" t="s">
        <v>44</v>
      </c>
      <c r="C86" s="1149" t="s">
        <v>45</v>
      </c>
      <c r="D86" s="1149" t="s">
        <v>46</v>
      </c>
      <c r="E86" s="1149" t="s">
        <v>45</v>
      </c>
      <c r="F86" s="1149" t="s">
        <v>47</v>
      </c>
      <c r="G86" s="1149" t="s">
        <v>45</v>
      </c>
      <c r="H86" s="1149" t="s">
        <v>46</v>
      </c>
      <c r="I86" s="1149" t="s">
        <v>45</v>
      </c>
      <c r="J86" s="1149" t="s">
        <v>44</v>
      </c>
      <c r="K86" s="1149" t="s">
        <v>45</v>
      </c>
      <c r="L86" s="1149" t="s">
        <v>46</v>
      </c>
      <c r="M86" s="1149" t="s">
        <v>45</v>
      </c>
      <c r="N86" s="1149" t="s">
        <v>44</v>
      </c>
      <c r="O86" s="1149" t="s">
        <v>45</v>
      </c>
      <c r="P86" s="1149" t="s">
        <v>46</v>
      </c>
      <c r="Q86" s="1149" t="s">
        <v>45</v>
      </c>
      <c r="R86" s="1149" t="s">
        <v>44</v>
      </c>
      <c r="S86" s="1149" t="s">
        <v>45</v>
      </c>
      <c r="T86" s="1149" t="s">
        <v>46</v>
      </c>
      <c r="U86" s="1149" t="s">
        <v>45</v>
      </c>
      <c r="V86" s="1149" t="s">
        <v>44</v>
      </c>
      <c r="W86" s="1149" t="s">
        <v>45</v>
      </c>
      <c r="X86" s="1149" t="s">
        <v>48</v>
      </c>
      <c r="Y86" s="1149" t="s">
        <v>45</v>
      </c>
      <c r="Z86" s="1149" t="s">
        <v>44</v>
      </c>
      <c r="AA86" s="1149" t="s">
        <v>45</v>
      </c>
      <c r="AB86" s="1149" t="s">
        <v>46</v>
      </c>
      <c r="AC86" s="1149" t="s">
        <v>45</v>
      </c>
      <c r="AD86" s="1149" t="s">
        <v>44</v>
      </c>
      <c r="AE86" s="1149" t="s">
        <v>45</v>
      </c>
      <c r="AF86" s="1147" t="s">
        <v>46</v>
      </c>
      <c r="AG86" s="31"/>
      <c r="AH86" s="1147" t="s">
        <v>45</v>
      </c>
      <c r="AI86" s="31"/>
    </row>
    <row r="87" spans="1:35" ht="17.25" hidden="1" thickBot="1">
      <c r="A87" s="1150"/>
      <c r="B87" s="1150"/>
      <c r="C87" s="1150"/>
      <c r="D87" s="1150"/>
      <c r="E87" s="1150"/>
      <c r="F87" s="1150"/>
      <c r="G87" s="1150"/>
      <c r="H87" s="1150"/>
      <c r="I87" s="1150"/>
      <c r="J87" s="1150"/>
      <c r="K87" s="1150"/>
      <c r="L87" s="1150"/>
      <c r="M87" s="1150"/>
      <c r="N87" s="1150"/>
      <c r="O87" s="1150"/>
      <c r="P87" s="1150"/>
      <c r="Q87" s="1150"/>
      <c r="R87" s="1150"/>
      <c r="S87" s="1150"/>
      <c r="T87" s="1150"/>
      <c r="U87" s="1150"/>
      <c r="V87" s="1150"/>
      <c r="W87" s="1150"/>
      <c r="X87" s="1150"/>
      <c r="Y87" s="1150"/>
      <c r="Z87" s="1150"/>
      <c r="AA87" s="1150"/>
      <c r="AB87" s="1150"/>
      <c r="AC87" s="1150"/>
      <c r="AD87" s="1150"/>
      <c r="AE87" s="1150"/>
      <c r="AF87" s="1148"/>
      <c r="AG87" s="32" t="s">
        <v>49</v>
      </c>
      <c r="AH87" s="1148"/>
      <c r="AI87" s="32" t="s">
        <v>49</v>
      </c>
    </row>
    <row r="88" spans="1:35" ht="19.5" hidden="1" customHeight="1" thickTop="1">
      <c r="A88" s="43" t="s">
        <v>50</v>
      </c>
      <c r="B88" s="44">
        <v>65415</v>
      </c>
      <c r="C88" s="44">
        <v>450281</v>
      </c>
      <c r="D88" s="44">
        <v>52178</v>
      </c>
      <c r="E88" s="44">
        <v>360610</v>
      </c>
      <c r="F88" s="44">
        <v>1279</v>
      </c>
      <c r="G88" s="44">
        <v>13707</v>
      </c>
      <c r="H88" s="44">
        <v>1091</v>
      </c>
      <c r="I88" s="44">
        <v>6713</v>
      </c>
      <c r="J88" s="44">
        <v>21266</v>
      </c>
      <c r="K88" s="44">
        <v>93341</v>
      </c>
      <c r="L88" s="44">
        <v>60945</v>
      </c>
      <c r="M88" s="44">
        <v>167294</v>
      </c>
      <c r="N88" s="44">
        <v>15329</v>
      </c>
      <c r="O88" s="44">
        <v>32769</v>
      </c>
      <c r="P88" s="44">
        <v>1142</v>
      </c>
      <c r="Q88" s="44">
        <v>2717</v>
      </c>
      <c r="R88" s="44">
        <v>15242</v>
      </c>
      <c r="S88" s="44">
        <v>43435</v>
      </c>
      <c r="T88" s="44">
        <v>9815</v>
      </c>
      <c r="U88" s="44">
        <v>22719</v>
      </c>
      <c r="V88" s="44">
        <v>62</v>
      </c>
      <c r="W88" s="44">
        <v>1737</v>
      </c>
      <c r="X88" s="44">
        <v>55</v>
      </c>
      <c r="Y88" s="44">
        <v>1955</v>
      </c>
      <c r="Z88" s="44">
        <v>631</v>
      </c>
      <c r="AA88" s="44">
        <v>19283</v>
      </c>
      <c r="AB88" s="44">
        <v>1745</v>
      </c>
      <c r="AC88" s="44">
        <v>18356</v>
      </c>
      <c r="AD88" s="36">
        <f t="shared" ref="AD88:AD117" si="13">SUM(B88+F88+J88+N88+R88+V88+Z88)</f>
        <v>119224</v>
      </c>
      <c r="AE88" s="36">
        <f>SUM(C88+G88+K88+O88+S88+W88+AA88)</f>
        <v>654553</v>
      </c>
      <c r="AF88" s="36">
        <f>SUM(D88+H88+L88+P88+T88+X88+AB88)</f>
        <v>126971</v>
      </c>
      <c r="AG88" s="41">
        <f>ROUND(((AF88/AD88-1)*100),1)</f>
        <v>6.5</v>
      </c>
      <c r="AH88" s="36">
        <f>SUM(E88+I88+M88+Q88+U88+Y88+AC88)</f>
        <v>580364</v>
      </c>
      <c r="AI88" s="41">
        <f>ROUND(((AH88/AE88-1)*100),1)</f>
        <v>-11.3</v>
      </c>
    </row>
    <row r="89" spans="1:35" ht="19.5" hidden="1" customHeight="1">
      <c r="A89" s="43" t="s">
        <v>51</v>
      </c>
      <c r="B89" s="44">
        <v>16440</v>
      </c>
      <c r="C89" s="44">
        <v>125676</v>
      </c>
      <c r="D89" s="44">
        <v>17101</v>
      </c>
      <c r="E89" s="44">
        <v>130265</v>
      </c>
      <c r="F89" s="44">
        <v>250</v>
      </c>
      <c r="G89" s="44">
        <v>5805</v>
      </c>
      <c r="H89" s="44">
        <v>78</v>
      </c>
      <c r="I89" s="44">
        <v>2841</v>
      </c>
      <c r="J89" s="44">
        <v>54508</v>
      </c>
      <c r="K89" s="44">
        <v>153001</v>
      </c>
      <c r="L89" s="44">
        <v>61794</v>
      </c>
      <c r="M89" s="44">
        <v>165227</v>
      </c>
      <c r="N89" s="44">
        <v>15455</v>
      </c>
      <c r="O89" s="44">
        <v>34246</v>
      </c>
      <c r="P89" s="44">
        <v>23833</v>
      </c>
      <c r="Q89" s="44">
        <v>49755</v>
      </c>
      <c r="R89" s="44">
        <v>13000</v>
      </c>
      <c r="S89" s="44">
        <v>37126</v>
      </c>
      <c r="T89" s="44">
        <v>20021</v>
      </c>
      <c r="U89" s="44">
        <v>48606</v>
      </c>
      <c r="V89" s="44">
        <v>77</v>
      </c>
      <c r="W89" s="44">
        <v>1400</v>
      </c>
      <c r="X89" s="44">
        <v>72</v>
      </c>
      <c r="Y89" s="44">
        <v>1274</v>
      </c>
      <c r="Z89" s="44">
        <v>775</v>
      </c>
      <c r="AA89" s="44">
        <v>4937</v>
      </c>
      <c r="AB89" s="44">
        <v>34</v>
      </c>
      <c r="AC89" s="44">
        <v>2349</v>
      </c>
      <c r="AD89" s="36">
        <f t="shared" si="13"/>
        <v>100505</v>
      </c>
      <c r="AE89" s="36">
        <f t="shared" ref="AE89:AE117" si="14">SUM(C89+G89+K89+O89+S89+W89+AA89)</f>
        <v>362191</v>
      </c>
      <c r="AF89" s="36">
        <f>SUM(D89+H89+L89+P89+T89+X89+AB89)</f>
        <v>122933</v>
      </c>
      <c r="AG89" s="41">
        <f t="shared" ref="AG89:AG119" si="15">ROUND(((AF89/AD89-1)*100),1)</f>
        <v>22.3</v>
      </c>
      <c r="AH89" s="36">
        <f t="shared" ref="AH89:AH117" si="16">SUM(E89+I89+M89+Q89+U89+Y89+AC89)</f>
        <v>400317</v>
      </c>
      <c r="AI89" s="41">
        <f t="shared" ref="AI89:AI119" si="17">ROUND(((AH89/AE89-1)*100),1)</f>
        <v>10.5</v>
      </c>
    </row>
    <row r="90" spans="1:35" ht="19.5" hidden="1" customHeight="1">
      <c r="A90" s="43" t="s">
        <v>53</v>
      </c>
      <c r="B90" s="44">
        <v>7023</v>
      </c>
      <c r="C90" s="44">
        <v>61300</v>
      </c>
      <c r="D90" s="44">
        <v>7946</v>
      </c>
      <c r="E90" s="44">
        <v>68330</v>
      </c>
      <c r="F90" s="44">
        <v>174</v>
      </c>
      <c r="G90" s="44">
        <v>1897</v>
      </c>
      <c r="H90" s="44">
        <v>189</v>
      </c>
      <c r="I90" s="44">
        <v>2123</v>
      </c>
      <c r="J90" s="44">
        <v>32994</v>
      </c>
      <c r="K90" s="44">
        <v>125861</v>
      </c>
      <c r="L90" s="44">
        <v>24644</v>
      </c>
      <c r="M90" s="44">
        <v>94983</v>
      </c>
      <c r="N90" s="44">
        <v>17544</v>
      </c>
      <c r="O90" s="44">
        <v>38224</v>
      </c>
      <c r="P90" s="44">
        <v>20683</v>
      </c>
      <c r="Q90" s="44">
        <v>41408</v>
      </c>
      <c r="R90" s="44">
        <v>32</v>
      </c>
      <c r="S90" s="44">
        <v>423</v>
      </c>
      <c r="T90" s="44">
        <v>30080</v>
      </c>
      <c r="U90" s="44">
        <v>62618</v>
      </c>
      <c r="V90" s="44">
        <v>0</v>
      </c>
      <c r="W90" s="44">
        <v>723</v>
      </c>
      <c r="X90" s="44">
        <v>3</v>
      </c>
      <c r="Y90" s="44">
        <v>553</v>
      </c>
      <c r="Z90" s="44">
        <v>827</v>
      </c>
      <c r="AA90" s="44">
        <v>10234</v>
      </c>
      <c r="AB90" s="44">
        <v>827</v>
      </c>
      <c r="AC90" s="44">
        <v>9922</v>
      </c>
      <c r="AD90" s="36">
        <f t="shared" si="13"/>
        <v>58594</v>
      </c>
      <c r="AE90" s="36">
        <f t="shared" si="14"/>
        <v>238662</v>
      </c>
      <c r="AF90" s="36">
        <f t="shared" ref="AF90:AF117" si="18">SUM(D90+H90+L90+P90+T90+X90+AB90)</f>
        <v>84372</v>
      </c>
      <c r="AG90" s="41">
        <f t="shared" si="15"/>
        <v>44</v>
      </c>
      <c r="AH90" s="36">
        <f t="shared" si="16"/>
        <v>279937</v>
      </c>
      <c r="AI90" s="41">
        <f t="shared" si="17"/>
        <v>17.3</v>
      </c>
    </row>
    <row r="91" spans="1:35" ht="19.5" hidden="1" customHeight="1">
      <c r="A91" s="43" t="s">
        <v>52</v>
      </c>
      <c r="B91" s="44">
        <v>2572</v>
      </c>
      <c r="C91" s="44">
        <v>17641</v>
      </c>
      <c r="D91" s="44">
        <v>3075</v>
      </c>
      <c r="E91" s="44">
        <v>19361</v>
      </c>
      <c r="F91" s="44">
        <v>604</v>
      </c>
      <c r="G91" s="44">
        <v>7068</v>
      </c>
      <c r="H91" s="44">
        <v>284</v>
      </c>
      <c r="I91" s="44">
        <v>4096</v>
      </c>
      <c r="J91" s="44">
        <v>16118</v>
      </c>
      <c r="K91" s="44">
        <v>48081</v>
      </c>
      <c r="L91" s="44">
        <v>20248</v>
      </c>
      <c r="M91" s="44">
        <v>52894</v>
      </c>
      <c r="N91" s="44">
        <v>20520</v>
      </c>
      <c r="O91" s="44">
        <v>45057</v>
      </c>
      <c r="P91" s="44">
        <v>26231</v>
      </c>
      <c r="Q91" s="44">
        <v>53608</v>
      </c>
      <c r="R91" s="44">
        <v>26611</v>
      </c>
      <c r="S91" s="44">
        <v>77759</v>
      </c>
      <c r="T91" s="44">
        <v>31004</v>
      </c>
      <c r="U91" s="44">
        <v>73671</v>
      </c>
      <c r="V91" s="44">
        <v>150</v>
      </c>
      <c r="W91" s="44">
        <v>150</v>
      </c>
      <c r="X91" s="44">
        <v>2</v>
      </c>
      <c r="Y91" s="44">
        <v>43</v>
      </c>
      <c r="Z91" s="44">
        <v>15285</v>
      </c>
      <c r="AA91" s="44">
        <v>3654</v>
      </c>
      <c r="AB91" s="44">
        <v>392</v>
      </c>
      <c r="AC91" s="44">
        <v>1657</v>
      </c>
      <c r="AD91" s="36">
        <f t="shared" si="13"/>
        <v>81860</v>
      </c>
      <c r="AE91" s="36">
        <f t="shared" si="14"/>
        <v>199410</v>
      </c>
      <c r="AF91" s="36">
        <f t="shared" si="18"/>
        <v>81236</v>
      </c>
      <c r="AG91" s="41">
        <f t="shared" si="15"/>
        <v>-0.8</v>
      </c>
      <c r="AH91" s="36">
        <f t="shared" si="16"/>
        <v>205330</v>
      </c>
      <c r="AI91" s="41">
        <f t="shared" si="17"/>
        <v>3</v>
      </c>
    </row>
    <row r="92" spans="1:35" ht="19.5" hidden="1" customHeight="1">
      <c r="A92" s="43" t="s">
        <v>54</v>
      </c>
      <c r="B92" s="44">
        <v>7375</v>
      </c>
      <c r="C92" s="44">
        <v>54456</v>
      </c>
      <c r="D92" s="44">
        <v>6463</v>
      </c>
      <c r="E92" s="44">
        <v>44505</v>
      </c>
      <c r="F92" s="44">
        <v>2014</v>
      </c>
      <c r="G92" s="44">
        <v>8448</v>
      </c>
      <c r="H92" s="44">
        <v>1383</v>
      </c>
      <c r="I92" s="44">
        <v>9494</v>
      </c>
      <c r="J92" s="44">
        <v>14892</v>
      </c>
      <c r="K92" s="44">
        <v>64814</v>
      </c>
      <c r="L92" s="44">
        <v>18627</v>
      </c>
      <c r="M92" s="44">
        <v>72645</v>
      </c>
      <c r="N92" s="44">
        <v>2327</v>
      </c>
      <c r="O92" s="44">
        <v>5083</v>
      </c>
      <c r="P92" s="44">
        <v>1626</v>
      </c>
      <c r="Q92" s="44">
        <v>3342</v>
      </c>
      <c r="R92" s="44">
        <v>658</v>
      </c>
      <c r="S92" s="44">
        <v>2157</v>
      </c>
      <c r="T92" s="44">
        <v>442</v>
      </c>
      <c r="U92" s="44">
        <v>1222</v>
      </c>
      <c r="V92" s="44">
        <v>64</v>
      </c>
      <c r="W92" s="44">
        <v>564</v>
      </c>
      <c r="X92" s="44">
        <v>70</v>
      </c>
      <c r="Y92" s="44">
        <v>660</v>
      </c>
      <c r="Z92" s="44">
        <v>633</v>
      </c>
      <c r="AA92" s="44">
        <v>20398</v>
      </c>
      <c r="AB92" s="44">
        <v>439</v>
      </c>
      <c r="AC92" s="44">
        <v>9807</v>
      </c>
      <c r="AD92" s="36">
        <f t="shared" si="13"/>
        <v>27963</v>
      </c>
      <c r="AE92" s="36">
        <f t="shared" si="14"/>
        <v>155920</v>
      </c>
      <c r="AF92" s="36">
        <f t="shared" si="18"/>
        <v>29050</v>
      </c>
      <c r="AG92" s="41">
        <f t="shared" si="15"/>
        <v>3.9</v>
      </c>
      <c r="AH92" s="36">
        <f t="shared" si="16"/>
        <v>141675</v>
      </c>
      <c r="AI92" s="41">
        <f t="shared" si="17"/>
        <v>-9.1</v>
      </c>
    </row>
    <row r="93" spans="1:35" ht="19.5" hidden="1" customHeight="1">
      <c r="A93" s="43" t="s">
        <v>56</v>
      </c>
      <c r="B93" s="44">
        <v>22375</v>
      </c>
      <c r="C93" s="44">
        <v>96377</v>
      </c>
      <c r="D93" s="44">
        <v>19788</v>
      </c>
      <c r="E93" s="44">
        <v>86193</v>
      </c>
      <c r="F93" s="44">
        <v>27</v>
      </c>
      <c r="G93" s="44">
        <v>789</v>
      </c>
      <c r="H93" s="44">
        <v>25</v>
      </c>
      <c r="I93" s="44">
        <v>800</v>
      </c>
      <c r="J93" s="44">
        <v>6310</v>
      </c>
      <c r="K93" s="44">
        <v>24219</v>
      </c>
      <c r="L93" s="44">
        <v>5443</v>
      </c>
      <c r="M93" s="44">
        <v>18332</v>
      </c>
      <c r="N93" s="44">
        <v>3959</v>
      </c>
      <c r="O93" s="44">
        <v>8466</v>
      </c>
      <c r="P93" s="44">
        <v>1152</v>
      </c>
      <c r="Q93" s="44">
        <v>2317</v>
      </c>
      <c r="R93" s="44">
        <v>3064</v>
      </c>
      <c r="S93" s="44">
        <v>8672</v>
      </c>
      <c r="T93" s="44">
        <v>6359</v>
      </c>
      <c r="U93" s="44">
        <v>15262</v>
      </c>
      <c r="V93" s="44">
        <v>3</v>
      </c>
      <c r="W93" s="44">
        <v>88</v>
      </c>
      <c r="X93" s="44">
        <v>8</v>
      </c>
      <c r="Y93" s="44">
        <v>144</v>
      </c>
      <c r="Z93" s="44">
        <v>160</v>
      </c>
      <c r="AA93" s="44">
        <v>2457</v>
      </c>
      <c r="AB93" s="44">
        <v>87</v>
      </c>
      <c r="AC93" s="44">
        <v>2949</v>
      </c>
      <c r="AD93" s="36">
        <f t="shared" si="13"/>
        <v>35898</v>
      </c>
      <c r="AE93" s="36">
        <f t="shared" si="14"/>
        <v>141068</v>
      </c>
      <c r="AF93" s="36">
        <f t="shared" si="18"/>
        <v>32862</v>
      </c>
      <c r="AG93" s="41">
        <f t="shared" si="15"/>
        <v>-8.5</v>
      </c>
      <c r="AH93" s="36">
        <f t="shared" si="16"/>
        <v>125997</v>
      </c>
      <c r="AI93" s="41">
        <f t="shared" si="17"/>
        <v>-10.7</v>
      </c>
    </row>
    <row r="94" spans="1:35" ht="19.5" hidden="1" customHeight="1">
      <c r="A94" s="43" t="s">
        <v>57</v>
      </c>
      <c r="B94" s="44">
        <v>6826</v>
      </c>
      <c r="C94" s="44">
        <v>62889</v>
      </c>
      <c r="D94" s="44">
        <v>9962</v>
      </c>
      <c r="E94" s="44">
        <v>79884</v>
      </c>
      <c r="F94" s="44">
        <v>10</v>
      </c>
      <c r="G94" s="44">
        <v>490</v>
      </c>
      <c r="H94" s="44">
        <v>10</v>
      </c>
      <c r="I94" s="44">
        <v>269</v>
      </c>
      <c r="J94" s="44">
        <v>3507</v>
      </c>
      <c r="K94" s="44">
        <v>19146</v>
      </c>
      <c r="L94" s="44">
        <v>3018</v>
      </c>
      <c r="M94" s="44">
        <v>19823</v>
      </c>
      <c r="N94" s="44">
        <v>667</v>
      </c>
      <c r="O94" s="44">
        <v>1526</v>
      </c>
      <c r="P94" s="44">
        <v>408</v>
      </c>
      <c r="Q94" s="44">
        <v>873</v>
      </c>
      <c r="R94" s="44">
        <v>10868</v>
      </c>
      <c r="S94" s="44">
        <v>25758</v>
      </c>
      <c r="T94" s="44">
        <v>10564</v>
      </c>
      <c r="U94" s="44">
        <v>22592</v>
      </c>
      <c r="V94" s="44">
        <v>54</v>
      </c>
      <c r="W94" s="44">
        <v>2506</v>
      </c>
      <c r="X94" s="44">
        <v>29</v>
      </c>
      <c r="Y94" s="44">
        <v>2664</v>
      </c>
      <c r="Z94" s="44">
        <v>81</v>
      </c>
      <c r="AA94" s="44">
        <v>2433</v>
      </c>
      <c r="AB94" s="44">
        <v>117</v>
      </c>
      <c r="AC94" s="44">
        <v>3136</v>
      </c>
      <c r="AD94" s="36">
        <f t="shared" si="13"/>
        <v>22013</v>
      </c>
      <c r="AE94" s="36">
        <f t="shared" si="14"/>
        <v>114748</v>
      </c>
      <c r="AF94" s="36">
        <f t="shared" si="18"/>
        <v>24108</v>
      </c>
      <c r="AG94" s="41">
        <f t="shared" si="15"/>
        <v>9.5</v>
      </c>
      <c r="AH94" s="36">
        <f t="shared" si="16"/>
        <v>129241</v>
      </c>
      <c r="AI94" s="41">
        <f t="shared" si="17"/>
        <v>12.6</v>
      </c>
    </row>
    <row r="95" spans="1:35" ht="19.5" hidden="1" customHeight="1">
      <c r="A95" s="43" t="s">
        <v>55</v>
      </c>
      <c r="B95" s="44">
        <v>6556</v>
      </c>
      <c r="C95" s="44">
        <v>35605</v>
      </c>
      <c r="D95" s="44">
        <v>7644</v>
      </c>
      <c r="E95" s="44">
        <v>43581</v>
      </c>
      <c r="F95" s="44">
        <v>22</v>
      </c>
      <c r="G95" s="44">
        <v>208</v>
      </c>
      <c r="H95" s="44">
        <v>15</v>
      </c>
      <c r="I95" s="44">
        <v>239</v>
      </c>
      <c r="J95" s="44">
        <v>12182</v>
      </c>
      <c r="K95" s="44">
        <v>38693</v>
      </c>
      <c r="L95" s="44">
        <v>12908</v>
      </c>
      <c r="M95" s="44">
        <v>37814</v>
      </c>
      <c r="N95" s="44">
        <v>5814</v>
      </c>
      <c r="O95" s="44">
        <v>12400</v>
      </c>
      <c r="P95" s="44">
        <v>4771</v>
      </c>
      <c r="Q95" s="44">
        <v>9880</v>
      </c>
      <c r="R95" s="44">
        <v>5445</v>
      </c>
      <c r="S95" s="44">
        <v>15723</v>
      </c>
      <c r="T95" s="44">
        <v>7993</v>
      </c>
      <c r="U95" s="44">
        <v>19500</v>
      </c>
      <c r="V95" s="44">
        <v>23</v>
      </c>
      <c r="W95" s="44">
        <v>578</v>
      </c>
      <c r="X95" s="44">
        <v>28</v>
      </c>
      <c r="Y95" s="44">
        <v>641</v>
      </c>
      <c r="Z95" s="44">
        <v>2</v>
      </c>
      <c r="AA95" s="44">
        <v>327</v>
      </c>
      <c r="AB95" s="44">
        <v>62</v>
      </c>
      <c r="AC95" s="44">
        <v>553</v>
      </c>
      <c r="AD95" s="36">
        <f t="shared" si="13"/>
        <v>30044</v>
      </c>
      <c r="AE95" s="36">
        <f t="shared" si="14"/>
        <v>103534</v>
      </c>
      <c r="AF95" s="36">
        <f t="shared" si="18"/>
        <v>33421</v>
      </c>
      <c r="AG95" s="41">
        <f t="shared" si="15"/>
        <v>11.2</v>
      </c>
      <c r="AH95" s="36">
        <f t="shared" si="16"/>
        <v>112208</v>
      </c>
      <c r="AI95" s="41">
        <f t="shared" si="17"/>
        <v>8.4</v>
      </c>
    </row>
    <row r="96" spans="1:35" ht="19.5" hidden="1" customHeight="1">
      <c r="A96" s="43" t="s">
        <v>59</v>
      </c>
      <c r="B96" s="44">
        <v>10138</v>
      </c>
      <c r="C96" s="44">
        <v>66469</v>
      </c>
      <c r="D96" s="44">
        <v>11023</v>
      </c>
      <c r="E96" s="44">
        <v>66396</v>
      </c>
      <c r="F96" s="44">
        <v>33</v>
      </c>
      <c r="G96" s="44">
        <v>2194</v>
      </c>
      <c r="H96" s="44">
        <v>38</v>
      </c>
      <c r="I96" s="44">
        <v>1099</v>
      </c>
      <c r="J96" s="44">
        <v>1342</v>
      </c>
      <c r="K96" s="44">
        <v>6824</v>
      </c>
      <c r="L96" s="44">
        <v>3052</v>
      </c>
      <c r="M96" s="44">
        <v>14039</v>
      </c>
      <c r="N96" s="44">
        <v>0</v>
      </c>
      <c r="O96" s="44">
        <v>0</v>
      </c>
      <c r="P96" s="44">
        <v>5</v>
      </c>
      <c r="Q96" s="44">
        <v>132</v>
      </c>
      <c r="R96" s="44">
        <v>1063</v>
      </c>
      <c r="S96" s="44">
        <v>3147</v>
      </c>
      <c r="T96" s="44">
        <v>823</v>
      </c>
      <c r="U96" s="44">
        <v>2020</v>
      </c>
      <c r="V96" s="44">
        <v>61</v>
      </c>
      <c r="W96" s="44">
        <v>1899</v>
      </c>
      <c r="X96" s="44">
        <v>37</v>
      </c>
      <c r="Y96" s="44">
        <v>1211</v>
      </c>
      <c r="Z96" s="44">
        <v>23</v>
      </c>
      <c r="AA96" s="44">
        <v>38</v>
      </c>
      <c r="AB96" s="44">
        <v>0</v>
      </c>
      <c r="AC96" s="44">
        <v>104</v>
      </c>
      <c r="AD96" s="36">
        <f t="shared" si="13"/>
        <v>12660</v>
      </c>
      <c r="AE96" s="36">
        <f t="shared" si="14"/>
        <v>80571</v>
      </c>
      <c r="AF96" s="36">
        <f t="shared" si="18"/>
        <v>14978</v>
      </c>
      <c r="AG96" s="41">
        <f t="shared" si="15"/>
        <v>18.3</v>
      </c>
      <c r="AH96" s="36">
        <f t="shared" si="16"/>
        <v>85001</v>
      </c>
      <c r="AI96" s="41">
        <f t="shared" si="17"/>
        <v>5.5</v>
      </c>
    </row>
    <row r="97" spans="1:35" ht="19.5" hidden="1" customHeight="1">
      <c r="A97" s="43" t="s">
        <v>58</v>
      </c>
      <c r="B97" s="44">
        <v>1919</v>
      </c>
      <c r="C97" s="44">
        <v>12328</v>
      </c>
      <c r="D97" s="44">
        <v>3353</v>
      </c>
      <c r="E97" s="44">
        <v>20564</v>
      </c>
      <c r="F97" s="44">
        <v>24</v>
      </c>
      <c r="G97" s="44">
        <v>388</v>
      </c>
      <c r="H97" s="44">
        <v>43</v>
      </c>
      <c r="I97" s="44">
        <v>534</v>
      </c>
      <c r="J97" s="44">
        <v>7798</v>
      </c>
      <c r="K97" s="44">
        <v>24258</v>
      </c>
      <c r="L97" s="44">
        <v>4790</v>
      </c>
      <c r="M97" s="44">
        <v>15588</v>
      </c>
      <c r="N97" s="44">
        <v>6004</v>
      </c>
      <c r="O97" s="44">
        <v>13150</v>
      </c>
      <c r="P97" s="44">
        <v>6314</v>
      </c>
      <c r="Q97" s="44">
        <v>12830</v>
      </c>
      <c r="R97" s="44">
        <v>8955</v>
      </c>
      <c r="S97" s="44">
        <v>24980</v>
      </c>
      <c r="T97" s="44">
        <v>10146</v>
      </c>
      <c r="U97" s="44">
        <v>24258</v>
      </c>
      <c r="V97" s="44">
        <v>9</v>
      </c>
      <c r="W97" s="44">
        <v>233</v>
      </c>
      <c r="X97" s="44">
        <v>10</v>
      </c>
      <c r="Y97" s="44">
        <v>261</v>
      </c>
      <c r="Z97" s="44">
        <v>10</v>
      </c>
      <c r="AA97" s="44">
        <v>187</v>
      </c>
      <c r="AB97" s="44">
        <v>0</v>
      </c>
      <c r="AC97" s="44">
        <v>9</v>
      </c>
      <c r="AD97" s="36">
        <f t="shared" si="13"/>
        <v>24719</v>
      </c>
      <c r="AE97" s="36">
        <f t="shared" si="14"/>
        <v>75524</v>
      </c>
      <c r="AF97" s="36">
        <f t="shared" si="18"/>
        <v>24656</v>
      </c>
      <c r="AG97" s="41">
        <f t="shared" si="15"/>
        <v>-0.3</v>
      </c>
      <c r="AH97" s="36">
        <f t="shared" si="16"/>
        <v>74044</v>
      </c>
      <c r="AI97" s="41">
        <f t="shared" si="17"/>
        <v>-2</v>
      </c>
    </row>
    <row r="98" spans="1:35" ht="19.5" hidden="1" customHeight="1">
      <c r="A98" s="43" t="s">
        <v>61</v>
      </c>
      <c r="B98" s="44">
        <v>4164</v>
      </c>
      <c r="C98" s="44">
        <v>27595</v>
      </c>
      <c r="D98" s="44">
        <v>3668</v>
      </c>
      <c r="E98" s="44">
        <v>24053</v>
      </c>
      <c r="F98" s="44">
        <v>4</v>
      </c>
      <c r="G98" s="44">
        <v>33</v>
      </c>
      <c r="H98" s="44">
        <v>1</v>
      </c>
      <c r="I98" s="44">
        <v>14</v>
      </c>
      <c r="J98" s="44">
        <v>11993</v>
      </c>
      <c r="K98" s="44">
        <v>34112</v>
      </c>
      <c r="L98" s="44">
        <v>11985</v>
      </c>
      <c r="M98" s="44">
        <v>33038</v>
      </c>
      <c r="N98" s="44">
        <v>380</v>
      </c>
      <c r="O98" s="44">
        <v>1703</v>
      </c>
      <c r="P98" s="44">
        <v>751</v>
      </c>
      <c r="Q98" s="44">
        <v>3760</v>
      </c>
      <c r="R98" s="44">
        <v>2916</v>
      </c>
      <c r="S98" s="44">
        <v>8698</v>
      </c>
      <c r="T98" s="44">
        <v>1312</v>
      </c>
      <c r="U98" s="44">
        <v>3401</v>
      </c>
      <c r="V98" s="44">
        <v>0</v>
      </c>
      <c r="W98" s="44">
        <v>0</v>
      </c>
      <c r="X98" s="44">
        <v>0</v>
      </c>
      <c r="Y98" s="44">
        <v>0</v>
      </c>
      <c r="Z98" s="44">
        <v>15</v>
      </c>
      <c r="AA98" s="44">
        <v>245</v>
      </c>
      <c r="AB98" s="44">
        <v>6</v>
      </c>
      <c r="AC98" s="44">
        <v>173</v>
      </c>
      <c r="AD98" s="36">
        <f t="shared" si="13"/>
        <v>19472</v>
      </c>
      <c r="AE98" s="36">
        <f t="shared" si="14"/>
        <v>72386</v>
      </c>
      <c r="AF98" s="36">
        <f t="shared" si="18"/>
        <v>17723</v>
      </c>
      <c r="AG98" s="41">
        <f t="shared" si="15"/>
        <v>-9</v>
      </c>
      <c r="AH98" s="36">
        <f t="shared" si="16"/>
        <v>64439</v>
      </c>
      <c r="AI98" s="41">
        <f t="shared" si="17"/>
        <v>-11</v>
      </c>
    </row>
    <row r="99" spans="1:35" ht="19.5" hidden="1" customHeight="1">
      <c r="A99" s="43" t="s">
        <v>60</v>
      </c>
      <c r="B99" s="44">
        <v>3246</v>
      </c>
      <c r="C99" s="44">
        <v>23608</v>
      </c>
      <c r="D99" s="44">
        <v>3922</v>
      </c>
      <c r="E99" s="44">
        <v>19665</v>
      </c>
      <c r="F99" s="44">
        <v>0</v>
      </c>
      <c r="G99" s="44">
        <v>36</v>
      </c>
      <c r="H99" s="44">
        <v>2</v>
      </c>
      <c r="I99" s="44">
        <v>144</v>
      </c>
      <c r="J99" s="44">
        <v>902</v>
      </c>
      <c r="K99" s="44">
        <v>4241</v>
      </c>
      <c r="L99" s="44">
        <v>911</v>
      </c>
      <c r="M99" s="44">
        <v>5647</v>
      </c>
      <c r="N99" s="44">
        <v>0</v>
      </c>
      <c r="O99" s="44">
        <v>0</v>
      </c>
      <c r="P99" s="44">
        <v>35</v>
      </c>
      <c r="Q99" s="44">
        <v>96</v>
      </c>
      <c r="R99" s="44">
        <v>8433</v>
      </c>
      <c r="S99" s="44">
        <v>25662</v>
      </c>
      <c r="T99" s="44">
        <v>5680</v>
      </c>
      <c r="U99" s="44">
        <v>13284</v>
      </c>
      <c r="V99" s="44">
        <v>2</v>
      </c>
      <c r="W99" s="44">
        <v>48</v>
      </c>
      <c r="X99" s="44">
        <v>0</v>
      </c>
      <c r="Y99" s="44">
        <v>0</v>
      </c>
      <c r="Z99" s="44">
        <v>269</v>
      </c>
      <c r="AA99" s="44">
        <v>1510</v>
      </c>
      <c r="AB99" s="44">
        <v>369</v>
      </c>
      <c r="AC99" s="44">
        <v>1584</v>
      </c>
      <c r="AD99" s="36">
        <f t="shared" si="13"/>
        <v>12852</v>
      </c>
      <c r="AE99" s="36">
        <f t="shared" si="14"/>
        <v>55105</v>
      </c>
      <c r="AF99" s="36">
        <f t="shared" si="18"/>
        <v>10919</v>
      </c>
      <c r="AG99" s="41">
        <f t="shared" si="15"/>
        <v>-15</v>
      </c>
      <c r="AH99" s="36">
        <f t="shared" si="16"/>
        <v>40420</v>
      </c>
      <c r="AI99" s="41">
        <f t="shared" si="17"/>
        <v>-26.6</v>
      </c>
    </row>
    <row r="100" spans="1:35" ht="19.5" hidden="1" customHeight="1">
      <c r="A100" s="43" t="s">
        <v>65</v>
      </c>
      <c r="B100" s="44">
        <v>1368</v>
      </c>
      <c r="C100" s="44">
        <v>9661</v>
      </c>
      <c r="D100" s="44">
        <v>590</v>
      </c>
      <c r="E100" s="44">
        <v>3959</v>
      </c>
      <c r="F100" s="44">
        <v>0</v>
      </c>
      <c r="G100" s="44">
        <v>7</v>
      </c>
      <c r="H100" s="44">
        <v>1</v>
      </c>
      <c r="I100" s="44">
        <v>10</v>
      </c>
      <c r="J100" s="44">
        <v>11717</v>
      </c>
      <c r="K100" s="44">
        <v>32644</v>
      </c>
      <c r="L100" s="44">
        <v>12824</v>
      </c>
      <c r="M100" s="44">
        <v>35606</v>
      </c>
      <c r="N100" s="44">
        <v>1</v>
      </c>
      <c r="O100" s="44">
        <v>8</v>
      </c>
      <c r="P100" s="44">
        <v>0</v>
      </c>
      <c r="Q100" s="44">
        <v>0</v>
      </c>
      <c r="R100" s="44">
        <v>11</v>
      </c>
      <c r="S100" s="44">
        <v>119</v>
      </c>
      <c r="T100" s="44">
        <v>9</v>
      </c>
      <c r="U100" s="44">
        <v>104</v>
      </c>
      <c r="V100" s="44">
        <v>2</v>
      </c>
      <c r="W100" s="44">
        <v>71</v>
      </c>
      <c r="X100" s="44">
        <v>1</v>
      </c>
      <c r="Y100" s="44">
        <v>35</v>
      </c>
      <c r="Z100" s="44">
        <v>1</v>
      </c>
      <c r="AA100" s="44">
        <v>78</v>
      </c>
      <c r="AB100" s="44">
        <v>0</v>
      </c>
      <c r="AC100" s="44">
        <v>28</v>
      </c>
      <c r="AD100" s="36">
        <f t="shared" si="13"/>
        <v>13100</v>
      </c>
      <c r="AE100" s="36">
        <f t="shared" si="14"/>
        <v>42588</v>
      </c>
      <c r="AF100" s="36">
        <f t="shared" si="18"/>
        <v>13425</v>
      </c>
      <c r="AG100" s="41">
        <f t="shared" si="15"/>
        <v>2.5</v>
      </c>
      <c r="AH100" s="36">
        <f t="shared" si="16"/>
        <v>39742</v>
      </c>
      <c r="AI100" s="41">
        <f t="shared" si="17"/>
        <v>-6.7</v>
      </c>
    </row>
    <row r="101" spans="1:35" ht="19.5" hidden="1" customHeight="1">
      <c r="A101" s="43" t="s">
        <v>63</v>
      </c>
      <c r="B101" s="44">
        <v>234</v>
      </c>
      <c r="C101" s="44">
        <v>2192</v>
      </c>
      <c r="D101" s="44">
        <v>517</v>
      </c>
      <c r="E101" s="44">
        <v>3936</v>
      </c>
      <c r="F101" s="44">
        <v>11</v>
      </c>
      <c r="G101" s="44">
        <v>814</v>
      </c>
      <c r="H101" s="44">
        <v>3</v>
      </c>
      <c r="I101" s="44">
        <v>140</v>
      </c>
      <c r="J101" s="44">
        <v>5286</v>
      </c>
      <c r="K101" s="44">
        <v>13941</v>
      </c>
      <c r="L101" s="44">
        <v>7412</v>
      </c>
      <c r="M101" s="44">
        <v>17704</v>
      </c>
      <c r="N101" s="44">
        <v>0</v>
      </c>
      <c r="O101" s="44">
        <v>0</v>
      </c>
      <c r="P101" s="44">
        <v>16</v>
      </c>
      <c r="Q101" s="44">
        <v>32</v>
      </c>
      <c r="R101" s="44">
        <v>3260</v>
      </c>
      <c r="S101" s="44">
        <v>9189</v>
      </c>
      <c r="T101" s="44">
        <v>4143</v>
      </c>
      <c r="U101" s="44">
        <v>9711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12</v>
      </c>
      <c r="AB101" s="44">
        <v>0</v>
      </c>
      <c r="AC101" s="44">
        <v>5</v>
      </c>
      <c r="AD101" s="36">
        <f t="shared" si="13"/>
        <v>8791</v>
      </c>
      <c r="AE101" s="36">
        <f t="shared" si="14"/>
        <v>26148</v>
      </c>
      <c r="AF101" s="36">
        <f t="shared" si="18"/>
        <v>12091</v>
      </c>
      <c r="AG101" s="41">
        <f t="shared" si="15"/>
        <v>37.5</v>
      </c>
      <c r="AH101" s="36">
        <f t="shared" si="16"/>
        <v>31528</v>
      </c>
      <c r="AI101" s="41">
        <f t="shared" si="17"/>
        <v>20.6</v>
      </c>
    </row>
    <row r="102" spans="1:35" ht="19.5" hidden="1" customHeight="1">
      <c r="A102" s="43" t="s">
        <v>64</v>
      </c>
      <c r="B102" s="44">
        <v>612</v>
      </c>
      <c r="C102" s="44">
        <v>4643</v>
      </c>
      <c r="D102" s="44">
        <v>590</v>
      </c>
      <c r="E102" s="44">
        <v>4415</v>
      </c>
      <c r="F102" s="44">
        <v>5</v>
      </c>
      <c r="G102" s="44">
        <v>232</v>
      </c>
      <c r="H102" s="44">
        <v>10</v>
      </c>
      <c r="I102" s="44">
        <v>896</v>
      </c>
      <c r="J102" s="44">
        <v>3273</v>
      </c>
      <c r="K102" s="44">
        <v>9294</v>
      </c>
      <c r="L102" s="44">
        <v>2624</v>
      </c>
      <c r="M102" s="44">
        <v>7277</v>
      </c>
      <c r="N102" s="44">
        <v>0</v>
      </c>
      <c r="O102" s="44">
        <v>0</v>
      </c>
      <c r="P102" s="44">
        <v>0</v>
      </c>
      <c r="Q102" s="44">
        <v>0</v>
      </c>
      <c r="R102" s="44">
        <v>4116</v>
      </c>
      <c r="S102" s="44">
        <v>12025</v>
      </c>
      <c r="T102" s="44">
        <v>2933</v>
      </c>
      <c r="U102" s="44">
        <v>6840</v>
      </c>
      <c r="V102" s="44">
        <v>80</v>
      </c>
      <c r="W102" s="44">
        <v>464</v>
      </c>
      <c r="X102" s="44">
        <v>69</v>
      </c>
      <c r="Y102" s="44">
        <v>392</v>
      </c>
      <c r="Z102" s="44">
        <v>15</v>
      </c>
      <c r="AA102" s="44">
        <v>78</v>
      </c>
      <c r="AB102" s="44">
        <v>0</v>
      </c>
      <c r="AC102" s="44">
        <v>28</v>
      </c>
      <c r="AD102" s="36">
        <f t="shared" si="13"/>
        <v>8101</v>
      </c>
      <c r="AE102" s="36">
        <f t="shared" si="14"/>
        <v>26736</v>
      </c>
      <c r="AF102" s="36">
        <f t="shared" si="18"/>
        <v>6226</v>
      </c>
      <c r="AG102" s="41">
        <f t="shared" si="15"/>
        <v>-23.1</v>
      </c>
      <c r="AH102" s="36">
        <f t="shared" si="16"/>
        <v>19848</v>
      </c>
      <c r="AI102" s="41">
        <f t="shared" si="17"/>
        <v>-25.8</v>
      </c>
    </row>
    <row r="103" spans="1:35" ht="19.5" hidden="1" customHeight="1">
      <c r="A103" s="43" t="s">
        <v>62</v>
      </c>
      <c r="B103" s="44">
        <v>660</v>
      </c>
      <c r="C103" s="44">
        <v>4289</v>
      </c>
      <c r="D103" s="44">
        <v>763</v>
      </c>
      <c r="E103" s="44">
        <v>4580</v>
      </c>
      <c r="F103" s="44">
        <v>0</v>
      </c>
      <c r="G103" s="44">
        <v>0</v>
      </c>
      <c r="H103" s="44">
        <v>0</v>
      </c>
      <c r="I103" s="44">
        <v>0</v>
      </c>
      <c r="J103" s="44">
        <v>1259</v>
      </c>
      <c r="K103" s="44">
        <v>6206</v>
      </c>
      <c r="L103" s="44">
        <v>1202</v>
      </c>
      <c r="M103" s="44">
        <v>5125</v>
      </c>
      <c r="N103" s="44">
        <v>175</v>
      </c>
      <c r="O103" s="44">
        <v>429</v>
      </c>
      <c r="P103" s="44">
        <v>1713</v>
      </c>
      <c r="Q103" s="44">
        <v>3347</v>
      </c>
      <c r="R103" s="44">
        <v>4445</v>
      </c>
      <c r="S103" s="44">
        <v>12452</v>
      </c>
      <c r="T103" s="44">
        <v>3683</v>
      </c>
      <c r="U103" s="44">
        <v>9122</v>
      </c>
      <c r="V103" s="44">
        <v>0</v>
      </c>
      <c r="W103" s="44">
        <v>0</v>
      </c>
      <c r="X103" s="44">
        <v>0</v>
      </c>
      <c r="Y103" s="44">
        <v>0</v>
      </c>
      <c r="Z103" s="44">
        <v>15136</v>
      </c>
      <c r="AA103" s="44">
        <v>851</v>
      </c>
      <c r="AB103" s="44">
        <v>0</v>
      </c>
      <c r="AC103" s="44">
        <v>0</v>
      </c>
      <c r="AD103" s="36">
        <f t="shared" si="13"/>
        <v>21675</v>
      </c>
      <c r="AE103" s="36">
        <f t="shared" si="14"/>
        <v>24227</v>
      </c>
      <c r="AF103" s="36">
        <f t="shared" si="18"/>
        <v>7361</v>
      </c>
      <c r="AG103" s="41">
        <f t="shared" si="15"/>
        <v>-66</v>
      </c>
      <c r="AH103" s="36">
        <f t="shared" si="16"/>
        <v>22174</v>
      </c>
      <c r="AI103" s="41">
        <f t="shared" si="17"/>
        <v>-8.5</v>
      </c>
    </row>
    <row r="104" spans="1:35" ht="19.5" hidden="1" customHeight="1">
      <c r="A104" s="43" t="s">
        <v>448</v>
      </c>
      <c r="B104" s="44">
        <v>462</v>
      </c>
      <c r="C104" s="44">
        <v>7230</v>
      </c>
      <c r="D104" s="44">
        <v>1480</v>
      </c>
      <c r="E104" s="44">
        <v>20510</v>
      </c>
      <c r="F104" s="44">
        <v>11</v>
      </c>
      <c r="G104" s="44">
        <v>814</v>
      </c>
      <c r="H104" s="44">
        <v>11</v>
      </c>
      <c r="I104" s="44">
        <v>738</v>
      </c>
      <c r="J104" s="44">
        <v>2588</v>
      </c>
      <c r="K104" s="44">
        <v>17486</v>
      </c>
      <c r="L104" s="44">
        <v>1805</v>
      </c>
      <c r="M104" s="44">
        <v>13834</v>
      </c>
      <c r="N104" s="44">
        <v>3</v>
      </c>
      <c r="O104" s="44">
        <v>0</v>
      </c>
      <c r="P104" s="44">
        <v>3</v>
      </c>
      <c r="Q104" s="44">
        <v>12</v>
      </c>
      <c r="R104" s="44">
        <v>13</v>
      </c>
      <c r="S104" s="44">
        <v>68</v>
      </c>
      <c r="T104" s="44">
        <v>2</v>
      </c>
      <c r="U104" s="44">
        <v>74</v>
      </c>
      <c r="V104" s="44">
        <v>1</v>
      </c>
      <c r="W104" s="44">
        <v>51</v>
      </c>
      <c r="X104" s="44">
        <v>1</v>
      </c>
      <c r="Y104" s="44">
        <v>28</v>
      </c>
      <c r="Z104" s="44">
        <v>0</v>
      </c>
      <c r="AA104" s="44">
        <v>3</v>
      </c>
      <c r="AB104" s="44">
        <v>0</v>
      </c>
      <c r="AC104" s="44">
        <v>5</v>
      </c>
      <c r="AD104" s="36">
        <f t="shared" si="13"/>
        <v>3078</v>
      </c>
      <c r="AE104" s="36">
        <f t="shared" si="14"/>
        <v>25652</v>
      </c>
      <c r="AF104" s="36">
        <f t="shared" si="18"/>
        <v>3302</v>
      </c>
      <c r="AG104" s="41">
        <f t="shared" si="15"/>
        <v>7.3</v>
      </c>
      <c r="AH104" s="36">
        <f t="shared" si="16"/>
        <v>35201</v>
      </c>
      <c r="AI104" s="41">
        <f t="shared" si="17"/>
        <v>37.200000000000003</v>
      </c>
    </row>
    <row r="105" spans="1:35" ht="19.5" hidden="1" customHeight="1">
      <c r="A105" s="43" t="s">
        <v>77</v>
      </c>
      <c r="B105" s="44">
        <v>239</v>
      </c>
      <c r="C105" s="44">
        <v>3006</v>
      </c>
      <c r="D105" s="44">
        <v>541</v>
      </c>
      <c r="E105" s="44">
        <v>5338</v>
      </c>
      <c r="F105" s="44">
        <v>0</v>
      </c>
      <c r="G105" s="44">
        <v>0</v>
      </c>
      <c r="H105" s="44">
        <v>0</v>
      </c>
      <c r="I105" s="44">
        <v>21</v>
      </c>
      <c r="J105" s="44">
        <v>7191</v>
      </c>
      <c r="K105" s="44">
        <v>16367</v>
      </c>
      <c r="L105" s="44">
        <v>6685</v>
      </c>
      <c r="M105" s="44">
        <v>15340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7</v>
      </c>
      <c r="V105" s="44">
        <v>0</v>
      </c>
      <c r="W105" s="44">
        <v>0</v>
      </c>
      <c r="X105" s="44">
        <v>0</v>
      </c>
      <c r="Y105" s="44">
        <v>0</v>
      </c>
      <c r="Z105" s="44">
        <v>1</v>
      </c>
      <c r="AA105" s="44">
        <v>10</v>
      </c>
      <c r="AB105" s="44">
        <v>1</v>
      </c>
      <c r="AC105" s="44">
        <v>7</v>
      </c>
      <c r="AD105" s="36">
        <f t="shared" si="13"/>
        <v>7431</v>
      </c>
      <c r="AE105" s="36">
        <f t="shared" si="14"/>
        <v>19383</v>
      </c>
      <c r="AF105" s="36">
        <f t="shared" si="18"/>
        <v>7227</v>
      </c>
      <c r="AG105" s="41">
        <f t="shared" si="15"/>
        <v>-2.7</v>
      </c>
      <c r="AH105" s="36">
        <f t="shared" si="16"/>
        <v>20713</v>
      </c>
      <c r="AI105" s="41">
        <f t="shared" si="17"/>
        <v>6.9</v>
      </c>
    </row>
    <row r="106" spans="1:35" ht="19.5" hidden="1" customHeight="1">
      <c r="A106" s="43" t="s">
        <v>75</v>
      </c>
      <c r="B106" s="44">
        <v>139</v>
      </c>
      <c r="C106" s="44">
        <v>1146</v>
      </c>
      <c r="D106" s="44">
        <v>629</v>
      </c>
      <c r="E106" s="44">
        <v>4530</v>
      </c>
      <c r="F106" s="44">
        <v>0</v>
      </c>
      <c r="G106" s="44">
        <v>0</v>
      </c>
      <c r="H106" s="44">
        <v>0</v>
      </c>
      <c r="I106" s="44">
        <v>9</v>
      </c>
      <c r="J106" s="44">
        <v>6672</v>
      </c>
      <c r="K106" s="44">
        <v>17280</v>
      </c>
      <c r="L106" s="44">
        <v>6531</v>
      </c>
      <c r="M106" s="44">
        <v>16258</v>
      </c>
      <c r="N106" s="44">
        <v>0</v>
      </c>
      <c r="O106" s="44">
        <v>0</v>
      </c>
      <c r="P106" s="44">
        <v>0</v>
      </c>
      <c r="Q106" s="44">
        <v>0</v>
      </c>
      <c r="R106" s="44">
        <v>3</v>
      </c>
      <c r="S106" s="44">
        <v>10</v>
      </c>
      <c r="T106" s="44">
        <v>0</v>
      </c>
      <c r="U106" s="44">
        <v>1</v>
      </c>
      <c r="V106" s="44">
        <v>75</v>
      </c>
      <c r="W106" s="44">
        <v>1598</v>
      </c>
      <c r="X106" s="44">
        <v>1</v>
      </c>
      <c r="Y106" s="44">
        <v>16</v>
      </c>
      <c r="Z106" s="44">
        <v>60</v>
      </c>
      <c r="AA106" s="44">
        <v>219</v>
      </c>
      <c r="AB106" s="44">
        <v>15</v>
      </c>
      <c r="AC106" s="44">
        <v>103</v>
      </c>
      <c r="AD106" s="36">
        <f t="shared" si="13"/>
        <v>6949</v>
      </c>
      <c r="AE106" s="36">
        <f t="shared" si="14"/>
        <v>20253</v>
      </c>
      <c r="AF106" s="36">
        <f t="shared" si="18"/>
        <v>7176</v>
      </c>
      <c r="AG106" s="41">
        <f t="shared" si="15"/>
        <v>3.3</v>
      </c>
      <c r="AH106" s="36">
        <f t="shared" si="16"/>
        <v>20917</v>
      </c>
      <c r="AI106" s="41">
        <f t="shared" si="17"/>
        <v>3.3</v>
      </c>
    </row>
    <row r="107" spans="1:35" ht="19.5" hidden="1" customHeight="1">
      <c r="A107" s="43" t="s">
        <v>449</v>
      </c>
      <c r="B107" s="44">
        <v>646</v>
      </c>
      <c r="C107" s="44">
        <v>7584</v>
      </c>
      <c r="D107" s="44">
        <v>867</v>
      </c>
      <c r="E107" s="44">
        <v>9497</v>
      </c>
      <c r="F107" s="44">
        <v>0</v>
      </c>
      <c r="G107" s="44">
        <v>0</v>
      </c>
      <c r="H107" s="44">
        <v>1</v>
      </c>
      <c r="I107" s="44">
        <v>0</v>
      </c>
      <c r="J107" s="44">
        <v>266</v>
      </c>
      <c r="K107" s="44">
        <v>2692</v>
      </c>
      <c r="L107" s="44">
        <v>1517</v>
      </c>
      <c r="M107" s="44">
        <v>7084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1</v>
      </c>
      <c r="Z107" s="44">
        <v>0</v>
      </c>
      <c r="AA107" s="44">
        <v>11</v>
      </c>
      <c r="AB107" s="44">
        <v>0</v>
      </c>
      <c r="AC107" s="44">
        <v>29</v>
      </c>
      <c r="AD107" s="36">
        <f t="shared" si="13"/>
        <v>912</v>
      </c>
      <c r="AE107" s="36">
        <f t="shared" si="14"/>
        <v>10287</v>
      </c>
      <c r="AF107" s="36">
        <f t="shared" si="18"/>
        <v>2385</v>
      </c>
      <c r="AG107" s="41">
        <f t="shared" si="15"/>
        <v>161.5</v>
      </c>
      <c r="AH107" s="36">
        <f t="shared" si="16"/>
        <v>16611</v>
      </c>
      <c r="AI107" s="41">
        <f t="shared" si="17"/>
        <v>61.5</v>
      </c>
    </row>
    <row r="108" spans="1:35" ht="19.5" hidden="1" customHeight="1">
      <c r="A108" s="43" t="s">
        <v>68</v>
      </c>
      <c r="B108" s="44">
        <v>165</v>
      </c>
      <c r="C108" s="44">
        <v>2717</v>
      </c>
      <c r="D108" s="44">
        <v>232</v>
      </c>
      <c r="E108" s="44">
        <v>2919</v>
      </c>
      <c r="F108" s="44">
        <v>71</v>
      </c>
      <c r="G108" s="44">
        <v>477</v>
      </c>
      <c r="H108" s="44">
        <v>47</v>
      </c>
      <c r="I108" s="44">
        <v>325</v>
      </c>
      <c r="J108" s="44">
        <v>2264</v>
      </c>
      <c r="K108" s="44">
        <v>9496</v>
      </c>
      <c r="L108" s="44">
        <v>673</v>
      </c>
      <c r="M108" s="44">
        <v>3441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2</v>
      </c>
      <c r="T108" s="44">
        <v>0</v>
      </c>
      <c r="U108" s="44">
        <v>2</v>
      </c>
      <c r="V108" s="44">
        <v>0</v>
      </c>
      <c r="W108" s="44">
        <v>15</v>
      </c>
      <c r="X108" s="44">
        <v>0</v>
      </c>
      <c r="Y108" s="44">
        <v>5</v>
      </c>
      <c r="Z108" s="44">
        <v>15</v>
      </c>
      <c r="AA108" s="44">
        <v>2181</v>
      </c>
      <c r="AB108" s="44">
        <v>29</v>
      </c>
      <c r="AC108" s="44">
        <v>2051</v>
      </c>
      <c r="AD108" s="36">
        <f t="shared" si="13"/>
        <v>2515</v>
      </c>
      <c r="AE108" s="36">
        <f t="shared" si="14"/>
        <v>14888</v>
      </c>
      <c r="AF108" s="36">
        <f t="shared" si="18"/>
        <v>981</v>
      </c>
      <c r="AG108" s="41">
        <f t="shared" si="15"/>
        <v>-61</v>
      </c>
      <c r="AH108" s="36">
        <f t="shared" si="16"/>
        <v>8743</v>
      </c>
      <c r="AI108" s="41">
        <f t="shared" si="17"/>
        <v>-41.3</v>
      </c>
    </row>
    <row r="109" spans="1:35" ht="19.5" hidden="1" customHeight="1">
      <c r="A109" s="43" t="s">
        <v>66</v>
      </c>
      <c r="B109" s="44">
        <v>729</v>
      </c>
      <c r="C109" s="44">
        <v>4855</v>
      </c>
      <c r="D109" s="44">
        <v>678</v>
      </c>
      <c r="E109" s="44">
        <v>4767</v>
      </c>
      <c r="F109" s="44">
        <v>4</v>
      </c>
      <c r="G109" s="44">
        <v>133</v>
      </c>
      <c r="H109" s="44">
        <v>32</v>
      </c>
      <c r="I109" s="44">
        <v>340</v>
      </c>
      <c r="J109" s="44">
        <v>1296</v>
      </c>
      <c r="K109" s="44">
        <v>5173</v>
      </c>
      <c r="L109" s="44">
        <v>1008</v>
      </c>
      <c r="M109" s="44">
        <v>5262</v>
      </c>
      <c r="N109" s="44">
        <v>0</v>
      </c>
      <c r="O109" s="44">
        <v>0</v>
      </c>
      <c r="P109" s="44">
        <v>97</v>
      </c>
      <c r="Q109" s="44">
        <v>190</v>
      </c>
      <c r="R109" s="44">
        <v>544</v>
      </c>
      <c r="S109" s="44">
        <v>1666</v>
      </c>
      <c r="T109" s="44">
        <v>485</v>
      </c>
      <c r="U109" s="44">
        <v>1220</v>
      </c>
      <c r="V109" s="44">
        <v>10</v>
      </c>
      <c r="W109" s="44">
        <v>161</v>
      </c>
      <c r="X109" s="44">
        <v>0</v>
      </c>
      <c r="Y109" s="44">
        <v>5</v>
      </c>
      <c r="Z109" s="44">
        <v>11</v>
      </c>
      <c r="AA109" s="44">
        <v>665</v>
      </c>
      <c r="AB109" s="44">
        <v>48</v>
      </c>
      <c r="AC109" s="44">
        <v>354</v>
      </c>
      <c r="AD109" s="36">
        <f t="shared" si="13"/>
        <v>2594</v>
      </c>
      <c r="AE109" s="36">
        <f t="shared" si="14"/>
        <v>12653</v>
      </c>
      <c r="AF109" s="36">
        <f t="shared" si="18"/>
        <v>2348</v>
      </c>
      <c r="AG109" s="41">
        <f t="shared" si="15"/>
        <v>-9.5</v>
      </c>
      <c r="AH109" s="36">
        <f t="shared" si="16"/>
        <v>12138</v>
      </c>
      <c r="AI109" s="41">
        <f t="shared" si="17"/>
        <v>-4.0999999999999996</v>
      </c>
    </row>
    <row r="110" spans="1:35" ht="19.5" hidden="1" customHeight="1">
      <c r="A110" s="43" t="s">
        <v>73</v>
      </c>
      <c r="B110" s="44">
        <v>275</v>
      </c>
      <c r="C110" s="44">
        <v>1775</v>
      </c>
      <c r="D110" s="44">
        <v>427</v>
      </c>
      <c r="E110" s="44">
        <v>2572</v>
      </c>
      <c r="F110" s="44">
        <v>1</v>
      </c>
      <c r="G110" s="44">
        <v>110</v>
      </c>
      <c r="H110" s="44">
        <v>19</v>
      </c>
      <c r="I110" s="44">
        <v>143</v>
      </c>
      <c r="J110" s="44">
        <v>5395</v>
      </c>
      <c r="K110" s="44">
        <v>13204</v>
      </c>
      <c r="L110" s="44">
        <v>770</v>
      </c>
      <c r="M110" s="44">
        <v>3708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7</v>
      </c>
      <c r="W110" s="44">
        <v>134</v>
      </c>
      <c r="X110" s="44">
        <v>0</v>
      </c>
      <c r="Y110" s="44">
        <v>0</v>
      </c>
      <c r="Z110" s="44">
        <v>0</v>
      </c>
      <c r="AA110" s="44">
        <v>1</v>
      </c>
      <c r="AB110" s="44">
        <v>23</v>
      </c>
      <c r="AC110" s="44">
        <v>399</v>
      </c>
      <c r="AD110" s="36">
        <f t="shared" si="13"/>
        <v>5678</v>
      </c>
      <c r="AE110" s="36">
        <f t="shared" si="14"/>
        <v>15224</v>
      </c>
      <c r="AF110" s="36">
        <f t="shared" si="18"/>
        <v>1239</v>
      </c>
      <c r="AG110" s="41">
        <f t="shared" si="15"/>
        <v>-78.2</v>
      </c>
      <c r="AH110" s="36">
        <f t="shared" si="16"/>
        <v>6822</v>
      </c>
      <c r="AI110" s="41">
        <f t="shared" si="17"/>
        <v>-55.2</v>
      </c>
    </row>
    <row r="111" spans="1:35" ht="19.5" hidden="1" customHeight="1">
      <c r="A111" s="43" t="s">
        <v>71</v>
      </c>
      <c r="B111" s="44">
        <v>830</v>
      </c>
      <c r="C111" s="44">
        <v>6761</v>
      </c>
      <c r="D111" s="44">
        <v>705</v>
      </c>
      <c r="E111" s="44">
        <v>5081</v>
      </c>
      <c r="F111" s="44">
        <v>98</v>
      </c>
      <c r="G111" s="44">
        <v>1172</v>
      </c>
      <c r="H111" s="44">
        <v>73</v>
      </c>
      <c r="I111" s="44">
        <v>364</v>
      </c>
      <c r="J111" s="44">
        <v>2467</v>
      </c>
      <c r="K111" s="44">
        <v>6504</v>
      </c>
      <c r="L111" s="44">
        <v>378</v>
      </c>
      <c r="M111" s="44">
        <v>1086</v>
      </c>
      <c r="N111" s="44">
        <v>0</v>
      </c>
      <c r="O111" s="44">
        <v>0</v>
      </c>
      <c r="P111" s="44">
        <v>0</v>
      </c>
      <c r="Q111" s="44">
        <v>0</v>
      </c>
      <c r="R111" s="44">
        <v>1</v>
      </c>
      <c r="S111" s="44">
        <v>4</v>
      </c>
      <c r="T111" s="44">
        <v>0</v>
      </c>
      <c r="U111" s="44">
        <v>2</v>
      </c>
      <c r="V111" s="44">
        <v>0</v>
      </c>
      <c r="W111" s="44">
        <v>0</v>
      </c>
      <c r="X111" s="44">
        <v>0</v>
      </c>
      <c r="Y111" s="44">
        <v>0</v>
      </c>
      <c r="Z111" s="44">
        <v>63</v>
      </c>
      <c r="AA111" s="44">
        <v>1490</v>
      </c>
      <c r="AB111" s="44">
        <v>33</v>
      </c>
      <c r="AC111" s="44">
        <v>248</v>
      </c>
      <c r="AD111" s="36">
        <f t="shared" si="13"/>
        <v>3459</v>
      </c>
      <c r="AE111" s="36">
        <f t="shared" si="14"/>
        <v>15931</v>
      </c>
      <c r="AF111" s="36">
        <f t="shared" si="18"/>
        <v>1189</v>
      </c>
      <c r="AG111" s="41">
        <f t="shared" si="15"/>
        <v>-65.599999999999994</v>
      </c>
      <c r="AH111" s="36">
        <f t="shared" si="16"/>
        <v>6781</v>
      </c>
      <c r="AI111" s="41">
        <f t="shared" si="17"/>
        <v>-57.4</v>
      </c>
    </row>
    <row r="112" spans="1:35" ht="19.5" hidden="1" customHeight="1">
      <c r="A112" s="33" t="s">
        <v>70</v>
      </c>
      <c r="B112" s="44">
        <v>0</v>
      </c>
      <c r="C112" s="44">
        <v>315</v>
      </c>
      <c r="D112" s="44">
        <v>80</v>
      </c>
      <c r="E112" s="44">
        <v>406</v>
      </c>
      <c r="F112" s="44">
        <v>0</v>
      </c>
      <c r="G112" s="44">
        <v>4</v>
      </c>
      <c r="H112" s="44">
        <v>6</v>
      </c>
      <c r="I112" s="44">
        <v>82</v>
      </c>
      <c r="J112" s="44">
        <v>1655</v>
      </c>
      <c r="K112" s="44">
        <v>4262</v>
      </c>
      <c r="L112" s="44">
        <v>2550</v>
      </c>
      <c r="M112" s="44">
        <v>5754</v>
      </c>
      <c r="N112" s="44">
        <v>0</v>
      </c>
      <c r="O112" s="44">
        <v>0</v>
      </c>
      <c r="P112" s="44">
        <v>0</v>
      </c>
      <c r="Q112" s="44">
        <v>0</v>
      </c>
      <c r="R112" s="44">
        <v>2282</v>
      </c>
      <c r="S112" s="44">
        <v>6363</v>
      </c>
      <c r="T112" s="44">
        <v>1163</v>
      </c>
      <c r="U112" s="44">
        <v>2867</v>
      </c>
      <c r="V112" s="44">
        <v>0</v>
      </c>
      <c r="W112" s="44">
        <v>0</v>
      </c>
      <c r="X112" s="44">
        <v>0</v>
      </c>
      <c r="Y112" s="44">
        <v>0</v>
      </c>
      <c r="Z112" s="44">
        <v>20</v>
      </c>
      <c r="AA112" s="44">
        <v>65</v>
      </c>
      <c r="AB112" s="44">
        <v>0</v>
      </c>
      <c r="AC112" s="44">
        <v>0</v>
      </c>
      <c r="AD112" s="36">
        <f t="shared" si="13"/>
        <v>3957</v>
      </c>
      <c r="AE112" s="36">
        <f t="shared" si="14"/>
        <v>11009</v>
      </c>
      <c r="AF112" s="36">
        <f t="shared" si="18"/>
        <v>3799</v>
      </c>
      <c r="AG112" s="41">
        <f t="shared" si="15"/>
        <v>-4</v>
      </c>
      <c r="AH112" s="36">
        <f t="shared" si="16"/>
        <v>9109</v>
      </c>
      <c r="AI112" s="41">
        <f t="shared" si="17"/>
        <v>-17.3</v>
      </c>
    </row>
    <row r="113" spans="1:35" ht="19.5" hidden="1" customHeight="1">
      <c r="A113" s="43" t="s">
        <v>74</v>
      </c>
      <c r="B113" s="44">
        <v>440</v>
      </c>
      <c r="C113" s="44">
        <v>3641</v>
      </c>
      <c r="D113" s="44">
        <v>408</v>
      </c>
      <c r="E113" s="44">
        <v>3241</v>
      </c>
      <c r="F113" s="44">
        <v>0</v>
      </c>
      <c r="G113" s="44">
        <v>31</v>
      </c>
      <c r="H113" s="44">
        <v>0</v>
      </c>
      <c r="I113" s="44">
        <v>21</v>
      </c>
      <c r="J113" s="44">
        <v>1677</v>
      </c>
      <c r="K113" s="44">
        <v>4428</v>
      </c>
      <c r="L113" s="44">
        <v>2040</v>
      </c>
      <c r="M113" s="44">
        <v>5224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21</v>
      </c>
      <c r="AB113" s="44">
        <v>738</v>
      </c>
      <c r="AC113" s="44">
        <v>1826</v>
      </c>
      <c r="AD113" s="36">
        <f t="shared" si="13"/>
        <v>2117</v>
      </c>
      <c r="AE113" s="36">
        <f t="shared" si="14"/>
        <v>8121</v>
      </c>
      <c r="AF113" s="36">
        <f t="shared" si="18"/>
        <v>3186</v>
      </c>
      <c r="AG113" s="41">
        <f t="shared" si="15"/>
        <v>50.5</v>
      </c>
      <c r="AH113" s="36">
        <f t="shared" si="16"/>
        <v>10312</v>
      </c>
      <c r="AI113" s="41">
        <f t="shared" si="17"/>
        <v>27</v>
      </c>
    </row>
    <row r="114" spans="1:35" ht="19.5" hidden="1" customHeight="1">
      <c r="A114" s="33" t="s">
        <v>88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6168</v>
      </c>
      <c r="K114" s="44">
        <v>14455</v>
      </c>
      <c r="L114" s="44">
        <v>2536</v>
      </c>
      <c r="M114" s="44">
        <v>5505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7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36">
        <f t="shared" si="13"/>
        <v>6168</v>
      </c>
      <c r="AE114" s="36">
        <f t="shared" si="14"/>
        <v>14462</v>
      </c>
      <c r="AF114" s="36">
        <f t="shared" si="18"/>
        <v>2536</v>
      </c>
      <c r="AG114" s="41">
        <f t="shared" si="15"/>
        <v>-58.9</v>
      </c>
      <c r="AH114" s="36">
        <f t="shared" si="16"/>
        <v>5505</v>
      </c>
      <c r="AI114" s="41">
        <f t="shared" si="17"/>
        <v>-61.9</v>
      </c>
    </row>
    <row r="115" spans="1:35" ht="19.5" hidden="1" customHeight="1">
      <c r="A115" s="33" t="s">
        <v>67</v>
      </c>
      <c r="B115" s="44">
        <v>2</v>
      </c>
      <c r="C115" s="44">
        <v>41</v>
      </c>
      <c r="D115" s="44">
        <v>63</v>
      </c>
      <c r="E115" s="44">
        <v>59</v>
      </c>
      <c r="F115" s="44">
        <v>0</v>
      </c>
      <c r="G115" s="44">
        <v>0</v>
      </c>
      <c r="H115" s="44">
        <v>0</v>
      </c>
      <c r="I115" s="44">
        <v>1</v>
      </c>
      <c r="J115" s="44">
        <v>5114</v>
      </c>
      <c r="K115" s="44">
        <v>13063</v>
      </c>
      <c r="L115" s="44">
        <v>3560</v>
      </c>
      <c r="M115" s="44">
        <v>8487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36">
        <f t="shared" si="13"/>
        <v>5116</v>
      </c>
      <c r="AE115" s="36">
        <f t="shared" si="14"/>
        <v>13104</v>
      </c>
      <c r="AF115" s="36">
        <f t="shared" si="18"/>
        <v>3623</v>
      </c>
      <c r="AG115" s="41">
        <f t="shared" si="15"/>
        <v>-29.2</v>
      </c>
      <c r="AH115" s="36">
        <f t="shared" si="16"/>
        <v>8547</v>
      </c>
      <c r="AI115" s="41">
        <f t="shared" si="17"/>
        <v>-34.799999999999997</v>
      </c>
    </row>
    <row r="116" spans="1:35" ht="19.5" hidden="1" customHeight="1">
      <c r="A116" s="43" t="s">
        <v>72</v>
      </c>
      <c r="B116" s="44">
        <v>301</v>
      </c>
      <c r="C116" s="44">
        <v>2041</v>
      </c>
      <c r="D116" s="44">
        <v>233</v>
      </c>
      <c r="E116" s="44">
        <v>1981</v>
      </c>
      <c r="F116" s="44">
        <v>0</v>
      </c>
      <c r="G116" s="44">
        <v>0</v>
      </c>
      <c r="H116" s="44">
        <v>0</v>
      </c>
      <c r="I116" s="44">
        <v>1</v>
      </c>
      <c r="J116" s="44">
        <v>1518</v>
      </c>
      <c r="K116" s="44">
        <v>6211</v>
      </c>
      <c r="L116" s="44">
        <v>1000</v>
      </c>
      <c r="M116" s="44">
        <v>5886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1</v>
      </c>
      <c r="T116" s="44">
        <v>0</v>
      </c>
      <c r="U116" s="44">
        <v>6</v>
      </c>
      <c r="V116" s="44">
        <v>0</v>
      </c>
      <c r="W116" s="44">
        <v>0</v>
      </c>
      <c r="X116" s="44">
        <v>0</v>
      </c>
      <c r="Y116" s="44">
        <v>0</v>
      </c>
      <c r="Z116" s="44">
        <v>9</v>
      </c>
      <c r="AA116" s="44">
        <v>519</v>
      </c>
      <c r="AB116" s="44">
        <v>12</v>
      </c>
      <c r="AC116" s="44">
        <v>602</v>
      </c>
      <c r="AD116" s="36">
        <f t="shared" si="13"/>
        <v>1828</v>
      </c>
      <c r="AE116" s="36">
        <f t="shared" si="14"/>
        <v>8772</v>
      </c>
      <c r="AF116" s="36">
        <f t="shared" si="18"/>
        <v>1245</v>
      </c>
      <c r="AG116" s="41">
        <f t="shared" si="15"/>
        <v>-31.9</v>
      </c>
      <c r="AH116" s="36">
        <f t="shared" si="16"/>
        <v>8476</v>
      </c>
      <c r="AI116" s="41">
        <f t="shared" si="17"/>
        <v>-3.4</v>
      </c>
    </row>
    <row r="117" spans="1:35" ht="19.5" hidden="1" customHeight="1">
      <c r="A117" s="43" t="s">
        <v>69</v>
      </c>
      <c r="B117" s="44">
        <v>168</v>
      </c>
      <c r="C117" s="44">
        <v>1820</v>
      </c>
      <c r="D117" s="44">
        <v>127</v>
      </c>
      <c r="E117" s="44">
        <v>1455</v>
      </c>
      <c r="F117" s="44">
        <v>34</v>
      </c>
      <c r="G117" s="44">
        <v>137</v>
      </c>
      <c r="H117" s="44">
        <v>0</v>
      </c>
      <c r="I117" s="44">
        <v>4</v>
      </c>
      <c r="J117" s="44">
        <v>2155</v>
      </c>
      <c r="K117" s="44">
        <v>6299</v>
      </c>
      <c r="L117" s="44">
        <v>163</v>
      </c>
      <c r="M117" s="44">
        <v>2119</v>
      </c>
      <c r="N117" s="44">
        <v>2</v>
      </c>
      <c r="O117" s="44">
        <v>1</v>
      </c>
      <c r="P117" s="44">
        <v>11</v>
      </c>
      <c r="Q117" s="44">
        <v>5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3</v>
      </c>
      <c r="Z117" s="44">
        <v>332</v>
      </c>
      <c r="AA117" s="44">
        <v>2751</v>
      </c>
      <c r="AB117" s="44">
        <v>203</v>
      </c>
      <c r="AC117" s="44">
        <v>1368</v>
      </c>
      <c r="AD117" s="36">
        <f t="shared" si="13"/>
        <v>2691</v>
      </c>
      <c r="AE117" s="36">
        <f t="shared" si="14"/>
        <v>11008</v>
      </c>
      <c r="AF117" s="36">
        <f t="shared" si="18"/>
        <v>504</v>
      </c>
      <c r="AG117" s="41">
        <f t="shared" si="15"/>
        <v>-81.3</v>
      </c>
      <c r="AH117" s="36">
        <f t="shared" si="16"/>
        <v>4954</v>
      </c>
      <c r="AI117" s="41">
        <f t="shared" si="17"/>
        <v>-55</v>
      </c>
    </row>
    <row r="118" spans="1:35" ht="19.5" hidden="1" customHeight="1">
      <c r="A118" s="34" t="s">
        <v>78</v>
      </c>
      <c r="B118" s="37">
        <f t="shared" ref="B118:G118" si="19">B119-SUM(B88:B117)</f>
        <v>3554</v>
      </c>
      <c r="C118" s="37">
        <f t="shared" si="19"/>
        <v>31464</v>
      </c>
      <c r="D118" s="37">
        <f t="shared" si="19"/>
        <v>3551</v>
      </c>
      <c r="E118" s="37">
        <f t="shared" si="19"/>
        <v>28162</v>
      </c>
      <c r="F118" s="37">
        <f t="shared" si="19"/>
        <v>166</v>
      </c>
      <c r="G118" s="37">
        <f t="shared" si="19"/>
        <v>1059</v>
      </c>
      <c r="H118" s="37">
        <f t="shared" ref="H118:AC118" si="20">H119-SUM(H88:H117)</f>
        <v>147</v>
      </c>
      <c r="I118" s="37">
        <f t="shared" si="20"/>
        <v>1938</v>
      </c>
      <c r="J118" s="37">
        <f t="shared" si="20"/>
        <v>21700</v>
      </c>
      <c r="K118" s="37">
        <f t="shared" si="20"/>
        <v>64975</v>
      </c>
      <c r="L118" s="37">
        <f t="shared" si="20"/>
        <v>15319</v>
      </c>
      <c r="M118" s="37">
        <f t="shared" si="20"/>
        <v>48739</v>
      </c>
      <c r="N118" s="37">
        <f t="shared" si="20"/>
        <v>1828</v>
      </c>
      <c r="O118" s="37">
        <f t="shared" si="20"/>
        <v>4119</v>
      </c>
      <c r="P118" s="37">
        <f t="shared" si="20"/>
        <v>1669</v>
      </c>
      <c r="Q118" s="37">
        <f t="shared" si="20"/>
        <v>3560</v>
      </c>
      <c r="R118" s="37">
        <f t="shared" si="20"/>
        <v>3529</v>
      </c>
      <c r="S118" s="37">
        <f t="shared" si="20"/>
        <v>10443</v>
      </c>
      <c r="T118" s="37">
        <f t="shared" si="20"/>
        <v>9106</v>
      </c>
      <c r="U118" s="37">
        <f t="shared" si="20"/>
        <v>21787</v>
      </c>
      <c r="V118" s="37">
        <f t="shared" si="20"/>
        <v>10</v>
      </c>
      <c r="W118" s="37">
        <f t="shared" si="20"/>
        <v>189</v>
      </c>
      <c r="X118" s="37">
        <f t="shared" si="20"/>
        <v>7</v>
      </c>
      <c r="Y118" s="37">
        <f t="shared" si="20"/>
        <v>89</v>
      </c>
      <c r="Z118" s="37">
        <f t="shared" si="20"/>
        <v>138</v>
      </c>
      <c r="AA118" s="37">
        <f t="shared" si="20"/>
        <v>2259</v>
      </c>
      <c r="AB118" s="37">
        <f t="shared" si="20"/>
        <v>291</v>
      </c>
      <c r="AC118" s="37">
        <f t="shared" si="20"/>
        <v>3324</v>
      </c>
      <c r="AD118" s="37">
        <f>AD119-SUM(AD88:AD117)</f>
        <v>30925</v>
      </c>
      <c r="AE118" s="37">
        <f>AE119-SUM(AE88:AE117)</f>
        <v>114508</v>
      </c>
      <c r="AF118" s="37">
        <f>AF119-SUM(AF88:AF117)</f>
        <v>30090</v>
      </c>
      <c r="AG118" s="41">
        <f t="shared" si="15"/>
        <v>-2.7</v>
      </c>
      <c r="AH118" s="37">
        <f>AH119-SUM(AH88:AH117)</f>
        <v>107599</v>
      </c>
      <c r="AI118" s="42">
        <f t="shared" si="17"/>
        <v>-6</v>
      </c>
    </row>
    <row r="119" spans="1:35" ht="19.5" hidden="1" customHeight="1">
      <c r="A119" s="499" t="s">
        <v>79</v>
      </c>
      <c r="B119" s="46">
        <v>164873</v>
      </c>
      <c r="C119" s="46">
        <v>1129406</v>
      </c>
      <c r="D119" s="46">
        <v>158604</v>
      </c>
      <c r="E119" s="46">
        <v>1070815</v>
      </c>
      <c r="F119" s="46">
        <v>4842</v>
      </c>
      <c r="G119" s="392">
        <v>46053</v>
      </c>
      <c r="H119" s="46">
        <v>3509</v>
      </c>
      <c r="I119" s="46">
        <v>33399</v>
      </c>
      <c r="J119" s="46">
        <v>273473</v>
      </c>
      <c r="K119" s="46">
        <v>900571</v>
      </c>
      <c r="L119" s="46">
        <v>298962</v>
      </c>
      <c r="M119" s="46">
        <v>910763</v>
      </c>
      <c r="N119" s="46">
        <v>90008</v>
      </c>
      <c r="O119" s="46">
        <v>197181</v>
      </c>
      <c r="P119" s="46">
        <v>90460</v>
      </c>
      <c r="Q119" s="46">
        <v>187864</v>
      </c>
      <c r="R119" s="46">
        <v>114491</v>
      </c>
      <c r="S119" s="46">
        <v>325889</v>
      </c>
      <c r="T119" s="46">
        <v>155763</v>
      </c>
      <c r="U119" s="46">
        <v>360896</v>
      </c>
      <c r="V119" s="46">
        <v>690</v>
      </c>
      <c r="W119" s="46">
        <v>12609</v>
      </c>
      <c r="X119" s="46">
        <v>393</v>
      </c>
      <c r="Y119" s="46">
        <v>9980</v>
      </c>
      <c r="Z119" s="46">
        <v>34512</v>
      </c>
      <c r="AA119" s="392">
        <v>76917</v>
      </c>
      <c r="AB119" s="46">
        <v>5471</v>
      </c>
      <c r="AC119" s="46">
        <v>60976</v>
      </c>
      <c r="AD119" s="39">
        <f>SUM(B119+F119+J119+N119+R119+V119+Z119)</f>
        <v>682889</v>
      </c>
      <c r="AE119" s="39">
        <f>SUM(C119+G119+K119+O119+S119+W119+AA119)</f>
        <v>2688626</v>
      </c>
      <c r="AF119" s="39">
        <f>SUM(D119+H119+L119+P119+T119+X119+AB119)</f>
        <v>713162</v>
      </c>
      <c r="AG119" s="226">
        <f t="shared" si="15"/>
        <v>4.4000000000000004</v>
      </c>
      <c r="AH119" s="39">
        <f>SUM(E119+I119+M119+Q119+U119+Y119+AC119)</f>
        <v>2634693</v>
      </c>
      <c r="AI119" s="42">
        <f t="shared" si="17"/>
        <v>-2</v>
      </c>
    </row>
    <row r="120" spans="1:35" hidden="1">
      <c r="I120" s="291"/>
    </row>
    <row r="121" spans="1:35" ht="22.5" hidden="1" customHeight="1">
      <c r="A121" s="1095" t="s">
        <v>540</v>
      </c>
      <c r="B121" s="1095"/>
      <c r="C121" s="1095"/>
      <c r="D121" s="1095"/>
      <c r="E121" s="1095"/>
      <c r="F121" s="1095"/>
      <c r="G121" s="1095"/>
      <c r="H121" s="1095"/>
      <c r="I121" s="1095"/>
      <c r="J121" s="1095"/>
      <c r="K121" s="1095"/>
      <c r="L121" s="1095"/>
      <c r="M121" s="1095"/>
      <c r="N121" s="1095"/>
      <c r="O121" s="1095"/>
      <c r="P121" s="1095"/>
      <c r="Q121" s="1095"/>
      <c r="R121" s="1095"/>
      <c r="S121" s="1095"/>
      <c r="T121" s="1095"/>
      <c r="U121" s="1095"/>
      <c r="V121" s="1095"/>
      <c r="W121" s="1095"/>
      <c r="X121" s="1095"/>
      <c r="Y121" s="1095"/>
      <c r="Z121" s="1095"/>
      <c r="AA121" s="1095"/>
      <c r="AB121" s="1095"/>
      <c r="AC121" s="1095"/>
      <c r="AD121" s="1095"/>
      <c r="AE121" s="1095"/>
      <c r="AF121" s="1095"/>
      <c r="AG121" s="1095"/>
      <c r="AH121" s="1095"/>
      <c r="AI121" s="1095"/>
    </row>
    <row r="122" spans="1:35" ht="16.5" hidden="1" customHeight="1">
      <c r="B122" s="25"/>
      <c r="E122" s="25"/>
    </row>
    <row r="123" spans="1:35" ht="16.5" hidden="1" customHeight="1">
      <c r="A123" s="27"/>
      <c r="B123" s="28"/>
      <c r="C123" s="28"/>
      <c r="D123" s="28"/>
      <c r="E123" s="28"/>
      <c r="F123" s="28"/>
      <c r="G123" s="27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9"/>
      <c r="S123" s="29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30" t="s">
        <v>0</v>
      </c>
    </row>
    <row r="124" spans="1:35" ht="21.75" hidden="1" customHeight="1">
      <c r="A124" s="1149" t="s">
        <v>43</v>
      </c>
      <c r="B124" s="1151" t="s">
        <v>541</v>
      </c>
      <c r="C124" s="1153"/>
      <c r="D124" s="1153"/>
      <c r="E124" s="1152"/>
      <c r="F124" s="1151" t="s">
        <v>542</v>
      </c>
      <c r="G124" s="1153"/>
      <c r="H124" s="1153"/>
      <c r="I124" s="1152"/>
      <c r="J124" s="1151" t="s">
        <v>543</v>
      </c>
      <c r="K124" s="1153"/>
      <c r="L124" s="1153"/>
      <c r="M124" s="1152"/>
      <c r="N124" s="1151" t="s">
        <v>544</v>
      </c>
      <c r="O124" s="1153"/>
      <c r="P124" s="1153"/>
      <c r="Q124" s="1152"/>
      <c r="R124" s="1151" t="s">
        <v>545</v>
      </c>
      <c r="S124" s="1153"/>
      <c r="T124" s="1153"/>
      <c r="U124" s="1152"/>
      <c r="V124" s="1151" t="s">
        <v>546</v>
      </c>
      <c r="W124" s="1153"/>
      <c r="X124" s="1153"/>
      <c r="Y124" s="1152"/>
      <c r="Z124" s="1151" t="s">
        <v>547</v>
      </c>
      <c r="AA124" s="1153"/>
      <c r="AB124" s="1153"/>
      <c r="AC124" s="1152"/>
      <c r="AD124" s="1151" t="s">
        <v>548</v>
      </c>
      <c r="AE124" s="1153"/>
      <c r="AF124" s="1153"/>
      <c r="AG124" s="1153"/>
      <c r="AH124" s="1153"/>
      <c r="AI124" s="1152"/>
    </row>
    <row r="125" spans="1:35" ht="21" hidden="1" customHeight="1">
      <c r="A125" s="1154"/>
      <c r="B125" s="1151" t="s">
        <v>315</v>
      </c>
      <c r="C125" s="1152"/>
      <c r="D125" s="1151" t="s">
        <v>459</v>
      </c>
      <c r="E125" s="1152"/>
      <c r="F125" s="1151" t="s">
        <v>315</v>
      </c>
      <c r="G125" s="1152"/>
      <c r="H125" s="1151" t="s">
        <v>459</v>
      </c>
      <c r="I125" s="1152"/>
      <c r="J125" s="1151" t="s">
        <v>315</v>
      </c>
      <c r="K125" s="1152"/>
      <c r="L125" s="1151" t="s">
        <v>459</v>
      </c>
      <c r="M125" s="1152"/>
      <c r="N125" s="1151" t="s">
        <v>315</v>
      </c>
      <c r="O125" s="1152"/>
      <c r="P125" s="1151" t="s">
        <v>459</v>
      </c>
      <c r="Q125" s="1152"/>
      <c r="R125" s="1151" t="s">
        <v>315</v>
      </c>
      <c r="S125" s="1152"/>
      <c r="T125" s="1151" t="s">
        <v>459</v>
      </c>
      <c r="U125" s="1152"/>
      <c r="V125" s="1151" t="s">
        <v>315</v>
      </c>
      <c r="W125" s="1152"/>
      <c r="X125" s="1151" t="s">
        <v>459</v>
      </c>
      <c r="Y125" s="1152"/>
      <c r="Z125" s="1151" t="s">
        <v>315</v>
      </c>
      <c r="AA125" s="1152"/>
      <c r="AB125" s="1151" t="s">
        <v>459</v>
      </c>
      <c r="AC125" s="1152"/>
      <c r="AD125" s="1151" t="s">
        <v>315</v>
      </c>
      <c r="AE125" s="1152"/>
      <c r="AF125" s="1151" t="s">
        <v>459</v>
      </c>
      <c r="AG125" s="1153"/>
      <c r="AH125" s="1153"/>
      <c r="AI125" s="1152"/>
    </row>
    <row r="126" spans="1:35" hidden="1">
      <c r="A126" s="1154"/>
      <c r="B126" s="1149" t="s">
        <v>44</v>
      </c>
      <c r="C126" s="1149" t="s">
        <v>45</v>
      </c>
      <c r="D126" s="1149" t="s">
        <v>46</v>
      </c>
      <c r="E126" s="1149" t="s">
        <v>45</v>
      </c>
      <c r="F126" s="1149" t="s">
        <v>47</v>
      </c>
      <c r="G126" s="1149" t="s">
        <v>45</v>
      </c>
      <c r="H126" s="1149" t="s">
        <v>46</v>
      </c>
      <c r="I126" s="1149" t="s">
        <v>45</v>
      </c>
      <c r="J126" s="1149" t="s">
        <v>44</v>
      </c>
      <c r="K126" s="1149" t="s">
        <v>45</v>
      </c>
      <c r="L126" s="1149" t="s">
        <v>46</v>
      </c>
      <c r="M126" s="1149" t="s">
        <v>45</v>
      </c>
      <c r="N126" s="1149" t="s">
        <v>44</v>
      </c>
      <c r="O126" s="1149" t="s">
        <v>45</v>
      </c>
      <c r="P126" s="1149" t="s">
        <v>46</v>
      </c>
      <c r="Q126" s="1149" t="s">
        <v>45</v>
      </c>
      <c r="R126" s="1149" t="s">
        <v>44</v>
      </c>
      <c r="S126" s="1149" t="s">
        <v>45</v>
      </c>
      <c r="T126" s="1149" t="s">
        <v>46</v>
      </c>
      <c r="U126" s="1149" t="s">
        <v>45</v>
      </c>
      <c r="V126" s="1149" t="s">
        <v>44</v>
      </c>
      <c r="W126" s="1149" t="s">
        <v>45</v>
      </c>
      <c r="X126" s="1149" t="s">
        <v>48</v>
      </c>
      <c r="Y126" s="1149" t="s">
        <v>45</v>
      </c>
      <c r="Z126" s="1149" t="s">
        <v>44</v>
      </c>
      <c r="AA126" s="1149" t="s">
        <v>45</v>
      </c>
      <c r="AB126" s="1149" t="s">
        <v>46</v>
      </c>
      <c r="AC126" s="1149" t="s">
        <v>45</v>
      </c>
      <c r="AD126" s="1149" t="s">
        <v>44</v>
      </c>
      <c r="AE126" s="1149" t="s">
        <v>45</v>
      </c>
      <c r="AF126" s="1147" t="s">
        <v>46</v>
      </c>
      <c r="AG126" s="31"/>
      <c r="AH126" s="1147" t="s">
        <v>45</v>
      </c>
      <c r="AI126" s="31"/>
    </row>
    <row r="127" spans="1:35" ht="17.25" hidden="1" thickBot="1">
      <c r="A127" s="1150"/>
      <c r="B127" s="1150"/>
      <c r="C127" s="1150"/>
      <c r="D127" s="1150"/>
      <c r="E127" s="1150"/>
      <c r="F127" s="1150"/>
      <c r="G127" s="1150"/>
      <c r="H127" s="1150"/>
      <c r="I127" s="1150"/>
      <c r="J127" s="1150"/>
      <c r="K127" s="1150"/>
      <c r="L127" s="1150"/>
      <c r="M127" s="1150"/>
      <c r="N127" s="1150"/>
      <c r="O127" s="1150"/>
      <c r="P127" s="1150"/>
      <c r="Q127" s="1150"/>
      <c r="R127" s="1150"/>
      <c r="S127" s="1150"/>
      <c r="T127" s="1150"/>
      <c r="U127" s="1150"/>
      <c r="V127" s="1150"/>
      <c r="W127" s="1150"/>
      <c r="X127" s="1150"/>
      <c r="Y127" s="1150"/>
      <c r="Z127" s="1150"/>
      <c r="AA127" s="1150"/>
      <c r="AB127" s="1150"/>
      <c r="AC127" s="1150"/>
      <c r="AD127" s="1150"/>
      <c r="AE127" s="1150"/>
      <c r="AF127" s="1148"/>
      <c r="AG127" s="32" t="s">
        <v>49</v>
      </c>
      <c r="AH127" s="1148"/>
      <c r="AI127" s="32" t="s">
        <v>49</v>
      </c>
    </row>
    <row r="128" spans="1:35" ht="19.5" hidden="1" customHeight="1" thickTop="1">
      <c r="A128" s="43" t="s">
        <v>50</v>
      </c>
      <c r="B128" s="44">
        <v>87499</v>
      </c>
      <c r="C128" s="44">
        <v>595650</v>
      </c>
      <c r="D128" s="44">
        <v>80959</v>
      </c>
      <c r="E128" s="44">
        <v>528675</v>
      </c>
      <c r="F128" s="44">
        <v>1861</v>
      </c>
      <c r="G128" s="44">
        <v>17139</v>
      </c>
      <c r="H128" s="44">
        <v>1461</v>
      </c>
      <c r="I128" s="44">
        <v>8904</v>
      </c>
      <c r="J128" s="44">
        <v>30606</v>
      </c>
      <c r="K128" s="44">
        <v>129377</v>
      </c>
      <c r="L128" s="44">
        <v>81899</v>
      </c>
      <c r="M128" s="44">
        <v>223983</v>
      </c>
      <c r="N128" s="44">
        <v>20422</v>
      </c>
      <c r="O128" s="44">
        <v>43410</v>
      </c>
      <c r="P128" s="44">
        <v>1144</v>
      </c>
      <c r="Q128" s="44">
        <v>2738</v>
      </c>
      <c r="R128" s="44">
        <v>28414</v>
      </c>
      <c r="S128" s="44">
        <v>83168</v>
      </c>
      <c r="T128" s="44">
        <v>20787</v>
      </c>
      <c r="U128" s="44">
        <v>44250</v>
      </c>
      <c r="V128" s="44">
        <v>89</v>
      </c>
      <c r="W128" s="44">
        <v>2544</v>
      </c>
      <c r="X128" s="44">
        <v>91</v>
      </c>
      <c r="Y128" s="44">
        <v>2832</v>
      </c>
      <c r="Z128" s="44">
        <v>944</v>
      </c>
      <c r="AA128" s="44">
        <v>26326</v>
      </c>
      <c r="AB128" s="44">
        <v>2947</v>
      </c>
      <c r="AC128" s="44">
        <v>24888</v>
      </c>
      <c r="AD128" s="36">
        <f t="shared" ref="AD128:AD157" si="21">SUM(B128+F128+J128+N128+R128+V128+Z128)</f>
        <v>169835</v>
      </c>
      <c r="AE128" s="36">
        <f>SUM(C128+G128+K128+O128+S128+W128+AA128)</f>
        <v>897614</v>
      </c>
      <c r="AF128" s="36">
        <f>SUM(D128+H128+L128+P128+T128+X128+AB128)</f>
        <v>189288</v>
      </c>
      <c r="AG128" s="41">
        <f>ROUND(((AF128/AD128-1)*100),1)</f>
        <v>11.5</v>
      </c>
      <c r="AH128" s="36">
        <f>SUM(E128+I128+M128+Q128+U128+Y128+AC128)</f>
        <v>836270</v>
      </c>
      <c r="AI128" s="41">
        <f>ROUND(((AH128/AE128-1)*100),1)</f>
        <v>-6.8</v>
      </c>
    </row>
    <row r="129" spans="1:35" ht="19.5" hidden="1" customHeight="1">
      <c r="A129" s="43" t="s">
        <v>51</v>
      </c>
      <c r="B129" s="44">
        <v>23667</v>
      </c>
      <c r="C129" s="44">
        <v>180422</v>
      </c>
      <c r="D129" s="44">
        <v>20893</v>
      </c>
      <c r="E129" s="44">
        <v>159162</v>
      </c>
      <c r="F129" s="44">
        <v>352</v>
      </c>
      <c r="G129" s="44">
        <v>8393</v>
      </c>
      <c r="H129" s="44">
        <v>93</v>
      </c>
      <c r="I129" s="44">
        <v>3204</v>
      </c>
      <c r="J129" s="44">
        <v>73122</v>
      </c>
      <c r="K129" s="44">
        <v>204433</v>
      </c>
      <c r="L129" s="44">
        <v>78350</v>
      </c>
      <c r="M129" s="44">
        <v>209232</v>
      </c>
      <c r="N129" s="44">
        <v>22920</v>
      </c>
      <c r="O129" s="44">
        <v>51053</v>
      </c>
      <c r="P129" s="44">
        <v>34159</v>
      </c>
      <c r="Q129" s="44">
        <v>69351</v>
      </c>
      <c r="R129" s="44">
        <v>19818</v>
      </c>
      <c r="S129" s="44">
        <v>58180</v>
      </c>
      <c r="T129" s="44">
        <v>28568</v>
      </c>
      <c r="U129" s="44">
        <v>66627</v>
      </c>
      <c r="V129" s="44">
        <v>94</v>
      </c>
      <c r="W129" s="44">
        <v>1764</v>
      </c>
      <c r="X129" s="44">
        <v>103</v>
      </c>
      <c r="Y129" s="44">
        <v>1744</v>
      </c>
      <c r="Z129" s="44">
        <v>787</v>
      </c>
      <c r="AA129" s="44">
        <v>5485</v>
      </c>
      <c r="AB129" s="44">
        <v>67</v>
      </c>
      <c r="AC129" s="44">
        <v>2722</v>
      </c>
      <c r="AD129" s="36">
        <f t="shared" si="21"/>
        <v>140760</v>
      </c>
      <c r="AE129" s="36">
        <f t="shared" ref="AE129:AE157" si="22">SUM(C129+G129+K129+O129+S129+W129+AA129)</f>
        <v>509730</v>
      </c>
      <c r="AF129" s="36">
        <f>SUM(D129+H129+L129+P129+T129+X129+AB129)</f>
        <v>162233</v>
      </c>
      <c r="AG129" s="41">
        <f t="shared" ref="AG129:AG159" si="23">ROUND(((AF129/AD129-1)*100),1)</f>
        <v>15.3</v>
      </c>
      <c r="AH129" s="36">
        <f t="shared" ref="AH129:AH157" si="24">SUM(E129+I129+M129+Q129+U129+Y129+AC129)</f>
        <v>512042</v>
      </c>
      <c r="AI129" s="41">
        <f t="shared" ref="AI129:AI159" si="25">ROUND(((AH129/AE129-1)*100),1)</f>
        <v>0.5</v>
      </c>
    </row>
    <row r="130" spans="1:35" ht="19.5" hidden="1" customHeight="1">
      <c r="A130" s="43" t="s">
        <v>53</v>
      </c>
      <c r="B130" s="44">
        <v>9155</v>
      </c>
      <c r="C130" s="44">
        <v>81264</v>
      </c>
      <c r="D130" s="44">
        <v>10666</v>
      </c>
      <c r="E130" s="44">
        <v>88512</v>
      </c>
      <c r="F130" s="44">
        <v>305</v>
      </c>
      <c r="G130" s="44">
        <v>3259</v>
      </c>
      <c r="H130" s="44">
        <v>250</v>
      </c>
      <c r="I130" s="44">
        <v>2823</v>
      </c>
      <c r="J130" s="44">
        <v>43527</v>
      </c>
      <c r="K130" s="44">
        <v>164471</v>
      </c>
      <c r="L130" s="44">
        <v>32131</v>
      </c>
      <c r="M130" s="44">
        <v>122501</v>
      </c>
      <c r="N130" s="44">
        <v>19044</v>
      </c>
      <c r="O130" s="44">
        <v>41542</v>
      </c>
      <c r="P130" s="44">
        <v>31483</v>
      </c>
      <c r="Q130" s="44">
        <v>60843</v>
      </c>
      <c r="R130" s="44">
        <v>43</v>
      </c>
      <c r="S130" s="44">
        <v>917</v>
      </c>
      <c r="T130" s="44">
        <v>39240</v>
      </c>
      <c r="U130" s="44">
        <v>80839</v>
      </c>
      <c r="V130" s="44">
        <v>1</v>
      </c>
      <c r="W130" s="44">
        <v>881</v>
      </c>
      <c r="X130" s="44">
        <v>4</v>
      </c>
      <c r="Y130" s="44">
        <v>636</v>
      </c>
      <c r="Z130" s="44">
        <v>1178</v>
      </c>
      <c r="AA130" s="44">
        <v>14037</v>
      </c>
      <c r="AB130" s="44">
        <v>1258</v>
      </c>
      <c r="AC130" s="44">
        <v>14547</v>
      </c>
      <c r="AD130" s="36">
        <f t="shared" si="21"/>
        <v>73253</v>
      </c>
      <c r="AE130" s="36">
        <f t="shared" si="22"/>
        <v>306371</v>
      </c>
      <c r="AF130" s="36">
        <f t="shared" ref="AF130:AF157" si="26">SUM(D130+H130+L130+P130+T130+X130+AB130)</f>
        <v>115032</v>
      </c>
      <c r="AG130" s="41">
        <f t="shared" si="23"/>
        <v>57</v>
      </c>
      <c r="AH130" s="36">
        <f t="shared" si="24"/>
        <v>370701</v>
      </c>
      <c r="AI130" s="41">
        <f t="shared" si="25"/>
        <v>21</v>
      </c>
    </row>
    <row r="131" spans="1:35" ht="19.5" hidden="1" customHeight="1">
      <c r="A131" s="43" t="s">
        <v>52</v>
      </c>
      <c r="B131" s="44">
        <v>3468</v>
      </c>
      <c r="C131" s="44">
        <v>23951</v>
      </c>
      <c r="D131" s="44">
        <v>3691</v>
      </c>
      <c r="E131" s="44">
        <v>23038</v>
      </c>
      <c r="F131" s="44">
        <v>738</v>
      </c>
      <c r="G131" s="44">
        <v>8338</v>
      </c>
      <c r="H131" s="44">
        <v>289</v>
      </c>
      <c r="I131" s="44">
        <v>4268</v>
      </c>
      <c r="J131" s="44">
        <v>21091</v>
      </c>
      <c r="K131" s="44">
        <v>62667</v>
      </c>
      <c r="L131" s="44">
        <v>24760</v>
      </c>
      <c r="M131" s="44">
        <v>64477</v>
      </c>
      <c r="N131" s="44">
        <v>26695</v>
      </c>
      <c r="O131" s="44">
        <v>59108</v>
      </c>
      <c r="P131" s="44">
        <v>26971</v>
      </c>
      <c r="Q131" s="44">
        <v>55052</v>
      </c>
      <c r="R131" s="44">
        <v>35629</v>
      </c>
      <c r="S131" s="44">
        <v>106472</v>
      </c>
      <c r="T131" s="44">
        <v>32544</v>
      </c>
      <c r="U131" s="44">
        <v>76885</v>
      </c>
      <c r="V131" s="44">
        <v>150</v>
      </c>
      <c r="W131" s="44">
        <v>151</v>
      </c>
      <c r="X131" s="44">
        <v>2</v>
      </c>
      <c r="Y131" s="44">
        <v>43</v>
      </c>
      <c r="Z131" s="44">
        <v>15414</v>
      </c>
      <c r="AA131" s="44">
        <v>4235</v>
      </c>
      <c r="AB131" s="44">
        <v>507</v>
      </c>
      <c r="AC131" s="44">
        <v>1904</v>
      </c>
      <c r="AD131" s="36">
        <f t="shared" si="21"/>
        <v>103185</v>
      </c>
      <c r="AE131" s="36">
        <f t="shared" si="22"/>
        <v>264922</v>
      </c>
      <c r="AF131" s="36">
        <f t="shared" si="26"/>
        <v>88764</v>
      </c>
      <c r="AG131" s="41">
        <f t="shared" si="23"/>
        <v>-14</v>
      </c>
      <c r="AH131" s="36">
        <f t="shared" si="24"/>
        <v>225667</v>
      </c>
      <c r="AI131" s="41">
        <f t="shared" si="25"/>
        <v>-14.8</v>
      </c>
    </row>
    <row r="132" spans="1:35" ht="19.5" hidden="1" customHeight="1">
      <c r="A132" s="43" t="s">
        <v>54</v>
      </c>
      <c r="B132" s="44">
        <v>9939</v>
      </c>
      <c r="C132" s="44">
        <v>73566</v>
      </c>
      <c r="D132" s="44">
        <v>8652</v>
      </c>
      <c r="E132" s="44">
        <v>58394</v>
      </c>
      <c r="F132" s="44">
        <v>2707</v>
      </c>
      <c r="G132" s="44">
        <v>12557</v>
      </c>
      <c r="H132" s="44">
        <v>2046</v>
      </c>
      <c r="I132" s="44">
        <v>12228</v>
      </c>
      <c r="J132" s="44">
        <v>20953</v>
      </c>
      <c r="K132" s="44">
        <v>89628</v>
      </c>
      <c r="L132" s="44">
        <v>23428</v>
      </c>
      <c r="M132" s="44">
        <v>94081</v>
      </c>
      <c r="N132" s="44">
        <v>2721</v>
      </c>
      <c r="O132" s="44">
        <v>5953</v>
      </c>
      <c r="P132" s="44">
        <v>2739</v>
      </c>
      <c r="Q132" s="44">
        <v>5418</v>
      </c>
      <c r="R132" s="44">
        <v>957</v>
      </c>
      <c r="S132" s="44">
        <v>3120</v>
      </c>
      <c r="T132" s="44">
        <v>676</v>
      </c>
      <c r="U132" s="44">
        <v>1739</v>
      </c>
      <c r="V132" s="44">
        <v>64</v>
      </c>
      <c r="W132" s="44">
        <v>607</v>
      </c>
      <c r="X132" s="44">
        <v>71</v>
      </c>
      <c r="Y132" s="44">
        <v>798</v>
      </c>
      <c r="Z132" s="44">
        <v>799</v>
      </c>
      <c r="AA132" s="44">
        <v>25289</v>
      </c>
      <c r="AB132" s="44">
        <v>566</v>
      </c>
      <c r="AC132" s="44">
        <v>13060</v>
      </c>
      <c r="AD132" s="36">
        <f t="shared" si="21"/>
        <v>38140</v>
      </c>
      <c r="AE132" s="36">
        <f t="shared" si="22"/>
        <v>210720</v>
      </c>
      <c r="AF132" s="36">
        <f t="shared" si="26"/>
        <v>38178</v>
      </c>
      <c r="AG132" s="41">
        <f t="shared" si="23"/>
        <v>0.1</v>
      </c>
      <c r="AH132" s="36">
        <f t="shared" si="24"/>
        <v>185718</v>
      </c>
      <c r="AI132" s="41">
        <f t="shared" si="25"/>
        <v>-11.9</v>
      </c>
    </row>
    <row r="133" spans="1:35" ht="19.5" hidden="1" customHeight="1">
      <c r="A133" s="43" t="s">
        <v>56</v>
      </c>
      <c r="B133" s="44">
        <v>29631</v>
      </c>
      <c r="C133" s="44">
        <v>117636</v>
      </c>
      <c r="D133" s="44">
        <v>22468</v>
      </c>
      <c r="E133" s="44">
        <v>100008</v>
      </c>
      <c r="F133" s="44">
        <v>34</v>
      </c>
      <c r="G133" s="44">
        <v>969</v>
      </c>
      <c r="H133" s="44">
        <v>29</v>
      </c>
      <c r="I133" s="44">
        <v>948</v>
      </c>
      <c r="J133" s="44">
        <v>7968</v>
      </c>
      <c r="K133" s="44">
        <v>30448</v>
      </c>
      <c r="L133" s="44">
        <v>6254</v>
      </c>
      <c r="M133" s="44">
        <v>21594</v>
      </c>
      <c r="N133" s="44">
        <v>4353</v>
      </c>
      <c r="O133" s="44">
        <v>9320</v>
      </c>
      <c r="P133" s="44">
        <v>1343</v>
      </c>
      <c r="Q133" s="44">
        <v>2662</v>
      </c>
      <c r="R133" s="44">
        <v>4217</v>
      </c>
      <c r="S133" s="44">
        <v>12181</v>
      </c>
      <c r="T133" s="44">
        <v>6770</v>
      </c>
      <c r="U133" s="44">
        <v>16098</v>
      </c>
      <c r="V133" s="44">
        <v>4</v>
      </c>
      <c r="W133" s="44">
        <v>142</v>
      </c>
      <c r="X133" s="44">
        <v>8</v>
      </c>
      <c r="Y133" s="44">
        <v>159</v>
      </c>
      <c r="Z133" s="44">
        <v>465</v>
      </c>
      <c r="AA133" s="44">
        <v>3589</v>
      </c>
      <c r="AB133" s="44">
        <v>671</v>
      </c>
      <c r="AC133" s="44">
        <v>4483</v>
      </c>
      <c r="AD133" s="36">
        <f t="shared" si="21"/>
        <v>46672</v>
      </c>
      <c r="AE133" s="36">
        <f t="shared" si="22"/>
        <v>174285</v>
      </c>
      <c r="AF133" s="36">
        <f t="shared" si="26"/>
        <v>37543</v>
      </c>
      <c r="AG133" s="41">
        <f t="shared" si="23"/>
        <v>-19.600000000000001</v>
      </c>
      <c r="AH133" s="36">
        <f t="shared" si="24"/>
        <v>145952</v>
      </c>
      <c r="AI133" s="41">
        <f t="shared" si="25"/>
        <v>-16.3</v>
      </c>
    </row>
    <row r="134" spans="1:35" ht="19.5" hidden="1" customHeight="1">
      <c r="A134" s="43" t="s">
        <v>57</v>
      </c>
      <c r="B134" s="44">
        <v>10555</v>
      </c>
      <c r="C134" s="44">
        <v>93904</v>
      </c>
      <c r="D134" s="44">
        <v>11766</v>
      </c>
      <c r="E134" s="44">
        <v>97707</v>
      </c>
      <c r="F134" s="44">
        <v>11</v>
      </c>
      <c r="G134" s="44">
        <v>602</v>
      </c>
      <c r="H134" s="44">
        <v>13</v>
      </c>
      <c r="I134" s="44">
        <v>570</v>
      </c>
      <c r="J134" s="44">
        <v>5250</v>
      </c>
      <c r="K134" s="44">
        <v>28950</v>
      </c>
      <c r="L134" s="44">
        <v>3940</v>
      </c>
      <c r="M134" s="44">
        <v>23439</v>
      </c>
      <c r="N134" s="44">
        <v>848</v>
      </c>
      <c r="O134" s="44">
        <v>1934</v>
      </c>
      <c r="P134" s="44">
        <v>530</v>
      </c>
      <c r="Q134" s="44">
        <v>1110</v>
      </c>
      <c r="R134" s="44">
        <v>15311</v>
      </c>
      <c r="S134" s="44">
        <v>37589</v>
      </c>
      <c r="T134" s="44">
        <v>16892</v>
      </c>
      <c r="U134" s="44">
        <v>35228</v>
      </c>
      <c r="V134" s="44">
        <v>68</v>
      </c>
      <c r="W134" s="44">
        <v>3079</v>
      </c>
      <c r="X134" s="44">
        <v>51</v>
      </c>
      <c r="Y134" s="44">
        <v>3320</v>
      </c>
      <c r="Z134" s="44">
        <v>175</v>
      </c>
      <c r="AA134" s="44">
        <v>3436</v>
      </c>
      <c r="AB134" s="44">
        <v>147</v>
      </c>
      <c r="AC134" s="44">
        <v>4145</v>
      </c>
      <c r="AD134" s="36">
        <f t="shared" si="21"/>
        <v>32218</v>
      </c>
      <c r="AE134" s="36">
        <f t="shared" si="22"/>
        <v>169494</v>
      </c>
      <c r="AF134" s="36">
        <f t="shared" si="26"/>
        <v>33339</v>
      </c>
      <c r="AG134" s="41">
        <f t="shared" si="23"/>
        <v>3.5</v>
      </c>
      <c r="AH134" s="36">
        <f t="shared" si="24"/>
        <v>165519</v>
      </c>
      <c r="AI134" s="41">
        <f t="shared" si="25"/>
        <v>-2.2999999999999998</v>
      </c>
    </row>
    <row r="135" spans="1:35" ht="19.5" hidden="1" customHeight="1">
      <c r="A135" s="43" t="s">
        <v>55</v>
      </c>
      <c r="B135" s="44">
        <v>8546</v>
      </c>
      <c r="C135" s="44">
        <v>48447</v>
      </c>
      <c r="D135" s="44">
        <v>9587</v>
      </c>
      <c r="E135" s="44">
        <v>54123</v>
      </c>
      <c r="F135" s="44">
        <v>32</v>
      </c>
      <c r="G135" s="44">
        <v>317</v>
      </c>
      <c r="H135" s="44">
        <v>19</v>
      </c>
      <c r="I135" s="44">
        <v>298</v>
      </c>
      <c r="J135" s="44">
        <v>17899</v>
      </c>
      <c r="K135" s="44">
        <v>54616</v>
      </c>
      <c r="L135" s="44">
        <v>15927</v>
      </c>
      <c r="M135" s="44">
        <v>47756</v>
      </c>
      <c r="N135" s="44">
        <v>9337</v>
      </c>
      <c r="O135" s="44">
        <v>19915</v>
      </c>
      <c r="P135" s="44">
        <v>7136</v>
      </c>
      <c r="Q135" s="44">
        <v>14296</v>
      </c>
      <c r="R135" s="44">
        <v>7348</v>
      </c>
      <c r="S135" s="44">
        <v>21688</v>
      </c>
      <c r="T135" s="44">
        <v>10371</v>
      </c>
      <c r="U135" s="44">
        <v>24792</v>
      </c>
      <c r="V135" s="44">
        <v>31</v>
      </c>
      <c r="W135" s="44">
        <v>783</v>
      </c>
      <c r="X135" s="44">
        <v>34</v>
      </c>
      <c r="Y135" s="44">
        <v>763</v>
      </c>
      <c r="Z135" s="44">
        <v>23</v>
      </c>
      <c r="AA135" s="44">
        <v>424</v>
      </c>
      <c r="AB135" s="44">
        <v>109</v>
      </c>
      <c r="AC135" s="44">
        <v>814</v>
      </c>
      <c r="AD135" s="36">
        <f t="shared" si="21"/>
        <v>43216</v>
      </c>
      <c r="AE135" s="36">
        <f t="shared" si="22"/>
        <v>146190</v>
      </c>
      <c r="AF135" s="36">
        <f t="shared" si="26"/>
        <v>43183</v>
      </c>
      <c r="AG135" s="41">
        <f t="shared" si="23"/>
        <v>-0.1</v>
      </c>
      <c r="AH135" s="36">
        <f t="shared" si="24"/>
        <v>142842</v>
      </c>
      <c r="AI135" s="41">
        <f t="shared" si="25"/>
        <v>-2.2999999999999998</v>
      </c>
    </row>
    <row r="136" spans="1:35" ht="19.5" hidden="1" customHeight="1">
      <c r="A136" s="43" t="s">
        <v>59</v>
      </c>
      <c r="B136" s="44">
        <v>14088</v>
      </c>
      <c r="C136" s="44">
        <v>93225</v>
      </c>
      <c r="D136" s="44">
        <v>11315</v>
      </c>
      <c r="E136" s="44">
        <v>68039</v>
      </c>
      <c r="F136" s="44">
        <v>36</v>
      </c>
      <c r="G136" s="44">
        <v>2450</v>
      </c>
      <c r="H136" s="44">
        <v>39</v>
      </c>
      <c r="I136" s="44">
        <v>1274</v>
      </c>
      <c r="J136" s="44">
        <v>2724</v>
      </c>
      <c r="K136" s="44">
        <v>11845</v>
      </c>
      <c r="L136" s="44">
        <v>3594</v>
      </c>
      <c r="M136" s="44">
        <v>16034</v>
      </c>
      <c r="N136" s="44">
        <v>0</v>
      </c>
      <c r="O136" s="44">
        <v>0</v>
      </c>
      <c r="P136" s="44">
        <v>5</v>
      </c>
      <c r="Q136" s="44">
        <v>132</v>
      </c>
      <c r="R136" s="44">
        <v>1501</v>
      </c>
      <c r="S136" s="44">
        <v>4542</v>
      </c>
      <c r="T136" s="44">
        <v>1008</v>
      </c>
      <c r="U136" s="44">
        <v>2412</v>
      </c>
      <c r="V136" s="44">
        <v>80</v>
      </c>
      <c r="W136" s="44">
        <v>2487</v>
      </c>
      <c r="X136" s="44">
        <v>124</v>
      </c>
      <c r="Y136" s="44">
        <v>2780</v>
      </c>
      <c r="Z136" s="44">
        <v>43</v>
      </c>
      <c r="AA136" s="44">
        <v>68</v>
      </c>
      <c r="AB136" s="44">
        <v>0</v>
      </c>
      <c r="AC136" s="44">
        <v>107</v>
      </c>
      <c r="AD136" s="36">
        <f t="shared" si="21"/>
        <v>18472</v>
      </c>
      <c r="AE136" s="36">
        <f t="shared" si="22"/>
        <v>114617</v>
      </c>
      <c r="AF136" s="36">
        <f t="shared" si="26"/>
        <v>16085</v>
      </c>
      <c r="AG136" s="41">
        <f t="shared" si="23"/>
        <v>-12.9</v>
      </c>
      <c r="AH136" s="36">
        <f t="shared" si="24"/>
        <v>90778</v>
      </c>
      <c r="AI136" s="41">
        <f t="shared" si="25"/>
        <v>-20.8</v>
      </c>
    </row>
    <row r="137" spans="1:35" ht="19.5" hidden="1" customHeight="1">
      <c r="A137" s="43" t="s">
        <v>58</v>
      </c>
      <c r="B137" s="44">
        <v>2696</v>
      </c>
      <c r="C137" s="44">
        <v>17424</v>
      </c>
      <c r="D137" s="44">
        <v>4091</v>
      </c>
      <c r="E137" s="44">
        <v>25073</v>
      </c>
      <c r="F137" s="44">
        <v>30</v>
      </c>
      <c r="G137" s="44">
        <v>479</v>
      </c>
      <c r="H137" s="44">
        <v>49</v>
      </c>
      <c r="I137" s="44">
        <v>629</v>
      </c>
      <c r="J137" s="44">
        <v>10226</v>
      </c>
      <c r="K137" s="44">
        <v>32270</v>
      </c>
      <c r="L137" s="44">
        <v>6512</v>
      </c>
      <c r="M137" s="44">
        <v>20534</v>
      </c>
      <c r="N137" s="44">
        <v>8030</v>
      </c>
      <c r="O137" s="44">
        <v>17535</v>
      </c>
      <c r="P137" s="44">
        <v>9124</v>
      </c>
      <c r="Q137" s="44">
        <v>17954</v>
      </c>
      <c r="R137" s="44">
        <v>12182</v>
      </c>
      <c r="S137" s="44">
        <v>34919</v>
      </c>
      <c r="T137" s="44">
        <v>14026</v>
      </c>
      <c r="U137" s="44">
        <v>32441</v>
      </c>
      <c r="V137" s="44">
        <v>10</v>
      </c>
      <c r="W137" s="44">
        <v>284</v>
      </c>
      <c r="X137" s="44">
        <v>12</v>
      </c>
      <c r="Y137" s="44">
        <v>324</v>
      </c>
      <c r="Z137" s="44">
        <v>10</v>
      </c>
      <c r="AA137" s="44">
        <v>193</v>
      </c>
      <c r="AB137" s="44">
        <v>0</v>
      </c>
      <c r="AC137" s="44">
        <v>11</v>
      </c>
      <c r="AD137" s="36">
        <f t="shared" si="21"/>
        <v>33184</v>
      </c>
      <c r="AE137" s="36">
        <f t="shared" si="22"/>
        <v>103104</v>
      </c>
      <c r="AF137" s="36">
        <f t="shared" si="26"/>
        <v>33814</v>
      </c>
      <c r="AG137" s="41">
        <f t="shared" si="23"/>
        <v>1.9</v>
      </c>
      <c r="AH137" s="36">
        <f t="shared" si="24"/>
        <v>96966</v>
      </c>
      <c r="AI137" s="41">
        <f t="shared" si="25"/>
        <v>-6</v>
      </c>
    </row>
    <row r="138" spans="1:35" ht="19.5" hidden="1" customHeight="1">
      <c r="A138" s="43" t="s">
        <v>61</v>
      </c>
      <c r="B138" s="44">
        <v>5231</v>
      </c>
      <c r="C138" s="44">
        <v>35126</v>
      </c>
      <c r="D138" s="44">
        <v>4747</v>
      </c>
      <c r="E138" s="44">
        <v>30021</v>
      </c>
      <c r="F138" s="44">
        <v>5</v>
      </c>
      <c r="G138" s="44">
        <v>54</v>
      </c>
      <c r="H138" s="44">
        <v>1</v>
      </c>
      <c r="I138" s="44">
        <v>17</v>
      </c>
      <c r="J138" s="44">
        <v>14538</v>
      </c>
      <c r="K138" s="44">
        <v>42780</v>
      </c>
      <c r="L138" s="44">
        <v>15534</v>
      </c>
      <c r="M138" s="44">
        <v>42754</v>
      </c>
      <c r="N138" s="44">
        <v>502</v>
      </c>
      <c r="O138" s="44">
        <v>2266</v>
      </c>
      <c r="P138" s="44">
        <v>1114</v>
      </c>
      <c r="Q138" s="44">
        <v>5443</v>
      </c>
      <c r="R138" s="44">
        <v>3519</v>
      </c>
      <c r="S138" s="44">
        <v>10651</v>
      </c>
      <c r="T138" s="44">
        <v>3108</v>
      </c>
      <c r="U138" s="44">
        <v>7523</v>
      </c>
      <c r="V138" s="44">
        <v>0</v>
      </c>
      <c r="W138" s="44">
        <v>0</v>
      </c>
      <c r="X138" s="44">
        <v>0</v>
      </c>
      <c r="Y138" s="44">
        <v>0</v>
      </c>
      <c r="Z138" s="44">
        <v>16</v>
      </c>
      <c r="AA138" s="44">
        <v>247</v>
      </c>
      <c r="AB138" s="44">
        <v>18</v>
      </c>
      <c r="AC138" s="44">
        <v>373</v>
      </c>
      <c r="AD138" s="36">
        <f t="shared" si="21"/>
        <v>23811</v>
      </c>
      <c r="AE138" s="36">
        <f t="shared" si="22"/>
        <v>91124</v>
      </c>
      <c r="AF138" s="36">
        <f t="shared" si="26"/>
        <v>24522</v>
      </c>
      <c r="AG138" s="41">
        <f t="shared" si="23"/>
        <v>3</v>
      </c>
      <c r="AH138" s="36">
        <f t="shared" si="24"/>
        <v>86131</v>
      </c>
      <c r="AI138" s="41">
        <f t="shared" si="25"/>
        <v>-5.5</v>
      </c>
    </row>
    <row r="139" spans="1:35" ht="19.5" hidden="1" customHeight="1">
      <c r="A139" s="43" t="s">
        <v>60</v>
      </c>
      <c r="B139" s="44">
        <v>4571</v>
      </c>
      <c r="C139" s="44">
        <v>32746</v>
      </c>
      <c r="D139" s="44">
        <v>4885</v>
      </c>
      <c r="E139" s="44">
        <v>26225</v>
      </c>
      <c r="F139" s="44">
        <v>1</v>
      </c>
      <c r="G139" s="44">
        <v>46</v>
      </c>
      <c r="H139" s="44">
        <v>3</v>
      </c>
      <c r="I139" s="44">
        <v>171</v>
      </c>
      <c r="J139" s="44">
        <v>1261</v>
      </c>
      <c r="K139" s="44">
        <v>6392</v>
      </c>
      <c r="L139" s="44">
        <v>1253</v>
      </c>
      <c r="M139" s="44">
        <v>7743</v>
      </c>
      <c r="N139" s="44">
        <v>0</v>
      </c>
      <c r="O139" s="44">
        <v>0</v>
      </c>
      <c r="P139" s="44">
        <v>39</v>
      </c>
      <c r="Q139" s="44">
        <v>116</v>
      </c>
      <c r="R139" s="44">
        <v>10650</v>
      </c>
      <c r="S139" s="44">
        <v>32414</v>
      </c>
      <c r="T139" s="44">
        <v>6293</v>
      </c>
      <c r="U139" s="44">
        <v>14534</v>
      </c>
      <c r="V139" s="44">
        <v>2</v>
      </c>
      <c r="W139" s="44">
        <v>50</v>
      </c>
      <c r="X139" s="44">
        <v>0</v>
      </c>
      <c r="Y139" s="44">
        <v>7</v>
      </c>
      <c r="Z139" s="44">
        <v>408</v>
      </c>
      <c r="AA139" s="44">
        <v>2306</v>
      </c>
      <c r="AB139" s="44">
        <v>482</v>
      </c>
      <c r="AC139" s="44">
        <v>2291</v>
      </c>
      <c r="AD139" s="36">
        <f t="shared" si="21"/>
        <v>16893</v>
      </c>
      <c r="AE139" s="36">
        <f t="shared" si="22"/>
        <v>73954</v>
      </c>
      <c r="AF139" s="36">
        <f t="shared" si="26"/>
        <v>12955</v>
      </c>
      <c r="AG139" s="41">
        <f t="shared" si="23"/>
        <v>-23.3</v>
      </c>
      <c r="AH139" s="36">
        <f t="shared" si="24"/>
        <v>51087</v>
      </c>
      <c r="AI139" s="41">
        <f t="shared" si="25"/>
        <v>-30.9</v>
      </c>
    </row>
    <row r="140" spans="1:35" ht="19.5" hidden="1" customHeight="1">
      <c r="A140" s="43" t="s">
        <v>65</v>
      </c>
      <c r="B140" s="44">
        <v>1958</v>
      </c>
      <c r="C140" s="44">
        <v>13916</v>
      </c>
      <c r="D140" s="44">
        <v>601</v>
      </c>
      <c r="E140" s="44">
        <v>4109</v>
      </c>
      <c r="F140" s="44">
        <v>0</v>
      </c>
      <c r="G140" s="44">
        <v>7</v>
      </c>
      <c r="H140" s="44">
        <v>1</v>
      </c>
      <c r="I140" s="44">
        <v>10</v>
      </c>
      <c r="J140" s="44">
        <v>17480</v>
      </c>
      <c r="K140" s="44">
        <v>48776</v>
      </c>
      <c r="L140" s="44">
        <v>16202</v>
      </c>
      <c r="M140" s="44">
        <v>44660</v>
      </c>
      <c r="N140" s="44">
        <v>1</v>
      </c>
      <c r="O140" s="44">
        <v>8</v>
      </c>
      <c r="P140" s="44">
        <v>0</v>
      </c>
      <c r="Q140" s="44">
        <v>0</v>
      </c>
      <c r="R140" s="44">
        <v>18</v>
      </c>
      <c r="S140" s="44">
        <v>175</v>
      </c>
      <c r="T140" s="44">
        <v>13</v>
      </c>
      <c r="U140" s="44">
        <v>135</v>
      </c>
      <c r="V140" s="44">
        <v>3</v>
      </c>
      <c r="W140" s="44">
        <v>101</v>
      </c>
      <c r="X140" s="44">
        <v>1</v>
      </c>
      <c r="Y140" s="44">
        <v>35</v>
      </c>
      <c r="Z140" s="44">
        <v>1</v>
      </c>
      <c r="AA140" s="44">
        <v>78</v>
      </c>
      <c r="AB140" s="44">
        <v>0</v>
      </c>
      <c r="AC140" s="44">
        <v>31</v>
      </c>
      <c r="AD140" s="36">
        <f t="shared" si="21"/>
        <v>19461</v>
      </c>
      <c r="AE140" s="36">
        <f t="shared" si="22"/>
        <v>63061</v>
      </c>
      <c r="AF140" s="36">
        <f t="shared" si="26"/>
        <v>16818</v>
      </c>
      <c r="AG140" s="41">
        <f t="shared" si="23"/>
        <v>-13.6</v>
      </c>
      <c r="AH140" s="36">
        <f t="shared" si="24"/>
        <v>48980</v>
      </c>
      <c r="AI140" s="41">
        <f t="shared" si="25"/>
        <v>-22.3</v>
      </c>
    </row>
    <row r="141" spans="1:35" ht="19.5" hidden="1" customHeight="1">
      <c r="A141" s="43" t="s">
        <v>63</v>
      </c>
      <c r="B141" s="44">
        <v>442</v>
      </c>
      <c r="C141" s="44">
        <v>3696</v>
      </c>
      <c r="D141" s="44">
        <v>655</v>
      </c>
      <c r="E141" s="44">
        <v>4915</v>
      </c>
      <c r="F141" s="44">
        <v>13</v>
      </c>
      <c r="G141" s="44">
        <v>959</v>
      </c>
      <c r="H141" s="44">
        <v>5</v>
      </c>
      <c r="I141" s="44">
        <v>244</v>
      </c>
      <c r="J141" s="44">
        <v>7031</v>
      </c>
      <c r="K141" s="44">
        <v>18275</v>
      </c>
      <c r="L141" s="44">
        <v>9018</v>
      </c>
      <c r="M141" s="44">
        <v>21082</v>
      </c>
      <c r="N141" s="44">
        <v>0</v>
      </c>
      <c r="O141" s="44">
        <v>0</v>
      </c>
      <c r="P141" s="44">
        <v>16</v>
      </c>
      <c r="Q141" s="44">
        <v>32</v>
      </c>
      <c r="R141" s="44">
        <v>4060</v>
      </c>
      <c r="S141" s="44">
        <v>11533</v>
      </c>
      <c r="T141" s="44">
        <v>5796</v>
      </c>
      <c r="U141" s="44">
        <v>13131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12</v>
      </c>
      <c r="AB141" s="44">
        <v>0</v>
      </c>
      <c r="AC141" s="44">
        <v>13</v>
      </c>
      <c r="AD141" s="36">
        <f t="shared" si="21"/>
        <v>11546</v>
      </c>
      <c r="AE141" s="36">
        <f t="shared" si="22"/>
        <v>34475</v>
      </c>
      <c r="AF141" s="36">
        <f t="shared" si="26"/>
        <v>15490</v>
      </c>
      <c r="AG141" s="41">
        <f t="shared" si="23"/>
        <v>34.200000000000003</v>
      </c>
      <c r="AH141" s="36">
        <f t="shared" si="24"/>
        <v>39417</v>
      </c>
      <c r="AI141" s="41">
        <f t="shared" si="25"/>
        <v>14.3</v>
      </c>
    </row>
    <row r="142" spans="1:35" ht="19.5" hidden="1" customHeight="1">
      <c r="A142" s="43" t="s">
        <v>64</v>
      </c>
      <c r="B142" s="44">
        <v>831</v>
      </c>
      <c r="C142" s="44">
        <v>6330</v>
      </c>
      <c r="D142" s="44">
        <v>844</v>
      </c>
      <c r="E142" s="44">
        <v>6130</v>
      </c>
      <c r="F142" s="44">
        <v>6</v>
      </c>
      <c r="G142" s="44">
        <v>329</v>
      </c>
      <c r="H142" s="44">
        <v>10</v>
      </c>
      <c r="I142" s="44">
        <v>904</v>
      </c>
      <c r="J142" s="44">
        <v>4172</v>
      </c>
      <c r="K142" s="44">
        <v>11768</v>
      </c>
      <c r="L142" s="44">
        <v>5568</v>
      </c>
      <c r="M142" s="44">
        <v>14279</v>
      </c>
      <c r="N142" s="44">
        <v>0</v>
      </c>
      <c r="O142" s="44">
        <v>0</v>
      </c>
      <c r="P142" s="44">
        <v>50</v>
      </c>
      <c r="Q142" s="44">
        <v>89</v>
      </c>
      <c r="R142" s="44">
        <v>5347</v>
      </c>
      <c r="S142" s="44">
        <v>15623</v>
      </c>
      <c r="T142" s="44">
        <v>5598</v>
      </c>
      <c r="U142" s="44">
        <v>12330</v>
      </c>
      <c r="V142" s="44">
        <v>100</v>
      </c>
      <c r="W142" s="44">
        <v>600</v>
      </c>
      <c r="X142" s="44">
        <v>69</v>
      </c>
      <c r="Y142" s="44">
        <v>398</v>
      </c>
      <c r="Z142" s="44">
        <v>15</v>
      </c>
      <c r="AA142" s="44">
        <v>181</v>
      </c>
      <c r="AB142" s="44">
        <v>0</v>
      </c>
      <c r="AC142" s="44">
        <v>29</v>
      </c>
      <c r="AD142" s="36">
        <f t="shared" si="21"/>
        <v>10471</v>
      </c>
      <c r="AE142" s="36">
        <f t="shared" si="22"/>
        <v>34831</v>
      </c>
      <c r="AF142" s="36">
        <f t="shared" si="26"/>
        <v>12139</v>
      </c>
      <c r="AG142" s="41">
        <f t="shared" si="23"/>
        <v>15.9</v>
      </c>
      <c r="AH142" s="36">
        <f t="shared" si="24"/>
        <v>34159</v>
      </c>
      <c r="AI142" s="41">
        <f t="shared" si="25"/>
        <v>-1.9</v>
      </c>
    </row>
    <row r="143" spans="1:35" ht="19.5" hidden="1" customHeight="1">
      <c r="A143" s="43" t="s">
        <v>62</v>
      </c>
      <c r="B143" s="44">
        <v>1081</v>
      </c>
      <c r="C143" s="44">
        <v>7076</v>
      </c>
      <c r="D143" s="44">
        <v>1006</v>
      </c>
      <c r="E143" s="44">
        <v>5866</v>
      </c>
      <c r="F143" s="44">
        <v>0</v>
      </c>
      <c r="G143" s="44">
        <v>0</v>
      </c>
      <c r="H143" s="44">
        <v>0</v>
      </c>
      <c r="I143" s="44">
        <v>0</v>
      </c>
      <c r="J143" s="44">
        <v>1741</v>
      </c>
      <c r="K143" s="44">
        <v>8627</v>
      </c>
      <c r="L143" s="44">
        <v>1834</v>
      </c>
      <c r="M143" s="44">
        <v>7381</v>
      </c>
      <c r="N143" s="44">
        <v>329</v>
      </c>
      <c r="O143" s="44">
        <v>767</v>
      </c>
      <c r="P143" s="44">
        <v>1914</v>
      </c>
      <c r="Q143" s="44">
        <v>3733</v>
      </c>
      <c r="R143" s="44">
        <v>5271</v>
      </c>
      <c r="S143" s="44">
        <v>14934</v>
      </c>
      <c r="T143" s="44">
        <v>5151</v>
      </c>
      <c r="U143" s="44">
        <v>12236</v>
      </c>
      <c r="V143" s="44">
        <v>0</v>
      </c>
      <c r="W143" s="44">
        <v>0</v>
      </c>
      <c r="X143" s="44">
        <v>0</v>
      </c>
      <c r="Y143" s="44">
        <v>0</v>
      </c>
      <c r="Z143" s="44">
        <v>15136</v>
      </c>
      <c r="AA143" s="44">
        <v>851</v>
      </c>
      <c r="AB143" s="44">
        <v>0</v>
      </c>
      <c r="AC143" s="44">
        <v>0</v>
      </c>
      <c r="AD143" s="36">
        <f t="shared" si="21"/>
        <v>23558</v>
      </c>
      <c r="AE143" s="36">
        <f t="shared" si="22"/>
        <v>32255</v>
      </c>
      <c r="AF143" s="36">
        <f t="shared" si="26"/>
        <v>9905</v>
      </c>
      <c r="AG143" s="41">
        <f t="shared" si="23"/>
        <v>-58</v>
      </c>
      <c r="AH143" s="36">
        <f t="shared" si="24"/>
        <v>29216</v>
      </c>
      <c r="AI143" s="41">
        <f t="shared" si="25"/>
        <v>-9.4</v>
      </c>
    </row>
    <row r="144" spans="1:35" ht="19.5" hidden="1" customHeight="1">
      <c r="A144" s="43" t="s">
        <v>448</v>
      </c>
      <c r="B144" s="44">
        <v>647</v>
      </c>
      <c r="C144" s="44">
        <v>9918</v>
      </c>
      <c r="D144" s="44">
        <v>2062</v>
      </c>
      <c r="E144" s="44">
        <v>28009</v>
      </c>
      <c r="F144" s="44">
        <v>15</v>
      </c>
      <c r="G144" s="44">
        <v>1075</v>
      </c>
      <c r="H144" s="44">
        <v>14</v>
      </c>
      <c r="I144" s="44">
        <v>931</v>
      </c>
      <c r="J144" s="44">
        <v>4141</v>
      </c>
      <c r="K144" s="44">
        <v>25087</v>
      </c>
      <c r="L144" s="44">
        <v>2779</v>
      </c>
      <c r="M144" s="44">
        <v>21215</v>
      </c>
      <c r="N144" s="44">
        <v>11</v>
      </c>
      <c r="O144" s="44">
        <v>1</v>
      </c>
      <c r="P144" s="44">
        <v>3</v>
      </c>
      <c r="Q144" s="44">
        <v>12</v>
      </c>
      <c r="R144" s="44">
        <v>15</v>
      </c>
      <c r="S144" s="44">
        <v>83</v>
      </c>
      <c r="T144" s="44">
        <v>3</v>
      </c>
      <c r="U144" s="44">
        <v>109</v>
      </c>
      <c r="V144" s="44">
        <v>2</v>
      </c>
      <c r="W144" s="44">
        <v>64</v>
      </c>
      <c r="X144" s="44">
        <v>1</v>
      </c>
      <c r="Y144" s="44">
        <v>28</v>
      </c>
      <c r="Z144" s="44">
        <v>0</v>
      </c>
      <c r="AA144" s="44">
        <v>4</v>
      </c>
      <c r="AB144" s="44">
        <v>0</v>
      </c>
      <c r="AC144" s="44">
        <v>9</v>
      </c>
      <c r="AD144" s="36">
        <f t="shared" si="21"/>
        <v>4831</v>
      </c>
      <c r="AE144" s="36">
        <f t="shared" si="22"/>
        <v>36232</v>
      </c>
      <c r="AF144" s="36">
        <f t="shared" si="26"/>
        <v>4862</v>
      </c>
      <c r="AG144" s="41">
        <f t="shared" si="23"/>
        <v>0.6</v>
      </c>
      <c r="AH144" s="36">
        <f t="shared" si="24"/>
        <v>50313</v>
      </c>
      <c r="AI144" s="41">
        <f t="shared" si="25"/>
        <v>38.9</v>
      </c>
    </row>
    <row r="145" spans="1:35" ht="19.5" hidden="1" customHeight="1">
      <c r="A145" s="43" t="s">
        <v>77</v>
      </c>
      <c r="B145" s="44">
        <v>259</v>
      </c>
      <c r="C145" s="44">
        <v>3299</v>
      </c>
      <c r="D145" s="44">
        <v>730</v>
      </c>
      <c r="E145" s="44">
        <v>7207</v>
      </c>
      <c r="F145" s="44">
        <v>0</v>
      </c>
      <c r="G145" s="44">
        <v>25</v>
      </c>
      <c r="H145" s="44">
        <v>0</v>
      </c>
      <c r="I145" s="44">
        <v>21</v>
      </c>
      <c r="J145" s="44">
        <v>10163</v>
      </c>
      <c r="K145" s="44">
        <v>23354</v>
      </c>
      <c r="L145" s="44">
        <v>8379</v>
      </c>
      <c r="M145" s="44">
        <v>19143</v>
      </c>
      <c r="N145" s="44">
        <v>0</v>
      </c>
      <c r="O145" s="44">
        <v>0</v>
      </c>
      <c r="P145" s="44">
        <v>293</v>
      </c>
      <c r="Q145" s="44">
        <v>536</v>
      </c>
      <c r="R145" s="44">
        <v>0</v>
      </c>
      <c r="S145" s="44">
        <v>0</v>
      </c>
      <c r="T145" s="44">
        <v>0</v>
      </c>
      <c r="U145" s="44">
        <v>7</v>
      </c>
      <c r="V145" s="44">
        <v>0</v>
      </c>
      <c r="W145" s="44">
        <v>0</v>
      </c>
      <c r="X145" s="44">
        <v>0</v>
      </c>
      <c r="Y145" s="44">
        <v>0</v>
      </c>
      <c r="Z145" s="44">
        <v>1</v>
      </c>
      <c r="AA145" s="44">
        <v>10</v>
      </c>
      <c r="AB145" s="44">
        <v>1</v>
      </c>
      <c r="AC145" s="44">
        <v>7</v>
      </c>
      <c r="AD145" s="36">
        <f t="shared" si="21"/>
        <v>10423</v>
      </c>
      <c r="AE145" s="36">
        <f t="shared" si="22"/>
        <v>26688</v>
      </c>
      <c r="AF145" s="36">
        <f t="shared" si="26"/>
        <v>9403</v>
      </c>
      <c r="AG145" s="41">
        <f t="shared" si="23"/>
        <v>-9.8000000000000007</v>
      </c>
      <c r="AH145" s="36">
        <f t="shared" si="24"/>
        <v>26921</v>
      </c>
      <c r="AI145" s="41">
        <f t="shared" si="25"/>
        <v>0.9</v>
      </c>
    </row>
    <row r="146" spans="1:35" ht="19.5" hidden="1" customHeight="1">
      <c r="A146" s="43" t="s">
        <v>75</v>
      </c>
      <c r="B146" s="44">
        <v>177</v>
      </c>
      <c r="C146" s="44">
        <v>1591</v>
      </c>
      <c r="D146" s="44">
        <v>937</v>
      </c>
      <c r="E146" s="44">
        <v>6489</v>
      </c>
      <c r="F146" s="44">
        <v>0</v>
      </c>
      <c r="G146" s="44">
        <v>0</v>
      </c>
      <c r="H146" s="44">
        <v>1</v>
      </c>
      <c r="I146" s="44">
        <v>9</v>
      </c>
      <c r="J146" s="44">
        <v>8216</v>
      </c>
      <c r="K146" s="44">
        <v>21668</v>
      </c>
      <c r="L146" s="44">
        <v>9106</v>
      </c>
      <c r="M146" s="44">
        <v>22363</v>
      </c>
      <c r="N146" s="44">
        <v>0</v>
      </c>
      <c r="O146" s="44">
        <v>0</v>
      </c>
      <c r="P146" s="44">
        <v>0</v>
      </c>
      <c r="Q146" s="44">
        <v>0</v>
      </c>
      <c r="R146" s="44">
        <v>10</v>
      </c>
      <c r="S146" s="44">
        <v>33</v>
      </c>
      <c r="T146" s="44">
        <v>0</v>
      </c>
      <c r="U146" s="44">
        <v>1</v>
      </c>
      <c r="V146" s="44">
        <v>75</v>
      </c>
      <c r="W146" s="44">
        <v>1598</v>
      </c>
      <c r="X146" s="44">
        <v>6</v>
      </c>
      <c r="Y146" s="44">
        <v>83</v>
      </c>
      <c r="Z146" s="44">
        <v>80</v>
      </c>
      <c r="AA146" s="44">
        <v>280</v>
      </c>
      <c r="AB146" s="44">
        <v>15</v>
      </c>
      <c r="AC146" s="44">
        <v>130</v>
      </c>
      <c r="AD146" s="36">
        <f t="shared" si="21"/>
        <v>8558</v>
      </c>
      <c r="AE146" s="36">
        <f t="shared" si="22"/>
        <v>25170</v>
      </c>
      <c r="AF146" s="36">
        <f t="shared" si="26"/>
        <v>10065</v>
      </c>
      <c r="AG146" s="41">
        <f t="shared" si="23"/>
        <v>17.600000000000001</v>
      </c>
      <c r="AH146" s="36">
        <f t="shared" si="24"/>
        <v>29075</v>
      </c>
      <c r="AI146" s="41">
        <f t="shared" si="25"/>
        <v>15.5</v>
      </c>
    </row>
    <row r="147" spans="1:35" ht="19.5" hidden="1" customHeight="1">
      <c r="A147" s="43" t="s">
        <v>449</v>
      </c>
      <c r="B147" s="44">
        <v>840</v>
      </c>
      <c r="C147" s="44">
        <v>9982</v>
      </c>
      <c r="D147" s="44">
        <v>1276</v>
      </c>
      <c r="E147" s="44">
        <v>14193</v>
      </c>
      <c r="F147" s="44">
        <v>0</v>
      </c>
      <c r="G147" s="44">
        <v>0</v>
      </c>
      <c r="H147" s="44">
        <v>1</v>
      </c>
      <c r="I147" s="44">
        <v>0</v>
      </c>
      <c r="J147" s="44">
        <v>423</v>
      </c>
      <c r="K147" s="44">
        <v>3639</v>
      </c>
      <c r="L147" s="44">
        <v>2006</v>
      </c>
      <c r="M147" s="44">
        <v>9243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1</v>
      </c>
      <c r="Z147" s="44">
        <v>0</v>
      </c>
      <c r="AA147" s="44">
        <v>11</v>
      </c>
      <c r="AB147" s="44">
        <v>0</v>
      </c>
      <c r="AC147" s="44">
        <v>29</v>
      </c>
      <c r="AD147" s="36">
        <f t="shared" si="21"/>
        <v>1263</v>
      </c>
      <c r="AE147" s="36">
        <f t="shared" si="22"/>
        <v>13632</v>
      </c>
      <c r="AF147" s="36">
        <f t="shared" si="26"/>
        <v>3283</v>
      </c>
      <c r="AG147" s="41">
        <f t="shared" si="23"/>
        <v>159.9</v>
      </c>
      <c r="AH147" s="36">
        <f t="shared" si="24"/>
        <v>23466</v>
      </c>
      <c r="AI147" s="41">
        <f t="shared" si="25"/>
        <v>72.099999999999994</v>
      </c>
    </row>
    <row r="148" spans="1:35" ht="19.5" hidden="1" customHeight="1">
      <c r="A148" s="43" t="s">
        <v>68</v>
      </c>
      <c r="B148" s="44">
        <v>266</v>
      </c>
      <c r="C148" s="44">
        <v>4061</v>
      </c>
      <c r="D148" s="44">
        <v>357</v>
      </c>
      <c r="E148" s="44">
        <v>4339</v>
      </c>
      <c r="F148" s="44">
        <v>75</v>
      </c>
      <c r="G148" s="44">
        <v>635</v>
      </c>
      <c r="H148" s="44">
        <v>198</v>
      </c>
      <c r="I148" s="44">
        <v>526</v>
      </c>
      <c r="J148" s="44">
        <v>2915</v>
      </c>
      <c r="K148" s="44">
        <v>12495</v>
      </c>
      <c r="L148" s="44">
        <v>919</v>
      </c>
      <c r="M148" s="44">
        <v>4648</v>
      </c>
      <c r="N148" s="44">
        <v>0</v>
      </c>
      <c r="O148" s="44">
        <v>0</v>
      </c>
      <c r="P148" s="44">
        <v>0</v>
      </c>
      <c r="Q148" s="44">
        <v>0</v>
      </c>
      <c r="R148" s="44">
        <v>4</v>
      </c>
      <c r="S148" s="44">
        <v>18</v>
      </c>
      <c r="T148" s="44">
        <v>0</v>
      </c>
      <c r="U148" s="44">
        <v>3</v>
      </c>
      <c r="V148" s="44">
        <v>0</v>
      </c>
      <c r="W148" s="44">
        <v>15</v>
      </c>
      <c r="X148" s="44">
        <v>0</v>
      </c>
      <c r="Y148" s="44">
        <v>16</v>
      </c>
      <c r="Z148" s="44">
        <v>20</v>
      </c>
      <c r="AA148" s="44">
        <v>3056</v>
      </c>
      <c r="AB148" s="44">
        <v>51</v>
      </c>
      <c r="AC148" s="44">
        <v>3111</v>
      </c>
      <c r="AD148" s="36">
        <f t="shared" si="21"/>
        <v>3280</v>
      </c>
      <c r="AE148" s="36">
        <f t="shared" si="22"/>
        <v>20280</v>
      </c>
      <c r="AF148" s="36">
        <f t="shared" si="26"/>
        <v>1525</v>
      </c>
      <c r="AG148" s="41">
        <f t="shared" si="23"/>
        <v>-53.5</v>
      </c>
      <c r="AH148" s="36">
        <f t="shared" si="24"/>
        <v>12643</v>
      </c>
      <c r="AI148" s="41">
        <f t="shared" si="25"/>
        <v>-37.700000000000003</v>
      </c>
    </row>
    <row r="149" spans="1:35" ht="19.5" hidden="1" customHeight="1">
      <c r="A149" s="43" t="s">
        <v>66</v>
      </c>
      <c r="B149" s="44">
        <v>1113</v>
      </c>
      <c r="C149" s="44">
        <v>7315</v>
      </c>
      <c r="D149" s="44">
        <v>889</v>
      </c>
      <c r="E149" s="44">
        <v>6322</v>
      </c>
      <c r="F149" s="44">
        <v>9</v>
      </c>
      <c r="G149" s="44">
        <v>187</v>
      </c>
      <c r="H149" s="44">
        <v>53</v>
      </c>
      <c r="I149" s="44">
        <v>528</v>
      </c>
      <c r="J149" s="44">
        <v>1745</v>
      </c>
      <c r="K149" s="44">
        <v>7101</v>
      </c>
      <c r="L149" s="44">
        <v>1223</v>
      </c>
      <c r="M149" s="44">
        <v>6540</v>
      </c>
      <c r="N149" s="44">
        <v>0</v>
      </c>
      <c r="O149" s="44">
        <v>0</v>
      </c>
      <c r="P149" s="44">
        <v>97</v>
      </c>
      <c r="Q149" s="44">
        <v>134</v>
      </c>
      <c r="R149" s="44">
        <v>706</v>
      </c>
      <c r="S149" s="44">
        <v>2202</v>
      </c>
      <c r="T149" s="44">
        <v>625</v>
      </c>
      <c r="U149" s="44">
        <v>1533</v>
      </c>
      <c r="V149" s="44">
        <v>17</v>
      </c>
      <c r="W149" s="44">
        <v>324</v>
      </c>
      <c r="X149" s="44">
        <v>0</v>
      </c>
      <c r="Y149" s="44">
        <v>5</v>
      </c>
      <c r="Z149" s="44">
        <v>87</v>
      </c>
      <c r="AA149" s="44">
        <v>1271</v>
      </c>
      <c r="AB149" s="44">
        <v>247</v>
      </c>
      <c r="AC149" s="44">
        <v>595</v>
      </c>
      <c r="AD149" s="36">
        <f t="shared" si="21"/>
        <v>3677</v>
      </c>
      <c r="AE149" s="36">
        <f t="shared" si="22"/>
        <v>18400</v>
      </c>
      <c r="AF149" s="36">
        <f t="shared" si="26"/>
        <v>3134</v>
      </c>
      <c r="AG149" s="41">
        <f t="shared" si="23"/>
        <v>-14.8</v>
      </c>
      <c r="AH149" s="36">
        <f t="shared" si="24"/>
        <v>15657</v>
      </c>
      <c r="AI149" s="41">
        <f t="shared" si="25"/>
        <v>-14.9</v>
      </c>
    </row>
    <row r="150" spans="1:35" ht="19.5" hidden="1" customHeight="1">
      <c r="A150" s="43" t="s">
        <v>73</v>
      </c>
      <c r="B150" s="44">
        <v>313</v>
      </c>
      <c r="C150" s="44">
        <v>2135</v>
      </c>
      <c r="D150" s="44">
        <v>597</v>
      </c>
      <c r="E150" s="44">
        <v>3340</v>
      </c>
      <c r="F150" s="44">
        <v>1</v>
      </c>
      <c r="G150" s="44">
        <v>142</v>
      </c>
      <c r="H150" s="44">
        <v>19</v>
      </c>
      <c r="I150" s="44">
        <v>176</v>
      </c>
      <c r="J150" s="44">
        <v>6500</v>
      </c>
      <c r="K150" s="44">
        <v>16110</v>
      </c>
      <c r="L150" s="44">
        <v>860</v>
      </c>
      <c r="M150" s="44">
        <v>4265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7</v>
      </c>
      <c r="T150" s="44">
        <v>0</v>
      </c>
      <c r="U150" s="44">
        <v>0</v>
      </c>
      <c r="V150" s="44">
        <v>7</v>
      </c>
      <c r="W150" s="44">
        <v>134</v>
      </c>
      <c r="X150" s="44">
        <v>6</v>
      </c>
      <c r="Y150" s="44">
        <v>68</v>
      </c>
      <c r="Z150" s="44">
        <v>0</v>
      </c>
      <c r="AA150" s="44">
        <v>1</v>
      </c>
      <c r="AB150" s="44">
        <v>23</v>
      </c>
      <c r="AC150" s="44">
        <v>407</v>
      </c>
      <c r="AD150" s="36">
        <f t="shared" si="21"/>
        <v>6821</v>
      </c>
      <c r="AE150" s="36">
        <f t="shared" si="22"/>
        <v>18529</v>
      </c>
      <c r="AF150" s="36">
        <f t="shared" si="26"/>
        <v>1505</v>
      </c>
      <c r="AG150" s="41">
        <f t="shared" si="23"/>
        <v>-77.900000000000006</v>
      </c>
      <c r="AH150" s="36">
        <f t="shared" si="24"/>
        <v>8256</v>
      </c>
      <c r="AI150" s="41">
        <f t="shared" si="25"/>
        <v>-55.4</v>
      </c>
    </row>
    <row r="151" spans="1:35" ht="19.5" hidden="1" customHeight="1">
      <c r="A151" s="43" t="s">
        <v>71</v>
      </c>
      <c r="B151" s="44">
        <v>1079</v>
      </c>
      <c r="C151" s="44">
        <v>8761</v>
      </c>
      <c r="D151" s="44">
        <v>992</v>
      </c>
      <c r="E151" s="44">
        <v>7001</v>
      </c>
      <c r="F151" s="44">
        <v>105</v>
      </c>
      <c r="G151" s="44">
        <v>1253</v>
      </c>
      <c r="H151" s="44">
        <v>82</v>
      </c>
      <c r="I151" s="44">
        <v>419</v>
      </c>
      <c r="J151" s="44">
        <v>2597</v>
      </c>
      <c r="K151" s="44">
        <v>7067</v>
      </c>
      <c r="L151" s="44">
        <v>505</v>
      </c>
      <c r="M151" s="44">
        <v>1539</v>
      </c>
      <c r="N151" s="44">
        <v>0</v>
      </c>
      <c r="O151" s="44">
        <v>0</v>
      </c>
      <c r="P151" s="44">
        <v>0</v>
      </c>
      <c r="Q151" s="44">
        <v>0</v>
      </c>
      <c r="R151" s="44">
        <v>1</v>
      </c>
      <c r="S151" s="44">
        <v>4</v>
      </c>
      <c r="T151" s="44">
        <v>0</v>
      </c>
      <c r="U151" s="44">
        <v>2</v>
      </c>
      <c r="V151" s="44">
        <v>0</v>
      </c>
      <c r="W151" s="44">
        <v>0</v>
      </c>
      <c r="X151" s="44">
        <v>0</v>
      </c>
      <c r="Y151" s="44">
        <v>0</v>
      </c>
      <c r="Z151" s="44">
        <v>90</v>
      </c>
      <c r="AA151" s="44">
        <v>1934</v>
      </c>
      <c r="AB151" s="44">
        <v>54</v>
      </c>
      <c r="AC151" s="44">
        <v>396</v>
      </c>
      <c r="AD151" s="36">
        <f t="shared" si="21"/>
        <v>3872</v>
      </c>
      <c r="AE151" s="36">
        <f t="shared" si="22"/>
        <v>19019</v>
      </c>
      <c r="AF151" s="36">
        <f t="shared" si="26"/>
        <v>1633</v>
      </c>
      <c r="AG151" s="41">
        <f t="shared" si="23"/>
        <v>-57.8</v>
      </c>
      <c r="AH151" s="36">
        <f t="shared" si="24"/>
        <v>9357</v>
      </c>
      <c r="AI151" s="41">
        <f t="shared" si="25"/>
        <v>-50.8</v>
      </c>
    </row>
    <row r="152" spans="1:35" ht="19.5" hidden="1" customHeight="1">
      <c r="A152" s="33" t="s">
        <v>70</v>
      </c>
      <c r="B152" s="44">
        <v>141</v>
      </c>
      <c r="C152" s="44">
        <v>332</v>
      </c>
      <c r="D152" s="44">
        <v>92</v>
      </c>
      <c r="E152" s="44">
        <v>501</v>
      </c>
      <c r="F152" s="44">
        <v>0</v>
      </c>
      <c r="G152" s="44">
        <v>4</v>
      </c>
      <c r="H152" s="44">
        <v>6</v>
      </c>
      <c r="I152" s="44">
        <v>82</v>
      </c>
      <c r="J152" s="44">
        <v>2238</v>
      </c>
      <c r="K152" s="44">
        <v>5691</v>
      </c>
      <c r="L152" s="44">
        <v>2585</v>
      </c>
      <c r="M152" s="44">
        <v>6019</v>
      </c>
      <c r="N152" s="44">
        <v>0</v>
      </c>
      <c r="O152" s="44">
        <v>0</v>
      </c>
      <c r="P152" s="44">
        <v>0</v>
      </c>
      <c r="Q152" s="44">
        <v>0</v>
      </c>
      <c r="R152" s="44">
        <v>2923</v>
      </c>
      <c r="S152" s="44">
        <v>8320</v>
      </c>
      <c r="T152" s="44">
        <v>1242</v>
      </c>
      <c r="U152" s="44">
        <v>3045</v>
      </c>
      <c r="V152" s="44">
        <v>0</v>
      </c>
      <c r="W152" s="44">
        <v>0</v>
      </c>
      <c r="X152" s="44">
        <v>0</v>
      </c>
      <c r="Y152" s="44">
        <v>0</v>
      </c>
      <c r="Z152" s="44">
        <v>20</v>
      </c>
      <c r="AA152" s="44">
        <v>65</v>
      </c>
      <c r="AB152" s="44">
        <v>0</v>
      </c>
      <c r="AC152" s="44">
        <v>2</v>
      </c>
      <c r="AD152" s="36">
        <f t="shared" si="21"/>
        <v>5322</v>
      </c>
      <c r="AE152" s="36">
        <f t="shared" si="22"/>
        <v>14412</v>
      </c>
      <c r="AF152" s="36">
        <f t="shared" si="26"/>
        <v>3925</v>
      </c>
      <c r="AG152" s="41">
        <f t="shared" si="23"/>
        <v>-26.2</v>
      </c>
      <c r="AH152" s="36">
        <f t="shared" si="24"/>
        <v>9649</v>
      </c>
      <c r="AI152" s="41">
        <f t="shared" si="25"/>
        <v>-33</v>
      </c>
    </row>
    <row r="153" spans="1:35" ht="19.5" hidden="1" customHeight="1">
      <c r="A153" s="43" t="s">
        <v>74</v>
      </c>
      <c r="B153" s="44">
        <v>721</v>
      </c>
      <c r="C153" s="44">
        <v>5996</v>
      </c>
      <c r="D153" s="44">
        <v>500</v>
      </c>
      <c r="E153" s="44">
        <v>3932</v>
      </c>
      <c r="F153" s="44">
        <v>0</v>
      </c>
      <c r="G153" s="44">
        <v>37</v>
      </c>
      <c r="H153" s="44">
        <v>0</v>
      </c>
      <c r="I153" s="44">
        <v>21</v>
      </c>
      <c r="J153" s="44">
        <v>2492</v>
      </c>
      <c r="K153" s="44">
        <v>6781</v>
      </c>
      <c r="L153" s="44">
        <v>2507</v>
      </c>
      <c r="M153" s="44">
        <v>6553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3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1</v>
      </c>
      <c r="AA153" s="44">
        <v>48</v>
      </c>
      <c r="AB153" s="44">
        <v>885</v>
      </c>
      <c r="AC153" s="44">
        <v>2203</v>
      </c>
      <c r="AD153" s="36">
        <f t="shared" si="21"/>
        <v>3214</v>
      </c>
      <c r="AE153" s="36">
        <f t="shared" si="22"/>
        <v>12865</v>
      </c>
      <c r="AF153" s="36">
        <f t="shared" si="26"/>
        <v>3892</v>
      </c>
      <c r="AG153" s="41">
        <f t="shared" si="23"/>
        <v>21.1</v>
      </c>
      <c r="AH153" s="36">
        <f t="shared" si="24"/>
        <v>12709</v>
      </c>
      <c r="AI153" s="41">
        <f t="shared" si="25"/>
        <v>-1.2</v>
      </c>
    </row>
    <row r="154" spans="1:35" ht="19.5" hidden="1" customHeight="1">
      <c r="A154" s="33" t="s">
        <v>88</v>
      </c>
      <c r="B154" s="44">
        <v>2</v>
      </c>
      <c r="C154" s="44">
        <v>29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7331</v>
      </c>
      <c r="K154" s="44">
        <v>17182</v>
      </c>
      <c r="L154" s="44">
        <v>3469</v>
      </c>
      <c r="M154" s="44">
        <v>7491</v>
      </c>
      <c r="N154" s="44">
        <v>0</v>
      </c>
      <c r="O154" s="44">
        <v>0</v>
      </c>
      <c r="P154" s="44">
        <v>0</v>
      </c>
      <c r="Q154" s="44">
        <v>0</v>
      </c>
      <c r="R154" s="44">
        <v>225</v>
      </c>
      <c r="S154" s="44">
        <v>699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36">
        <f t="shared" si="21"/>
        <v>7558</v>
      </c>
      <c r="AE154" s="36">
        <f t="shared" si="22"/>
        <v>17910</v>
      </c>
      <c r="AF154" s="36">
        <f t="shared" si="26"/>
        <v>3469</v>
      </c>
      <c r="AG154" s="41">
        <f t="shared" si="23"/>
        <v>-54.1</v>
      </c>
      <c r="AH154" s="36">
        <f t="shared" si="24"/>
        <v>7491</v>
      </c>
      <c r="AI154" s="41">
        <f t="shared" si="25"/>
        <v>-58.2</v>
      </c>
    </row>
    <row r="155" spans="1:35" ht="19.5" hidden="1" customHeight="1">
      <c r="A155" s="33" t="s">
        <v>67</v>
      </c>
      <c r="B155" s="44">
        <v>3</v>
      </c>
      <c r="C155" s="44">
        <v>52</v>
      </c>
      <c r="D155" s="44">
        <v>154</v>
      </c>
      <c r="E155" s="44">
        <v>152</v>
      </c>
      <c r="F155" s="44">
        <v>0</v>
      </c>
      <c r="G155" s="44">
        <v>0</v>
      </c>
      <c r="H155" s="44">
        <v>0</v>
      </c>
      <c r="I155" s="44">
        <v>1</v>
      </c>
      <c r="J155" s="44">
        <v>6144</v>
      </c>
      <c r="K155" s="44">
        <v>15607</v>
      </c>
      <c r="L155" s="44">
        <v>4748</v>
      </c>
      <c r="M155" s="44">
        <v>11246</v>
      </c>
      <c r="N155" s="44">
        <v>0</v>
      </c>
      <c r="O155" s="44">
        <v>0</v>
      </c>
      <c r="P155" s="44">
        <v>1</v>
      </c>
      <c r="Q155" s="44">
        <v>1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36">
        <f t="shared" si="21"/>
        <v>6147</v>
      </c>
      <c r="AE155" s="36">
        <f t="shared" si="22"/>
        <v>15659</v>
      </c>
      <c r="AF155" s="36">
        <f t="shared" si="26"/>
        <v>4903</v>
      </c>
      <c r="AG155" s="41">
        <f t="shared" si="23"/>
        <v>-20.2</v>
      </c>
      <c r="AH155" s="36">
        <f t="shared" si="24"/>
        <v>11400</v>
      </c>
      <c r="AI155" s="41">
        <f t="shared" si="25"/>
        <v>-27.2</v>
      </c>
    </row>
    <row r="156" spans="1:35" ht="19.5" hidden="1" customHeight="1">
      <c r="A156" s="43" t="s">
        <v>72</v>
      </c>
      <c r="B156" s="44">
        <v>356</v>
      </c>
      <c r="C156" s="44">
        <v>2362</v>
      </c>
      <c r="D156" s="44">
        <v>290</v>
      </c>
      <c r="E156" s="44">
        <v>2337</v>
      </c>
      <c r="F156" s="44">
        <v>0</v>
      </c>
      <c r="G156" s="44">
        <v>0</v>
      </c>
      <c r="H156" s="44">
        <v>0</v>
      </c>
      <c r="I156" s="44">
        <v>12</v>
      </c>
      <c r="J156" s="44">
        <v>2060</v>
      </c>
      <c r="K156" s="44">
        <v>8429</v>
      </c>
      <c r="L156" s="44">
        <v>1307</v>
      </c>
      <c r="M156" s="44">
        <v>7661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1</v>
      </c>
      <c r="T156" s="44">
        <v>0</v>
      </c>
      <c r="U156" s="44">
        <v>6</v>
      </c>
      <c r="V156" s="44">
        <v>0</v>
      </c>
      <c r="W156" s="44">
        <v>0</v>
      </c>
      <c r="X156" s="44">
        <v>0</v>
      </c>
      <c r="Y156" s="44">
        <v>0</v>
      </c>
      <c r="Z156" s="44">
        <v>12</v>
      </c>
      <c r="AA156" s="44">
        <v>730</v>
      </c>
      <c r="AB156" s="44">
        <v>19</v>
      </c>
      <c r="AC156" s="44">
        <v>963</v>
      </c>
      <c r="AD156" s="36">
        <f t="shared" si="21"/>
        <v>2428</v>
      </c>
      <c r="AE156" s="36">
        <f t="shared" si="22"/>
        <v>11522</v>
      </c>
      <c r="AF156" s="36">
        <f t="shared" si="26"/>
        <v>1616</v>
      </c>
      <c r="AG156" s="41">
        <f t="shared" si="23"/>
        <v>-33.4</v>
      </c>
      <c r="AH156" s="36">
        <f t="shared" si="24"/>
        <v>10979</v>
      </c>
      <c r="AI156" s="41">
        <f t="shared" si="25"/>
        <v>-4.7</v>
      </c>
    </row>
    <row r="157" spans="1:35" ht="19.5" hidden="1" customHeight="1">
      <c r="A157" s="43" t="s">
        <v>69</v>
      </c>
      <c r="B157" s="44">
        <v>228</v>
      </c>
      <c r="C157" s="44">
        <v>2504</v>
      </c>
      <c r="D157" s="44">
        <v>171</v>
      </c>
      <c r="E157" s="44">
        <v>1817</v>
      </c>
      <c r="F157" s="44">
        <v>55</v>
      </c>
      <c r="G157" s="44">
        <v>187</v>
      </c>
      <c r="H157" s="44">
        <v>0</v>
      </c>
      <c r="I157" s="44">
        <v>6</v>
      </c>
      <c r="J157" s="44">
        <v>3476</v>
      </c>
      <c r="K157" s="44">
        <v>10030</v>
      </c>
      <c r="L157" s="44">
        <v>250</v>
      </c>
      <c r="M157" s="44">
        <v>3603</v>
      </c>
      <c r="N157" s="44">
        <v>3</v>
      </c>
      <c r="O157" s="44">
        <v>1</v>
      </c>
      <c r="P157" s="44">
        <v>20</v>
      </c>
      <c r="Q157" s="44">
        <v>10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2</v>
      </c>
      <c r="X157" s="44">
        <v>0</v>
      </c>
      <c r="Y157" s="44">
        <v>3</v>
      </c>
      <c r="Z157" s="44">
        <v>409</v>
      </c>
      <c r="AA157" s="44">
        <v>3363</v>
      </c>
      <c r="AB157" s="44">
        <v>250</v>
      </c>
      <c r="AC157" s="44">
        <v>1694</v>
      </c>
      <c r="AD157" s="36">
        <f t="shared" si="21"/>
        <v>4171</v>
      </c>
      <c r="AE157" s="36">
        <f t="shared" si="22"/>
        <v>16087</v>
      </c>
      <c r="AF157" s="36">
        <f t="shared" si="26"/>
        <v>691</v>
      </c>
      <c r="AG157" s="41">
        <f t="shared" si="23"/>
        <v>-83.4</v>
      </c>
      <c r="AH157" s="36">
        <f t="shared" si="24"/>
        <v>7133</v>
      </c>
      <c r="AI157" s="41">
        <f t="shared" si="25"/>
        <v>-55.7</v>
      </c>
    </row>
    <row r="158" spans="1:35" ht="19.5" hidden="1" customHeight="1">
      <c r="A158" s="34" t="s">
        <v>78</v>
      </c>
      <c r="B158" s="37">
        <f t="shared" ref="B158:G158" si="27">B159-SUM(B128:B157)</f>
        <v>4645</v>
      </c>
      <c r="C158" s="37">
        <f t="shared" si="27"/>
        <v>42049</v>
      </c>
      <c r="D158" s="37">
        <f t="shared" si="27"/>
        <v>4672</v>
      </c>
      <c r="E158" s="37">
        <f t="shared" si="27"/>
        <v>36858</v>
      </c>
      <c r="F158" s="37">
        <f t="shared" si="27"/>
        <v>279</v>
      </c>
      <c r="G158" s="37">
        <f t="shared" si="27"/>
        <v>1444</v>
      </c>
      <c r="H158" s="37">
        <f t="shared" ref="H158:AC158" si="28">H159-SUM(H128:H157)</f>
        <v>226</v>
      </c>
      <c r="I158" s="37">
        <f t="shared" si="28"/>
        <v>3125</v>
      </c>
      <c r="J158" s="37">
        <f t="shared" si="28"/>
        <v>29560</v>
      </c>
      <c r="K158" s="37">
        <f t="shared" si="28"/>
        <v>88576</v>
      </c>
      <c r="L158" s="37">
        <f t="shared" si="28"/>
        <v>22042</v>
      </c>
      <c r="M158" s="37">
        <f t="shared" si="28"/>
        <v>67804</v>
      </c>
      <c r="N158" s="37">
        <f t="shared" si="28"/>
        <v>2530</v>
      </c>
      <c r="O158" s="37">
        <f t="shared" si="28"/>
        <v>5750</v>
      </c>
      <c r="P158" s="37">
        <f t="shared" si="28"/>
        <v>1851</v>
      </c>
      <c r="Q158" s="37">
        <f t="shared" si="28"/>
        <v>3962</v>
      </c>
      <c r="R158" s="37">
        <f t="shared" si="28"/>
        <v>5548</v>
      </c>
      <c r="S158" s="37">
        <f t="shared" si="28"/>
        <v>16536</v>
      </c>
      <c r="T158" s="37">
        <f t="shared" si="28"/>
        <v>11011</v>
      </c>
      <c r="U158" s="37">
        <f t="shared" si="28"/>
        <v>25665</v>
      </c>
      <c r="V158" s="37">
        <f t="shared" si="28"/>
        <v>10</v>
      </c>
      <c r="W158" s="37">
        <f t="shared" si="28"/>
        <v>243</v>
      </c>
      <c r="X158" s="37">
        <f t="shared" si="28"/>
        <v>16</v>
      </c>
      <c r="Y158" s="37">
        <f t="shared" si="28"/>
        <v>182</v>
      </c>
      <c r="Z158" s="37">
        <f t="shared" si="28"/>
        <v>181</v>
      </c>
      <c r="AA158" s="37">
        <f t="shared" si="28"/>
        <v>3711</v>
      </c>
      <c r="AB158" s="37">
        <f t="shared" si="28"/>
        <v>393</v>
      </c>
      <c r="AC158" s="37">
        <f t="shared" si="28"/>
        <v>4513</v>
      </c>
      <c r="AD158" s="37">
        <f>AD159-SUM(AD128:AD157)</f>
        <v>42753</v>
      </c>
      <c r="AE158" s="37">
        <f>AE159-SUM(AE128:AE157)</f>
        <v>158309</v>
      </c>
      <c r="AF158" s="37">
        <f>AF159-SUM(AF128:AF157)</f>
        <v>40211</v>
      </c>
      <c r="AG158" s="41">
        <f t="shared" si="23"/>
        <v>-5.9</v>
      </c>
      <c r="AH158" s="37">
        <f>AH159-SUM(AH128:AH157)</f>
        <v>142109</v>
      </c>
      <c r="AI158" s="42">
        <f t="shared" si="25"/>
        <v>-10.199999999999999</v>
      </c>
    </row>
    <row r="159" spans="1:35" ht="19.5" hidden="1" customHeight="1">
      <c r="A159" s="512" t="s">
        <v>79</v>
      </c>
      <c r="B159" s="46">
        <v>224148</v>
      </c>
      <c r="C159" s="46">
        <v>1524765</v>
      </c>
      <c r="D159" s="46">
        <v>210545</v>
      </c>
      <c r="E159" s="46">
        <v>1402494</v>
      </c>
      <c r="F159" s="46">
        <v>6670</v>
      </c>
      <c r="G159" s="392">
        <v>60887</v>
      </c>
      <c r="H159" s="46">
        <v>4908</v>
      </c>
      <c r="I159" s="46">
        <v>42349</v>
      </c>
      <c r="J159" s="46">
        <v>369590</v>
      </c>
      <c r="K159" s="46">
        <v>1214140</v>
      </c>
      <c r="L159" s="46">
        <v>388889</v>
      </c>
      <c r="M159" s="46">
        <v>1180863</v>
      </c>
      <c r="N159" s="46">
        <v>117746</v>
      </c>
      <c r="O159" s="46">
        <v>258563</v>
      </c>
      <c r="P159" s="46">
        <v>120032</v>
      </c>
      <c r="Q159" s="46">
        <v>243624</v>
      </c>
      <c r="R159" s="46">
        <v>163717</v>
      </c>
      <c r="S159" s="46">
        <v>476012</v>
      </c>
      <c r="T159" s="46">
        <v>209722</v>
      </c>
      <c r="U159" s="46">
        <v>471571</v>
      </c>
      <c r="V159" s="46">
        <v>807</v>
      </c>
      <c r="W159" s="46">
        <v>15853</v>
      </c>
      <c r="X159" s="46">
        <v>599</v>
      </c>
      <c r="Y159" s="46">
        <v>14225</v>
      </c>
      <c r="Z159" s="46">
        <v>36315</v>
      </c>
      <c r="AA159" s="392">
        <v>101241</v>
      </c>
      <c r="AB159" s="46">
        <v>8710</v>
      </c>
      <c r="AC159" s="46">
        <v>83477</v>
      </c>
      <c r="AD159" s="39">
        <f>SUM(B159+F159+J159+N159+R159+V159+Z159)</f>
        <v>918993</v>
      </c>
      <c r="AE159" s="39">
        <f>SUM(C159+G159+K159+O159+S159+W159+AA159)</f>
        <v>3651461</v>
      </c>
      <c r="AF159" s="39">
        <f>SUM(D159+H159+L159+P159+T159+X159+AB159)</f>
        <v>943405</v>
      </c>
      <c r="AG159" s="226">
        <f t="shared" si="23"/>
        <v>2.7</v>
      </c>
      <c r="AH159" s="39">
        <f>SUM(E159+I159+M159+Q159+U159+Y159+AC159)</f>
        <v>3438603</v>
      </c>
      <c r="AI159" s="42">
        <f t="shared" si="25"/>
        <v>-5.8</v>
      </c>
    </row>
    <row r="160" spans="1:35" hidden="1"/>
    <row r="161" spans="1:35" ht="22.5" hidden="1" customHeight="1">
      <c r="A161" s="1095" t="s">
        <v>561</v>
      </c>
      <c r="B161" s="1095"/>
      <c r="C161" s="1095"/>
      <c r="D161" s="1095"/>
      <c r="E161" s="1095"/>
      <c r="F161" s="1095"/>
      <c r="G161" s="1095"/>
      <c r="H161" s="1095"/>
      <c r="I161" s="1095"/>
      <c r="J161" s="1095"/>
      <c r="K161" s="1095"/>
      <c r="L161" s="1095"/>
      <c r="M161" s="1095"/>
      <c r="N161" s="1095"/>
      <c r="O161" s="1095"/>
      <c r="P161" s="1095"/>
      <c r="Q161" s="1095"/>
      <c r="R161" s="1095"/>
      <c r="S161" s="1095"/>
      <c r="T161" s="1095"/>
      <c r="U161" s="1095"/>
      <c r="V161" s="1095"/>
      <c r="W161" s="1095"/>
      <c r="X161" s="1095"/>
      <c r="Y161" s="1095"/>
      <c r="Z161" s="1095"/>
      <c r="AA161" s="1095"/>
      <c r="AB161" s="1095"/>
      <c r="AC161" s="1095"/>
      <c r="AD161" s="1095"/>
      <c r="AE161" s="1095"/>
      <c r="AF161" s="1095"/>
      <c r="AG161" s="1095"/>
      <c r="AH161" s="1095"/>
      <c r="AI161" s="1095"/>
    </row>
    <row r="162" spans="1:35" ht="16.5" hidden="1" customHeight="1">
      <c r="B162" s="25"/>
      <c r="E162" s="25"/>
    </row>
    <row r="163" spans="1:35" ht="16.5" hidden="1" customHeight="1">
      <c r="A163" s="27"/>
      <c r="B163" s="28"/>
      <c r="C163" s="28"/>
      <c r="D163" s="28"/>
      <c r="E163" s="28"/>
      <c r="F163" s="28"/>
      <c r="G163" s="27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9"/>
      <c r="S163" s="29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30" t="s">
        <v>0</v>
      </c>
    </row>
    <row r="164" spans="1:35" ht="21.75" hidden="1" customHeight="1">
      <c r="A164" s="1149" t="s">
        <v>43</v>
      </c>
      <c r="B164" s="1151" t="s">
        <v>568</v>
      </c>
      <c r="C164" s="1153"/>
      <c r="D164" s="1153"/>
      <c r="E164" s="1152"/>
      <c r="F164" s="1151" t="s">
        <v>569</v>
      </c>
      <c r="G164" s="1153"/>
      <c r="H164" s="1153"/>
      <c r="I164" s="1152"/>
      <c r="J164" s="1151" t="s">
        <v>570</v>
      </c>
      <c r="K164" s="1153"/>
      <c r="L164" s="1153"/>
      <c r="M164" s="1152"/>
      <c r="N164" s="1151" t="s">
        <v>571</v>
      </c>
      <c r="O164" s="1153"/>
      <c r="P164" s="1153"/>
      <c r="Q164" s="1152"/>
      <c r="R164" s="1151" t="s">
        <v>572</v>
      </c>
      <c r="S164" s="1153"/>
      <c r="T164" s="1153"/>
      <c r="U164" s="1152"/>
      <c r="V164" s="1151" t="s">
        <v>573</v>
      </c>
      <c r="W164" s="1153"/>
      <c r="X164" s="1153"/>
      <c r="Y164" s="1152"/>
      <c r="Z164" s="1151" t="s">
        <v>574</v>
      </c>
      <c r="AA164" s="1153"/>
      <c r="AB164" s="1153"/>
      <c r="AC164" s="1152"/>
      <c r="AD164" s="1151" t="s">
        <v>563</v>
      </c>
      <c r="AE164" s="1153"/>
      <c r="AF164" s="1153"/>
      <c r="AG164" s="1153"/>
      <c r="AH164" s="1153"/>
      <c r="AI164" s="1152"/>
    </row>
    <row r="165" spans="1:35" ht="21" hidden="1" customHeight="1">
      <c r="A165" s="1154"/>
      <c r="B165" s="1151" t="s">
        <v>315</v>
      </c>
      <c r="C165" s="1152"/>
      <c r="D165" s="1151" t="s">
        <v>459</v>
      </c>
      <c r="E165" s="1152"/>
      <c r="F165" s="1151" t="s">
        <v>315</v>
      </c>
      <c r="G165" s="1152"/>
      <c r="H165" s="1151" t="s">
        <v>459</v>
      </c>
      <c r="I165" s="1152"/>
      <c r="J165" s="1151" t="s">
        <v>315</v>
      </c>
      <c r="K165" s="1152"/>
      <c r="L165" s="1151" t="s">
        <v>459</v>
      </c>
      <c r="M165" s="1152"/>
      <c r="N165" s="1151" t="s">
        <v>315</v>
      </c>
      <c r="O165" s="1152"/>
      <c r="P165" s="1151" t="s">
        <v>459</v>
      </c>
      <c r="Q165" s="1152"/>
      <c r="R165" s="1151" t="s">
        <v>315</v>
      </c>
      <c r="S165" s="1152"/>
      <c r="T165" s="1151" t="s">
        <v>459</v>
      </c>
      <c r="U165" s="1152"/>
      <c r="V165" s="1151" t="s">
        <v>315</v>
      </c>
      <c r="W165" s="1152"/>
      <c r="X165" s="1151" t="s">
        <v>459</v>
      </c>
      <c r="Y165" s="1152"/>
      <c r="Z165" s="1151" t="s">
        <v>315</v>
      </c>
      <c r="AA165" s="1152"/>
      <c r="AB165" s="1151" t="s">
        <v>459</v>
      </c>
      <c r="AC165" s="1152"/>
      <c r="AD165" s="1151" t="s">
        <v>315</v>
      </c>
      <c r="AE165" s="1152"/>
      <c r="AF165" s="1151" t="s">
        <v>459</v>
      </c>
      <c r="AG165" s="1153"/>
      <c r="AH165" s="1153"/>
      <c r="AI165" s="1152"/>
    </row>
    <row r="166" spans="1:35" hidden="1">
      <c r="A166" s="1154"/>
      <c r="B166" s="1149" t="s">
        <v>44</v>
      </c>
      <c r="C166" s="1149" t="s">
        <v>45</v>
      </c>
      <c r="D166" s="1149" t="s">
        <v>46</v>
      </c>
      <c r="E166" s="1149" t="s">
        <v>45</v>
      </c>
      <c r="F166" s="1149" t="s">
        <v>47</v>
      </c>
      <c r="G166" s="1149" t="s">
        <v>45</v>
      </c>
      <c r="H166" s="1149" t="s">
        <v>46</v>
      </c>
      <c r="I166" s="1149" t="s">
        <v>45</v>
      </c>
      <c r="J166" s="1149" t="s">
        <v>44</v>
      </c>
      <c r="K166" s="1149" t="s">
        <v>45</v>
      </c>
      <c r="L166" s="1149" t="s">
        <v>46</v>
      </c>
      <c r="M166" s="1149" t="s">
        <v>45</v>
      </c>
      <c r="N166" s="1149" t="s">
        <v>44</v>
      </c>
      <c r="O166" s="1149" t="s">
        <v>45</v>
      </c>
      <c r="P166" s="1149" t="s">
        <v>46</v>
      </c>
      <c r="Q166" s="1149" t="s">
        <v>45</v>
      </c>
      <c r="R166" s="1149" t="s">
        <v>44</v>
      </c>
      <c r="S166" s="1149" t="s">
        <v>45</v>
      </c>
      <c r="T166" s="1149" t="s">
        <v>46</v>
      </c>
      <c r="U166" s="1149" t="s">
        <v>45</v>
      </c>
      <c r="V166" s="1149" t="s">
        <v>44</v>
      </c>
      <c r="W166" s="1149" t="s">
        <v>45</v>
      </c>
      <c r="X166" s="1149" t="s">
        <v>48</v>
      </c>
      <c r="Y166" s="1149" t="s">
        <v>45</v>
      </c>
      <c r="Z166" s="1149" t="s">
        <v>44</v>
      </c>
      <c r="AA166" s="1149" t="s">
        <v>45</v>
      </c>
      <c r="AB166" s="1149" t="s">
        <v>46</v>
      </c>
      <c r="AC166" s="1149" t="s">
        <v>45</v>
      </c>
      <c r="AD166" s="1149" t="s">
        <v>44</v>
      </c>
      <c r="AE166" s="1149" t="s">
        <v>45</v>
      </c>
      <c r="AF166" s="1147" t="s">
        <v>46</v>
      </c>
      <c r="AG166" s="31"/>
      <c r="AH166" s="1147" t="s">
        <v>45</v>
      </c>
      <c r="AI166" s="31"/>
    </row>
    <row r="167" spans="1:35" ht="17.25" hidden="1" thickBot="1">
      <c r="A167" s="1150"/>
      <c r="B167" s="1150"/>
      <c r="C167" s="1150"/>
      <c r="D167" s="1150"/>
      <c r="E167" s="1150"/>
      <c r="F167" s="1150"/>
      <c r="G167" s="1150"/>
      <c r="H167" s="1150"/>
      <c r="I167" s="1150"/>
      <c r="J167" s="1150"/>
      <c r="K167" s="1150"/>
      <c r="L167" s="1150"/>
      <c r="M167" s="1150"/>
      <c r="N167" s="1150"/>
      <c r="O167" s="1150"/>
      <c r="P167" s="1150"/>
      <c r="Q167" s="1150"/>
      <c r="R167" s="1150"/>
      <c r="S167" s="1150"/>
      <c r="T167" s="1150"/>
      <c r="U167" s="1150"/>
      <c r="V167" s="1150"/>
      <c r="W167" s="1150"/>
      <c r="X167" s="1150"/>
      <c r="Y167" s="1150"/>
      <c r="Z167" s="1150"/>
      <c r="AA167" s="1150"/>
      <c r="AB167" s="1150"/>
      <c r="AC167" s="1150"/>
      <c r="AD167" s="1150"/>
      <c r="AE167" s="1150"/>
      <c r="AF167" s="1148"/>
      <c r="AG167" s="32" t="s">
        <v>49</v>
      </c>
      <c r="AH167" s="1148"/>
      <c r="AI167" s="32" t="s">
        <v>49</v>
      </c>
    </row>
    <row r="168" spans="1:35" ht="19.5" hidden="1" customHeight="1" thickTop="1">
      <c r="A168" s="43" t="s">
        <v>50</v>
      </c>
      <c r="B168" s="44">
        <v>113666</v>
      </c>
      <c r="C168" s="44">
        <v>760662</v>
      </c>
      <c r="D168" s="44">
        <v>107260</v>
      </c>
      <c r="E168" s="44">
        <v>681897</v>
      </c>
      <c r="F168" s="44">
        <v>2221</v>
      </c>
      <c r="G168" s="44">
        <v>20947</v>
      </c>
      <c r="H168" s="44">
        <v>1798</v>
      </c>
      <c r="I168" s="44">
        <v>12966</v>
      </c>
      <c r="J168" s="44">
        <v>44194</v>
      </c>
      <c r="K168" s="44">
        <v>179631</v>
      </c>
      <c r="L168" s="44">
        <v>115497</v>
      </c>
      <c r="M168" s="44">
        <v>297228</v>
      </c>
      <c r="N168" s="44">
        <v>25555</v>
      </c>
      <c r="O168" s="44">
        <v>53807</v>
      </c>
      <c r="P168" s="44">
        <v>7394</v>
      </c>
      <c r="Q168" s="44">
        <v>13834</v>
      </c>
      <c r="R168" s="44">
        <v>42320</v>
      </c>
      <c r="S168" s="44">
        <v>122206</v>
      </c>
      <c r="T168" s="44">
        <v>48666</v>
      </c>
      <c r="U168" s="44">
        <v>99721</v>
      </c>
      <c r="V168" s="44">
        <v>111</v>
      </c>
      <c r="W168" s="44">
        <v>3204</v>
      </c>
      <c r="X168" s="44">
        <v>112</v>
      </c>
      <c r="Y168" s="44">
        <v>3454</v>
      </c>
      <c r="Z168" s="44">
        <v>1255</v>
      </c>
      <c r="AA168" s="44">
        <v>32421</v>
      </c>
      <c r="AB168" s="44">
        <v>3567</v>
      </c>
      <c r="AC168" s="44">
        <v>30151</v>
      </c>
      <c r="AD168" s="36">
        <f t="shared" ref="AD168:AF197" si="29">SUM(B168+F168+J168+N168+R168+V168+Z168)</f>
        <v>229322</v>
      </c>
      <c r="AE168" s="36">
        <f>SUM(C168+G168+K168+O168+S168+W168+AA168)</f>
        <v>1172878</v>
      </c>
      <c r="AF168" s="36">
        <f>SUM(D168+H168+L168+P168+T168+X168+AB168)</f>
        <v>284294</v>
      </c>
      <c r="AG168" s="41">
        <f>ROUND(((AF168/AD168-1)*100),1)</f>
        <v>24</v>
      </c>
      <c r="AH168" s="36">
        <f>SUM(E168+I168+M168+Q168+U168+Y168+AC168)</f>
        <v>1139251</v>
      </c>
      <c r="AI168" s="41">
        <f>ROUND(((AH168/AE168-1)*100),1)</f>
        <v>-2.9</v>
      </c>
    </row>
    <row r="169" spans="1:35" ht="19.5" hidden="1" customHeight="1">
      <c r="A169" s="43" t="s">
        <v>51</v>
      </c>
      <c r="B169" s="44">
        <v>29297</v>
      </c>
      <c r="C169" s="44">
        <v>223350</v>
      </c>
      <c r="D169" s="44">
        <v>25106</v>
      </c>
      <c r="E169" s="44">
        <v>189443</v>
      </c>
      <c r="F169" s="44">
        <v>424</v>
      </c>
      <c r="G169" s="44">
        <v>9974</v>
      </c>
      <c r="H169" s="44">
        <v>111</v>
      </c>
      <c r="I169" s="44">
        <v>3665</v>
      </c>
      <c r="J169" s="44">
        <v>91847</v>
      </c>
      <c r="K169" s="44">
        <v>259022</v>
      </c>
      <c r="L169" s="44">
        <v>90594</v>
      </c>
      <c r="M169" s="44">
        <v>239262</v>
      </c>
      <c r="N169" s="44">
        <v>30217</v>
      </c>
      <c r="O169" s="44">
        <v>66718</v>
      </c>
      <c r="P169" s="44">
        <v>41206</v>
      </c>
      <c r="Q169" s="44">
        <v>82102</v>
      </c>
      <c r="R169" s="44">
        <v>27906</v>
      </c>
      <c r="S169" s="44">
        <v>83074</v>
      </c>
      <c r="T169" s="44">
        <v>33421</v>
      </c>
      <c r="U169" s="44">
        <v>76771</v>
      </c>
      <c r="V169" s="44">
        <v>137</v>
      </c>
      <c r="W169" s="44">
        <v>2351</v>
      </c>
      <c r="X169" s="44">
        <v>114</v>
      </c>
      <c r="Y169" s="44">
        <v>1961</v>
      </c>
      <c r="Z169" s="44">
        <v>884</v>
      </c>
      <c r="AA169" s="44">
        <v>7655</v>
      </c>
      <c r="AB169" s="44">
        <v>79</v>
      </c>
      <c r="AC169" s="44">
        <v>3324</v>
      </c>
      <c r="AD169" s="36">
        <f t="shared" si="29"/>
        <v>180712</v>
      </c>
      <c r="AE169" s="36">
        <f t="shared" si="29"/>
        <v>652144</v>
      </c>
      <c r="AF169" s="36">
        <f>SUM(D169+H169+L169+P169+T169+X169+AB169)</f>
        <v>190631</v>
      </c>
      <c r="AG169" s="41">
        <f t="shared" ref="AG169:AG199" si="30">ROUND(((AF169/AD169-1)*100),1)</f>
        <v>5.5</v>
      </c>
      <c r="AH169" s="36">
        <f t="shared" ref="AH169:AH197" si="31">SUM(E169+I169+M169+Q169+U169+Y169+AC169)</f>
        <v>596528</v>
      </c>
      <c r="AI169" s="41">
        <f t="shared" ref="AI169:AI199" si="32">ROUND(((AH169/AE169-1)*100),1)</f>
        <v>-8.5</v>
      </c>
    </row>
    <row r="170" spans="1:35" ht="19.5" hidden="1" customHeight="1">
      <c r="A170" s="43" t="s">
        <v>53</v>
      </c>
      <c r="B170" s="44">
        <v>11369</v>
      </c>
      <c r="C170" s="44">
        <v>100893</v>
      </c>
      <c r="D170" s="44">
        <v>12919</v>
      </c>
      <c r="E170" s="44">
        <v>105549</v>
      </c>
      <c r="F170" s="44">
        <v>397</v>
      </c>
      <c r="G170" s="44">
        <v>4468</v>
      </c>
      <c r="H170" s="44">
        <v>271</v>
      </c>
      <c r="I170" s="44">
        <v>3001</v>
      </c>
      <c r="J170" s="44">
        <v>52858</v>
      </c>
      <c r="K170" s="44">
        <v>200568</v>
      </c>
      <c r="L170" s="44">
        <v>39036</v>
      </c>
      <c r="M170" s="44">
        <v>146674</v>
      </c>
      <c r="N170" s="44">
        <v>28854</v>
      </c>
      <c r="O170" s="44">
        <v>61500</v>
      </c>
      <c r="P170" s="44">
        <v>31488</v>
      </c>
      <c r="Q170" s="44">
        <v>60397</v>
      </c>
      <c r="R170" s="44">
        <v>48</v>
      </c>
      <c r="S170" s="44">
        <v>1004</v>
      </c>
      <c r="T170" s="44">
        <v>39245</v>
      </c>
      <c r="U170" s="44">
        <v>77163</v>
      </c>
      <c r="V170" s="44">
        <v>1</v>
      </c>
      <c r="W170" s="44">
        <v>1090</v>
      </c>
      <c r="X170" s="44">
        <v>4</v>
      </c>
      <c r="Y170" s="44">
        <v>687</v>
      </c>
      <c r="Z170" s="44">
        <v>1564</v>
      </c>
      <c r="AA170" s="44">
        <v>18337</v>
      </c>
      <c r="AB170" s="44">
        <v>1480</v>
      </c>
      <c r="AC170" s="44">
        <v>16581</v>
      </c>
      <c r="AD170" s="36">
        <f t="shared" si="29"/>
        <v>95091</v>
      </c>
      <c r="AE170" s="36">
        <f t="shared" si="29"/>
        <v>387860</v>
      </c>
      <c r="AF170" s="36">
        <f t="shared" si="29"/>
        <v>124443</v>
      </c>
      <c r="AG170" s="41">
        <f t="shared" si="30"/>
        <v>30.9</v>
      </c>
      <c r="AH170" s="36">
        <f t="shared" si="31"/>
        <v>410052</v>
      </c>
      <c r="AI170" s="41">
        <f t="shared" si="32"/>
        <v>5.7</v>
      </c>
    </row>
    <row r="171" spans="1:35" ht="19.5" hidden="1" customHeight="1">
      <c r="A171" s="43" t="s">
        <v>52</v>
      </c>
      <c r="B171" s="44">
        <v>4083</v>
      </c>
      <c r="C171" s="44">
        <v>28342</v>
      </c>
      <c r="D171" s="44">
        <v>4355</v>
      </c>
      <c r="E171" s="44">
        <v>26817</v>
      </c>
      <c r="F171" s="44">
        <v>1061</v>
      </c>
      <c r="G171" s="44">
        <v>11296</v>
      </c>
      <c r="H171" s="44">
        <v>293</v>
      </c>
      <c r="I171" s="44">
        <v>4444</v>
      </c>
      <c r="J171" s="44">
        <v>28331</v>
      </c>
      <c r="K171" s="44">
        <v>84659</v>
      </c>
      <c r="L171" s="44">
        <v>25358</v>
      </c>
      <c r="M171" s="44">
        <v>66783</v>
      </c>
      <c r="N171" s="44">
        <v>34596</v>
      </c>
      <c r="O171" s="44">
        <v>75765</v>
      </c>
      <c r="P171" s="44">
        <v>28813</v>
      </c>
      <c r="Q171" s="44">
        <v>58348</v>
      </c>
      <c r="R171" s="44">
        <v>44167</v>
      </c>
      <c r="S171" s="44">
        <v>133005</v>
      </c>
      <c r="T171" s="44">
        <v>32738</v>
      </c>
      <c r="U171" s="44">
        <v>77288</v>
      </c>
      <c r="V171" s="44">
        <v>150</v>
      </c>
      <c r="W171" s="44">
        <v>151</v>
      </c>
      <c r="X171" s="44">
        <v>2</v>
      </c>
      <c r="Y171" s="44">
        <v>50</v>
      </c>
      <c r="Z171" s="44">
        <v>15563</v>
      </c>
      <c r="AA171" s="44">
        <v>4958</v>
      </c>
      <c r="AB171" s="44">
        <v>534</v>
      </c>
      <c r="AC171" s="44">
        <v>2207</v>
      </c>
      <c r="AD171" s="36">
        <f t="shared" si="29"/>
        <v>127951</v>
      </c>
      <c r="AE171" s="36">
        <f t="shared" si="29"/>
        <v>338176</v>
      </c>
      <c r="AF171" s="36">
        <f t="shared" si="29"/>
        <v>92093</v>
      </c>
      <c r="AG171" s="41">
        <f t="shared" si="30"/>
        <v>-28</v>
      </c>
      <c r="AH171" s="36">
        <f t="shared" si="31"/>
        <v>235937</v>
      </c>
      <c r="AI171" s="41">
        <f t="shared" si="32"/>
        <v>-30.2</v>
      </c>
    </row>
    <row r="172" spans="1:35" ht="19.5" hidden="1" customHeight="1">
      <c r="A172" s="43" t="s">
        <v>54</v>
      </c>
      <c r="B172" s="44">
        <v>12431</v>
      </c>
      <c r="C172" s="44">
        <v>92055</v>
      </c>
      <c r="D172" s="44">
        <v>10311</v>
      </c>
      <c r="E172" s="44">
        <v>69537</v>
      </c>
      <c r="F172" s="44">
        <v>3410</v>
      </c>
      <c r="G172" s="44">
        <v>15859</v>
      </c>
      <c r="H172" s="44">
        <v>2660</v>
      </c>
      <c r="I172" s="44">
        <v>16162</v>
      </c>
      <c r="J172" s="44">
        <v>27860</v>
      </c>
      <c r="K172" s="44">
        <v>114919</v>
      </c>
      <c r="L172" s="44">
        <v>26975</v>
      </c>
      <c r="M172" s="44">
        <v>111278</v>
      </c>
      <c r="N172" s="44">
        <v>3684</v>
      </c>
      <c r="O172" s="44">
        <v>7956</v>
      </c>
      <c r="P172" s="44">
        <v>2747</v>
      </c>
      <c r="Q172" s="44">
        <v>5522</v>
      </c>
      <c r="R172" s="44">
        <v>1132</v>
      </c>
      <c r="S172" s="44">
        <v>3702</v>
      </c>
      <c r="T172" s="44">
        <v>898</v>
      </c>
      <c r="U172" s="44">
        <v>2278</v>
      </c>
      <c r="V172" s="44">
        <v>65</v>
      </c>
      <c r="W172" s="44">
        <v>685</v>
      </c>
      <c r="X172" s="44">
        <v>72</v>
      </c>
      <c r="Y172" s="44">
        <v>924</v>
      </c>
      <c r="Z172" s="44">
        <v>990</v>
      </c>
      <c r="AA172" s="44">
        <v>29926</v>
      </c>
      <c r="AB172" s="44">
        <v>680</v>
      </c>
      <c r="AC172" s="44">
        <v>16191</v>
      </c>
      <c r="AD172" s="36">
        <f t="shared" si="29"/>
        <v>49572</v>
      </c>
      <c r="AE172" s="36">
        <f t="shared" si="29"/>
        <v>265102</v>
      </c>
      <c r="AF172" s="36">
        <f t="shared" si="29"/>
        <v>44343</v>
      </c>
      <c r="AG172" s="41">
        <f t="shared" si="30"/>
        <v>-10.5</v>
      </c>
      <c r="AH172" s="36">
        <f t="shared" si="31"/>
        <v>221892</v>
      </c>
      <c r="AI172" s="41">
        <f t="shared" si="32"/>
        <v>-16.3</v>
      </c>
    </row>
    <row r="173" spans="1:35" ht="19.5" hidden="1" customHeight="1">
      <c r="A173" s="43" t="s">
        <v>56</v>
      </c>
      <c r="B173" s="44">
        <v>38246</v>
      </c>
      <c r="C173" s="44">
        <v>155752</v>
      </c>
      <c r="D173" s="44">
        <v>27392</v>
      </c>
      <c r="E173" s="44">
        <v>118322</v>
      </c>
      <c r="F173" s="44">
        <v>42</v>
      </c>
      <c r="G173" s="44">
        <v>1204</v>
      </c>
      <c r="H173" s="44">
        <v>86</v>
      </c>
      <c r="I173" s="44">
        <v>1195</v>
      </c>
      <c r="J173" s="44">
        <v>10004</v>
      </c>
      <c r="K173" s="44">
        <v>37268</v>
      </c>
      <c r="L173" s="44">
        <v>7230</v>
      </c>
      <c r="M173" s="44">
        <v>25159</v>
      </c>
      <c r="N173" s="44">
        <v>4658</v>
      </c>
      <c r="O173" s="44">
        <v>9967</v>
      </c>
      <c r="P173" s="44">
        <v>1443</v>
      </c>
      <c r="Q173" s="44">
        <v>2845</v>
      </c>
      <c r="R173" s="44">
        <v>5359</v>
      </c>
      <c r="S173" s="44">
        <v>15715</v>
      </c>
      <c r="T173" s="44">
        <v>6931</v>
      </c>
      <c r="U173" s="44">
        <v>16424</v>
      </c>
      <c r="V173" s="44">
        <v>5</v>
      </c>
      <c r="W173" s="44">
        <v>150</v>
      </c>
      <c r="X173" s="44">
        <v>10</v>
      </c>
      <c r="Y173" s="44">
        <v>186</v>
      </c>
      <c r="Z173" s="44">
        <v>688</v>
      </c>
      <c r="AA173" s="44">
        <v>4481</v>
      </c>
      <c r="AB173" s="44">
        <v>672</v>
      </c>
      <c r="AC173" s="44">
        <v>4517</v>
      </c>
      <c r="AD173" s="36">
        <f t="shared" si="29"/>
        <v>59002</v>
      </c>
      <c r="AE173" s="36">
        <f t="shared" si="29"/>
        <v>224537</v>
      </c>
      <c r="AF173" s="36">
        <f t="shared" si="29"/>
        <v>43764</v>
      </c>
      <c r="AG173" s="41">
        <f t="shared" si="30"/>
        <v>-25.8</v>
      </c>
      <c r="AH173" s="36">
        <f t="shared" si="31"/>
        <v>168648</v>
      </c>
      <c r="AI173" s="41">
        <f t="shared" si="32"/>
        <v>-24.9</v>
      </c>
    </row>
    <row r="174" spans="1:35" ht="19.5" hidden="1" customHeight="1">
      <c r="A174" s="43" t="s">
        <v>57</v>
      </c>
      <c r="B174" s="44">
        <v>24342</v>
      </c>
      <c r="C174" s="44">
        <v>185097</v>
      </c>
      <c r="D174" s="44">
        <v>13086</v>
      </c>
      <c r="E174" s="44">
        <v>112786</v>
      </c>
      <c r="F174" s="44">
        <v>11</v>
      </c>
      <c r="G174" s="44">
        <v>614</v>
      </c>
      <c r="H174" s="44">
        <v>18</v>
      </c>
      <c r="I174" s="44">
        <v>664</v>
      </c>
      <c r="J174" s="44">
        <v>7024</v>
      </c>
      <c r="K174" s="44">
        <v>39562</v>
      </c>
      <c r="L174" s="44">
        <v>4900</v>
      </c>
      <c r="M174" s="44">
        <v>29165</v>
      </c>
      <c r="N174" s="44">
        <v>1069</v>
      </c>
      <c r="O174" s="44">
        <v>2398</v>
      </c>
      <c r="P174" s="44">
        <v>670</v>
      </c>
      <c r="Q174" s="44">
        <v>1374</v>
      </c>
      <c r="R174" s="44">
        <v>19823</v>
      </c>
      <c r="S174" s="44">
        <v>49142</v>
      </c>
      <c r="T174" s="44">
        <v>20841</v>
      </c>
      <c r="U174" s="44">
        <v>42793</v>
      </c>
      <c r="V174" s="44">
        <v>84</v>
      </c>
      <c r="W174" s="44">
        <v>3714</v>
      </c>
      <c r="X174" s="44">
        <v>93</v>
      </c>
      <c r="Y174" s="44">
        <v>4475</v>
      </c>
      <c r="Z174" s="44">
        <v>200</v>
      </c>
      <c r="AA174" s="44">
        <v>4320</v>
      </c>
      <c r="AB174" s="44">
        <v>180</v>
      </c>
      <c r="AC174" s="44">
        <v>5115</v>
      </c>
      <c r="AD174" s="36">
        <f t="shared" si="29"/>
        <v>52553</v>
      </c>
      <c r="AE174" s="36">
        <f t="shared" si="29"/>
        <v>284847</v>
      </c>
      <c r="AF174" s="36">
        <f t="shared" si="29"/>
        <v>39788</v>
      </c>
      <c r="AG174" s="41">
        <f t="shared" si="30"/>
        <v>-24.3</v>
      </c>
      <c r="AH174" s="36">
        <f t="shared" si="31"/>
        <v>196372</v>
      </c>
      <c r="AI174" s="41">
        <f t="shared" si="32"/>
        <v>-31.1</v>
      </c>
    </row>
    <row r="175" spans="1:35" ht="19.5" hidden="1" customHeight="1">
      <c r="A175" s="43" t="s">
        <v>55</v>
      </c>
      <c r="B175" s="44">
        <v>9993</v>
      </c>
      <c r="C175" s="44">
        <v>57651</v>
      </c>
      <c r="D175" s="44">
        <v>10676</v>
      </c>
      <c r="E175" s="44">
        <v>59981</v>
      </c>
      <c r="F175" s="44">
        <v>41</v>
      </c>
      <c r="G175" s="44">
        <v>399</v>
      </c>
      <c r="H175" s="44">
        <v>20</v>
      </c>
      <c r="I175" s="44">
        <v>311</v>
      </c>
      <c r="J175" s="44">
        <v>21603</v>
      </c>
      <c r="K175" s="44">
        <v>66125</v>
      </c>
      <c r="L175" s="44">
        <v>18582</v>
      </c>
      <c r="M175" s="44">
        <v>55828</v>
      </c>
      <c r="N175" s="44">
        <v>12216</v>
      </c>
      <c r="O175" s="44">
        <v>25735</v>
      </c>
      <c r="P175" s="44">
        <v>9200</v>
      </c>
      <c r="Q175" s="44">
        <v>17954</v>
      </c>
      <c r="R175" s="44">
        <v>9777</v>
      </c>
      <c r="S175" s="44">
        <v>29261</v>
      </c>
      <c r="T175" s="44">
        <v>11872</v>
      </c>
      <c r="U175" s="44">
        <v>28285</v>
      </c>
      <c r="V175" s="44">
        <v>40</v>
      </c>
      <c r="W175" s="44">
        <v>1022</v>
      </c>
      <c r="X175" s="44">
        <v>38</v>
      </c>
      <c r="Y175" s="44">
        <v>834</v>
      </c>
      <c r="Z175" s="44">
        <v>64</v>
      </c>
      <c r="AA175" s="44">
        <v>609</v>
      </c>
      <c r="AB175" s="44">
        <v>130</v>
      </c>
      <c r="AC175" s="44">
        <v>963</v>
      </c>
      <c r="AD175" s="36">
        <f t="shared" si="29"/>
        <v>53734</v>
      </c>
      <c r="AE175" s="36">
        <f t="shared" si="29"/>
        <v>180802</v>
      </c>
      <c r="AF175" s="36">
        <f t="shared" si="29"/>
        <v>50518</v>
      </c>
      <c r="AG175" s="41">
        <f t="shared" si="30"/>
        <v>-6</v>
      </c>
      <c r="AH175" s="36">
        <f t="shared" si="31"/>
        <v>164156</v>
      </c>
      <c r="AI175" s="41">
        <f t="shared" si="32"/>
        <v>-9.1999999999999993</v>
      </c>
    </row>
    <row r="176" spans="1:35" ht="19.5" hidden="1" customHeight="1">
      <c r="A176" s="43" t="s">
        <v>59</v>
      </c>
      <c r="B176" s="44">
        <v>17562</v>
      </c>
      <c r="C176" s="44">
        <v>116426</v>
      </c>
      <c r="D176" s="44">
        <v>11790</v>
      </c>
      <c r="E176" s="44">
        <v>70692</v>
      </c>
      <c r="F176" s="44">
        <v>37</v>
      </c>
      <c r="G176" s="44">
        <v>2689</v>
      </c>
      <c r="H176" s="44">
        <v>46</v>
      </c>
      <c r="I176" s="44">
        <v>1855</v>
      </c>
      <c r="J176" s="44">
        <v>3636</v>
      </c>
      <c r="K176" s="44">
        <v>15237</v>
      </c>
      <c r="L176" s="44">
        <v>4071</v>
      </c>
      <c r="M176" s="44">
        <v>18682</v>
      </c>
      <c r="N176" s="44">
        <v>0</v>
      </c>
      <c r="O176" s="44">
        <v>2</v>
      </c>
      <c r="P176" s="44">
        <v>14</v>
      </c>
      <c r="Q176" s="44">
        <v>383</v>
      </c>
      <c r="R176" s="44">
        <v>1778</v>
      </c>
      <c r="S176" s="44">
        <v>5404</v>
      </c>
      <c r="T176" s="44">
        <v>1048</v>
      </c>
      <c r="U176" s="44">
        <v>2499</v>
      </c>
      <c r="V176" s="44">
        <v>109</v>
      </c>
      <c r="W176" s="44">
        <v>3415</v>
      </c>
      <c r="X176" s="44">
        <v>126</v>
      </c>
      <c r="Y176" s="44">
        <v>2926</v>
      </c>
      <c r="Z176" s="44">
        <v>104</v>
      </c>
      <c r="AA176" s="44">
        <v>159</v>
      </c>
      <c r="AB176" s="44">
        <v>0</v>
      </c>
      <c r="AC176" s="44">
        <v>108</v>
      </c>
      <c r="AD176" s="36">
        <f t="shared" si="29"/>
        <v>23226</v>
      </c>
      <c r="AE176" s="36">
        <f t="shared" si="29"/>
        <v>143332</v>
      </c>
      <c r="AF176" s="36">
        <f t="shared" si="29"/>
        <v>17095</v>
      </c>
      <c r="AG176" s="41">
        <f t="shared" si="30"/>
        <v>-26.4</v>
      </c>
      <c r="AH176" s="36">
        <f t="shared" si="31"/>
        <v>97145</v>
      </c>
      <c r="AI176" s="41">
        <f t="shared" si="32"/>
        <v>-32.200000000000003</v>
      </c>
    </row>
    <row r="177" spans="1:35" ht="19.5" hidden="1" customHeight="1">
      <c r="A177" s="43" t="s">
        <v>58</v>
      </c>
      <c r="B177" s="44">
        <v>3077</v>
      </c>
      <c r="C177" s="44">
        <v>20178</v>
      </c>
      <c r="D177" s="44">
        <v>4463</v>
      </c>
      <c r="E177" s="44">
        <v>27372</v>
      </c>
      <c r="F177" s="44">
        <v>31</v>
      </c>
      <c r="G177" s="44">
        <v>493</v>
      </c>
      <c r="H177" s="44">
        <v>49</v>
      </c>
      <c r="I177" s="44">
        <v>667</v>
      </c>
      <c r="J177" s="44">
        <v>11766</v>
      </c>
      <c r="K177" s="44">
        <v>37091</v>
      </c>
      <c r="L177" s="44">
        <v>7676</v>
      </c>
      <c r="M177" s="44">
        <v>24359</v>
      </c>
      <c r="N177" s="44">
        <v>9923</v>
      </c>
      <c r="O177" s="44">
        <v>21543</v>
      </c>
      <c r="P177" s="44">
        <v>10542</v>
      </c>
      <c r="Q177" s="44">
        <v>20536</v>
      </c>
      <c r="R177" s="44">
        <v>13367</v>
      </c>
      <c r="S177" s="44">
        <v>38563</v>
      </c>
      <c r="T177" s="44">
        <v>15044</v>
      </c>
      <c r="U177" s="44">
        <v>34619</v>
      </c>
      <c r="V177" s="44">
        <v>14</v>
      </c>
      <c r="W177" s="44">
        <v>353</v>
      </c>
      <c r="X177" s="44">
        <v>14</v>
      </c>
      <c r="Y177" s="44">
        <v>373</v>
      </c>
      <c r="Z177" s="44">
        <v>13</v>
      </c>
      <c r="AA177" s="44">
        <v>323</v>
      </c>
      <c r="AB177" s="44">
        <v>0</v>
      </c>
      <c r="AC177" s="44">
        <v>11</v>
      </c>
      <c r="AD177" s="36">
        <f t="shared" si="29"/>
        <v>38191</v>
      </c>
      <c r="AE177" s="36">
        <f t="shared" si="29"/>
        <v>118544</v>
      </c>
      <c r="AF177" s="36">
        <f t="shared" si="29"/>
        <v>37788</v>
      </c>
      <c r="AG177" s="41">
        <f t="shared" si="30"/>
        <v>-1.1000000000000001</v>
      </c>
      <c r="AH177" s="36">
        <f t="shared" si="31"/>
        <v>107937</v>
      </c>
      <c r="AI177" s="41">
        <f t="shared" si="32"/>
        <v>-8.9</v>
      </c>
    </row>
    <row r="178" spans="1:35" ht="19.5" hidden="1" customHeight="1">
      <c r="A178" s="43" t="s">
        <v>61</v>
      </c>
      <c r="B178" s="44">
        <v>7101</v>
      </c>
      <c r="C178" s="44">
        <v>47051</v>
      </c>
      <c r="D178" s="44">
        <v>5867</v>
      </c>
      <c r="E178" s="44">
        <v>36204</v>
      </c>
      <c r="F178" s="44">
        <v>5</v>
      </c>
      <c r="G178" s="44">
        <v>62</v>
      </c>
      <c r="H178" s="44">
        <v>3</v>
      </c>
      <c r="I178" s="44">
        <v>30</v>
      </c>
      <c r="J178" s="44">
        <v>16902</v>
      </c>
      <c r="K178" s="44">
        <v>49647</v>
      </c>
      <c r="L178" s="44">
        <v>19534</v>
      </c>
      <c r="M178" s="44">
        <v>53034</v>
      </c>
      <c r="N178" s="44">
        <v>563</v>
      </c>
      <c r="O178" s="44">
        <v>2555</v>
      </c>
      <c r="P178" s="44">
        <v>1367</v>
      </c>
      <c r="Q178" s="44">
        <v>6534</v>
      </c>
      <c r="R178" s="44">
        <v>4312</v>
      </c>
      <c r="S178" s="44">
        <v>13249</v>
      </c>
      <c r="T178" s="44">
        <v>4729</v>
      </c>
      <c r="U178" s="44">
        <v>11251</v>
      </c>
      <c r="V178" s="44">
        <v>0</v>
      </c>
      <c r="W178" s="44">
        <v>0</v>
      </c>
      <c r="X178" s="44">
        <v>0</v>
      </c>
      <c r="Y178" s="44">
        <v>0</v>
      </c>
      <c r="Z178" s="44">
        <v>18</v>
      </c>
      <c r="AA178" s="44">
        <v>266</v>
      </c>
      <c r="AB178" s="44">
        <v>19</v>
      </c>
      <c r="AC178" s="44">
        <v>472</v>
      </c>
      <c r="AD178" s="36">
        <f t="shared" si="29"/>
        <v>28901</v>
      </c>
      <c r="AE178" s="36">
        <f t="shared" si="29"/>
        <v>112830</v>
      </c>
      <c r="AF178" s="36">
        <f t="shared" si="29"/>
        <v>31519</v>
      </c>
      <c r="AG178" s="41">
        <f t="shared" si="30"/>
        <v>9.1</v>
      </c>
      <c r="AH178" s="36">
        <f t="shared" si="31"/>
        <v>107525</v>
      </c>
      <c r="AI178" s="41">
        <f t="shared" si="32"/>
        <v>-4.7</v>
      </c>
    </row>
    <row r="179" spans="1:35" ht="19.5" hidden="1" customHeight="1">
      <c r="A179" s="43" t="s">
        <v>60</v>
      </c>
      <c r="B179" s="44">
        <v>6437</v>
      </c>
      <c r="C179" s="44">
        <v>42111</v>
      </c>
      <c r="D179" s="44">
        <v>5913</v>
      </c>
      <c r="E179" s="44">
        <v>31745</v>
      </c>
      <c r="F179" s="44">
        <v>1</v>
      </c>
      <c r="G179" s="44">
        <v>83</v>
      </c>
      <c r="H179" s="44">
        <v>103</v>
      </c>
      <c r="I179" s="44">
        <v>497</v>
      </c>
      <c r="J179" s="44">
        <v>1623</v>
      </c>
      <c r="K179" s="44">
        <v>8843</v>
      </c>
      <c r="L179" s="44">
        <v>1592</v>
      </c>
      <c r="M179" s="44">
        <v>9957</v>
      </c>
      <c r="N179" s="44">
        <v>1</v>
      </c>
      <c r="O179" s="44">
        <v>0</v>
      </c>
      <c r="P179" s="44">
        <v>44</v>
      </c>
      <c r="Q179" s="44">
        <v>136</v>
      </c>
      <c r="R179" s="44">
        <v>13429</v>
      </c>
      <c r="S179" s="44">
        <v>40297</v>
      </c>
      <c r="T179" s="44">
        <v>7155</v>
      </c>
      <c r="U179" s="44">
        <v>15878</v>
      </c>
      <c r="V179" s="44">
        <v>2</v>
      </c>
      <c r="W179" s="44">
        <v>60</v>
      </c>
      <c r="X179" s="44">
        <v>1</v>
      </c>
      <c r="Y179" s="44">
        <v>11</v>
      </c>
      <c r="Z179" s="44">
        <v>514</v>
      </c>
      <c r="AA179" s="44">
        <v>2891</v>
      </c>
      <c r="AB179" s="44">
        <v>606</v>
      </c>
      <c r="AC179" s="44">
        <v>2701</v>
      </c>
      <c r="AD179" s="36">
        <f t="shared" si="29"/>
        <v>22007</v>
      </c>
      <c r="AE179" s="36">
        <f t="shared" si="29"/>
        <v>94285</v>
      </c>
      <c r="AF179" s="36">
        <f t="shared" si="29"/>
        <v>15414</v>
      </c>
      <c r="AG179" s="41">
        <f t="shared" si="30"/>
        <v>-30</v>
      </c>
      <c r="AH179" s="36">
        <f t="shared" si="31"/>
        <v>60925</v>
      </c>
      <c r="AI179" s="41">
        <f t="shared" si="32"/>
        <v>-35.4</v>
      </c>
    </row>
    <row r="180" spans="1:35" ht="19.5" hidden="1" customHeight="1">
      <c r="A180" s="43" t="s">
        <v>65</v>
      </c>
      <c r="B180" s="44">
        <v>2351</v>
      </c>
      <c r="C180" s="44">
        <v>16739</v>
      </c>
      <c r="D180" s="44">
        <v>619</v>
      </c>
      <c r="E180" s="44">
        <v>4247</v>
      </c>
      <c r="F180" s="44">
        <v>0</v>
      </c>
      <c r="G180" s="44">
        <v>7</v>
      </c>
      <c r="H180" s="44">
        <v>1</v>
      </c>
      <c r="I180" s="44">
        <v>10</v>
      </c>
      <c r="J180" s="44">
        <v>22436</v>
      </c>
      <c r="K180" s="44">
        <v>62675</v>
      </c>
      <c r="L180" s="44">
        <v>20021</v>
      </c>
      <c r="M180" s="44">
        <v>54083</v>
      </c>
      <c r="N180" s="44">
        <v>1</v>
      </c>
      <c r="O180" s="44">
        <v>8</v>
      </c>
      <c r="P180" s="44">
        <v>0</v>
      </c>
      <c r="Q180" s="44">
        <v>0</v>
      </c>
      <c r="R180" s="44">
        <v>20</v>
      </c>
      <c r="S180" s="44">
        <v>198</v>
      </c>
      <c r="T180" s="44">
        <v>18</v>
      </c>
      <c r="U180" s="44">
        <v>181</v>
      </c>
      <c r="V180" s="44">
        <v>3</v>
      </c>
      <c r="W180" s="44">
        <v>103</v>
      </c>
      <c r="X180" s="44">
        <v>1</v>
      </c>
      <c r="Y180" s="44">
        <v>35</v>
      </c>
      <c r="Z180" s="44">
        <v>1</v>
      </c>
      <c r="AA180" s="44">
        <v>80</v>
      </c>
      <c r="AB180" s="44">
        <v>0</v>
      </c>
      <c r="AC180" s="44">
        <v>36</v>
      </c>
      <c r="AD180" s="36">
        <f t="shared" si="29"/>
        <v>24812</v>
      </c>
      <c r="AE180" s="36">
        <f t="shared" si="29"/>
        <v>79810</v>
      </c>
      <c r="AF180" s="36">
        <f t="shared" si="29"/>
        <v>20660</v>
      </c>
      <c r="AG180" s="41">
        <f t="shared" si="30"/>
        <v>-16.7</v>
      </c>
      <c r="AH180" s="36">
        <f t="shared" si="31"/>
        <v>58592</v>
      </c>
      <c r="AI180" s="41">
        <f t="shared" si="32"/>
        <v>-26.6</v>
      </c>
    </row>
    <row r="181" spans="1:35" ht="19.5" hidden="1" customHeight="1">
      <c r="A181" s="43" t="s">
        <v>63</v>
      </c>
      <c r="B181" s="44">
        <v>664</v>
      </c>
      <c r="C181" s="44">
        <v>5339</v>
      </c>
      <c r="D181" s="44">
        <v>692</v>
      </c>
      <c r="E181" s="44">
        <v>5326</v>
      </c>
      <c r="F181" s="44">
        <v>16</v>
      </c>
      <c r="G181" s="44">
        <v>1132</v>
      </c>
      <c r="H181" s="44">
        <v>15</v>
      </c>
      <c r="I181" s="44">
        <v>286</v>
      </c>
      <c r="J181" s="44">
        <v>8879</v>
      </c>
      <c r="K181" s="44">
        <v>23543</v>
      </c>
      <c r="L181" s="44">
        <v>12323</v>
      </c>
      <c r="M181" s="44">
        <v>27160</v>
      </c>
      <c r="N181" s="44">
        <v>0</v>
      </c>
      <c r="O181" s="44">
        <v>0</v>
      </c>
      <c r="P181" s="44">
        <v>16</v>
      </c>
      <c r="Q181" s="44">
        <v>32</v>
      </c>
      <c r="R181" s="44">
        <v>5379</v>
      </c>
      <c r="S181" s="44">
        <v>15517</v>
      </c>
      <c r="T181" s="44">
        <v>6447</v>
      </c>
      <c r="U181" s="44">
        <v>14453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12</v>
      </c>
      <c r="AB181" s="44">
        <v>0</v>
      </c>
      <c r="AC181" s="44">
        <v>13</v>
      </c>
      <c r="AD181" s="36">
        <f t="shared" si="29"/>
        <v>14938</v>
      </c>
      <c r="AE181" s="36">
        <f t="shared" si="29"/>
        <v>45543</v>
      </c>
      <c r="AF181" s="36">
        <f t="shared" si="29"/>
        <v>19493</v>
      </c>
      <c r="AG181" s="41">
        <f t="shared" si="30"/>
        <v>30.5</v>
      </c>
      <c r="AH181" s="36">
        <f t="shared" si="31"/>
        <v>47270</v>
      </c>
      <c r="AI181" s="41">
        <f t="shared" si="32"/>
        <v>3.8</v>
      </c>
    </row>
    <row r="182" spans="1:35" ht="19.5" hidden="1" customHeight="1">
      <c r="A182" s="43" t="s">
        <v>64</v>
      </c>
      <c r="B182" s="44">
        <v>1116</v>
      </c>
      <c r="C182" s="44">
        <v>8383</v>
      </c>
      <c r="D182" s="44">
        <v>977</v>
      </c>
      <c r="E182" s="44">
        <v>7002</v>
      </c>
      <c r="F182" s="44">
        <v>6</v>
      </c>
      <c r="G182" s="44">
        <v>660</v>
      </c>
      <c r="H182" s="44">
        <v>12</v>
      </c>
      <c r="I182" s="44">
        <v>1175</v>
      </c>
      <c r="J182" s="44">
        <v>5172</v>
      </c>
      <c r="K182" s="44">
        <v>14651</v>
      </c>
      <c r="L182" s="44">
        <v>7677</v>
      </c>
      <c r="M182" s="44">
        <v>19490</v>
      </c>
      <c r="N182" s="44">
        <v>25</v>
      </c>
      <c r="O182" s="44">
        <v>48</v>
      </c>
      <c r="P182" s="44">
        <v>50</v>
      </c>
      <c r="Q182" s="44">
        <v>89</v>
      </c>
      <c r="R182" s="44">
        <v>9417</v>
      </c>
      <c r="S182" s="44">
        <v>26301</v>
      </c>
      <c r="T182" s="44">
        <v>6681</v>
      </c>
      <c r="U182" s="44">
        <v>14690</v>
      </c>
      <c r="V182" s="44">
        <v>119</v>
      </c>
      <c r="W182" s="44">
        <v>752</v>
      </c>
      <c r="X182" s="44">
        <v>69</v>
      </c>
      <c r="Y182" s="44">
        <v>398</v>
      </c>
      <c r="Z182" s="44">
        <v>16</v>
      </c>
      <c r="AA182" s="44">
        <v>186</v>
      </c>
      <c r="AB182" s="44">
        <v>0</v>
      </c>
      <c r="AC182" s="44">
        <v>29</v>
      </c>
      <c r="AD182" s="36">
        <f t="shared" si="29"/>
        <v>15871</v>
      </c>
      <c r="AE182" s="36">
        <f t="shared" si="29"/>
        <v>50981</v>
      </c>
      <c r="AF182" s="36">
        <f t="shared" si="29"/>
        <v>15466</v>
      </c>
      <c r="AG182" s="41">
        <f t="shared" si="30"/>
        <v>-2.6</v>
      </c>
      <c r="AH182" s="36">
        <f t="shared" si="31"/>
        <v>42873</v>
      </c>
      <c r="AI182" s="41">
        <f t="shared" si="32"/>
        <v>-15.9</v>
      </c>
    </row>
    <row r="183" spans="1:35" ht="19.5" hidden="1" customHeight="1">
      <c r="A183" s="43" t="s">
        <v>62</v>
      </c>
      <c r="B183" s="44">
        <v>1381</v>
      </c>
      <c r="C183" s="44">
        <v>8962</v>
      </c>
      <c r="D183" s="44">
        <v>1206</v>
      </c>
      <c r="E183" s="44">
        <v>6980</v>
      </c>
      <c r="F183" s="44">
        <v>0</v>
      </c>
      <c r="G183" s="44">
        <v>0</v>
      </c>
      <c r="H183" s="44">
        <v>0</v>
      </c>
      <c r="I183" s="44">
        <v>0</v>
      </c>
      <c r="J183" s="44">
        <v>2198</v>
      </c>
      <c r="K183" s="44">
        <v>10442</v>
      </c>
      <c r="L183" s="44">
        <v>2395</v>
      </c>
      <c r="M183" s="44">
        <v>9132</v>
      </c>
      <c r="N183" s="44">
        <v>679</v>
      </c>
      <c r="O183" s="44">
        <v>1555</v>
      </c>
      <c r="P183" s="44">
        <v>2014</v>
      </c>
      <c r="Q183" s="44">
        <v>3915</v>
      </c>
      <c r="R183" s="44">
        <v>6758</v>
      </c>
      <c r="S183" s="44">
        <v>19605</v>
      </c>
      <c r="T183" s="44">
        <v>6098</v>
      </c>
      <c r="U183" s="44">
        <v>14351</v>
      </c>
      <c r="V183" s="44">
        <v>0</v>
      </c>
      <c r="W183" s="44">
        <v>0</v>
      </c>
      <c r="X183" s="44">
        <v>0</v>
      </c>
      <c r="Y183" s="44">
        <v>0</v>
      </c>
      <c r="Z183" s="44">
        <v>15136</v>
      </c>
      <c r="AA183" s="44">
        <v>851</v>
      </c>
      <c r="AB183" s="44">
        <v>0</v>
      </c>
      <c r="AC183" s="44">
        <v>0</v>
      </c>
      <c r="AD183" s="36">
        <f t="shared" si="29"/>
        <v>26152</v>
      </c>
      <c r="AE183" s="36">
        <f t="shared" si="29"/>
        <v>41415</v>
      </c>
      <c r="AF183" s="36">
        <f t="shared" si="29"/>
        <v>11713</v>
      </c>
      <c r="AG183" s="41">
        <f t="shared" si="30"/>
        <v>-55.2</v>
      </c>
      <c r="AH183" s="36">
        <f t="shared" si="31"/>
        <v>34378</v>
      </c>
      <c r="AI183" s="41">
        <f t="shared" si="32"/>
        <v>-17</v>
      </c>
    </row>
    <row r="184" spans="1:35" ht="19.5" hidden="1" customHeight="1">
      <c r="A184" s="43" t="s">
        <v>448</v>
      </c>
      <c r="B184" s="44">
        <v>717</v>
      </c>
      <c r="C184" s="44">
        <v>10900</v>
      </c>
      <c r="D184" s="44">
        <v>2439</v>
      </c>
      <c r="E184" s="44">
        <v>32626</v>
      </c>
      <c r="F184" s="44">
        <v>16</v>
      </c>
      <c r="G184" s="44">
        <v>1138</v>
      </c>
      <c r="H184" s="44">
        <v>17</v>
      </c>
      <c r="I184" s="44">
        <v>1177</v>
      </c>
      <c r="J184" s="44">
        <v>5008</v>
      </c>
      <c r="K184" s="44">
        <v>29940</v>
      </c>
      <c r="L184" s="44">
        <v>3572</v>
      </c>
      <c r="M184" s="44">
        <v>27111</v>
      </c>
      <c r="N184" s="44">
        <v>11</v>
      </c>
      <c r="O184" s="44">
        <v>1</v>
      </c>
      <c r="P184" s="44">
        <v>3</v>
      </c>
      <c r="Q184" s="44">
        <v>12</v>
      </c>
      <c r="R184" s="44">
        <v>15</v>
      </c>
      <c r="S184" s="44">
        <v>111</v>
      </c>
      <c r="T184" s="44">
        <v>3</v>
      </c>
      <c r="U184" s="44">
        <v>111</v>
      </c>
      <c r="V184" s="44">
        <v>2</v>
      </c>
      <c r="W184" s="44">
        <v>84</v>
      </c>
      <c r="X184" s="44">
        <v>1</v>
      </c>
      <c r="Y184" s="44">
        <v>28</v>
      </c>
      <c r="Z184" s="44">
        <v>0</v>
      </c>
      <c r="AA184" s="44">
        <v>4</v>
      </c>
      <c r="AB184" s="44">
        <v>0</v>
      </c>
      <c r="AC184" s="44">
        <v>12</v>
      </c>
      <c r="AD184" s="36">
        <f t="shared" si="29"/>
        <v>5769</v>
      </c>
      <c r="AE184" s="36">
        <f t="shared" si="29"/>
        <v>42178</v>
      </c>
      <c r="AF184" s="36">
        <f t="shared" si="29"/>
        <v>6035</v>
      </c>
      <c r="AG184" s="41">
        <f t="shared" si="30"/>
        <v>4.5999999999999996</v>
      </c>
      <c r="AH184" s="36">
        <f t="shared" si="31"/>
        <v>61077</v>
      </c>
      <c r="AI184" s="41">
        <f t="shared" si="32"/>
        <v>44.8</v>
      </c>
    </row>
    <row r="185" spans="1:35" ht="19.5" hidden="1" customHeight="1">
      <c r="A185" s="43" t="s">
        <v>77</v>
      </c>
      <c r="B185" s="44">
        <v>321</v>
      </c>
      <c r="C185" s="44">
        <v>4050</v>
      </c>
      <c r="D185" s="44">
        <v>779</v>
      </c>
      <c r="E185" s="44">
        <v>7623</v>
      </c>
      <c r="F185" s="44">
        <v>0</v>
      </c>
      <c r="G185" s="44">
        <v>25</v>
      </c>
      <c r="H185" s="44">
        <v>1</v>
      </c>
      <c r="I185" s="44">
        <v>70</v>
      </c>
      <c r="J185" s="44">
        <v>12975</v>
      </c>
      <c r="K185" s="44">
        <v>30178</v>
      </c>
      <c r="L185" s="44">
        <v>12032</v>
      </c>
      <c r="M185" s="44">
        <v>26895</v>
      </c>
      <c r="N185" s="44">
        <v>0</v>
      </c>
      <c r="O185" s="44">
        <v>0</v>
      </c>
      <c r="P185" s="44">
        <v>293</v>
      </c>
      <c r="Q185" s="44">
        <v>536</v>
      </c>
      <c r="R185" s="44">
        <v>0</v>
      </c>
      <c r="S185" s="44">
        <v>0</v>
      </c>
      <c r="T185" s="44">
        <v>0</v>
      </c>
      <c r="U185" s="44">
        <v>7</v>
      </c>
      <c r="V185" s="44">
        <v>0</v>
      </c>
      <c r="W185" s="44">
        <v>0</v>
      </c>
      <c r="X185" s="44">
        <v>0</v>
      </c>
      <c r="Y185" s="44">
        <v>0</v>
      </c>
      <c r="Z185" s="44">
        <v>1</v>
      </c>
      <c r="AA185" s="44">
        <v>11</v>
      </c>
      <c r="AB185" s="44">
        <v>1</v>
      </c>
      <c r="AC185" s="44">
        <v>7</v>
      </c>
      <c r="AD185" s="36">
        <f t="shared" si="29"/>
        <v>13297</v>
      </c>
      <c r="AE185" s="36">
        <f t="shared" si="29"/>
        <v>34264</v>
      </c>
      <c r="AF185" s="36">
        <f t="shared" si="29"/>
        <v>13106</v>
      </c>
      <c r="AG185" s="41">
        <f t="shared" si="30"/>
        <v>-1.4</v>
      </c>
      <c r="AH185" s="36">
        <f t="shared" si="31"/>
        <v>35138</v>
      </c>
      <c r="AI185" s="41">
        <f t="shared" si="32"/>
        <v>2.6</v>
      </c>
    </row>
    <row r="186" spans="1:35" ht="19.5" hidden="1" customHeight="1">
      <c r="A186" s="43" t="s">
        <v>75</v>
      </c>
      <c r="B186" s="44">
        <v>212</v>
      </c>
      <c r="C186" s="44">
        <v>1879</v>
      </c>
      <c r="D186" s="44">
        <v>1119</v>
      </c>
      <c r="E186" s="44">
        <v>7625</v>
      </c>
      <c r="F186" s="44">
        <v>0</v>
      </c>
      <c r="G186" s="44">
        <v>1</v>
      </c>
      <c r="H186" s="44">
        <v>1</v>
      </c>
      <c r="I186" s="44">
        <v>9</v>
      </c>
      <c r="J186" s="44">
        <v>9970</v>
      </c>
      <c r="K186" s="44">
        <v>26551</v>
      </c>
      <c r="L186" s="44">
        <v>11179</v>
      </c>
      <c r="M186" s="44">
        <v>27154</v>
      </c>
      <c r="N186" s="44">
        <v>0</v>
      </c>
      <c r="O186" s="44">
        <v>0</v>
      </c>
      <c r="P186" s="44">
        <v>0</v>
      </c>
      <c r="Q186" s="44">
        <v>0</v>
      </c>
      <c r="R186" s="44">
        <v>15</v>
      </c>
      <c r="S186" s="44">
        <v>49</v>
      </c>
      <c r="T186" s="44">
        <v>0</v>
      </c>
      <c r="U186" s="44">
        <v>1</v>
      </c>
      <c r="V186" s="44">
        <v>75</v>
      </c>
      <c r="W186" s="44">
        <v>1598</v>
      </c>
      <c r="X186" s="44">
        <v>6</v>
      </c>
      <c r="Y186" s="44">
        <v>83</v>
      </c>
      <c r="Z186" s="44">
        <v>97</v>
      </c>
      <c r="AA186" s="44">
        <v>291</v>
      </c>
      <c r="AB186" s="44">
        <v>16</v>
      </c>
      <c r="AC186" s="44">
        <v>176</v>
      </c>
      <c r="AD186" s="36">
        <f t="shared" si="29"/>
        <v>10369</v>
      </c>
      <c r="AE186" s="36">
        <f t="shared" si="29"/>
        <v>30369</v>
      </c>
      <c r="AF186" s="36">
        <f t="shared" si="29"/>
        <v>12321</v>
      </c>
      <c r="AG186" s="41">
        <f t="shared" si="30"/>
        <v>18.8</v>
      </c>
      <c r="AH186" s="36">
        <f t="shared" si="31"/>
        <v>35048</v>
      </c>
      <c r="AI186" s="41">
        <f t="shared" si="32"/>
        <v>15.4</v>
      </c>
    </row>
    <row r="187" spans="1:35" ht="19.5" hidden="1" customHeight="1">
      <c r="A187" s="43" t="s">
        <v>449</v>
      </c>
      <c r="B187" s="44">
        <v>1237</v>
      </c>
      <c r="C187" s="44">
        <v>14633</v>
      </c>
      <c r="D187" s="44">
        <v>2094</v>
      </c>
      <c r="E187" s="44">
        <v>23458</v>
      </c>
      <c r="F187" s="44">
        <v>0</v>
      </c>
      <c r="G187" s="44">
        <v>0</v>
      </c>
      <c r="H187" s="44">
        <v>1</v>
      </c>
      <c r="I187" s="44">
        <v>0</v>
      </c>
      <c r="J187" s="44">
        <v>560</v>
      </c>
      <c r="K187" s="44">
        <v>4349</v>
      </c>
      <c r="L187" s="44">
        <v>2405</v>
      </c>
      <c r="M187" s="44">
        <v>10853</v>
      </c>
      <c r="N187" s="44">
        <v>0</v>
      </c>
      <c r="O187" s="44">
        <v>0</v>
      </c>
      <c r="P187" s="44">
        <v>0</v>
      </c>
      <c r="Q187" s="44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1</v>
      </c>
      <c r="Z187" s="44">
        <v>0</v>
      </c>
      <c r="AA187" s="44">
        <v>12</v>
      </c>
      <c r="AB187" s="44">
        <v>0</v>
      </c>
      <c r="AC187" s="44">
        <v>29</v>
      </c>
      <c r="AD187" s="36">
        <f t="shared" si="29"/>
        <v>1797</v>
      </c>
      <c r="AE187" s="36">
        <f t="shared" si="29"/>
        <v>18994</v>
      </c>
      <c r="AF187" s="36">
        <f t="shared" si="29"/>
        <v>4500</v>
      </c>
      <c r="AG187" s="41">
        <f t="shared" si="30"/>
        <v>150.4</v>
      </c>
      <c r="AH187" s="36">
        <f t="shared" si="31"/>
        <v>34341</v>
      </c>
      <c r="AI187" s="41">
        <f t="shared" si="32"/>
        <v>80.8</v>
      </c>
    </row>
    <row r="188" spans="1:35" ht="19.5" hidden="1" customHeight="1">
      <c r="A188" s="43" t="s">
        <v>68</v>
      </c>
      <c r="B188" s="44">
        <v>467</v>
      </c>
      <c r="C188" s="44">
        <v>6392</v>
      </c>
      <c r="D188" s="44">
        <v>427</v>
      </c>
      <c r="E188" s="44">
        <v>5430</v>
      </c>
      <c r="F188" s="44">
        <v>76</v>
      </c>
      <c r="G188" s="44">
        <v>838</v>
      </c>
      <c r="H188" s="44">
        <v>201</v>
      </c>
      <c r="I188" s="44">
        <v>587</v>
      </c>
      <c r="J188" s="44">
        <v>3469</v>
      </c>
      <c r="K188" s="44">
        <v>15060</v>
      </c>
      <c r="L188" s="44">
        <v>1080</v>
      </c>
      <c r="M188" s="44">
        <v>5476</v>
      </c>
      <c r="N188" s="44">
        <v>0</v>
      </c>
      <c r="O188" s="44">
        <v>0</v>
      </c>
      <c r="P188" s="44">
        <v>0</v>
      </c>
      <c r="Q188" s="44">
        <v>0</v>
      </c>
      <c r="R188" s="44">
        <v>4</v>
      </c>
      <c r="S188" s="44">
        <v>19</v>
      </c>
      <c r="T188" s="44">
        <v>0</v>
      </c>
      <c r="U188" s="44">
        <v>3</v>
      </c>
      <c r="V188" s="44">
        <v>0</v>
      </c>
      <c r="W188" s="44">
        <v>38</v>
      </c>
      <c r="X188" s="44">
        <v>0</v>
      </c>
      <c r="Y188" s="44">
        <v>16</v>
      </c>
      <c r="Z188" s="44">
        <v>23</v>
      </c>
      <c r="AA188" s="44">
        <v>3666</v>
      </c>
      <c r="AB188" s="44">
        <v>54</v>
      </c>
      <c r="AC188" s="44">
        <v>3714</v>
      </c>
      <c r="AD188" s="36">
        <f t="shared" si="29"/>
        <v>4039</v>
      </c>
      <c r="AE188" s="36">
        <f t="shared" si="29"/>
        <v>26013</v>
      </c>
      <c r="AF188" s="36">
        <f t="shared" si="29"/>
        <v>1762</v>
      </c>
      <c r="AG188" s="41">
        <f t="shared" si="30"/>
        <v>-56.4</v>
      </c>
      <c r="AH188" s="36">
        <f t="shared" si="31"/>
        <v>15226</v>
      </c>
      <c r="AI188" s="41">
        <f t="shared" si="32"/>
        <v>-41.5</v>
      </c>
    </row>
    <row r="189" spans="1:35" ht="19.5" hidden="1" customHeight="1">
      <c r="A189" s="43" t="s">
        <v>66</v>
      </c>
      <c r="B189" s="44">
        <v>1331</v>
      </c>
      <c r="C189" s="44">
        <v>8707</v>
      </c>
      <c r="D189" s="44">
        <v>1138</v>
      </c>
      <c r="E189" s="44">
        <v>7909</v>
      </c>
      <c r="F189" s="44">
        <v>9</v>
      </c>
      <c r="G189" s="44">
        <v>197</v>
      </c>
      <c r="H189" s="44">
        <v>63</v>
      </c>
      <c r="I189" s="44">
        <v>712</v>
      </c>
      <c r="J189" s="44">
        <v>2139</v>
      </c>
      <c r="K189" s="44">
        <v>9025</v>
      </c>
      <c r="L189" s="44">
        <v>1320</v>
      </c>
      <c r="M189" s="44">
        <v>7075</v>
      </c>
      <c r="N189" s="44">
        <v>0</v>
      </c>
      <c r="O189" s="44">
        <v>0</v>
      </c>
      <c r="P189" s="44">
        <v>97</v>
      </c>
      <c r="Q189" s="44">
        <v>134</v>
      </c>
      <c r="R189" s="44">
        <v>888</v>
      </c>
      <c r="S189" s="44">
        <v>2769</v>
      </c>
      <c r="T189" s="44">
        <v>705</v>
      </c>
      <c r="U189" s="44">
        <v>1723</v>
      </c>
      <c r="V189" s="44">
        <v>17</v>
      </c>
      <c r="W189" s="44">
        <v>326</v>
      </c>
      <c r="X189" s="44">
        <v>0</v>
      </c>
      <c r="Y189" s="44">
        <v>5</v>
      </c>
      <c r="Z189" s="44">
        <v>168</v>
      </c>
      <c r="AA189" s="44">
        <v>1418</v>
      </c>
      <c r="AB189" s="44">
        <v>366</v>
      </c>
      <c r="AC189" s="44">
        <v>911</v>
      </c>
      <c r="AD189" s="36">
        <f t="shared" si="29"/>
        <v>4552</v>
      </c>
      <c r="AE189" s="36">
        <f t="shared" si="29"/>
        <v>22442</v>
      </c>
      <c r="AF189" s="36">
        <f t="shared" si="29"/>
        <v>3689</v>
      </c>
      <c r="AG189" s="41">
        <f t="shared" si="30"/>
        <v>-19</v>
      </c>
      <c r="AH189" s="36">
        <f t="shared" si="31"/>
        <v>18469</v>
      </c>
      <c r="AI189" s="41">
        <f t="shared" si="32"/>
        <v>-17.7</v>
      </c>
    </row>
    <row r="190" spans="1:35" ht="19.5" hidden="1" customHeight="1">
      <c r="A190" s="43" t="s">
        <v>73</v>
      </c>
      <c r="B190" s="44">
        <v>346</v>
      </c>
      <c r="C190" s="44">
        <v>2426</v>
      </c>
      <c r="D190" s="44">
        <v>756</v>
      </c>
      <c r="E190" s="44">
        <v>4002</v>
      </c>
      <c r="F190" s="44">
        <v>1</v>
      </c>
      <c r="G190" s="44">
        <v>179</v>
      </c>
      <c r="H190" s="44">
        <v>19</v>
      </c>
      <c r="I190" s="44">
        <v>186</v>
      </c>
      <c r="J190" s="44">
        <v>7630</v>
      </c>
      <c r="K190" s="44">
        <v>18779</v>
      </c>
      <c r="L190" s="44">
        <v>989</v>
      </c>
      <c r="M190" s="44">
        <v>5440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7</v>
      </c>
      <c r="T190" s="44">
        <v>0</v>
      </c>
      <c r="U190" s="44">
        <v>1</v>
      </c>
      <c r="V190" s="44">
        <v>8</v>
      </c>
      <c r="W190" s="44">
        <v>135</v>
      </c>
      <c r="X190" s="44">
        <v>6</v>
      </c>
      <c r="Y190" s="44">
        <v>69</v>
      </c>
      <c r="Z190" s="44">
        <v>7</v>
      </c>
      <c r="AA190" s="44">
        <v>123</v>
      </c>
      <c r="AB190" s="44">
        <v>23</v>
      </c>
      <c r="AC190" s="44">
        <v>407</v>
      </c>
      <c r="AD190" s="36">
        <f t="shared" si="29"/>
        <v>7992</v>
      </c>
      <c r="AE190" s="36">
        <f t="shared" si="29"/>
        <v>21649</v>
      </c>
      <c r="AF190" s="36">
        <f t="shared" si="29"/>
        <v>1793</v>
      </c>
      <c r="AG190" s="41">
        <f t="shared" si="30"/>
        <v>-77.599999999999994</v>
      </c>
      <c r="AH190" s="36">
        <f t="shared" si="31"/>
        <v>10105</v>
      </c>
      <c r="AI190" s="41">
        <f t="shared" si="32"/>
        <v>-53.3</v>
      </c>
    </row>
    <row r="191" spans="1:35" ht="19.5" hidden="1" customHeight="1">
      <c r="A191" s="43" t="s">
        <v>71</v>
      </c>
      <c r="B191" s="44">
        <v>1337</v>
      </c>
      <c r="C191" s="44">
        <v>10687</v>
      </c>
      <c r="D191" s="44">
        <v>1147</v>
      </c>
      <c r="E191" s="44">
        <v>8049</v>
      </c>
      <c r="F191" s="44">
        <v>132</v>
      </c>
      <c r="G191" s="44">
        <v>1468</v>
      </c>
      <c r="H191" s="44">
        <v>97</v>
      </c>
      <c r="I191" s="44">
        <v>442</v>
      </c>
      <c r="J191" s="44">
        <v>2778</v>
      </c>
      <c r="K191" s="44">
        <v>7947</v>
      </c>
      <c r="L191" s="44">
        <v>530</v>
      </c>
      <c r="M191" s="44">
        <v>1724</v>
      </c>
      <c r="N191" s="44">
        <v>0</v>
      </c>
      <c r="O191" s="44">
        <v>0</v>
      </c>
      <c r="P191" s="44">
        <v>0</v>
      </c>
      <c r="Q191" s="44">
        <v>0</v>
      </c>
      <c r="R191" s="44">
        <v>1</v>
      </c>
      <c r="S191" s="44">
        <v>5</v>
      </c>
      <c r="T191" s="44">
        <v>0</v>
      </c>
      <c r="U191" s="44">
        <v>2</v>
      </c>
      <c r="V191" s="44">
        <v>0</v>
      </c>
      <c r="W191" s="44">
        <v>0</v>
      </c>
      <c r="X191" s="44">
        <v>0</v>
      </c>
      <c r="Y191" s="44">
        <v>0</v>
      </c>
      <c r="Z191" s="44">
        <v>118</v>
      </c>
      <c r="AA191" s="44">
        <v>2272</v>
      </c>
      <c r="AB191" s="44">
        <v>55</v>
      </c>
      <c r="AC191" s="44">
        <v>458</v>
      </c>
      <c r="AD191" s="36">
        <f t="shared" si="29"/>
        <v>4366</v>
      </c>
      <c r="AE191" s="36">
        <f t="shared" si="29"/>
        <v>22379</v>
      </c>
      <c r="AF191" s="36">
        <f t="shared" si="29"/>
        <v>1829</v>
      </c>
      <c r="AG191" s="41">
        <f t="shared" si="30"/>
        <v>-58.1</v>
      </c>
      <c r="AH191" s="36">
        <f t="shared" si="31"/>
        <v>10675</v>
      </c>
      <c r="AI191" s="41">
        <f t="shared" si="32"/>
        <v>-52.3</v>
      </c>
    </row>
    <row r="192" spans="1:35" ht="19.5" hidden="1" customHeight="1">
      <c r="A192" s="33" t="s">
        <v>70</v>
      </c>
      <c r="B192" s="44">
        <v>141</v>
      </c>
      <c r="C192" s="44">
        <v>333</v>
      </c>
      <c r="D192" s="44">
        <v>92</v>
      </c>
      <c r="E192" s="44">
        <v>501</v>
      </c>
      <c r="F192" s="44">
        <v>0</v>
      </c>
      <c r="G192" s="44">
        <v>8</v>
      </c>
      <c r="H192" s="44">
        <v>6</v>
      </c>
      <c r="I192" s="44">
        <v>82</v>
      </c>
      <c r="J192" s="44">
        <v>2902</v>
      </c>
      <c r="K192" s="44">
        <v>7280</v>
      </c>
      <c r="L192" s="44">
        <v>3222</v>
      </c>
      <c r="M192" s="44">
        <v>7495</v>
      </c>
      <c r="N192" s="44">
        <v>1</v>
      </c>
      <c r="O192" s="44">
        <v>2</v>
      </c>
      <c r="P192" s="44">
        <v>0</v>
      </c>
      <c r="Q192" s="44">
        <v>0</v>
      </c>
      <c r="R192" s="44">
        <v>4670</v>
      </c>
      <c r="S192" s="44">
        <v>13795</v>
      </c>
      <c r="T192" s="44">
        <v>1282</v>
      </c>
      <c r="U192" s="44">
        <v>3130</v>
      </c>
      <c r="V192" s="44">
        <v>0</v>
      </c>
      <c r="W192" s="44">
        <v>2</v>
      </c>
      <c r="X192" s="44">
        <v>0</v>
      </c>
      <c r="Y192" s="44">
        <v>0</v>
      </c>
      <c r="Z192" s="44">
        <v>20</v>
      </c>
      <c r="AA192" s="44">
        <v>65</v>
      </c>
      <c r="AB192" s="44">
        <v>0</v>
      </c>
      <c r="AC192" s="44">
        <v>2</v>
      </c>
      <c r="AD192" s="36">
        <f t="shared" si="29"/>
        <v>7734</v>
      </c>
      <c r="AE192" s="36">
        <f t="shared" si="29"/>
        <v>21485</v>
      </c>
      <c r="AF192" s="36">
        <f t="shared" si="29"/>
        <v>4602</v>
      </c>
      <c r="AG192" s="41">
        <f t="shared" si="30"/>
        <v>-40.5</v>
      </c>
      <c r="AH192" s="36">
        <f t="shared" si="31"/>
        <v>11210</v>
      </c>
      <c r="AI192" s="41">
        <f t="shared" si="32"/>
        <v>-47.8</v>
      </c>
    </row>
    <row r="193" spans="1:35" ht="19.5" hidden="1" customHeight="1">
      <c r="A193" s="43" t="s">
        <v>74</v>
      </c>
      <c r="B193" s="44">
        <v>1019</v>
      </c>
      <c r="C193" s="44">
        <v>8468</v>
      </c>
      <c r="D193" s="44">
        <v>563</v>
      </c>
      <c r="E193" s="44">
        <v>4384</v>
      </c>
      <c r="F193" s="44">
        <v>0</v>
      </c>
      <c r="G193" s="44">
        <v>50</v>
      </c>
      <c r="H193" s="44">
        <v>0</v>
      </c>
      <c r="I193" s="44">
        <v>21</v>
      </c>
      <c r="J193" s="44">
        <v>3896</v>
      </c>
      <c r="K193" s="44">
        <v>10538</v>
      </c>
      <c r="L193" s="44">
        <v>2911</v>
      </c>
      <c r="M193" s="44">
        <v>7322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3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1</v>
      </c>
      <c r="AA193" s="44">
        <v>57</v>
      </c>
      <c r="AB193" s="44">
        <v>965</v>
      </c>
      <c r="AC193" s="44">
        <v>2388</v>
      </c>
      <c r="AD193" s="36">
        <f t="shared" si="29"/>
        <v>4916</v>
      </c>
      <c r="AE193" s="36">
        <f t="shared" si="29"/>
        <v>19116</v>
      </c>
      <c r="AF193" s="36">
        <f t="shared" si="29"/>
        <v>4439</v>
      </c>
      <c r="AG193" s="41">
        <f t="shared" si="30"/>
        <v>-9.6999999999999993</v>
      </c>
      <c r="AH193" s="36">
        <f t="shared" si="31"/>
        <v>14115</v>
      </c>
      <c r="AI193" s="41">
        <f t="shared" si="32"/>
        <v>-26.2</v>
      </c>
    </row>
    <row r="194" spans="1:35" ht="19.5" hidden="1" customHeight="1">
      <c r="A194" s="33" t="s">
        <v>88</v>
      </c>
      <c r="B194" s="44">
        <v>2</v>
      </c>
      <c r="C194" s="44">
        <v>29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9326</v>
      </c>
      <c r="K194" s="44">
        <v>21801</v>
      </c>
      <c r="L194" s="44">
        <v>4445</v>
      </c>
      <c r="M194" s="44">
        <v>9450</v>
      </c>
      <c r="N194" s="44">
        <v>0</v>
      </c>
      <c r="O194" s="44">
        <v>0</v>
      </c>
      <c r="P194" s="44">
        <v>0</v>
      </c>
      <c r="Q194" s="44">
        <v>0</v>
      </c>
      <c r="R194" s="44">
        <v>225</v>
      </c>
      <c r="S194" s="44">
        <v>699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36">
        <f t="shared" si="29"/>
        <v>9553</v>
      </c>
      <c r="AE194" s="36">
        <f t="shared" si="29"/>
        <v>22529</v>
      </c>
      <c r="AF194" s="36">
        <f t="shared" si="29"/>
        <v>4445</v>
      </c>
      <c r="AG194" s="41">
        <f t="shared" si="30"/>
        <v>-53.5</v>
      </c>
      <c r="AH194" s="36">
        <f t="shared" si="31"/>
        <v>9450</v>
      </c>
      <c r="AI194" s="41">
        <f t="shared" si="32"/>
        <v>-58.1</v>
      </c>
    </row>
    <row r="195" spans="1:35" ht="19.5" hidden="1" customHeight="1">
      <c r="A195" s="33" t="s">
        <v>67</v>
      </c>
      <c r="B195" s="44">
        <v>56</v>
      </c>
      <c r="C195" s="44">
        <v>119</v>
      </c>
      <c r="D195" s="44">
        <v>172</v>
      </c>
      <c r="E195" s="44">
        <v>175</v>
      </c>
      <c r="F195" s="44">
        <v>0</v>
      </c>
      <c r="G195" s="44">
        <v>0</v>
      </c>
      <c r="H195" s="44">
        <v>0</v>
      </c>
      <c r="I195" s="44">
        <v>1</v>
      </c>
      <c r="J195" s="44">
        <v>7127</v>
      </c>
      <c r="K195" s="44">
        <v>18106</v>
      </c>
      <c r="L195" s="44">
        <v>6062</v>
      </c>
      <c r="M195" s="44">
        <v>14086</v>
      </c>
      <c r="N195" s="44">
        <v>0</v>
      </c>
      <c r="O195" s="44">
        <v>0</v>
      </c>
      <c r="P195" s="44">
        <v>2</v>
      </c>
      <c r="Q195" s="44">
        <v>7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  <c r="AC195" s="44">
        <v>0</v>
      </c>
      <c r="AD195" s="36">
        <f t="shared" si="29"/>
        <v>7183</v>
      </c>
      <c r="AE195" s="36">
        <f t="shared" si="29"/>
        <v>18225</v>
      </c>
      <c r="AF195" s="36">
        <f t="shared" si="29"/>
        <v>6236</v>
      </c>
      <c r="AG195" s="41">
        <f t="shared" si="30"/>
        <v>-13.2</v>
      </c>
      <c r="AH195" s="36">
        <f t="shared" si="31"/>
        <v>14269</v>
      </c>
      <c r="AI195" s="41">
        <f t="shared" si="32"/>
        <v>-21.7</v>
      </c>
    </row>
    <row r="196" spans="1:35" ht="19.5" hidden="1" customHeight="1">
      <c r="A196" s="43" t="s">
        <v>72</v>
      </c>
      <c r="B196" s="44">
        <v>396</v>
      </c>
      <c r="C196" s="44">
        <v>2743</v>
      </c>
      <c r="D196" s="44">
        <v>377</v>
      </c>
      <c r="E196" s="44">
        <v>2818</v>
      </c>
      <c r="F196" s="44">
        <v>0</v>
      </c>
      <c r="G196" s="44">
        <v>0</v>
      </c>
      <c r="H196" s="44">
        <v>0</v>
      </c>
      <c r="I196" s="44">
        <v>12</v>
      </c>
      <c r="J196" s="44">
        <v>2620</v>
      </c>
      <c r="K196" s="44">
        <v>10915</v>
      </c>
      <c r="L196" s="44">
        <v>1636</v>
      </c>
      <c r="M196" s="44">
        <v>9386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4</v>
      </c>
      <c r="T196" s="44">
        <v>0</v>
      </c>
      <c r="U196" s="44">
        <v>6</v>
      </c>
      <c r="V196" s="44">
        <v>0</v>
      </c>
      <c r="W196" s="44">
        <v>0</v>
      </c>
      <c r="X196" s="44">
        <v>0</v>
      </c>
      <c r="Y196" s="44">
        <v>0</v>
      </c>
      <c r="Z196" s="44">
        <v>20</v>
      </c>
      <c r="AA196" s="44">
        <v>1126</v>
      </c>
      <c r="AB196" s="44">
        <v>19</v>
      </c>
      <c r="AC196" s="44">
        <v>1035</v>
      </c>
      <c r="AD196" s="36">
        <f t="shared" si="29"/>
        <v>3036</v>
      </c>
      <c r="AE196" s="36">
        <f t="shared" si="29"/>
        <v>14788</v>
      </c>
      <c r="AF196" s="36">
        <f t="shared" si="29"/>
        <v>2032</v>
      </c>
      <c r="AG196" s="41">
        <f t="shared" si="30"/>
        <v>-33.1</v>
      </c>
      <c r="AH196" s="36">
        <f t="shared" si="31"/>
        <v>13257</v>
      </c>
      <c r="AI196" s="41">
        <f t="shared" si="32"/>
        <v>-10.4</v>
      </c>
    </row>
    <row r="197" spans="1:35" ht="19.5" hidden="1" customHeight="1">
      <c r="A197" s="43" t="s">
        <v>69</v>
      </c>
      <c r="B197" s="44">
        <v>253</v>
      </c>
      <c r="C197" s="44">
        <v>2804</v>
      </c>
      <c r="D197" s="44">
        <v>192</v>
      </c>
      <c r="E197" s="44">
        <v>2069</v>
      </c>
      <c r="F197" s="44">
        <v>56</v>
      </c>
      <c r="G197" s="44">
        <v>292</v>
      </c>
      <c r="H197" s="44">
        <v>0</v>
      </c>
      <c r="I197" s="44">
        <v>9</v>
      </c>
      <c r="J197" s="44">
        <v>3651</v>
      </c>
      <c r="K197" s="44">
        <v>11004</v>
      </c>
      <c r="L197" s="44">
        <v>294</v>
      </c>
      <c r="M197" s="44">
        <v>4051</v>
      </c>
      <c r="N197" s="44">
        <v>4</v>
      </c>
      <c r="O197" s="44">
        <v>1</v>
      </c>
      <c r="P197" s="44">
        <v>28</v>
      </c>
      <c r="Q197" s="44">
        <v>15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2</v>
      </c>
      <c r="X197" s="44">
        <v>0</v>
      </c>
      <c r="Y197" s="44">
        <v>5</v>
      </c>
      <c r="Z197" s="44">
        <v>496</v>
      </c>
      <c r="AA197" s="44">
        <v>4242</v>
      </c>
      <c r="AB197" s="44">
        <v>290</v>
      </c>
      <c r="AC197" s="44">
        <v>1959</v>
      </c>
      <c r="AD197" s="36">
        <f t="shared" si="29"/>
        <v>4460</v>
      </c>
      <c r="AE197" s="36">
        <f t="shared" si="29"/>
        <v>18345</v>
      </c>
      <c r="AF197" s="36">
        <f t="shared" si="29"/>
        <v>804</v>
      </c>
      <c r="AG197" s="41">
        <f t="shared" si="30"/>
        <v>-82</v>
      </c>
      <c r="AH197" s="36">
        <f t="shared" si="31"/>
        <v>8108</v>
      </c>
      <c r="AI197" s="41">
        <f t="shared" si="32"/>
        <v>-55.8</v>
      </c>
    </row>
    <row r="198" spans="1:35" ht="19.5" hidden="1" customHeight="1">
      <c r="A198" s="34" t="s">
        <v>560</v>
      </c>
      <c r="B198" s="37">
        <f t="shared" ref="B198:G198" si="33">B199-SUM(B168:B197)</f>
        <v>5301</v>
      </c>
      <c r="C198" s="37">
        <f t="shared" si="33"/>
        <v>48722</v>
      </c>
      <c r="D198" s="37">
        <f t="shared" si="33"/>
        <v>5574</v>
      </c>
      <c r="E198" s="37">
        <f t="shared" si="33"/>
        <v>43517</v>
      </c>
      <c r="F198" s="37">
        <f t="shared" si="33"/>
        <v>379</v>
      </c>
      <c r="G198" s="37">
        <f t="shared" si="33"/>
        <v>1577</v>
      </c>
      <c r="H198" s="37">
        <f t="shared" ref="H198:AC198" si="34">H199-SUM(H168:H197)</f>
        <v>309</v>
      </c>
      <c r="I198" s="37">
        <f t="shared" si="34"/>
        <v>4185</v>
      </c>
      <c r="J198" s="37">
        <f t="shared" si="34"/>
        <v>35200</v>
      </c>
      <c r="K198" s="37">
        <f t="shared" si="34"/>
        <v>106701</v>
      </c>
      <c r="L198" s="37">
        <f t="shared" si="34"/>
        <v>27258</v>
      </c>
      <c r="M198" s="37">
        <f t="shared" si="34"/>
        <v>81970</v>
      </c>
      <c r="N198" s="37">
        <f t="shared" si="34"/>
        <v>3381</v>
      </c>
      <c r="O198" s="37">
        <f t="shared" si="34"/>
        <v>7644</v>
      </c>
      <c r="P198" s="37">
        <f t="shared" si="34"/>
        <v>2227</v>
      </c>
      <c r="Q198" s="37">
        <f t="shared" si="34"/>
        <v>4684</v>
      </c>
      <c r="R198" s="37">
        <f t="shared" si="34"/>
        <v>6793</v>
      </c>
      <c r="S198" s="37">
        <f t="shared" si="34"/>
        <v>20144</v>
      </c>
      <c r="T198" s="37">
        <f t="shared" si="34"/>
        <v>11938</v>
      </c>
      <c r="U198" s="37">
        <f t="shared" si="34"/>
        <v>27613</v>
      </c>
      <c r="V198" s="37">
        <f t="shared" si="34"/>
        <v>24</v>
      </c>
      <c r="W198" s="37">
        <f t="shared" si="34"/>
        <v>380</v>
      </c>
      <c r="X198" s="37">
        <f t="shared" si="34"/>
        <v>28</v>
      </c>
      <c r="Y198" s="37">
        <f t="shared" si="34"/>
        <v>309</v>
      </c>
      <c r="Z198" s="37">
        <f t="shared" si="34"/>
        <v>222</v>
      </c>
      <c r="AA198" s="37">
        <f t="shared" si="34"/>
        <v>4450</v>
      </c>
      <c r="AB198" s="37">
        <f t="shared" si="34"/>
        <v>438</v>
      </c>
      <c r="AC198" s="37">
        <f t="shared" si="34"/>
        <v>5836</v>
      </c>
      <c r="AD198" s="37">
        <f>AD199-SUM(AD168:AD197)</f>
        <v>51300</v>
      </c>
      <c r="AE198" s="37">
        <f>AE199-SUM(AE168:AE197)</f>
        <v>189618</v>
      </c>
      <c r="AF198" s="37">
        <f>AF199-SUM(AF168:AF197)</f>
        <v>47772</v>
      </c>
      <c r="AG198" s="41">
        <f t="shared" si="30"/>
        <v>-6.9</v>
      </c>
      <c r="AH198" s="37">
        <f>AH199-SUM(AH168:AH197)</f>
        <v>168114</v>
      </c>
      <c r="AI198" s="42">
        <f t="shared" si="32"/>
        <v>-11.3</v>
      </c>
    </row>
    <row r="199" spans="1:35" ht="19.5" hidden="1" customHeight="1">
      <c r="A199" s="535" t="s">
        <v>79</v>
      </c>
      <c r="B199" s="46">
        <v>296252</v>
      </c>
      <c r="C199" s="46">
        <v>1991883</v>
      </c>
      <c r="D199" s="46">
        <v>259501</v>
      </c>
      <c r="E199" s="46">
        <v>1704086</v>
      </c>
      <c r="F199" s="46">
        <v>8372</v>
      </c>
      <c r="G199" s="392">
        <v>75660</v>
      </c>
      <c r="H199" s="46">
        <v>6201</v>
      </c>
      <c r="I199" s="46">
        <v>54421</v>
      </c>
      <c r="J199" s="46">
        <v>465584</v>
      </c>
      <c r="K199" s="46">
        <v>1532057</v>
      </c>
      <c r="L199" s="46">
        <v>482396</v>
      </c>
      <c r="M199" s="46">
        <v>1432762</v>
      </c>
      <c r="N199" s="46">
        <v>155438</v>
      </c>
      <c r="O199" s="46">
        <v>337205</v>
      </c>
      <c r="P199" s="46">
        <v>139658</v>
      </c>
      <c r="Q199" s="46">
        <v>279389</v>
      </c>
      <c r="R199" s="46">
        <v>217603</v>
      </c>
      <c r="S199" s="46">
        <v>633848</v>
      </c>
      <c r="T199" s="46">
        <v>255760</v>
      </c>
      <c r="U199" s="46">
        <v>561242</v>
      </c>
      <c r="V199" s="46">
        <v>966</v>
      </c>
      <c r="W199" s="46">
        <v>19615</v>
      </c>
      <c r="X199" s="46">
        <v>697</v>
      </c>
      <c r="Y199" s="46">
        <v>16830</v>
      </c>
      <c r="Z199" s="46">
        <v>38183</v>
      </c>
      <c r="AA199" s="392">
        <v>125212</v>
      </c>
      <c r="AB199" s="46">
        <v>10174</v>
      </c>
      <c r="AC199" s="46">
        <v>99353</v>
      </c>
      <c r="AD199" s="39">
        <f>SUM(B199+F199+J199+N199+R199+V199+Z199)</f>
        <v>1182398</v>
      </c>
      <c r="AE199" s="39">
        <f>SUM(C199+G199+K199+O199+S199+W199+AA199)</f>
        <v>4715480</v>
      </c>
      <c r="AF199" s="39">
        <f>SUM(D199+H199+L199+P199+T199+X199+AB199)</f>
        <v>1154387</v>
      </c>
      <c r="AG199" s="226">
        <f t="shared" si="30"/>
        <v>-2.4</v>
      </c>
      <c r="AH199" s="39">
        <f>SUM(E199+I199+M199+Q199+U199+Y199+AC199)</f>
        <v>4148083</v>
      </c>
      <c r="AI199" s="42">
        <f t="shared" si="32"/>
        <v>-12</v>
      </c>
    </row>
    <row r="200" spans="1:35" hidden="1"/>
    <row r="201" spans="1:35" s="846" customFormat="1" ht="22.5" hidden="1" customHeight="1">
      <c r="A201" s="1095" t="s">
        <v>590</v>
      </c>
      <c r="B201" s="1095"/>
      <c r="C201" s="1095"/>
      <c r="D201" s="1095"/>
      <c r="E201" s="1095"/>
      <c r="F201" s="1095"/>
      <c r="G201" s="1095"/>
      <c r="H201" s="1095"/>
      <c r="I201" s="1095"/>
      <c r="J201" s="1095"/>
      <c r="K201" s="1095"/>
      <c r="L201" s="1095"/>
      <c r="M201" s="1095"/>
      <c r="N201" s="1095"/>
      <c r="O201" s="1095"/>
      <c r="P201" s="1095"/>
      <c r="Q201" s="1095"/>
      <c r="R201" s="1095"/>
      <c r="S201" s="1095"/>
      <c r="T201" s="1095"/>
      <c r="U201" s="1095"/>
      <c r="V201" s="1095"/>
      <c r="W201" s="1095"/>
      <c r="X201" s="1095"/>
      <c r="Y201" s="1095"/>
      <c r="Z201" s="1095"/>
      <c r="AA201" s="1095"/>
      <c r="AB201" s="1095"/>
      <c r="AC201" s="1095"/>
      <c r="AD201" s="1095"/>
      <c r="AE201" s="1095"/>
      <c r="AF201" s="1095"/>
      <c r="AG201" s="1095"/>
      <c r="AH201" s="1095"/>
      <c r="AI201" s="1095"/>
    </row>
    <row r="202" spans="1:35" s="846" customFormat="1" ht="16.5" hidden="1" customHeight="1">
      <c r="A202" s="847"/>
      <c r="B202" s="848"/>
      <c r="C202" s="848"/>
      <c r="D202" s="848"/>
      <c r="E202" s="848"/>
      <c r="F202" s="848"/>
      <c r="G202" s="847"/>
      <c r="H202" s="848"/>
      <c r="I202" s="848"/>
      <c r="J202" s="848"/>
      <c r="K202" s="848"/>
      <c r="L202" s="848"/>
      <c r="M202" s="848"/>
      <c r="N202" s="848"/>
      <c r="O202" s="848"/>
      <c r="P202" s="848"/>
      <c r="Q202" s="848"/>
      <c r="R202" s="849"/>
      <c r="S202" s="849"/>
      <c r="T202" s="848"/>
      <c r="U202" s="848"/>
      <c r="V202" s="848"/>
      <c r="W202" s="848"/>
      <c r="X202" s="848"/>
      <c r="Y202" s="848"/>
      <c r="Z202" s="848"/>
      <c r="AA202" s="848"/>
      <c r="AB202" s="848"/>
      <c r="AC202" s="848"/>
      <c r="AD202" s="848"/>
      <c r="AE202" s="848"/>
      <c r="AF202" s="848"/>
      <c r="AG202" s="848"/>
      <c r="AH202" s="848"/>
      <c r="AI202" s="848"/>
    </row>
    <row r="203" spans="1:35" s="846" customFormat="1" ht="16.5" hidden="1" customHeight="1">
      <c r="A203" s="850"/>
      <c r="B203" s="851"/>
      <c r="C203" s="851"/>
      <c r="D203" s="851"/>
      <c r="E203" s="851"/>
      <c r="F203" s="851"/>
      <c r="G203" s="850"/>
      <c r="H203" s="851"/>
      <c r="I203" s="851"/>
      <c r="J203" s="851"/>
      <c r="K203" s="851"/>
      <c r="L203" s="851"/>
      <c r="M203" s="851"/>
      <c r="N203" s="851"/>
      <c r="O203" s="851"/>
      <c r="P203" s="851"/>
      <c r="Q203" s="851"/>
      <c r="R203" s="852"/>
      <c r="S203" s="852"/>
      <c r="T203" s="851"/>
      <c r="U203" s="851"/>
      <c r="V203" s="851"/>
      <c r="W203" s="851"/>
      <c r="X203" s="851"/>
      <c r="Y203" s="851"/>
      <c r="Z203" s="851"/>
      <c r="AA203" s="851"/>
      <c r="AB203" s="851"/>
      <c r="AC203" s="851"/>
      <c r="AD203" s="851"/>
      <c r="AE203" s="851"/>
      <c r="AF203" s="851"/>
      <c r="AG203" s="851"/>
      <c r="AH203" s="851"/>
      <c r="AI203" s="853" t="s">
        <v>0</v>
      </c>
    </row>
    <row r="204" spans="1:35" s="846" customFormat="1" ht="21.75" hidden="1" customHeight="1">
      <c r="A204" s="1149" t="s">
        <v>43</v>
      </c>
      <c r="B204" s="1151" t="s">
        <v>591</v>
      </c>
      <c r="C204" s="1153"/>
      <c r="D204" s="1153"/>
      <c r="E204" s="1152"/>
      <c r="F204" s="1151" t="s">
        <v>592</v>
      </c>
      <c r="G204" s="1153"/>
      <c r="H204" s="1153"/>
      <c r="I204" s="1152"/>
      <c r="J204" s="1151" t="s">
        <v>593</v>
      </c>
      <c r="K204" s="1153"/>
      <c r="L204" s="1153"/>
      <c r="M204" s="1152"/>
      <c r="N204" s="1151" t="s">
        <v>594</v>
      </c>
      <c r="O204" s="1153"/>
      <c r="P204" s="1153"/>
      <c r="Q204" s="1152"/>
      <c r="R204" s="1151" t="s">
        <v>595</v>
      </c>
      <c r="S204" s="1153"/>
      <c r="T204" s="1153"/>
      <c r="U204" s="1152"/>
      <c r="V204" s="1151" t="s">
        <v>596</v>
      </c>
      <c r="W204" s="1153"/>
      <c r="X204" s="1153"/>
      <c r="Y204" s="1152"/>
      <c r="Z204" s="1151" t="s">
        <v>597</v>
      </c>
      <c r="AA204" s="1153"/>
      <c r="AB204" s="1153"/>
      <c r="AC204" s="1152"/>
      <c r="AD204" s="1151" t="s">
        <v>598</v>
      </c>
      <c r="AE204" s="1153"/>
      <c r="AF204" s="1153"/>
      <c r="AG204" s="1153"/>
      <c r="AH204" s="1153"/>
      <c r="AI204" s="1152"/>
    </row>
    <row r="205" spans="1:35" s="846" customFormat="1" ht="21" hidden="1" customHeight="1">
      <c r="A205" s="1154"/>
      <c r="B205" s="1151" t="s">
        <v>315</v>
      </c>
      <c r="C205" s="1152"/>
      <c r="D205" s="1151" t="s">
        <v>459</v>
      </c>
      <c r="E205" s="1152"/>
      <c r="F205" s="1151" t="s">
        <v>315</v>
      </c>
      <c r="G205" s="1152"/>
      <c r="H205" s="1151" t="s">
        <v>459</v>
      </c>
      <c r="I205" s="1152"/>
      <c r="J205" s="1151" t="s">
        <v>315</v>
      </c>
      <c r="K205" s="1152"/>
      <c r="L205" s="1151" t="s">
        <v>459</v>
      </c>
      <c r="M205" s="1152"/>
      <c r="N205" s="1151" t="s">
        <v>315</v>
      </c>
      <c r="O205" s="1152"/>
      <c r="P205" s="1151" t="s">
        <v>459</v>
      </c>
      <c r="Q205" s="1152"/>
      <c r="R205" s="1151" t="s">
        <v>315</v>
      </c>
      <c r="S205" s="1152"/>
      <c r="T205" s="1151" t="s">
        <v>459</v>
      </c>
      <c r="U205" s="1152"/>
      <c r="V205" s="1151" t="s">
        <v>315</v>
      </c>
      <c r="W205" s="1152"/>
      <c r="X205" s="1151" t="s">
        <v>459</v>
      </c>
      <c r="Y205" s="1152"/>
      <c r="Z205" s="1151" t="s">
        <v>315</v>
      </c>
      <c r="AA205" s="1152"/>
      <c r="AB205" s="1151" t="s">
        <v>459</v>
      </c>
      <c r="AC205" s="1152"/>
      <c r="AD205" s="1151" t="s">
        <v>315</v>
      </c>
      <c r="AE205" s="1152"/>
      <c r="AF205" s="1151" t="s">
        <v>459</v>
      </c>
      <c r="AG205" s="1153"/>
      <c r="AH205" s="1153"/>
      <c r="AI205" s="1152"/>
    </row>
    <row r="206" spans="1:35" s="846" customFormat="1" ht="16.5" hidden="1" customHeight="1">
      <c r="A206" s="1154"/>
      <c r="B206" s="1149" t="s">
        <v>44</v>
      </c>
      <c r="C206" s="1149" t="s">
        <v>45</v>
      </c>
      <c r="D206" s="1149" t="s">
        <v>46</v>
      </c>
      <c r="E206" s="1149" t="s">
        <v>45</v>
      </c>
      <c r="F206" s="1149" t="s">
        <v>47</v>
      </c>
      <c r="G206" s="1149" t="s">
        <v>45</v>
      </c>
      <c r="H206" s="1149" t="s">
        <v>46</v>
      </c>
      <c r="I206" s="1149" t="s">
        <v>45</v>
      </c>
      <c r="J206" s="1149" t="s">
        <v>44</v>
      </c>
      <c r="K206" s="1149" t="s">
        <v>45</v>
      </c>
      <c r="L206" s="1149" t="s">
        <v>46</v>
      </c>
      <c r="M206" s="1149" t="s">
        <v>45</v>
      </c>
      <c r="N206" s="1149" t="s">
        <v>44</v>
      </c>
      <c r="O206" s="1149" t="s">
        <v>45</v>
      </c>
      <c r="P206" s="1149" t="s">
        <v>46</v>
      </c>
      <c r="Q206" s="1149" t="s">
        <v>45</v>
      </c>
      <c r="R206" s="1149" t="s">
        <v>44</v>
      </c>
      <c r="S206" s="1149" t="s">
        <v>45</v>
      </c>
      <c r="T206" s="1149" t="s">
        <v>46</v>
      </c>
      <c r="U206" s="1149" t="s">
        <v>45</v>
      </c>
      <c r="V206" s="1149" t="s">
        <v>44</v>
      </c>
      <c r="W206" s="1149" t="s">
        <v>45</v>
      </c>
      <c r="X206" s="1149" t="s">
        <v>48</v>
      </c>
      <c r="Y206" s="1149" t="s">
        <v>45</v>
      </c>
      <c r="Z206" s="1149" t="s">
        <v>44</v>
      </c>
      <c r="AA206" s="1149" t="s">
        <v>45</v>
      </c>
      <c r="AB206" s="1149" t="s">
        <v>46</v>
      </c>
      <c r="AC206" s="1149" t="s">
        <v>45</v>
      </c>
      <c r="AD206" s="1149" t="s">
        <v>44</v>
      </c>
      <c r="AE206" s="1149" t="s">
        <v>45</v>
      </c>
      <c r="AF206" s="1147" t="s">
        <v>46</v>
      </c>
      <c r="AG206" s="854"/>
      <c r="AH206" s="1147" t="s">
        <v>45</v>
      </c>
      <c r="AI206" s="854"/>
    </row>
    <row r="207" spans="1:35" s="846" customFormat="1" ht="16.5" hidden="1" customHeight="1" thickBot="1">
      <c r="A207" s="1150"/>
      <c r="B207" s="1150"/>
      <c r="C207" s="1150"/>
      <c r="D207" s="1150"/>
      <c r="E207" s="1150"/>
      <c r="F207" s="1150"/>
      <c r="G207" s="1150"/>
      <c r="H207" s="1150"/>
      <c r="I207" s="1150"/>
      <c r="J207" s="1150"/>
      <c r="K207" s="1150"/>
      <c r="L207" s="1150"/>
      <c r="M207" s="1150"/>
      <c r="N207" s="1150"/>
      <c r="O207" s="1150"/>
      <c r="P207" s="1150"/>
      <c r="Q207" s="1150"/>
      <c r="R207" s="1150"/>
      <c r="S207" s="1150"/>
      <c r="T207" s="1150"/>
      <c r="U207" s="1150"/>
      <c r="V207" s="1150"/>
      <c r="W207" s="1150"/>
      <c r="X207" s="1150"/>
      <c r="Y207" s="1150"/>
      <c r="Z207" s="1150"/>
      <c r="AA207" s="1150"/>
      <c r="AB207" s="1150"/>
      <c r="AC207" s="1150"/>
      <c r="AD207" s="1150"/>
      <c r="AE207" s="1150"/>
      <c r="AF207" s="1148"/>
      <c r="AG207" s="855" t="s">
        <v>49</v>
      </c>
      <c r="AH207" s="1148"/>
      <c r="AI207" s="855" t="s">
        <v>49</v>
      </c>
    </row>
    <row r="208" spans="1:35" s="846" customFormat="1" ht="19.5" hidden="1" customHeight="1" thickTop="1">
      <c r="A208" s="863" t="s">
        <v>50</v>
      </c>
      <c r="B208" s="870">
        <v>137175</v>
      </c>
      <c r="C208" s="870">
        <v>910951</v>
      </c>
      <c r="D208" s="870">
        <v>138722</v>
      </c>
      <c r="E208" s="870">
        <v>872102</v>
      </c>
      <c r="F208" s="870">
        <v>2502</v>
      </c>
      <c r="G208" s="870">
        <v>23801</v>
      </c>
      <c r="H208" s="870">
        <v>1932</v>
      </c>
      <c r="I208" s="870">
        <v>16011</v>
      </c>
      <c r="J208" s="870">
        <v>51846</v>
      </c>
      <c r="K208" s="870">
        <v>210883</v>
      </c>
      <c r="L208" s="870">
        <v>154009</v>
      </c>
      <c r="M208" s="870">
        <v>376849</v>
      </c>
      <c r="N208" s="870">
        <v>29814</v>
      </c>
      <c r="O208" s="870">
        <v>62116</v>
      </c>
      <c r="P208" s="870">
        <v>13819</v>
      </c>
      <c r="Q208" s="870">
        <v>25319</v>
      </c>
      <c r="R208" s="870">
        <v>58722</v>
      </c>
      <c r="S208" s="870">
        <v>166597</v>
      </c>
      <c r="T208" s="870">
        <v>67917</v>
      </c>
      <c r="U208" s="870">
        <v>139267</v>
      </c>
      <c r="V208" s="870">
        <v>134</v>
      </c>
      <c r="W208" s="870">
        <v>3852</v>
      </c>
      <c r="X208" s="870">
        <v>133</v>
      </c>
      <c r="Y208" s="870">
        <v>3999</v>
      </c>
      <c r="Z208" s="870">
        <v>1506</v>
      </c>
      <c r="AA208" s="870">
        <v>41039</v>
      </c>
      <c r="AB208" s="864">
        <v>4603</v>
      </c>
      <c r="AC208" s="864">
        <v>37148</v>
      </c>
      <c r="AD208" s="858">
        <f t="shared" ref="AD208:AD237" si="35">SUM(B208+F208+J208+N208+R208+V208+Z208)</f>
        <v>281699</v>
      </c>
      <c r="AE208" s="858">
        <f>SUM(C208+G208+K208+O208+S208+W208+AA208)</f>
        <v>1419239</v>
      </c>
      <c r="AF208" s="858">
        <f>SUM(D208+H208+L208+P208+T208+X208+AB208)</f>
        <v>381135</v>
      </c>
      <c r="AG208" s="861">
        <f>ROUND(((AF208/AD208-1)*100),1)</f>
        <v>35.299999999999997</v>
      </c>
      <c r="AH208" s="858">
        <f>SUM(E208+I208+M208+Q208+U208+Y208+AC208)</f>
        <v>1470695</v>
      </c>
      <c r="AI208" s="861">
        <f>ROUND(((AH208/AE208-1)*100),1)</f>
        <v>3.6</v>
      </c>
    </row>
    <row r="209" spans="1:35" s="846" customFormat="1" ht="19.5" hidden="1" customHeight="1">
      <c r="A209" s="863" t="s">
        <v>51</v>
      </c>
      <c r="B209" s="870">
        <v>34157</v>
      </c>
      <c r="C209" s="870">
        <v>260666</v>
      </c>
      <c r="D209" s="870">
        <v>29732</v>
      </c>
      <c r="E209" s="870">
        <v>226585</v>
      </c>
      <c r="F209" s="870">
        <v>457</v>
      </c>
      <c r="G209" s="870">
        <v>11120</v>
      </c>
      <c r="H209" s="870">
        <v>130</v>
      </c>
      <c r="I209" s="870">
        <v>4588</v>
      </c>
      <c r="J209" s="870">
        <v>109787</v>
      </c>
      <c r="K209" s="870">
        <v>308655</v>
      </c>
      <c r="L209" s="870">
        <v>109216</v>
      </c>
      <c r="M209" s="870">
        <v>286756</v>
      </c>
      <c r="N209" s="870">
        <v>37687</v>
      </c>
      <c r="O209" s="870">
        <v>82038</v>
      </c>
      <c r="P209" s="870">
        <v>47649</v>
      </c>
      <c r="Q209" s="870">
        <v>93918</v>
      </c>
      <c r="R209" s="870">
        <v>35400</v>
      </c>
      <c r="S209" s="870">
        <v>105060</v>
      </c>
      <c r="T209" s="870">
        <v>39198</v>
      </c>
      <c r="U209" s="870">
        <v>89295</v>
      </c>
      <c r="V209" s="870">
        <v>157</v>
      </c>
      <c r="W209" s="870">
        <v>2798</v>
      </c>
      <c r="X209" s="870">
        <v>140</v>
      </c>
      <c r="Y209" s="870">
        <v>2437</v>
      </c>
      <c r="Z209" s="870">
        <v>994</v>
      </c>
      <c r="AA209" s="870">
        <v>9135</v>
      </c>
      <c r="AB209" s="870">
        <v>148</v>
      </c>
      <c r="AC209" s="870">
        <v>3966</v>
      </c>
      <c r="AD209" s="858">
        <f t="shared" si="35"/>
        <v>218639</v>
      </c>
      <c r="AE209" s="858">
        <f t="shared" ref="AE209:AE237" si="36">SUM(C209+G209+K209+O209+S209+W209+AA209)</f>
        <v>779472</v>
      </c>
      <c r="AF209" s="858">
        <f>SUM(D209+H209+L209+P209+T209+X209+AB209)</f>
        <v>226213</v>
      </c>
      <c r="AG209" s="861">
        <f t="shared" ref="AG209:AG239" si="37">ROUND(((AF209/AD209-1)*100),1)</f>
        <v>3.5</v>
      </c>
      <c r="AH209" s="858">
        <f t="shared" ref="AH209:AH237" si="38">SUM(E209+I209+M209+Q209+U209+Y209+AC209)</f>
        <v>707545</v>
      </c>
      <c r="AI209" s="861">
        <f t="shared" ref="AI209:AI239" si="39">ROUND(((AH209/AE209-1)*100),1)</f>
        <v>-9.1999999999999993</v>
      </c>
    </row>
    <row r="210" spans="1:35" s="846" customFormat="1" ht="19.5" hidden="1" customHeight="1">
      <c r="A210" s="863" t="s">
        <v>53</v>
      </c>
      <c r="B210" s="870">
        <v>13650</v>
      </c>
      <c r="C210" s="870">
        <v>123000</v>
      </c>
      <c r="D210" s="870">
        <v>15058</v>
      </c>
      <c r="E210" s="870">
        <v>123251</v>
      </c>
      <c r="F210" s="870">
        <v>444</v>
      </c>
      <c r="G210" s="870">
        <v>5096</v>
      </c>
      <c r="H210" s="870">
        <v>275</v>
      </c>
      <c r="I210" s="870">
        <v>3066</v>
      </c>
      <c r="J210" s="870">
        <v>61215</v>
      </c>
      <c r="K210" s="870">
        <v>233033</v>
      </c>
      <c r="L210" s="870">
        <v>46709</v>
      </c>
      <c r="M210" s="870">
        <v>175168</v>
      </c>
      <c r="N210" s="870">
        <v>37721</v>
      </c>
      <c r="O210" s="870">
        <v>79741</v>
      </c>
      <c r="P210" s="870">
        <v>31488</v>
      </c>
      <c r="Q210" s="870">
        <v>60398</v>
      </c>
      <c r="R210" s="870">
        <v>51</v>
      </c>
      <c r="S210" s="870">
        <v>1073</v>
      </c>
      <c r="T210" s="870">
        <v>39250</v>
      </c>
      <c r="U210" s="870">
        <v>77495</v>
      </c>
      <c r="V210" s="870">
        <v>2</v>
      </c>
      <c r="W210" s="870">
        <v>1197</v>
      </c>
      <c r="X210" s="870">
        <v>6</v>
      </c>
      <c r="Y210" s="870">
        <v>705</v>
      </c>
      <c r="Z210" s="870">
        <v>1913</v>
      </c>
      <c r="AA210" s="870">
        <v>22516</v>
      </c>
      <c r="AB210" s="870">
        <v>1836</v>
      </c>
      <c r="AC210" s="870">
        <v>19960</v>
      </c>
      <c r="AD210" s="858">
        <f t="shared" si="35"/>
        <v>114996</v>
      </c>
      <c r="AE210" s="858">
        <f t="shared" si="36"/>
        <v>465656</v>
      </c>
      <c r="AF210" s="858">
        <f t="shared" ref="AF210:AF237" si="40">SUM(D210+H210+L210+P210+T210+X210+AB210)</f>
        <v>134622</v>
      </c>
      <c r="AG210" s="861">
        <f t="shared" si="37"/>
        <v>17.100000000000001</v>
      </c>
      <c r="AH210" s="858">
        <f t="shared" si="38"/>
        <v>460043</v>
      </c>
      <c r="AI210" s="861">
        <f t="shared" si="39"/>
        <v>-1.2</v>
      </c>
    </row>
    <row r="211" spans="1:35" s="846" customFormat="1" ht="19.5" hidden="1" customHeight="1">
      <c r="A211" s="863" t="s">
        <v>52</v>
      </c>
      <c r="B211" s="870">
        <v>5095</v>
      </c>
      <c r="C211" s="870">
        <v>34792</v>
      </c>
      <c r="D211" s="870">
        <v>4944</v>
      </c>
      <c r="E211" s="870">
        <v>30454</v>
      </c>
      <c r="F211" s="870">
        <v>1228</v>
      </c>
      <c r="G211" s="870">
        <v>13445</v>
      </c>
      <c r="H211" s="870">
        <v>398</v>
      </c>
      <c r="I211" s="870">
        <v>5682</v>
      </c>
      <c r="J211" s="870">
        <v>35427</v>
      </c>
      <c r="K211" s="870">
        <v>103876</v>
      </c>
      <c r="L211" s="870">
        <v>26439</v>
      </c>
      <c r="M211" s="870">
        <v>69903</v>
      </c>
      <c r="N211" s="870">
        <v>39654</v>
      </c>
      <c r="O211" s="870">
        <v>85910</v>
      </c>
      <c r="P211" s="870">
        <v>35816</v>
      </c>
      <c r="Q211" s="870">
        <v>71632</v>
      </c>
      <c r="R211" s="870">
        <v>52531</v>
      </c>
      <c r="S211" s="870">
        <v>156832</v>
      </c>
      <c r="T211" s="870">
        <v>36659</v>
      </c>
      <c r="U211" s="870">
        <v>85683</v>
      </c>
      <c r="V211" s="870">
        <v>150</v>
      </c>
      <c r="W211" s="870">
        <v>155</v>
      </c>
      <c r="X211" s="870">
        <v>2</v>
      </c>
      <c r="Y211" s="870">
        <v>55</v>
      </c>
      <c r="Z211" s="870">
        <v>15890</v>
      </c>
      <c r="AA211" s="870">
        <v>6097</v>
      </c>
      <c r="AB211" s="870">
        <v>590</v>
      </c>
      <c r="AC211" s="870">
        <v>2361</v>
      </c>
      <c r="AD211" s="858">
        <f t="shared" si="35"/>
        <v>149975</v>
      </c>
      <c r="AE211" s="858">
        <f t="shared" si="36"/>
        <v>401107</v>
      </c>
      <c r="AF211" s="858">
        <f t="shared" si="40"/>
        <v>104848</v>
      </c>
      <c r="AG211" s="861">
        <f t="shared" si="37"/>
        <v>-30.1</v>
      </c>
      <c r="AH211" s="858">
        <f t="shared" si="38"/>
        <v>265770</v>
      </c>
      <c r="AI211" s="861">
        <f t="shared" si="39"/>
        <v>-33.700000000000003</v>
      </c>
    </row>
    <row r="212" spans="1:35" s="846" customFormat="1" ht="19.5" hidden="1" customHeight="1">
      <c r="A212" s="863" t="s">
        <v>54</v>
      </c>
      <c r="B212" s="870">
        <v>14555</v>
      </c>
      <c r="C212" s="870">
        <v>108061</v>
      </c>
      <c r="D212" s="870">
        <v>12209</v>
      </c>
      <c r="E212" s="870">
        <v>81806</v>
      </c>
      <c r="F212" s="870">
        <v>4111</v>
      </c>
      <c r="G212" s="870">
        <v>18992</v>
      </c>
      <c r="H212" s="870">
        <v>3281</v>
      </c>
      <c r="I212" s="870">
        <v>19637</v>
      </c>
      <c r="J212" s="870">
        <v>34840</v>
      </c>
      <c r="K212" s="870">
        <v>139502</v>
      </c>
      <c r="L212" s="870">
        <v>31688</v>
      </c>
      <c r="M212" s="870">
        <v>132157</v>
      </c>
      <c r="N212" s="870">
        <v>4391</v>
      </c>
      <c r="O212" s="870">
        <v>9374</v>
      </c>
      <c r="P212" s="870">
        <v>3451</v>
      </c>
      <c r="Q212" s="870">
        <v>6775</v>
      </c>
      <c r="R212" s="870">
        <v>1406</v>
      </c>
      <c r="S212" s="870">
        <v>4386</v>
      </c>
      <c r="T212" s="870">
        <v>1052</v>
      </c>
      <c r="U212" s="870">
        <v>2619</v>
      </c>
      <c r="V212" s="870">
        <v>81</v>
      </c>
      <c r="W212" s="870">
        <v>898</v>
      </c>
      <c r="X212" s="870">
        <v>100</v>
      </c>
      <c r="Y212" s="870">
        <v>1158</v>
      </c>
      <c r="Z212" s="870">
        <v>1178</v>
      </c>
      <c r="AA212" s="870">
        <v>33247</v>
      </c>
      <c r="AB212" s="870">
        <v>813</v>
      </c>
      <c r="AC212" s="870">
        <v>19443</v>
      </c>
      <c r="AD212" s="858">
        <f t="shared" si="35"/>
        <v>60562</v>
      </c>
      <c r="AE212" s="858">
        <f t="shared" si="36"/>
        <v>314460</v>
      </c>
      <c r="AF212" s="858">
        <f t="shared" si="40"/>
        <v>52594</v>
      </c>
      <c r="AG212" s="861">
        <f t="shared" si="37"/>
        <v>-13.2</v>
      </c>
      <c r="AH212" s="858">
        <f t="shared" si="38"/>
        <v>263595</v>
      </c>
      <c r="AI212" s="861">
        <f t="shared" si="39"/>
        <v>-16.2</v>
      </c>
    </row>
    <row r="213" spans="1:35" s="846" customFormat="1" ht="19.5" hidden="1" customHeight="1">
      <c r="A213" s="863" t="s">
        <v>56</v>
      </c>
      <c r="B213" s="870">
        <v>43766</v>
      </c>
      <c r="C213" s="870">
        <v>186839</v>
      </c>
      <c r="D213" s="870">
        <v>34238</v>
      </c>
      <c r="E213" s="870">
        <v>133882</v>
      </c>
      <c r="F213" s="870">
        <v>50</v>
      </c>
      <c r="G213" s="870">
        <v>1393</v>
      </c>
      <c r="H213" s="870">
        <v>69</v>
      </c>
      <c r="I213" s="870">
        <v>1383</v>
      </c>
      <c r="J213" s="870">
        <v>10850</v>
      </c>
      <c r="K213" s="870">
        <v>41018</v>
      </c>
      <c r="L213" s="870">
        <v>8513</v>
      </c>
      <c r="M213" s="870">
        <v>29106</v>
      </c>
      <c r="N213" s="870">
        <v>5103</v>
      </c>
      <c r="O213" s="870">
        <v>10834</v>
      </c>
      <c r="P213" s="870">
        <v>1573</v>
      </c>
      <c r="Q213" s="870">
        <v>3068</v>
      </c>
      <c r="R213" s="870">
        <v>6421</v>
      </c>
      <c r="S213" s="870">
        <v>18781</v>
      </c>
      <c r="T213" s="870">
        <v>7742</v>
      </c>
      <c r="U213" s="870">
        <v>18114</v>
      </c>
      <c r="V213" s="870">
        <v>5</v>
      </c>
      <c r="W213" s="870">
        <v>169</v>
      </c>
      <c r="X213" s="870">
        <v>12</v>
      </c>
      <c r="Y213" s="870">
        <v>222</v>
      </c>
      <c r="Z213" s="870">
        <v>32558</v>
      </c>
      <c r="AA213" s="870">
        <v>7276</v>
      </c>
      <c r="AB213" s="870">
        <v>679</v>
      </c>
      <c r="AC213" s="870">
        <v>5016</v>
      </c>
      <c r="AD213" s="858">
        <f t="shared" si="35"/>
        <v>98753</v>
      </c>
      <c r="AE213" s="858">
        <f t="shared" si="36"/>
        <v>266310</v>
      </c>
      <c r="AF213" s="858">
        <f t="shared" si="40"/>
        <v>52826</v>
      </c>
      <c r="AG213" s="861">
        <f t="shared" si="37"/>
        <v>-46.5</v>
      </c>
      <c r="AH213" s="858">
        <f t="shared" si="38"/>
        <v>190791</v>
      </c>
      <c r="AI213" s="861">
        <f t="shared" si="39"/>
        <v>-28.4</v>
      </c>
    </row>
    <row r="214" spans="1:35" s="846" customFormat="1" ht="19.5" hidden="1" customHeight="1">
      <c r="A214" s="863" t="s">
        <v>57</v>
      </c>
      <c r="B214" s="870">
        <v>27547</v>
      </c>
      <c r="C214" s="870">
        <v>212834</v>
      </c>
      <c r="D214" s="870">
        <v>14690</v>
      </c>
      <c r="E214" s="870">
        <v>128958</v>
      </c>
      <c r="F214" s="870">
        <v>12</v>
      </c>
      <c r="G214" s="870">
        <v>663</v>
      </c>
      <c r="H214" s="870">
        <v>129</v>
      </c>
      <c r="I214" s="870">
        <v>2100</v>
      </c>
      <c r="J214" s="870">
        <v>8557</v>
      </c>
      <c r="K214" s="870">
        <v>47676</v>
      </c>
      <c r="L214" s="870">
        <v>5588</v>
      </c>
      <c r="M214" s="870">
        <v>33217</v>
      </c>
      <c r="N214" s="870">
        <v>1289</v>
      </c>
      <c r="O214" s="870">
        <v>2872</v>
      </c>
      <c r="P214" s="870">
        <v>1026</v>
      </c>
      <c r="Q214" s="870">
        <v>2019</v>
      </c>
      <c r="R214" s="870">
        <v>23493</v>
      </c>
      <c r="S214" s="870">
        <v>58821</v>
      </c>
      <c r="T214" s="870">
        <v>24274</v>
      </c>
      <c r="U214" s="870">
        <v>49598</v>
      </c>
      <c r="V214" s="870">
        <v>101</v>
      </c>
      <c r="W214" s="870">
        <v>4270</v>
      </c>
      <c r="X214" s="870">
        <v>98</v>
      </c>
      <c r="Y214" s="870">
        <v>4784</v>
      </c>
      <c r="Z214" s="870">
        <v>206</v>
      </c>
      <c r="AA214" s="870">
        <v>5136</v>
      </c>
      <c r="AB214" s="870">
        <v>201</v>
      </c>
      <c r="AC214" s="870">
        <v>5969</v>
      </c>
      <c r="AD214" s="858">
        <f t="shared" si="35"/>
        <v>61205</v>
      </c>
      <c r="AE214" s="858">
        <f t="shared" si="36"/>
        <v>332272</v>
      </c>
      <c r="AF214" s="858">
        <f t="shared" si="40"/>
        <v>46006</v>
      </c>
      <c r="AG214" s="861">
        <f t="shared" si="37"/>
        <v>-24.8</v>
      </c>
      <c r="AH214" s="858">
        <f t="shared" si="38"/>
        <v>226645</v>
      </c>
      <c r="AI214" s="861">
        <f t="shared" si="39"/>
        <v>-31.8</v>
      </c>
    </row>
    <row r="215" spans="1:35" s="846" customFormat="1" ht="19.5" hidden="1" customHeight="1">
      <c r="A215" s="863" t="s">
        <v>55</v>
      </c>
      <c r="B215" s="870">
        <v>12108</v>
      </c>
      <c r="C215" s="870">
        <v>70592</v>
      </c>
      <c r="D215" s="870">
        <v>11548</v>
      </c>
      <c r="E215" s="870">
        <v>64892</v>
      </c>
      <c r="F215" s="870">
        <v>47</v>
      </c>
      <c r="G215" s="870">
        <v>449</v>
      </c>
      <c r="H215" s="870">
        <v>22</v>
      </c>
      <c r="I215" s="870">
        <v>407</v>
      </c>
      <c r="J215" s="870">
        <v>25482</v>
      </c>
      <c r="K215" s="870">
        <v>78121</v>
      </c>
      <c r="L215" s="870">
        <v>22309</v>
      </c>
      <c r="M215" s="870">
        <v>66101</v>
      </c>
      <c r="N215" s="870">
        <v>14242</v>
      </c>
      <c r="O215" s="870">
        <v>29736</v>
      </c>
      <c r="P215" s="870">
        <v>10096</v>
      </c>
      <c r="Q215" s="870">
        <v>19553</v>
      </c>
      <c r="R215" s="870">
        <v>12123</v>
      </c>
      <c r="S215" s="870">
        <v>36145</v>
      </c>
      <c r="T215" s="870">
        <v>13780</v>
      </c>
      <c r="U215" s="870">
        <v>32614</v>
      </c>
      <c r="V215" s="870">
        <v>47</v>
      </c>
      <c r="W215" s="870">
        <v>1174</v>
      </c>
      <c r="X215" s="870">
        <v>49</v>
      </c>
      <c r="Y215" s="870">
        <v>1099</v>
      </c>
      <c r="Z215" s="870">
        <v>69</v>
      </c>
      <c r="AA215" s="870">
        <v>920</v>
      </c>
      <c r="AB215" s="870">
        <v>150</v>
      </c>
      <c r="AC215" s="870">
        <v>1056</v>
      </c>
      <c r="AD215" s="858">
        <f t="shared" si="35"/>
        <v>64118</v>
      </c>
      <c r="AE215" s="858">
        <f t="shared" si="36"/>
        <v>217137</v>
      </c>
      <c r="AF215" s="858">
        <f t="shared" si="40"/>
        <v>57954</v>
      </c>
      <c r="AG215" s="861">
        <f t="shared" si="37"/>
        <v>-9.6</v>
      </c>
      <c r="AH215" s="858">
        <f t="shared" si="38"/>
        <v>185722</v>
      </c>
      <c r="AI215" s="861">
        <f t="shared" si="39"/>
        <v>-14.5</v>
      </c>
    </row>
    <row r="216" spans="1:35" s="846" customFormat="1" ht="19.5" hidden="1" customHeight="1">
      <c r="A216" s="863" t="s">
        <v>59</v>
      </c>
      <c r="B216" s="870">
        <v>19603</v>
      </c>
      <c r="C216" s="870">
        <v>129877</v>
      </c>
      <c r="D216" s="870">
        <v>14804</v>
      </c>
      <c r="E216" s="870">
        <v>87713</v>
      </c>
      <c r="F216" s="870">
        <v>41</v>
      </c>
      <c r="G216" s="870">
        <v>3024</v>
      </c>
      <c r="H216" s="870">
        <v>54</v>
      </c>
      <c r="I216" s="870">
        <v>2250</v>
      </c>
      <c r="J216" s="870">
        <v>4333</v>
      </c>
      <c r="K216" s="870">
        <v>18042</v>
      </c>
      <c r="L216" s="870">
        <v>4556</v>
      </c>
      <c r="M216" s="870">
        <v>20416</v>
      </c>
      <c r="N216" s="870">
        <v>0</v>
      </c>
      <c r="O216" s="870">
        <v>3</v>
      </c>
      <c r="P216" s="870">
        <v>24</v>
      </c>
      <c r="Q216" s="870">
        <v>623</v>
      </c>
      <c r="R216" s="870">
        <v>2071</v>
      </c>
      <c r="S216" s="870">
        <v>6278</v>
      </c>
      <c r="T216" s="870">
        <v>1198</v>
      </c>
      <c r="U216" s="870">
        <v>2825</v>
      </c>
      <c r="V216" s="870">
        <v>123</v>
      </c>
      <c r="W216" s="870">
        <v>3890</v>
      </c>
      <c r="X216" s="870">
        <v>147</v>
      </c>
      <c r="Y216" s="870">
        <v>3544</v>
      </c>
      <c r="Z216" s="870">
        <v>104</v>
      </c>
      <c r="AA216" s="870">
        <v>167</v>
      </c>
      <c r="AB216" s="870">
        <v>3</v>
      </c>
      <c r="AC216" s="870">
        <v>153</v>
      </c>
      <c r="AD216" s="858">
        <f t="shared" si="35"/>
        <v>26275</v>
      </c>
      <c r="AE216" s="858">
        <f t="shared" si="36"/>
        <v>161281</v>
      </c>
      <c r="AF216" s="858">
        <f t="shared" si="40"/>
        <v>20786</v>
      </c>
      <c r="AG216" s="861">
        <f t="shared" si="37"/>
        <v>-20.9</v>
      </c>
      <c r="AH216" s="858">
        <f t="shared" si="38"/>
        <v>117524</v>
      </c>
      <c r="AI216" s="861">
        <f t="shared" si="39"/>
        <v>-27.1</v>
      </c>
    </row>
    <row r="217" spans="1:35" s="846" customFormat="1" ht="19.5" hidden="1" customHeight="1">
      <c r="A217" s="863" t="s">
        <v>58</v>
      </c>
      <c r="B217" s="870">
        <v>3755</v>
      </c>
      <c r="C217" s="870">
        <v>24656</v>
      </c>
      <c r="D217" s="870">
        <v>4952</v>
      </c>
      <c r="E217" s="870">
        <v>30396</v>
      </c>
      <c r="F217" s="870">
        <v>39</v>
      </c>
      <c r="G217" s="870">
        <v>630</v>
      </c>
      <c r="H217" s="870">
        <v>54</v>
      </c>
      <c r="I217" s="870">
        <v>852</v>
      </c>
      <c r="J217" s="870">
        <v>13286</v>
      </c>
      <c r="K217" s="870">
        <v>42638</v>
      </c>
      <c r="L217" s="870">
        <v>8719</v>
      </c>
      <c r="M217" s="870">
        <v>27807</v>
      </c>
      <c r="N217" s="870">
        <v>12415</v>
      </c>
      <c r="O217" s="870">
        <v>26606</v>
      </c>
      <c r="P217" s="870">
        <v>11462</v>
      </c>
      <c r="Q217" s="870">
        <v>22189</v>
      </c>
      <c r="R217" s="870">
        <v>15567</v>
      </c>
      <c r="S217" s="870">
        <v>44984</v>
      </c>
      <c r="T217" s="870">
        <v>16674</v>
      </c>
      <c r="U217" s="870">
        <v>38186</v>
      </c>
      <c r="V217" s="870">
        <v>16</v>
      </c>
      <c r="W217" s="870">
        <v>407</v>
      </c>
      <c r="X217" s="870">
        <v>15</v>
      </c>
      <c r="Y217" s="870">
        <v>382</v>
      </c>
      <c r="Z217" s="870">
        <v>13</v>
      </c>
      <c r="AA217" s="870">
        <v>329</v>
      </c>
      <c r="AB217" s="870">
        <v>0</v>
      </c>
      <c r="AC217" s="870">
        <v>18</v>
      </c>
      <c r="AD217" s="858">
        <f t="shared" si="35"/>
        <v>45091</v>
      </c>
      <c r="AE217" s="858">
        <f t="shared" si="36"/>
        <v>140250</v>
      </c>
      <c r="AF217" s="858">
        <f t="shared" si="40"/>
        <v>41876</v>
      </c>
      <c r="AG217" s="861">
        <f t="shared" si="37"/>
        <v>-7.1</v>
      </c>
      <c r="AH217" s="858">
        <f t="shared" si="38"/>
        <v>119830</v>
      </c>
      <c r="AI217" s="861">
        <f t="shared" si="39"/>
        <v>-14.6</v>
      </c>
    </row>
    <row r="218" spans="1:35" s="846" customFormat="1" ht="19.5" hidden="1" customHeight="1">
      <c r="A218" s="863" t="s">
        <v>61</v>
      </c>
      <c r="B218" s="870">
        <v>7946</v>
      </c>
      <c r="C218" s="870">
        <v>52620</v>
      </c>
      <c r="D218" s="870">
        <v>6984</v>
      </c>
      <c r="E218" s="870">
        <v>42973</v>
      </c>
      <c r="F218" s="870">
        <v>7</v>
      </c>
      <c r="G218" s="870">
        <v>71</v>
      </c>
      <c r="H218" s="870">
        <v>3</v>
      </c>
      <c r="I218" s="870">
        <v>31</v>
      </c>
      <c r="J218" s="870">
        <v>20287</v>
      </c>
      <c r="K218" s="870">
        <v>59510</v>
      </c>
      <c r="L218" s="870">
        <v>21999</v>
      </c>
      <c r="M218" s="870">
        <v>59792</v>
      </c>
      <c r="N218" s="870">
        <v>904</v>
      </c>
      <c r="O218" s="870">
        <v>4197</v>
      </c>
      <c r="P218" s="870">
        <v>1601</v>
      </c>
      <c r="Q218" s="870">
        <v>7652</v>
      </c>
      <c r="R218" s="870">
        <v>5272</v>
      </c>
      <c r="S218" s="870">
        <v>16226</v>
      </c>
      <c r="T218" s="870">
        <v>6568</v>
      </c>
      <c r="U218" s="870">
        <v>15572</v>
      </c>
      <c r="V218" s="870">
        <v>0</v>
      </c>
      <c r="W218" s="870">
        <v>0</v>
      </c>
      <c r="X218" s="870">
        <v>0</v>
      </c>
      <c r="Y218" s="870">
        <v>0</v>
      </c>
      <c r="Z218" s="870">
        <v>18</v>
      </c>
      <c r="AA218" s="870">
        <v>269</v>
      </c>
      <c r="AB218" s="870">
        <v>22</v>
      </c>
      <c r="AC218" s="870">
        <v>491</v>
      </c>
      <c r="AD218" s="858">
        <f t="shared" si="35"/>
        <v>34434</v>
      </c>
      <c r="AE218" s="858">
        <f t="shared" si="36"/>
        <v>132893</v>
      </c>
      <c r="AF218" s="858">
        <f t="shared" si="40"/>
        <v>37177</v>
      </c>
      <c r="AG218" s="861">
        <f t="shared" si="37"/>
        <v>8</v>
      </c>
      <c r="AH218" s="858">
        <f t="shared" si="38"/>
        <v>126511</v>
      </c>
      <c r="AI218" s="861">
        <f t="shared" si="39"/>
        <v>-4.8</v>
      </c>
    </row>
    <row r="219" spans="1:35" s="846" customFormat="1" ht="19.5" hidden="1" customHeight="1">
      <c r="A219" s="863" t="s">
        <v>60</v>
      </c>
      <c r="B219" s="870">
        <v>7736</v>
      </c>
      <c r="C219" s="870">
        <v>50165</v>
      </c>
      <c r="D219" s="870">
        <v>6992</v>
      </c>
      <c r="E219" s="870">
        <v>37039</v>
      </c>
      <c r="F219" s="870">
        <v>1</v>
      </c>
      <c r="G219" s="870">
        <v>102</v>
      </c>
      <c r="H219" s="870">
        <v>154</v>
      </c>
      <c r="I219" s="870">
        <v>698</v>
      </c>
      <c r="J219" s="870">
        <v>1964</v>
      </c>
      <c r="K219" s="870">
        <v>11397</v>
      </c>
      <c r="L219" s="870">
        <v>1922</v>
      </c>
      <c r="M219" s="870">
        <v>12098</v>
      </c>
      <c r="N219" s="870">
        <v>3</v>
      </c>
      <c r="O219" s="870">
        <v>7</v>
      </c>
      <c r="P219" s="870">
        <v>46</v>
      </c>
      <c r="Q219" s="870">
        <v>145</v>
      </c>
      <c r="R219" s="870">
        <v>15432</v>
      </c>
      <c r="S219" s="870">
        <v>45719</v>
      </c>
      <c r="T219" s="870">
        <v>7215</v>
      </c>
      <c r="U219" s="870">
        <v>16046</v>
      </c>
      <c r="V219" s="870">
        <v>3</v>
      </c>
      <c r="W219" s="870">
        <v>70</v>
      </c>
      <c r="X219" s="870">
        <v>1</v>
      </c>
      <c r="Y219" s="870">
        <v>14</v>
      </c>
      <c r="Z219" s="870">
        <v>535</v>
      </c>
      <c r="AA219" s="870">
        <v>3398</v>
      </c>
      <c r="AB219" s="870">
        <v>616</v>
      </c>
      <c r="AC219" s="870">
        <v>3139</v>
      </c>
      <c r="AD219" s="858">
        <f t="shared" si="35"/>
        <v>25674</v>
      </c>
      <c r="AE219" s="858">
        <f t="shared" si="36"/>
        <v>110858</v>
      </c>
      <c r="AF219" s="858">
        <f t="shared" si="40"/>
        <v>16946</v>
      </c>
      <c r="AG219" s="861">
        <f t="shared" si="37"/>
        <v>-34</v>
      </c>
      <c r="AH219" s="858">
        <f t="shared" si="38"/>
        <v>69179</v>
      </c>
      <c r="AI219" s="861">
        <f t="shared" si="39"/>
        <v>-37.6</v>
      </c>
    </row>
    <row r="220" spans="1:35" s="846" customFormat="1" ht="19.5" hidden="1" customHeight="1">
      <c r="A220" s="863" t="s">
        <v>65</v>
      </c>
      <c r="B220" s="870">
        <v>2903</v>
      </c>
      <c r="C220" s="870">
        <v>20343</v>
      </c>
      <c r="D220" s="870">
        <v>620</v>
      </c>
      <c r="E220" s="870">
        <v>4264</v>
      </c>
      <c r="F220" s="870">
        <v>0</v>
      </c>
      <c r="G220" s="870">
        <v>7</v>
      </c>
      <c r="H220" s="870">
        <v>1</v>
      </c>
      <c r="I220" s="870">
        <v>10</v>
      </c>
      <c r="J220" s="870">
        <v>26895</v>
      </c>
      <c r="K220" s="870">
        <v>74642</v>
      </c>
      <c r="L220" s="870">
        <v>24252</v>
      </c>
      <c r="M220" s="870">
        <v>65127</v>
      </c>
      <c r="N220" s="870">
        <v>1</v>
      </c>
      <c r="O220" s="870">
        <v>8</v>
      </c>
      <c r="P220" s="870">
        <v>0</v>
      </c>
      <c r="Q220" s="870">
        <v>0</v>
      </c>
      <c r="R220" s="870">
        <v>22</v>
      </c>
      <c r="S220" s="870">
        <v>212</v>
      </c>
      <c r="T220" s="870">
        <v>22</v>
      </c>
      <c r="U220" s="870">
        <v>224</v>
      </c>
      <c r="V220" s="870">
        <v>3</v>
      </c>
      <c r="W220" s="870">
        <v>103</v>
      </c>
      <c r="X220" s="870">
        <v>1</v>
      </c>
      <c r="Y220" s="870">
        <v>37</v>
      </c>
      <c r="Z220" s="870">
        <v>1</v>
      </c>
      <c r="AA220" s="870">
        <v>81</v>
      </c>
      <c r="AB220" s="870">
        <v>0</v>
      </c>
      <c r="AC220" s="870">
        <v>43</v>
      </c>
      <c r="AD220" s="858">
        <f t="shared" si="35"/>
        <v>29825</v>
      </c>
      <c r="AE220" s="858">
        <f t="shared" si="36"/>
        <v>95396</v>
      </c>
      <c r="AF220" s="858">
        <f t="shared" si="40"/>
        <v>24896</v>
      </c>
      <c r="AG220" s="861">
        <f t="shared" si="37"/>
        <v>-16.5</v>
      </c>
      <c r="AH220" s="858">
        <f t="shared" si="38"/>
        <v>69705</v>
      </c>
      <c r="AI220" s="861">
        <f t="shared" si="39"/>
        <v>-26.9</v>
      </c>
    </row>
    <row r="221" spans="1:35" s="846" customFormat="1" ht="19.5" hidden="1" customHeight="1">
      <c r="A221" s="863" t="s">
        <v>63</v>
      </c>
      <c r="B221" s="870">
        <v>919</v>
      </c>
      <c r="C221" s="870">
        <v>7152</v>
      </c>
      <c r="D221" s="870">
        <v>871</v>
      </c>
      <c r="E221" s="870">
        <v>6539</v>
      </c>
      <c r="F221" s="870">
        <v>18</v>
      </c>
      <c r="G221" s="870">
        <v>1323</v>
      </c>
      <c r="H221" s="870">
        <v>15</v>
      </c>
      <c r="I221" s="870">
        <v>313</v>
      </c>
      <c r="J221" s="870">
        <v>11564</v>
      </c>
      <c r="K221" s="870">
        <v>31205</v>
      </c>
      <c r="L221" s="870">
        <v>16437</v>
      </c>
      <c r="M221" s="870">
        <v>34478</v>
      </c>
      <c r="N221" s="870">
        <v>0</v>
      </c>
      <c r="O221" s="870">
        <v>0</v>
      </c>
      <c r="P221" s="870">
        <v>16</v>
      </c>
      <c r="Q221" s="870">
        <v>32</v>
      </c>
      <c r="R221" s="870">
        <v>5830</v>
      </c>
      <c r="S221" s="870">
        <v>16775</v>
      </c>
      <c r="T221" s="870">
        <v>8171</v>
      </c>
      <c r="U221" s="870">
        <v>18076</v>
      </c>
      <c r="V221" s="870">
        <v>0</v>
      </c>
      <c r="W221" s="870">
        <v>0</v>
      </c>
      <c r="X221" s="870">
        <v>0</v>
      </c>
      <c r="Y221" s="870">
        <v>0</v>
      </c>
      <c r="Z221" s="870">
        <v>0</v>
      </c>
      <c r="AA221" s="870">
        <v>17</v>
      </c>
      <c r="AB221" s="870">
        <v>0</v>
      </c>
      <c r="AC221" s="870">
        <v>13</v>
      </c>
      <c r="AD221" s="858">
        <f t="shared" si="35"/>
        <v>18331</v>
      </c>
      <c r="AE221" s="858">
        <f t="shared" si="36"/>
        <v>56472</v>
      </c>
      <c r="AF221" s="858">
        <f t="shared" si="40"/>
        <v>25510</v>
      </c>
      <c r="AG221" s="861">
        <f t="shared" si="37"/>
        <v>39.200000000000003</v>
      </c>
      <c r="AH221" s="858">
        <f t="shared" si="38"/>
        <v>59451</v>
      </c>
      <c r="AI221" s="861">
        <f t="shared" si="39"/>
        <v>5.3</v>
      </c>
    </row>
    <row r="222" spans="1:35" s="846" customFormat="1" ht="19.5" hidden="1" customHeight="1">
      <c r="A222" s="863" t="s">
        <v>64</v>
      </c>
      <c r="B222" s="870">
        <v>1267</v>
      </c>
      <c r="C222" s="870">
        <v>9524</v>
      </c>
      <c r="D222" s="870">
        <v>1138</v>
      </c>
      <c r="E222" s="870">
        <v>8064</v>
      </c>
      <c r="F222" s="870">
        <v>8</v>
      </c>
      <c r="G222" s="870">
        <v>739</v>
      </c>
      <c r="H222" s="870">
        <v>12</v>
      </c>
      <c r="I222" s="870">
        <v>1202</v>
      </c>
      <c r="J222" s="870">
        <v>6553</v>
      </c>
      <c r="K222" s="870">
        <v>18271</v>
      </c>
      <c r="L222" s="870">
        <v>8714</v>
      </c>
      <c r="M222" s="870">
        <v>21780</v>
      </c>
      <c r="N222" s="870">
        <v>45</v>
      </c>
      <c r="O222" s="870">
        <v>88</v>
      </c>
      <c r="P222" s="870">
        <v>50</v>
      </c>
      <c r="Q222" s="870">
        <v>89</v>
      </c>
      <c r="R222" s="870">
        <v>10375</v>
      </c>
      <c r="S222" s="870">
        <v>28766</v>
      </c>
      <c r="T222" s="870">
        <v>7437</v>
      </c>
      <c r="U222" s="870">
        <v>16243</v>
      </c>
      <c r="V222" s="870">
        <v>136</v>
      </c>
      <c r="W222" s="870">
        <v>890</v>
      </c>
      <c r="X222" s="870">
        <v>98</v>
      </c>
      <c r="Y222" s="870">
        <v>549</v>
      </c>
      <c r="Z222" s="870">
        <v>16</v>
      </c>
      <c r="AA222" s="870">
        <v>192</v>
      </c>
      <c r="AB222" s="870">
        <v>0</v>
      </c>
      <c r="AC222" s="870">
        <v>29</v>
      </c>
      <c r="AD222" s="858">
        <f t="shared" si="35"/>
        <v>18400</v>
      </c>
      <c r="AE222" s="858">
        <f t="shared" si="36"/>
        <v>58470</v>
      </c>
      <c r="AF222" s="858">
        <f t="shared" si="40"/>
        <v>17449</v>
      </c>
      <c r="AG222" s="861">
        <f t="shared" si="37"/>
        <v>-5.2</v>
      </c>
      <c r="AH222" s="858">
        <f t="shared" si="38"/>
        <v>47956</v>
      </c>
      <c r="AI222" s="861">
        <f t="shared" si="39"/>
        <v>-18</v>
      </c>
    </row>
    <row r="223" spans="1:35" s="846" customFormat="1" ht="19.5" hidden="1" customHeight="1">
      <c r="A223" s="863" t="s">
        <v>62</v>
      </c>
      <c r="B223" s="870">
        <v>2101</v>
      </c>
      <c r="C223" s="870">
        <v>13326</v>
      </c>
      <c r="D223" s="870">
        <v>1308</v>
      </c>
      <c r="E223" s="870">
        <v>7496</v>
      </c>
      <c r="F223" s="870">
        <v>0</v>
      </c>
      <c r="G223" s="870">
        <v>0</v>
      </c>
      <c r="H223" s="870">
        <v>0</v>
      </c>
      <c r="I223" s="870">
        <v>0</v>
      </c>
      <c r="J223" s="870">
        <v>2594</v>
      </c>
      <c r="K223" s="870">
        <v>11993</v>
      </c>
      <c r="L223" s="870">
        <v>3014</v>
      </c>
      <c r="M223" s="870">
        <v>11176</v>
      </c>
      <c r="N223" s="870">
        <v>1337</v>
      </c>
      <c r="O223" s="870">
        <v>2832</v>
      </c>
      <c r="P223" s="870">
        <v>2412</v>
      </c>
      <c r="Q223" s="870">
        <v>4581</v>
      </c>
      <c r="R223" s="870">
        <v>7950</v>
      </c>
      <c r="S223" s="870">
        <v>23149</v>
      </c>
      <c r="T223" s="870">
        <v>7582</v>
      </c>
      <c r="U223" s="870">
        <v>17476</v>
      </c>
      <c r="V223" s="870">
        <v>0</v>
      </c>
      <c r="W223" s="870">
        <v>0</v>
      </c>
      <c r="X223" s="870">
        <v>0</v>
      </c>
      <c r="Y223" s="870">
        <v>0</v>
      </c>
      <c r="Z223" s="870">
        <v>15136</v>
      </c>
      <c r="AA223" s="870">
        <v>851</v>
      </c>
      <c r="AB223" s="870">
        <v>0</v>
      </c>
      <c r="AC223" s="870">
        <v>0</v>
      </c>
      <c r="AD223" s="858">
        <f t="shared" si="35"/>
        <v>29118</v>
      </c>
      <c r="AE223" s="858">
        <f t="shared" si="36"/>
        <v>52151</v>
      </c>
      <c r="AF223" s="858">
        <f t="shared" si="40"/>
        <v>14316</v>
      </c>
      <c r="AG223" s="861">
        <f t="shared" si="37"/>
        <v>-50.8</v>
      </c>
      <c r="AH223" s="858">
        <f t="shared" si="38"/>
        <v>40729</v>
      </c>
      <c r="AI223" s="861">
        <f t="shared" si="39"/>
        <v>-21.9</v>
      </c>
    </row>
    <row r="224" spans="1:35" s="846" customFormat="1" ht="19.5" hidden="1" customHeight="1">
      <c r="A224" s="863" t="s">
        <v>448</v>
      </c>
      <c r="B224" s="870">
        <v>789</v>
      </c>
      <c r="C224" s="870">
        <v>12008</v>
      </c>
      <c r="D224" s="870">
        <v>2975</v>
      </c>
      <c r="E224" s="870">
        <v>38783</v>
      </c>
      <c r="F224" s="870">
        <v>20</v>
      </c>
      <c r="G224" s="870">
        <v>1457</v>
      </c>
      <c r="H224" s="870">
        <v>20</v>
      </c>
      <c r="I224" s="870">
        <v>1324</v>
      </c>
      <c r="J224" s="870">
        <v>5639</v>
      </c>
      <c r="K224" s="870">
        <v>33409</v>
      </c>
      <c r="L224" s="870">
        <v>3942</v>
      </c>
      <c r="M224" s="870">
        <v>30567</v>
      </c>
      <c r="N224" s="870">
        <v>13</v>
      </c>
      <c r="O224" s="870">
        <v>2</v>
      </c>
      <c r="P224" s="870">
        <v>5</v>
      </c>
      <c r="Q224" s="870">
        <v>19</v>
      </c>
      <c r="R224" s="870">
        <v>16</v>
      </c>
      <c r="S224" s="870">
        <v>129</v>
      </c>
      <c r="T224" s="870">
        <v>3</v>
      </c>
      <c r="U224" s="870">
        <v>119</v>
      </c>
      <c r="V224" s="870">
        <v>2</v>
      </c>
      <c r="W224" s="870">
        <v>84</v>
      </c>
      <c r="X224" s="870">
        <v>1</v>
      </c>
      <c r="Y224" s="870">
        <v>39</v>
      </c>
      <c r="Z224" s="870">
        <v>1</v>
      </c>
      <c r="AA224" s="870">
        <v>168</v>
      </c>
      <c r="AB224" s="870">
        <v>0</v>
      </c>
      <c r="AC224" s="870">
        <v>13</v>
      </c>
      <c r="AD224" s="858">
        <f t="shared" si="35"/>
        <v>6480</v>
      </c>
      <c r="AE224" s="858">
        <f t="shared" si="36"/>
        <v>47257</v>
      </c>
      <c r="AF224" s="858">
        <f t="shared" si="40"/>
        <v>6946</v>
      </c>
      <c r="AG224" s="861">
        <f t="shared" si="37"/>
        <v>7.2</v>
      </c>
      <c r="AH224" s="858">
        <f t="shared" si="38"/>
        <v>70864</v>
      </c>
      <c r="AI224" s="861">
        <f t="shared" si="39"/>
        <v>50</v>
      </c>
    </row>
    <row r="225" spans="1:35" s="846" customFormat="1" ht="19.5" hidden="1" customHeight="1">
      <c r="A225" s="863" t="s">
        <v>77</v>
      </c>
      <c r="B225" s="870">
        <v>340</v>
      </c>
      <c r="C225" s="870">
        <v>4317</v>
      </c>
      <c r="D225" s="870">
        <v>790</v>
      </c>
      <c r="E225" s="870">
        <v>7740</v>
      </c>
      <c r="F225" s="870">
        <v>0</v>
      </c>
      <c r="G225" s="870">
        <v>25</v>
      </c>
      <c r="H225" s="870">
        <v>1</v>
      </c>
      <c r="I225" s="870">
        <v>71</v>
      </c>
      <c r="J225" s="870">
        <v>16707</v>
      </c>
      <c r="K225" s="870">
        <v>38670</v>
      </c>
      <c r="L225" s="870">
        <v>13704</v>
      </c>
      <c r="M225" s="870">
        <v>30432</v>
      </c>
      <c r="N225" s="870">
        <v>0</v>
      </c>
      <c r="O225" s="870">
        <v>0</v>
      </c>
      <c r="P225" s="870">
        <v>293</v>
      </c>
      <c r="Q225" s="870">
        <v>536</v>
      </c>
      <c r="R225" s="870">
        <v>0</v>
      </c>
      <c r="S225" s="870">
        <v>0</v>
      </c>
      <c r="T225" s="870">
        <v>0</v>
      </c>
      <c r="U225" s="870">
        <v>7</v>
      </c>
      <c r="V225" s="870">
        <v>0</v>
      </c>
      <c r="W225" s="870">
        <v>0</v>
      </c>
      <c r="X225" s="870">
        <v>0</v>
      </c>
      <c r="Y225" s="870">
        <v>0</v>
      </c>
      <c r="Z225" s="870">
        <v>1</v>
      </c>
      <c r="AA225" s="870">
        <v>11</v>
      </c>
      <c r="AB225" s="870">
        <v>1</v>
      </c>
      <c r="AC225" s="870">
        <v>7</v>
      </c>
      <c r="AD225" s="858">
        <f t="shared" si="35"/>
        <v>17048</v>
      </c>
      <c r="AE225" s="858">
        <f t="shared" si="36"/>
        <v>43023</v>
      </c>
      <c r="AF225" s="858">
        <f t="shared" si="40"/>
        <v>14789</v>
      </c>
      <c r="AG225" s="861">
        <f t="shared" si="37"/>
        <v>-13.3</v>
      </c>
      <c r="AH225" s="858">
        <f t="shared" si="38"/>
        <v>38793</v>
      </c>
      <c r="AI225" s="861">
        <f t="shared" si="39"/>
        <v>-9.8000000000000007</v>
      </c>
    </row>
    <row r="226" spans="1:35" s="846" customFormat="1" ht="19.5" hidden="1" customHeight="1">
      <c r="A226" s="863" t="s">
        <v>75</v>
      </c>
      <c r="B226" s="870">
        <v>266</v>
      </c>
      <c r="C226" s="870">
        <v>2341</v>
      </c>
      <c r="D226" s="870">
        <v>1192</v>
      </c>
      <c r="E226" s="870">
        <v>8324</v>
      </c>
      <c r="F226" s="870">
        <v>0</v>
      </c>
      <c r="G226" s="870">
        <v>1</v>
      </c>
      <c r="H226" s="870">
        <v>1</v>
      </c>
      <c r="I226" s="870">
        <v>10</v>
      </c>
      <c r="J226" s="870">
        <v>11548</v>
      </c>
      <c r="K226" s="870">
        <v>30436</v>
      </c>
      <c r="L226" s="870">
        <v>13720</v>
      </c>
      <c r="M226" s="870">
        <v>32640</v>
      </c>
      <c r="N226" s="870">
        <v>0</v>
      </c>
      <c r="O226" s="870">
        <v>0</v>
      </c>
      <c r="P226" s="870">
        <v>0</v>
      </c>
      <c r="Q226" s="870">
        <v>0</v>
      </c>
      <c r="R226" s="870">
        <v>19</v>
      </c>
      <c r="S226" s="870">
        <v>61</v>
      </c>
      <c r="T226" s="870">
        <v>0</v>
      </c>
      <c r="U226" s="870">
        <v>2</v>
      </c>
      <c r="V226" s="870">
        <v>75</v>
      </c>
      <c r="W226" s="870">
        <v>1598</v>
      </c>
      <c r="X226" s="870">
        <v>20</v>
      </c>
      <c r="Y226" s="870">
        <v>299</v>
      </c>
      <c r="Z226" s="870">
        <v>133</v>
      </c>
      <c r="AA226" s="870">
        <v>318</v>
      </c>
      <c r="AB226" s="870">
        <v>16</v>
      </c>
      <c r="AC226" s="870">
        <v>232</v>
      </c>
      <c r="AD226" s="858">
        <f t="shared" si="35"/>
        <v>12041</v>
      </c>
      <c r="AE226" s="858">
        <f t="shared" si="36"/>
        <v>34755</v>
      </c>
      <c r="AF226" s="858">
        <f t="shared" si="40"/>
        <v>14949</v>
      </c>
      <c r="AG226" s="861">
        <f t="shared" si="37"/>
        <v>24.2</v>
      </c>
      <c r="AH226" s="858">
        <f t="shared" si="38"/>
        <v>41507</v>
      </c>
      <c r="AI226" s="861">
        <f t="shared" si="39"/>
        <v>19.399999999999999</v>
      </c>
    </row>
    <row r="227" spans="1:35" s="846" customFormat="1" ht="19.5" hidden="1" customHeight="1">
      <c r="A227" s="863" t="s">
        <v>449</v>
      </c>
      <c r="B227" s="870">
        <v>1520</v>
      </c>
      <c r="C227" s="870">
        <v>18137</v>
      </c>
      <c r="D227" s="870">
        <v>2674</v>
      </c>
      <c r="E227" s="870">
        <v>29923</v>
      </c>
      <c r="F227" s="870">
        <v>0</v>
      </c>
      <c r="G227" s="870">
        <v>0</v>
      </c>
      <c r="H227" s="870">
        <v>1</v>
      </c>
      <c r="I227" s="870">
        <v>0</v>
      </c>
      <c r="J227" s="870">
        <v>706</v>
      </c>
      <c r="K227" s="870">
        <v>5123</v>
      </c>
      <c r="L227" s="870">
        <v>2751</v>
      </c>
      <c r="M227" s="870">
        <v>12488</v>
      </c>
      <c r="N227" s="870">
        <v>0</v>
      </c>
      <c r="O227" s="870">
        <v>0</v>
      </c>
      <c r="P227" s="870">
        <v>0</v>
      </c>
      <c r="Q227" s="870">
        <v>0</v>
      </c>
      <c r="R227" s="870">
        <v>0</v>
      </c>
      <c r="S227" s="870">
        <v>0</v>
      </c>
      <c r="T227" s="870">
        <v>0</v>
      </c>
      <c r="U227" s="870">
        <v>0</v>
      </c>
      <c r="V227" s="870">
        <v>0</v>
      </c>
      <c r="W227" s="870">
        <v>0</v>
      </c>
      <c r="X227" s="870">
        <v>0</v>
      </c>
      <c r="Y227" s="870">
        <v>1</v>
      </c>
      <c r="Z227" s="870">
        <v>0</v>
      </c>
      <c r="AA227" s="870">
        <v>12</v>
      </c>
      <c r="AB227" s="870">
        <v>0</v>
      </c>
      <c r="AC227" s="870">
        <v>30</v>
      </c>
      <c r="AD227" s="858">
        <f t="shared" si="35"/>
        <v>2226</v>
      </c>
      <c r="AE227" s="858">
        <f t="shared" si="36"/>
        <v>23272</v>
      </c>
      <c r="AF227" s="858">
        <f t="shared" si="40"/>
        <v>5426</v>
      </c>
      <c r="AG227" s="861">
        <f t="shared" si="37"/>
        <v>143.80000000000001</v>
      </c>
      <c r="AH227" s="858">
        <f t="shared" si="38"/>
        <v>42442</v>
      </c>
      <c r="AI227" s="861">
        <f t="shared" si="39"/>
        <v>82.4</v>
      </c>
    </row>
    <row r="228" spans="1:35" s="846" customFormat="1" ht="19.5" hidden="1" customHeight="1">
      <c r="A228" s="863" t="s">
        <v>68</v>
      </c>
      <c r="B228" s="870">
        <v>567</v>
      </c>
      <c r="C228" s="870">
        <v>7721</v>
      </c>
      <c r="D228" s="870">
        <v>513</v>
      </c>
      <c r="E228" s="870">
        <v>6496</v>
      </c>
      <c r="F228" s="870">
        <v>77</v>
      </c>
      <c r="G228" s="870">
        <v>942</v>
      </c>
      <c r="H228" s="870">
        <v>206</v>
      </c>
      <c r="I228" s="870">
        <v>828</v>
      </c>
      <c r="J228" s="870">
        <v>3936</v>
      </c>
      <c r="K228" s="870">
        <v>17230</v>
      </c>
      <c r="L228" s="870">
        <v>1269</v>
      </c>
      <c r="M228" s="870">
        <v>6311</v>
      </c>
      <c r="N228" s="870">
        <v>0</v>
      </c>
      <c r="O228" s="870">
        <v>0</v>
      </c>
      <c r="P228" s="870">
        <v>0</v>
      </c>
      <c r="Q228" s="870">
        <v>0</v>
      </c>
      <c r="R228" s="870">
        <v>4</v>
      </c>
      <c r="S228" s="870">
        <v>20</v>
      </c>
      <c r="T228" s="870">
        <v>1</v>
      </c>
      <c r="U228" s="870">
        <v>5</v>
      </c>
      <c r="V228" s="870">
        <v>0</v>
      </c>
      <c r="W228" s="870">
        <v>38</v>
      </c>
      <c r="X228" s="870">
        <v>0</v>
      </c>
      <c r="Y228" s="870">
        <v>18</v>
      </c>
      <c r="Z228" s="870">
        <v>29</v>
      </c>
      <c r="AA228" s="870">
        <v>4654</v>
      </c>
      <c r="AB228" s="870">
        <v>56</v>
      </c>
      <c r="AC228" s="870">
        <v>4101</v>
      </c>
      <c r="AD228" s="858">
        <f t="shared" si="35"/>
        <v>4613</v>
      </c>
      <c r="AE228" s="858">
        <f t="shared" si="36"/>
        <v>30605</v>
      </c>
      <c r="AF228" s="858">
        <f t="shared" si="40"/>
        <v>2045</v>
      </c>
      <c r="AG228" s="861">
        <f t="shared" si="37"/>
        <v>-55.7</v>
      </c>
      <c r="AH228" s="858">
        <f t="shared" si="38"/>
        <v>17759</v>
      </c>
      <c r="AI228" s="861">
        <f t="shared" si="39"/>
        <v>-42</v>
      </c>
    </row>
    <row r="229" spans="1:35" s="846" customFormat="1" ht="19.5" hidden="1" customHeight="1">
      <c r="A229" s="863" t="s">
        <v>66</v>
      </c>
      <c r="B229" s="870">
        <v>2039</v>
      </c>
      <c r="C229" s="870">
        <v>10731</v>
      </c>
      <c r="D229" s="870">
        <v>1422</v>
      </c>
      <c r="E229" s="870">
        <v>10009</v>
      </c>
      <c r="F229" s="870">
        <v>18</v>
      </c>
      <c r="G229" s="870">
        <v>302</v>
      </c>
      <c r="H229" s="870">
        <v>110</v>
      </c>
      <c r="I229" s="870">
        <v>960</v>
      </c>
      <c r="J229" s="870">
        <v>2364</v>
      </c>
      <c r="K229" s="870">
        <v>10012</v>
      </c>
      <c r="L229" s="870">
        <v>1462</v>
      </c>
      <c r="M229" s="870">
        <v>8053</v>
      </c>
      <c r="N229" s="870">
        <v>1</v>
      </c>
      <c r="O229" s="870">
        <v>4</v>
      </c>
      <c r="P229" s="870">
        <v>97</v>
      </c>
      <c r="Q229" s="870">
        <v>134</v>
      </c>
      <c r="R229" s="870">
        <v>1108</v>
      </c>
      <c r="S229" s="870">
        <v>3422</v>
      </c>
      <c r="T229" s="870">
        <v>765</v>
      </c>
      <c r="U229" s="870">
        <v>1868</v>
      </c>
      <c r="V229" s="870">
        <v>17</v>
      </c>
      <c r="W229" s="870">
        <v>327</v>
      </c>
      <c r="X229" s="870">
        <v>0</v>
      </c>
      <c r="Y229" s="870">
        <v>6</v>
      </c>
      <c r="Z229" s="870">
        <v>238</v>
      </c>
      <c r="AA229" s="870">
        <v>1857</v>
      </c>
      <c r="AB229" s="870">
        <v>366</v>
      </c>
      <c r="AC229" s="870">
        <v>1006</v>
      </c>
      <c r="AD229" s="858">
        <f t="shared" si="35"/>
        <v>5785</v>
      </c>
      <c r="AE229" s="858">
        <f t="shared" si="36"/>
        <v>26655</v>
      </c>
      <c r="AF229" s="858">
        <f t="shared" si="40"/>
        <v>4222</v>
      </c>
      <c r="AG229" s="861">
        <f t="shared" si="37"/>
        <v>-27</v>
      </c>
      <c r="AH229" s="858">
        <f t="shared" si="38"/>
        <v>22036</v>
      </c>
      <c r="AI229" s="861">
        <f t="shared" si="39"/>
        <v>-17.3</v>
      </c>
    </row>
    <row r="230" spans="1:35" s="846" customFormat="1" ht="19.5" hidden="1" customHeight="1">
      <c r="A230" s="863" t="s">
        <v>73</v>
      </c>
      <c r="B230" s="870">
        <v>410</v>
      </c>
      <c r="C230" s="870">
        <v>2793</v>
      </c>
      <c r="D230" s="870">
        <v>765</v>
      </c>
      <c r="E230" s="870">
        <v>4116</v>
      </c>
      <c r="F230" s="870">
        <v>4</v>
      </c>
      <c r="G230" s="870">
        <v>238</v>
      </c>
      <c r="H230" s="870">
        <v>19</v>
      </c>
      <c r="I230" s="870">
        <v>204</v>
      </c>
      <c r="J230" s="870">
        <v>7718</v>
      </c>
      <c r="K230" s="870">
        <v>19563</v>
      </c>
      <c r="L230" s="870">
        <v>1186</v>
      </c>
      <c r="M230" s="870">
        <v>6729</v>
      </c>
      <c r="N230" s="870">
        <v>0</v>
      </c>
      <c r="O230" s="870">
        <v>0</v>
      </c>
      <c r="P230" s="870">
        <v>0</v>
      </c>
      <c r="Q230" s="870">
        <v>0</v>
      </c>
      <c r="R230" s="870">
        <v>0</v>
      </c>
      <c r="S230" s="870">
        <v>7</v>
      </c>
      <c r="T230" s="870">
        <v>0</v>
      </c>
      <c r="U230" s="870">
        <v>1</v>
      </c>
      <c r="V230" s="870">
        <v>14</v>
      </c>
      <c r="W230" s="870">
        <v>232</v>
      </c>
      <c r="X230" s="870">
        <v>12</v>
      </c>
      <c r="Y230" s="870">
        <v>147</v>
      </c>
      <c r="Z230" s="870">
        <v>7</v>
      </c>
      <c r="AA230" s="870">
        <v>123</v>
      </c>
      <c r="AB230" s="870">
        <v>23</v>
      </c>
      <c r="AC230" s="870">
        <v>407</v>
      </c>
      <c r="AD230" s="858">
        <f t="shared" si="35"/>
        <v>8153</v>
      </c>
      <c r="AE230" s="858">
        <f t="shared" si="36"/>
        <v>22956</v>
      </c>
      <c r="AF230" s="858">
        <f t="shared" si="40"/>
        <v>2005</v>
      </c>
      <c r="AG230" s="861">
        <f t="shared" si="37"/>
        <v>-75.400000000000006</v>
      </c>
      <c r="AH230" s="858">
        <f t="shared" si="38"/>
        <v>11604</v>
      </c>
      <c r="AI230" s="861">
        <f t="shared" si="39"/>
        <v>-49.5</v>
      </c>
    </row>
    <row r="231" spans="1:35" s="846" customFormat="1" ht="19.5" hidden="1" customHeight="1">
      <c r="A231" s="863" t="s">
        <v>71</v>
      </c>
      <c r="B231" s="870">
        <v>1601</v>
      </c>
      <c r="C231" s="870">
        <v>12626</v>
      </c>
      <c r="D231" s="870">
        <v>1272</v>
      </c>
      <c r="E231" s="870">
        <v>8973</v>
      </c>
      <c r="F231" s="870">
        <v>165</v>
      </c>
      <c r="G231" s="870">
        <v>1693</v>
      </c>
      <c r="H231" s="870">
        <v>97</v>
      </c>
      <c r="I231" s="870">
        <v>442</v>
      </c>
      <c r="J231" s="870">
        <v>2891</v>
      </c>
      <c r="K231" s="870">
        <v>8402</v>
      </c>
      <c r="L231" s="870">
        <v>538</v>
      </c>
      <c r="M231" s="870">
        <v>1832</v>
      </c>
      <c r="N231" s="870">
        <v>0</v>
      </c>
      <c r="O231" s="870">
        <v>0</v>
      </c>
      <c r="P231" s="870">
        <v>0</v>
      </c>
      <c r="Q231" s="870">
        <v>0</v>
      </c>
      <c r="R231" s="870">
        <v>1</v>
      </c>
      <c r="S231" s="870">
        <v>6</v>
      </c>
      <c r="T231" s="870">
        <v>0</v>
      </c>
      <c r="U231" s="870">
        <v>3</v>
      </c>
      <c r="V231" s="870">
        <v>0</v>
      </c>
      <c r="W231" s="870">
        <v>0</v>
      </c>
      <c r="X231" s="870">
        <v>0</v>
      </c>
      <c r="Y231" s="870">
        <v>0</v>
      </c>
      <c r="Z231" s="870">
        <v>183</v>
      </c>
      <c r="AA231" s="870">
        <v>2655</v>
      </c>
      <c r="AB231" s="870">
        <v>76</v>
      </c>
      <c r="AC231" s="870">
        <v>528</v>
      </c>
      <c r="AD231" s="858">
        <f t="shared" si="35"/>
        <v>4841</v>
      </c>
      <c r="AE231" s="858">
        <f t="shared" si="36"/>
        <v>25382</v>
      </c>
      <c r="AF231" s="858">
        <f t="shared" si="40"/>
        <v>1983</v>
      </c>
      <c r="AG231" s="861">
        <f t="shared" si="37"/>
        <v>-59</v>
      </c>
      <c r="AH231" s="858">
        <f t="shared" si="38"/>
        <v>11778</v>
      </c>
      <c r="AI231" s="861">
        <f t="shared" si="39"/>
        <v>-53.6</v>
      </c>
    </row>
    <row r="232" spans="1:35" s="846" customFormat="1" ht="19.5" hidden="1" customHeight="1">
      <c r="A232" s="856" t="s">
        <v>70</v>
      </c>
      <c r="B232" s="870">
        <v>162</v>
      </c>
      <c r="C232" s="870">
        <v>492</v>
      </c>
      <c r="D232" s="870">
        <v>92</v>
      </c>
      <c r="E232" s="870">
        <v>501</v>
      </c>
      <c r="F232" s="870">
        <v>0</v>
      </c>
      <c r="G232" s="870">
        <v>8</v>
      </c>
      <c r="H232" s="870">
        <v>6</v>
      </c>
      <c r="I232" s="870">
        <v>126</v>
      </c>
      <c r="J232" s="870">
        <v>3531</v>
      </c>
      <c r="K232" s="870">
        <v>8791</v>
      </c>
      <c r="L232" s="870">
        <v>4308</v>
      </c>
      <c r="M232" s="870">
        <v>9794</v>
      </c>
      <c r="N232" s="870">
        <v>1</v>
      </c>
      <c r="O232" s="870">
        <v>2</v>
      </c>
      <c r="P232" s="870">
        <v>0</v>
      </c>
      <c r="Q232" s="870">
        <v>0</v>
      </c>
      <c r="R232" s="870">
        <v>5470</v>
      </c>
      <c r="S232" s="870">
        <v>16153</v>
      </c>
      <c r="T232" s="870">
        <v>1522</v>
      </c>
      <c r="U232" s="870">
        <v>3637</v>
      </c>
      <c r="V232" s="870">
        <v>0</v>
      </c>
      <c r="W232" s="870">
        <v>2</v>
      </c>
      <c r="X232" s="870">
        <v>0</v>
      </c>
      <c r="Y232" s="870">
        <v>0</v>
      </c>
      <c r="Z232" s="870">
        <v>20</v>
      </c>
      <c r="AA232" s="870">
        <v>66</v>
      </c>
      <c r="AB232" s="870">
        <v>0</v>
      </c>
      <c r="AC232" s="870">
        <v>2</v>
      </c>
      <c r="AD232" s="858">
        <f t="shared" si="35"/>
        <v>9184</v>
      </c>
      <c r="AE232" s="858">
        <f t="shared" si="36"/>
        <v>25514</v>
      </c>
      <c r="AF232" s="858">
        <f t="shared" si="40"/>
        <v>5928</v>
      </c>
      <c r="AG232" s="861">
        <f t="shared" si="37"/>
        <v>-35.5</v>
      </c>
      <c r="AH232" s="858">
        <f t="shared" si="38"/>
        <v>14060</v>
      </c>
      <c r="AI232" s="861">
        <f t="shared" si="39"/>
        <v>-44.9</v>
      </c>
    </row>
    <row r="233" spans="1:35" s="846" customFormat="1" ht="19.5" hidden="1" customHeight="1">
      <c r="A233" s="863" t="s">
        <v>74</v>
      </c>
      <c r="B233" s="870">
        <v>1213</v>
      </c>
      <c r="C233" s="870">
        <v>10027</v>
      </c>
      <c r="D233" s="870">
        <v>713</v>
      </c>
      <c r="E233" s="870">
        <v>5506</v>
      </c>
      <c r="F233" s="870">
        <v>0</v>
      </c>
      <c r="G233" s="870">
        <v>66</v>
      </c>
      <c r="H233" s="870">
        <v>0</v>
      </c>
      <c r="I233" s="870">
        <v>21</v>
      </c>
      <c r="J233" s="870">
        <v>4713</v>
      </c>
      <c r="K233" s="870">
        <v>12653</v>
      </c>
      <c r="L233" s="870">
        <v>3494</v>
      </c>
      <c r="M233" s="870">
        <v>8644</v>
      </c>
      <c r="N233" s="870">
        <v>0</v>
      </c>
      <c r="O233" s="870">
        <v>0</v>
      </c>
      <c r="P233" s="870">
        <v>0</v>
      </c>
      <c r="Q233" s="870">
        <v>0</v>
      </c>
      <c r="R233" s="870">
        <v>0</v>
      </c>
      <c r="S233" s="870">
        <v>3</v>
      </c>
      <c r="T233" s="870">
        <v>0</v>
      </c>
      <c r="U233" s="870">
        <v>0</v>
      </c>
      <c r="V233" s="870">
        <v>0</v>
      </c>
      <c r="W233" s="870">
        <v>0</v>
      </c>
      <c r="X233" s="870">
        <v>0</v>
      </c>
      <c r="Y233" s="870">
        <v>0</v>
      </c>
      <c r="Z233" s="870">
        <v>60</v>
      </c>
      <c r="AA233" s="870">
        <v>216</v>
      </c>
      <c r="AB233" s="870">
        <v>965</v>
      </c>
      <c r="AC233" s="870">
        <v>2395</v>
      </c>
      <c r="AD233" s="858">
        <f t="shared" si="35"/>
        <v>5986</v>
      </c>
      <c r="AE233" s="858">
        <f t="shared" si="36"/>
        <v>22965</v>
      </c>
      <c r="AF233" s="858">
        <f t="shared" si="40"/>
        <v>5172</v>
      </c>
      <c r="AG233" s="861">
        <f t="shared" si="37"/>
        <v>-13.6</v>
      </c>
      <c r="AH233" s="858">
        <f t="shared" si="38"/>
        <v>16566</v>
      </c>
      <c r="AI233" s="861">
        <f t="shared" si="39"/>
        <v>-27.9</v>
      </c>
    </row>
    <row r="234" spans="1:35" s="846" customFormat="1" ht="19.5" hidden="1" customHeight="1">
      <c r="A234" s="856" t="s">
        <v>88</v>
      </c>
      <c r="B234" s="870">
        <v>2</v>
      </c>
      <c r="C234" s="870">
        <v>29</v>
      </c>
      <c r="D234" s="870">
        <v>0</v>
      </c>
      <c r="E234" s="870">
        <v>0</v>
      </c>
      <c r="F234" s="870">
        <v>0</v>
      </c>
      <c r="G234" s="870">
        <v>0</v>
      </c>
      <c r="H234" s="870">
        <v>0</v>
      </c>
      <c r="I234" s="870">
        <v>0</v>
      </c>
      <c r="J234" s="870">
        <v>10732</v>
      </c>
      <c r="K234" s="870">
        <v>24959</v>
      </c>
      <c r="L234" s="870">
        <v>4676</v>
      </c>
      <c r="M234" s="870">
        <v>9903</v>
      </c>
      <c r="N234" s="870">
        <v>0</v>
      </c>
      <c r="O234" s="870">
        <v>0</v>
      </c>
      <c r="P234" s="870">
        <v>0</v>
      </c>
      <c r="Q234" s="870">
        <v>0</v>
      </c>
      <c r="R234" s="870">
        <v>225</v>
      </c>
      <c r="S234" s="870">
        <v>699</v>
      </c>
      <c r="T234" s="870">
        <v>0</v>
      </c>
      <c r="U234" s="870">
        <v>0</v>
      </c>
      <c r="V234" s="870">
        <v>0</v>
      </c>
      <c r="W234" s="870">
        <v>0</v>
      </c>
      <c r="X234" s="870">
        <v>0</v>
      </c>
      <c r="Y234" s="870">
        <v>0</v>
      </c>
      <c r="Z234" s="870">
        <v>0</v>
      </c>
      <c r="AA234" s="870">
        <v>0</v>
      </c>
      <c r="AB234" s="870">
        <v>0</v>
      </c>
      <c r="AC234" s="870">
        <v>0</v>
      </c>
      <c r="AD234" s="858">
        <f t="shared" si="35"/>
        <v>10959</v>
      </c>
      <c r="AE234" s="858">
        <f t="shared" si="36"/>
        <v>25687</v>
      </c>
      <c r="AF234" s="858">
        <f t="shared" si="40"/>
        <v>4676</v>
      </c>
      <c r="AG234" s="861">
        <f t="shared" si="37"/>
        <v>-57.3</v>
      </c>
      <c r="AH234" s="858">
        <f t="shared" si="38"/>
        <v>9903</v>
      </c>
      <c r="AI234" s="861">
        <f t="shared" si="39"/>
        <v>-61.4</v>
      </c>
    </row>
    <row r="235" spans="1:35" s="846" customFormat="1" ht="19.5" hidden="1" customHeight="1">
      <c r="A235" s="856" t="s">
        <v>67</v>
      </c>
      <c r="B235" s="870">
        <v>57</v>
      </c>
      <c r="C235" s="870">
        <v>131</v>
      </c>
      <c r="D235" s="870">
        <v>207</v>
      </c>
      <c r="E235" s="870">
        <v>298</v>
      </c>
      <c r="F235" s="870">
        <v>0</v>
      </c>
      <c r="G235" s="870">
        <v>0</v>
      </c>
      <c r="H235" s="870">
        <v>0</v>
      </c>
      <c r="I235" s="870">
        <v>1</v>
      </c>
      <c r="J235" s="870">
        <v>7737</v>
      </c>
      <c r="K235" s="870">
        <v>19714</v>
      </c>
      <c r="L235" s="870">
        <v>8473</v>
      </c>
      <c r="M235" s="870">
        <v>19352</v>
      </c>
      <c r="N235" s="870">
        <v>0</v>
      </c>
      <c r="O235" s="870">
        <v>0</v>
      </c>
      <c r="P235" s="870">
        <v>2</v>
      </c>
      <c r="Q235" s="870">
        <v>7</v>
      </c>
      <c r="R235" s="870">
        <v>0</v>
      </c>
      <c r="S235" s="870">
        <v>0</v>
      </c>
      <c r="T235" s="870">
        <v>0</v>
      </c>
      <c r="U235" s="870">
        <v>0</v>
      </c>
      <c r="V235" s="870">
        <v>0</v>
      </c>
      <c r="W235" s="870">
        <v>0</v>
      </c>
      <c r="X235" s="870">
        <v>0</v>
      </c>
      <c r="Y235" s="870">
        <v>0</v>
      </c>
      <c r="Z235" s="870">
        <v>0</v>
      </c>
      <c r="AA235" s="870">
        <v>0</v>
      </c>
      <c r="AB235" s="870">
        <v>0</v>
      </c>
      <c r="AC235" s="870">
        <v>0</v>
      </c>
      <c r="AD235" s="858">
        <f t="shared" si="35"/>
        <v>7794</v>
      </c>
      <c r="AE235" s="858">
        <f t="shared" si="36"/>
        <v>19845</v>
      </c>
      <c r="AF235" s="858">
        <f t="shared" si="40"/>
        <v>8682</v>
      </c>
      <c r="AG235" s="861">
        <f t="shared" si="37"/>
        <v>11.4</v>
      </c>
      <c r="AH235" s="858">
        <f t="shared" si="38"/>
        <v>19658</v>
      </c>
      <c r="AI235" s="861">
        <f t="shared" si="39"/>
        <v>-0.9</v>
      </c>
    </row>
    <row r="236" spans="1:35" s="846" customFormat="1" ht="19.5" hidden="1" customHeight="1">
      <c r="A236" s="863" t="s">
        <v>72</v>
      </c>
      <c r="B236" s="870">
        <v>436</v>
      </c>
      <c r="C236" s="870">
        <v>2984</v>
      </c>
      <c r="D236" s="870">
        <v>440</v>
      </c>
      <c r="E236" s="870">
        <v>3323</v>
      </c>
      <c r="F236" s="870">
        <v>0</v>
      </c>
      <c r="G236" s="870">
        <v>1</v>
      </c>
      <c r="H236" s="870">
        <v>0</v>
      </c>
      <c r="I236" s="870">
        <v>12</v>
      </c>
      <c r="J236" s="870">
        <v>3064</v>
      </c>
      <c r="K236" s="870">
        <v>12943</v>
      </c>
      <c r="L236" s="870">
        <v>2106</v>
      </c>
      <c r="M236" s="870">
        <v>12200</v>
      </c>
      <c r="N236" s="870">
        <v>0</v>
      </c>
      <c r="O236" s="870">
        <v>0</v>
      </c>
      <c r="P236" s="870">
        <v>0</v>
      </c>
      <c r="Q236" s="870">
        <v>0</v>
      </c>
      <c r="R236" s="870">
        <v>0</v>
      </c>
      <c r="S236" s="870">
        <v>6</v>
      </c>
      <c r="T236" s="870">
        <v>1</v>
      </c>
      <c r="U236" s="870">
        <v>10</v>
      </c>
      <c r="V236" s="870">
        <v>0</v>
      </c>
      <c r="W236" s="870">
        <v>0</v>
      </c>
      <c r="X236" s="870">
        <v>0</v>
      </c>
      <c r="Y236" s="870">
        <v>0</v>
      </c>
      <c r="Z236" s="870">
        <v>23</v>
      </c>
      <c r="AA236" s="870">
        <v>1290</v>
      </c>
      <c r="AB236" s="870">
        <v>20</v>
      </c>
      <c r="AC236" s="870">
        <v>1131</v>
      </c>
      <c r="AD236" s="858">
        <f t="shared" si="35"/>
        <v>3523</v>
      </c>
      <c r="AE236" s="858">
        <f t="shared" si="36"/>
        <v>17224</v>
      </c>
      <c r="AF236" s="858">
        <f t="shared" si="40"/>
        <v>2567</v>
      </c>
      <c r="AG236" s="861">
        <f t="shared" si="37"/>
        <v>-27.1</v>
      </c>
      <c r="AH236" s="858">
        <f t="shared" si="38"/>
        <v>16676</v>
      </c>
      <c r="AI236" s="861">
        <f t="shared" si="39"/>
        <v>-3.2</v>
      </c>
    </row>
    <row r="237" spans="1:35" s="846" customFormat="1" ht="19.5" hidden="1" customHeight="1">
      <c r="A237" s="863" t="s">
        <v>69</v>
      </c>
      <c r="B237" s="870">
        <v>309</v>
      </c>
      <c r="C237" s="870">
        <v>3328</v>
      </c>
      <c r="D237" s="870">
        <v>236</v>
      </c>
      <c r="E237" s="870">
        <v>2555</v>
      </c>
      <c r="F237" s="870">
        <v>59</v>
      </c>
      <c r="G237" s="870">
        <v>349</v>
      </c>
      <c r="H237" s="870">
        <v>0</v>
      </c>
      <c r="I237" s="870">
        <v>23</v>
      </c>
      <c r="J237" s="870">
        <v>3890</v>
      </c>
      <c r="K237" s="870">
        <v>11809</v>
      </c>
      <c r="L237" s="870">
        <v>351</v>
      </c>
      <c r="M237" s="870">
        <v>4880</v>
      </c>
      <c r="N237" s="870">
        <v>4</v>
      </c>
      <c r="O237" s="870">
        <v>1</v>
      </c>
      <c r="P237" s="870">
        <v>42</v>
      </c>
      <c r="Q237" s="870">
        <v>22</v>
      </c>
      <c r="R237" s="870">
        <v>0</v>
      </c>
      <c r="S237" s="870">
        <v>0</v>
      </c>
      <c r="T237" s="870">
        <v>0</v>
      </c>
      <c r="U237" s="870">
        <v>0</v>
      </c>
      <c r="V237" s="870">
        <v>0</v>
      </c>
      <c r="W237" s="870">
        <v>6</v>
      </c>
      <c r="X237" s="870">
        <v>0</v>
      </c>
      <c r="Y237" s="870">
        <v>7</v>
      </c>
      <c r="Z237" s="870">
        <v>555</v>
      </c>
      <c r="AA237" s="870">
        <v>4670</v>
      </c>
      <c r="AB237" s="870">
        <v>329</v>
      </c>
      <c r="AC237" s="870">
        <v>2177</v>
      </c>
      <c r="AD237" s="858">
        <f t="shared" si="35"/>
        <v>4817</v>
      </c>
      <c r="AE237" s="858">
        <f t="shared" si="36"/>
        <v>20163</v>
      </c>
      <c r="AF237" s="858">
        <f t="shared" si="40"/>
        <v>958</v>
      </c>
      <c r="AG237" s="861">
        <f t="shared" si="37"/>
        <v>-80.099999999999994</v>
      </c>
      <c r="AH237" s="858">
        <f t="shared" si="38"/>
        <v>9664</v>
      </c>
      <c r="AI237" s="861">
        <f t="shared" si="39"/>
        <v>-52.1</v>
      </c>
    </row>
    <row r="238" spans="1:35" s="846" customFormat="1" ht="19.5" hidden="1" customHeight="1">
      <c r="A238" s="857" t="s">
        <v>560</v>
      </c>
      <c r="B238" s="859">
        <f t="shared" ref="B238:G238" si="41">B239-SUM(B208:B237)</f>
        <v>5963</v>
      </c>
      <c r="C238" s="859">
        <f t="shared" si="41"/>
        <v>54981</v>
      </c>
      <c r="D238" s="859">
        <f t="shared" si="41"/>
        <v>7086</v>
      </c>
      <c r="E238" s="859">
        <f t="shared" si="41"/>
        <v>54602</v>
      </c>
      <c r="F238" s="859">
        <f t="shared" si="41"/>
        <v>493</v>
      </c>
      <c r="G238" s="859">
        <f t="shared" si="41"/>
        <v>2577</v>
      </c>
      <c r="H238" s="859">
        <f t="shared" ref="H238:AC238" si="42">H239-SUM(H208:H237)</f>
        <v>310</v>
      </c>
      <c r="I238" s="859">
        <f t="shared" si="42"/>
        <v>4294</v>
      </c>
      <c r="J238" s="859">
        <f t="shared" si="42"/>
        <v>41161</v>
      </c>
      <c r="K238" s="859">
        <f t="shared" si="42"/>
        <v>124080</v>
      </c>
      <c r="L238" s="859">
        <f t="shared" si="42"/>
        <v>31923</v>
      </c>
      <c r="M238" s="859">
        <f t="shared" si="42"/>
        <v>95341</v>
      </c>
      <c r="N238" s="859">
        <f t="shared" si="42"/>
        <v>3997</v>
      </c>
      <c r="O238" s="859">
        <f t="shared" si="42"/>
        <v>9034</v>
      </c>
      <c r="P238" s="859">
        <f t="shared" si="42"/>
        <v>2572</v>
      </c>
      <c r="Q238" s="859">
        <f t="shared" si="42"/>
        <v>5316</v>
      </c>
      <c r="R238" s="859">
        <f t="shared" si="42"/>
        <v>8609</v>
      </c>
      <c r="S238" s="859">
        <f t="shared" si="42"/>
        <v>25376</v>
      </c>
      <c r="T238" s="859">
        <f t="shared" si="42"/>
        <v>13673</v>
      </c>
      <c r="U238" s="859">
        <f t="shared" si="42"/>
        <v>31315</v>
      </c>
      <c r="V238" s="859">
        <f t="shared" si="42"/>
        <v>23</v>
      </c>
      <c r="W238" s="859">
        <f t="shared" si="42"/>
        <v>395</v>
      </c>
      <c r="X238" s="859">
        <f t="shared" si="42"/>
        <v>31</v>
      </c>
      <c r="Y238" s="892">
        <f t="shared" si="42"/>
        <v>336</v>
      </c>
      <c r="Z238" s="892">
        <f t="shared" si="42"/>
        <v>266</v>
      </c>
      <c r="AA238" s="892">
        <f t="shared" si="42"/>
        <v>5003</v>
      </c>
      <c r="AB238" s="859">
        <f t="shared" si="42"/>
        <v>551</v>
      </c>
      <c r="AC238" s="859">
        <f t="shared" si="42"/>
        <v>6713</v>
      </c>
      <c r="AD238" s="859">
        <f>AD239-SUM(AD208:AD237)</f>
        <v>60512</v>
      </c>
      <c r="AE238" s="859">
        <f>AE239-SUM(AE208:AE237)</f>
        <v>221446</v>
      </c>
      <c r="AF238" s="859">
        <f>AF239-SUM(AF208:AF237)</f>
        <v>56146</v>
      </c>
      <c r="AG238" s="861">
        <f t="shared" si="37"/>
        <v>-7.2</v>
      </c>
      <c r="AH238" s="859">
        <f>AH239-SUM(AH208:AH237)</f>
        <v>197917</v>
      </c>
      <c r="AI238" s="862">
        <f t="shared" si="39"/>
        <v>-10.6</v>
      </c>
    </row>
    <row r="239" spans="1:35" s="846" customFormat="1" ht="19.5" hidden="1" customHeight="1">
      <c r="A239" s="865" t="s">
        <v>79</v>
      </c>
      <c r="B239" s="886">
        <v>349957</v>
      </c>
      <c r="C239" s="886">
        <v>2358044</v>
      </c>
      <c r="D239" s="886">
        <v>319187</v>
      </c>
      <c r="E239" s="886">
        <v>2067563</v>
      </c>
      <c r="F239" s="886">
        <v>9801</v>
      </c>
      <c r="G239" s="888">
        <v>88514</v>
      </c>
      <c r="H239" s="886">
        <v>7300</v>
      </c>
      <c r="I239" s="886">
        <v>66546</v>
      </c>
      <c r="J239" s="886">
        <v>551817</v>
      </c>
      <c r="K239" s="886">
        <v>1808256</v>
      </c>
      <c r="L239" s="886">
        <v>587987</v>
      </c>
      <c r="M239" s="886">
        <v>1711097</v>
      </c>
      <c r="N239" s="886">
        <v>188622</v>
      </c>
      <c r="O239" s="886">
        <v>405405</v>
      </c>
      <c r="P239" s="886">
        <v>163540</v>
      </c>
      <c r="Q239" s="886">
        <v>324027</v>
      </c>
      <c r="R239" s="886">
        <v>268118</v>
      </c>
      <c r="S239" s="886">
        <v>775686</v>
      </c>
      <c r="T239" s="886">
        <v>300704</v>
      </c>
      <c r="U239" s="886">
        <v>656300</v>
      </c>
      <c r="V239" s="886">
        <v>1089</v>
      </c>
      <c r="W239" s="886">
        <v>22555</v>
      </c>
      <c r="X239" s="886">
        <v>866</v>
      </c>
      <c r="Y239" s="886">
        <v>19838</v>
      </c>
      <c r="Z239" s="886">
        <v>71653</v>
      </c>
      <c r="AA239" s="888">
        <v>151713</v>
      </c>
      <c r="AB239" s="866">
        <v>12064</v>
      </c>
      <c r="AC239" s="866">
        <v>117547</v>
      </c>
      <c r="AD239" s="860">
        <f>SUM(B239+F239+J239+N239+R239+V239+Z239)</f>
        <v>1441057</v>
      </c>
      <c r="AE239" s="860">
        <f>SUM(C239+G239+K239+O239+S239+W239+AA239)</f>
        <v>5610173</v>
      </c>
      <c r="AF239" s="860">
        <f>SUM(D239+H239+L239+P239+T239+X239+AB239)</f>
        <v>1391648</v>
      </c>
      <c r="AG239" s="867">
        <f t="shared" si="37"/>
        <v>-3.4</v>
      </c>
      <c r="AH239" s="860">
        <f>SUM(E239+I239+M239+Q239+U239+Y239+AC239)</f>
        <v>4962918</v>
      </c>
      <c r="AI239" s="862">
        <f t="shared" si="39"/>
        <v>-11.5</v>
      </c>
    </row>
    <row r="240" spans="1:35" hidden="1"/>
    <row r="241" spans="1:35" s="846" customFormat="1" ht="22.5" hidden="1" customHeight="1">
      <c r="A241" s="1095" t="s">
        <v>618</v>
      </c>
      <c r="B241" s="1095"/>
      <c r="C241" s="1095"/>
      <c r="D241" s="1095"/>
      <c r="E241" s="1095"/>
      <c r="F241" s="1095"/>
      <c r="G241" s="1095"/>
      <c r="H241" s="1095"/>
      <c r="I241" s="1095"/>
      <c r="J241" s="1095"/>
      <c r="K241" s="1095"/>
      <c r="L241" s="1095"/>
      <c r="M241" s="1095"/>
      <c r="N241" s="1095"/>
      <c r="O241" s="1095"/>
      <c r="P241" s="1095"/>
      <c r="Q241" s="1095"/>
      <c r="R241" s="1095"/>
      <c r="S241" s="1095"/>
      <c r="T241" s="1095"/>
      <c r="U241" s="1095"/>
      <c r="V241" s="1095"/>
      <c r="W241" s="1095"/>
      <c r="X241" s="1095"/>
      <c r="Y241" s="1095"/>
      <c r="Z241" s="1095"/>
      <c r="AA241" s="1095"/>
      <c r="AB241" s="1095"/>
      <c r="AC241" s="1095"/>
      <c r="AD241" s="1095"/>
      <c r="AE241" s="1095"/>
      <c r="AF241" s="1095"/>
      <c r="AG241" s="1095"/>
      <c r="AH241" s="1095"/>
      <c r="AI241" s="1095"/>
    </row>
    <row r="242" spans="1:35" s="846" customFormat="1" ht="16.5" hidden="1" customHeight="1">
      <c r="A242" s="871"/>
      <c r="B242" s="872"/>
      <c r="C242" s="872"/>
      <c r="D242" s="872"/>
      <c r="E242" s="872"/>
      <c r="F242" s="872"/>
      <c r="G242" s="871"/>
      <c r="H242" s="872"/>
      <c r="I242" s="872"/>
      <c r="J242" s="872"/>
      <c r="K242" s="872"/>
      <c r="L242" s="872"/>
      <c r="M242" s="872"/>
      <c r="N242" s="872"/>
      <c r="O242" s="872"/>
      <c r="P242" s="872"/>
      <c r="Q242" s="872"/>
      <c r="R242" s="873"/>
      <c r="S242" s="873"/>
      <c r="T242" s="872"/>
      <c r="U242" s="872"/>
      <c r="V242" s="872"/>
      <c r="W242" s="872"/>
      <c r="X242" s="872"/>
      <c r="Y242" s="872"/>
      <c r="Z242" s="872"/>
      <c r="AA242" s="872"/>
      <c r="AB242" s="872"/>
      <c r="AC242" s="872"/>
      <c r="AD242" s="872"/>
      <c r="AE242" s="872"/>
      <c r="AF242" s="872"/>
      <c r="AG242" s="872"/>
      <c r="AH242" s="872"/>
      <c r="AI242" s="872"/>
    </row>
    <row r="243" spans="1:35" s="846" customFormat="1" ht="16.5" hidden="1" customHeight="1">
      <c r="A243" s="850"/>
      <c r="B243" s="851"/>
      <c r="C243" s="851"/>
      <c r="D243" s="851"/>
      <c r="E243" s="851"/>
      <c r="F243" s="851"/>
      <c r="G243" s="850"/>
      <c r="H243" s="851"/>
      <c r="I243" s="851"/>
      <c r="J243" s="851"/>
      <c r="K243" s="851"/>
      <c r="L243" s="851"/>
      <c r="M243" s="851"/>
      <c r="N243" s="851"/>
      <c r="O243" s="851"/>
      <c r="P243" s="851"/>
      <c r="Q243" s="851"/>
      <c r="R243" s="852"/>
      <c r="S243" s="852"/>
      <c r="T243" s="851"/>
      <c r="U243" s="851"/>
      <c r="V243" s="851"/>
      <c r="W243" s="851"/>
      <c r="X243" s="851"/>
      <c r="Y243" s="851"/>
      <c r="Z243" s="851"/>
      <c r="AA243" s="851"/>
      <c r="AB243" s="851"/>
      <c r="AC243" s="851"/>
      <c r="AD243" s="851"/>
      <c r="AE243" s="851"/>
      <c r="AF243" s="851"/>
      <c r="AG243" s="851"/>
      <c r="AH243" s="851"/>
      <c r="AI243" s="853" t="s">
        <v>0</v>
      </c>
    </row>
    <row r="244" spans="1:35" s="846" customFormat="1" ht="21.75" hidden="1" customHeight="1">
      <c r="A244" s="1149" t="s">
        <v>43</v>
      </c>
      <c r="B244" s="1151" t="s">
        <v>610</v>
      </c>
      <c r="C244" s="1153"/>
      <c r="D244" s="1153"/>
      <c r="E244" s="1152"/>
      <c r="F244" s="1151" t="s">
        <v>611</v>
      </c>
      <c r="G244" s="1153"/>
      <c r="H244" s="1153"/>
      <c r="I244" s="1152"/>
      <c r="J244" s="1151" t="s">
        <v>612</v>
      </c>
      <c r="K244" s="1153"/>
      <c r="L244" s="1153"/>
      <c r="M244" s="1152"/>
      <c r="N244" s="1151" t="s">
        <v>613</v>
      </c>
      <c r="O244" s="1153"/>
      <c r="P244" s="1153"/>
      <c r="Q244" s="1152"/>
      <c r="R244" s="1151" t="s">
        <v>614</v>
      </c>
      <c r="S244" s="1153"/>
      <c r="T244" s="1153"/>
      <c r="U244" s="1152"/>
      <c r="V244" s="1151" t="s">
        <v>615</v>
      </c>
      <c r="W244" s="1153"/>
      <c r="X244" s="1153"/>
      <c r="Y244" s="1152"/>
      <c r="Z244" s="1151" t="s">
        <v>616</v>
      </c>
      <c r="AA244" s="1153"/>
      <c r="AB244" s="1153"/>
      <c r="AC244" s="1152"/>
      <c r="AD244" s="1151" t="s">
        <v>617</v>
      </c>
      <c r="AE244" s="1153"/>
      <c r="AF244" s="1153"/>
      <c r="AG244" s="1153"/>
      <c r="AH244" s="1153"/>
      <c r="AI244" s="1152"/>
    </row>
    <row r="245" spans="1:35" s="846" customFormat="1" ht="21" hidden="1" customHeight="1">
      <c r="A245" s="1154"/>
      <c r="B245" s="1151" t="s">
        <v>315</v>
      </c>
      <c r="C245" s="1152"/>
      <c r="D245" s="1151" t="s">
        <v>459</v>
      </c>
      <c r="E245" s="1152"/>
      <c r="F245" s="1151" t="s">
        <v>315</v>
      </c>
      <c r="G245" s="1152"/>
      <c r="H245" s="1151" t="s">
        <v>459</v>
      </c>
      <c r="I245" s="1152"/>
      <c r="J245" s="1151" t="s">
        <v>315</v>
      </c>
      <c r="K245" s="1152"/>
      <c r="L245" s="1151" t="s">
        <v>459</v>
      </c>
      <c r="M245" s="1152"/>
      <c r="N245" s="1151" t="s">
        <v>315</v>
      </c>
      <c r="O245" s="1152"/>
      <c r="P245" s="1151" t="s">
        <v>459</v>
      </c>
      <c r="Q245" s="1152"/>
      <c r="R245" s="1151" t="s">
        <v>315</v>
      </c>
      <c r="S245" s="1152"/>
      <c r="T245" s="1151" t="s">
        <v>459</v>
      </c>
      <c r="U245" s="1152"/>
      <c r="V245" s="1151" t="s">
        <v>315</v>
      </c>
      <c r="W245" s="1152"/>
      <c r="X245" s="1151" t="s">
        <v>459</v>
      </c>
      <c r="Y245" s="1152"/>
      <c r="Z245" s="1151" t="s">
        <v>315</v>
      </c>
      <c r="AA245" s="1152"/>
      <c r="AB245" s="1151" t="s">
        <v>459</v>
      </c>
      <c r="AC245" s="1152"/>
      <c r="AD245" s="1151" t="s">
        <v>315</v>
      </c>
      <c r="AE245" s="1152"/>
      <c r="AF245" s="1151" t="s">
        <v>459</v>
      </c>
      <c r="AG245" s="1153"/>
      <c r="AH245" s="1153"/>
      <c r="AI245" s="1152"/>
    </row>
    <row r="246" spans="1:35" s="846" customFormat="1" ht="16.5" hidden="1" customHeight="1">
      <c r="A246" s="1154"/>
      <c r="B246" s="1149" t="s">
        <v>44</v>
      </c>
      <c r="C246" s="1149" t="s">
        <v>45</v>
      </c>
      <c r="D246" s="1149" t="s">
        <v>46</v>
      </c>
      <c r="E246" s="1149" t="s">
        <v>45</v>
      </c>
      <c r="F246" s="1149" t="s">
        <v>47</v>
      </c>
      <c r="G246" s="1149" t="s">
        <v>45</v>
      </c>
      <c r="H246" s="1149" t="s">
        <v>46</v>
      </c>
      <c r="I246" s="1149" t="s">
        <v>45</v>
      </c>
      <c r="J246" s="1149" t="s">
        <v>44</v>
      </c>
      <c r="K246" s="1149" t="s">
        <v>45</v>
      </c>
      <c r="L246" s="1149" t="s">
        <v>46</v>
      </c>
      <c r="M246" s="1149" t="s">
        <v>45</v>
      </c>
      <c r="N246" s="1149" t="s">
        <v>44</v>
      </c>
      <c r="O246" s="1149" t="s">
        <v>45</v>
      </c>
      <c r="P246" s="1149" t="s">
        <v>46</v>
      </c>
      <c r="Q246" s="1149" t="s">
        <v>45</v>
      </c>
      <c r="R246" s="1149" t="s">
        <v>44</v>
      </c>
      <c r="S246" s="1149" t="s">
        <v>45</v>
      </c>
      <c r="T246" s="1149" t="s">
        <v>46</v>
      </c>
      <c r="U246" s="1149" t="s">
        <v>45</v>
      </c>
      <c r="V246" s="1149" t="s">
        <v>44</v>
      </c>
      <c r="W246" s="1149" t="s">
        <v>45</v>
      </c>
      <c r="X246" s="1149" t="s">
        <v>48</v>
      </c>
      <c r="Y246" s="1149" t="s">
        <v>45</v>
      </c>
      <c r="Z246" s="1149" t="s">
        <v>44</v>
      </c>
      <c r="AA246" s="1149" t="s">
        <v>45</v>
      </c>
      <c r="AB246" s="1149" t="s">
        <v>46</v>
      </c>
      <c r="AC246" s="1149" t="s">
        <v>45</v>
      </c>
      <c r="AD246" s="1149" t="s">
        <v>44</v>
      </c>
      <c r="AE246" s="1149" t="s">
        <v>45</v>
      </c>
      <c r="AF246" s="1147" t="s">
        <v>46</v>
      </c>
      <c r="AG246" s="874"/>
      <c r="AH246" s="1147" t="s">
        <v>45</v>
      </c>
      <c r="AI246" s="874"/>
    </row>
    <row r="247" spans="1:35" s="846" customFormat="1" ht="16.5" hidden="1" customHeight="1" thickBot="1">
      <c r="A247" s="1150"/>
      <c r="B247" s="1150"/>
      <c r="C247" s="1150"/>
      <c r="D247" s="1150"/>
      <c r="E247" s="1150"/>
      <c r="F247" s="1150"/>
      <c r="G247" s="1150"/>
      <c r="H247" s="1150"/>
      <c r="I247" s="1150"/>
      <c r="J247" s="1150"/>
      <c r="K247" s="1150"/>
      <c r="L247" s="1150"/>
      <c r="M247" s="1150"/>
      <c r="N247" s="1150"/>
      <c r="O247" s="1150"/>
      <c r="P247" s="1150"/>
      <c r="Q247" s="1150"/>
      <c r="R247" s="1150"/>
      <c r="S247" s="1150"/>
      <c r="T247" s="1150"/>
      <c r="U247" s="1150"/>
      <c r="V247" s="1150"/>
      <c r="W247" s="1150"/>
      <c r="X247" s="1150"/>
      <c r="Y247" s="1150"/>
      <c r="Z247" s="1150"/>
      <c r="AA247" s="1150"/>
      <c r="AB247" s="1150"/>
      <c r="AC247" s="1150"/>
      <c r="AD247" s="1150"/>
      <c r="AE247" s="1150"/>
      <c r="AF247" s="1148"/>
      <c r="AG247" s="875" t="s">
        <v>49</v>
      </c>
      <c r="AH247" s="1148"/>
      <c r="AI247" s="875" t="s">
        <v>49</v>
      </c>
    </row>
    <row r="248" spans="1:35" s="846" customFormat="1" ht="19.5" hidden="1" customHeight="1" thickTop="1">
      <c r="A248" s="897" t="s">
        <v>50</v>
      </c>
      <c r="B248" s="870">
        <v>163789</v>
      </c>
      <c r="C248" s="870">
        <v>1091889</v>
      </c>
      <c r="D248" s="870">
        <v>172144</v>
      </c>
      <c r="E248" s="870">
        <v>1098738</v>
      </c>
      <c r="F248" s="870">
        <v>3112</v>
      </c>
      <c r="G248" s="870">
        <v>29206</v>
      </c>
      <c r="H248" s="870">
        <v>2293</v>
      </c>
      <c r="I248" s="870">
        <v>20749</v>
      </c>
      <c r="J248" s="870">
        <v>61680</v>
      </c>
      <c r="K248" s="870">
        <v>253447</v>
      </c>
      <c r="L248" s="870">
        <v>194152</v>
      </c>
      <c r="M248" s="870">
        <v>462804</v>
      </c>
      <c r="N248" s="870">
        <v>33974</v>
      </c>
      <c r="O248" s="870">
        <v>70694</v>
      </c>
      <c r="P248" s="870">
        <v>14441</v>
      </c>
      <c r="Q248" s="870">
        <v>26496</v>
      </c>
      <c r="R248" s="870">
        <v>68717</v>
      </c>
      <c r="S248" s="870">
        <v>192240</v>
      </c>
      <c r="T248" s="870">
        <v>77620</v>
      </c>
      <c r="U248" s="870">
        <v>159813</v>
      </c>
      <c r="V248" s="870">
        <v>161</v>
      </c>
      <c r="W248" s="870">
        <v>4634</v>
      </c>
      <c r="X248" s="870">
        <v>173</v>
      </c>
      <c r="Y248" s="870">
        <v>5002</v>
      </c>
      <c r="Z248" s="870">
        <v>1863</v>
      </c>
      <c r="AA248" s="870">
        <v>46397</v>
      </c>
      <c r="AB248" s="870">
        <v>5308</v>
      </c>
      <c r="AC248" s="870">
        <v>44922</v>
      </c>
      <c r="AD248" s="890">
        <f t="shared" ref="AD248:AD277" si="43">SUM(B248+F248+J248+N248+R248+V248+Z248)</f>
        <v>333296</v>
      </c>
      <c r="AE248" s="890">
        <f>SUM(C248+G248+K248+O248+S248+W248+AA248)</f>
        <v>1688507</v>
      </c>
      <c r="AF248" s="890">
        <f>SUM(D248+H248+L248+P248+T248+X248+AB248)</f>
        <v>466131</v>
      </c>
      <c r="AG248" s="895">
        <f>ROUND(((AF248/AD248-1)*100),1)</f>
        <v>39.9</v>
      </c>
      <c r="AH248" s="890">
        <f>SUM(E248+I248+M248+Q248+U248+Y248+AC248)</f>
        <v>1818524</v>
      </c>
      <c r="AI248" s="895">
        <f>ROUND(((AH248/AE248-1)*100),1)</f>
        <v>7.7</v>
      </c>
    </row>
    <row r="249" spans="1:35" s="846" customFormat="1" ht="19.5" hidden="1" customHeight="1">
      <c r="A249" s="897" t="s">
        <v>51</v>
      </c>
      <c r="B249" s="870">
        <v>39339</v>
      </c>
      <c r="C249" s="870">
        <v>302221</v>
      </c>
      <c r="D249" s="870">
        <v>35017</v>
      </c>
      <c r="E249" s="870">
        <v>271381</v>
      </c>
      <c r="F249" s="870">
        <v>511</v>
      </c>
      <c r="G249" s="870">
        <v>12438</v>
      </c>
      <c r="H249" s="870">
        <v>171</v>
      </c>
      <c r="I249" s="870">
        <v>5284</v>
      </c>
      <c r="J249" s="870">
        <v>125017</v>
      </c>
      <c r="K249" s="870">
        <v>352152</v>
      </c>
      <c r="L249" s="870">
        <v>127758</v>
      </c>
      <c r="M249" s="870">
        <v>336560</v>
      </c>
      <c r="N249" s="870">
        <v>46334</v>
      </c>
      <c r="O249" s="870">
        <v>100223</v>
      </c>
      <c r="P249" s="870">
        <v>57764</v>
      </c>
      <c r="Q249" s="870">
        <v>113695</v>
      </c>
      <c r="R249" s="870">
        <v>41119</v>
      </c>
      <c r="S249" s="870">
        <v>120977</v>
      </c>
      <c r="T249" s="870">
        <v>46328</v>
      </c>
      <c r="U249" s="870">
        <v>105311</v>
      </c>
      <c r="V249" s="870">
        <v>191</v>
      </c>
      <c r="W249" s="870">
        <v>3464</v>
      </c>
      <c r="X249" s="870">
        <v>183</v>
      </c>
      <c r="Y249" s="870">
        <v>2955</v>
      </c>
      <c r="Z249" s="870">
        <v>1131</v>
      </c>
      <c r="AA249" s="870">
        <v>9909</v>
      </c>
      <c r="AB249" s="870">
        <v>178</v>
      </c>
      <c r="AC249" s="870">
        <v>4759</v>
      </c>
      <c r="AD249" s="890">
        <f t="shared" si="43"/>
        <v>253642</v>
      </c>
      <c r="AE249" s="890">
        <f t="shared" ref="AE249:AE277" si="44">SUM(C249+G249+K249+O249+S249+W249+AA249)</f>
        <v>901384</v>
      </c>
      <c r="AF249" s="890">
        <f>SUM(D249+H249+L249+P249+T249+X249+AB249)</f>
        <v>267399</v>
      </c>
      <c r="AG249" s="895">
        <f t="shared" ref="AG249:AG279" si="45">ROUND(((AF249/AD249-1)*100),1)</f>
        <v>5.4</v>
      </c>
      <c r="AH249" s="890">
        <f t="shared" ref="AH249:AH277" si="46">SUM(E249+I249+M249+Q249+U249+Y249+AC249)</f>
        <v>839945</v>
      </c>
      <c r="AI249" s="895">
        <f t="shared" ref="AI249:AI279" si="47">ROUND(((AH249/AE249-1)*100),1)</f>
        <v>-6.8</v>
      </c>
    </row>
    <row r="250" spans="1:35" s="846" customFormat="1" ht="19.5" hidden="1" customHeight="1">
      <c r="A250" s="897" t="s">
        <v>53</v>
      </c>
      <c r="B250" s="870">
        <v>16180</v>
      </c>
      <c r="C250" s="870">
        <v>146335</v>
      </c>
      <c r="D250" s="870">
        <v>17417</v>
      </c>
      <c r="E250" s="870">
        <v>145749</v>
      </c>
      <c r="F250" s="870">
        <v>482</v>
      </c>
      <c r="G250" s="870">
        <v>5887</v>
      </c>
      <c r="H250" s="870">
        <v>280</v>
      </c>
      <c r="I250" s="870">
        <v>3372</v>
      </c>
      <c r="J250" s="870">
        <v>68836</v>
      </c>
      <c r="K250" s="870">
        <v>265284</v>
      </c>
      <c r="L250" s="870">
        <v>53696</v>
      </c>
      <c r="M250" s="870">
        <v>200986</v>
      </c>
      <c r="N250" s="870">
        <v>37724</v>
      </c>
      <c r="O250" s="870">
        <v>79749</v>
      </c>
      <c r="P250" s="870">
        <v>45398</v>
      </c>
      <c r="Q250" s="870">
        <v>87251</v>
      </c>
      <c r="R250" s="870">
        <v>56</v>
      </c>
      <c r="S250" s="870">
        <v>1143</v>
      </c>
      <c r="T250" s="870">
        <v>48308</v>
      </c>
      <c r="U250" s="870">
        <v>97575</v>
      </c>
      <c r="V250" s="870">
        <v>2</v>
      </c>
      <c r="W250" s="870">
        <v>1355</v>
      </c>
      <c r="X250" s="870">
        <v>13</v>
      </c>
      <c r="Y250" s="870">
        <v>815</v>
      </c>
      <c r="Z250" s="870">
        <v>2323</v>
      </c>
      <c r="AA250" s="870">
        <v>26872</v>
      </c>
      <c r="AB250" s="870">
        <v>2207</v>
      </c>
      <c r="AC250" s="870">
        <v>22748</v>
      </c>
      <c r="AD250" s="890">
        <f t="shared" si="43"/>
        <v>125603</v>
      </c>
      <c r="AE250" s="890">
        <f t="shared" si="44"/>
        <v>526625</v>
      </c>
      <c r="AF250" s="890">
        <f t="shared" ref="AF250:AF277" si="48">SUM(D250+H250+L250+P250+T250+X250+AB250)</f>
        <v>167319</v>
      </c>
      <c r="AG250" s="895">
        <f t="shared" si="45"/>
        <v>33.200000000000003</v>
      </c>
      <c r="AH250" s="890">
        <f t="shared" si="46"/>
        <v>558496</v>
      </c>
      <c r="AI250" s="895">
        <f t="shared" si="47"/>
        <v>6.1</v>
      </c>
    </row>
    <row r="251" spans="1:35" s="846" customFormat="1" ht="19.5" hidden="1" customHeight="1">
      <c r="A251" s="897" t="s">
        <v>52</v>
      </c>
      <c r="B251" s="870">
        <v>5708</v>
      </c>
      <c r="C251" s="870">
        <v>38816</v>
      </c>
      <c r="D251" s="870">
        <v>5595</v>
      </c>
      <c r="E251" s="870">
        <v>34035</v>
      </c>
      <c r="F251" s="870">
        <v>1368</v>
      </c>
      <c r="G251" s="870">
        <v>14365</v>
      </c>
      <c r="H251" s="870">
        <v>702</v>
      </c>
      <c r="I251" s="870">
        <v>9704</v>
      </c>
      <c r="J251" s="870">
        <v>42855</v>
      </c>
      <c r="K251" s="870">
        <v>123760</v>
      </c>
      <c r="L251" s="870">
        <v>27907</v>
      </c>
      <c r="M251" s="870">
        <v>74553</v>
      </c>
      <c r="N251" s="870">
        <v>47113</v>
      </c>
      <c r="O251" s="870">
        <v>101844</v>
      </c>
      <c r="P251" s="870">
        <v>44297</v>
      </c>
      <c r="Q251" s="870">
        <v>88307</v>
      </c>
      <c r="R251" s="870">
        <v>61944</v>
      </c>
      <c r="S251" s="870">
        <v>182373</v>
      </c>
      <c r="T251" s="870">
        <v>44133</v>
      </c>
      <c r="U251" s="870">
        <v>102267</v>
      </c>
      <c r="V251" s="870">
        <v>152</v>
      </c>
      <c r="W251" s="870">
        <v>177</v>
      </c>
      <c r="X251" s="870">
        <v>3</v>
      </c>
      <c r="Y251" s="870">
        <v>67</v>
      </c>
      <c r="Z251" s="870">
        <v>16035</v>
      </c>
      <c r="AA251" s="870">
        <v>6848</v>
      </c>
      <c r="AB251" s="870">
        <v>793</v>
      </c>
      <c r="AC251" s="870">
        <v>3014</v>
      </c>
      <c r="AD251" s="890">
        <f t="shared" si="43"/>
        <v>175175</v>
      </c>
      <c r="AE251" s="890">
        <f t="shared" si="44"/>
        <v>468183</v>
      </c>
      <c r="AF251" s="890">
        <f t="shared" si="48"/>
        <v>123430</v>
      </c>
      <c r="AG251" s="895">
        <f t="shared" si="45"/>
        <v>-29.5</v>
      </c>
      <c r="AH251" s="890">
        <f t="shared" si="46"/>
        <v>311947</v>
      </c>
      <c r="AI251" s="895">
        <f t="shared" si="47"/>
        <v>-33.4</v>
      </c>
    </row>
    <row r="252" spans="1:35" s="846" customFormat="1" ht="19.5" hidden="1" customHeight="1">
      <c r="A252" s="897" t="s">
        <v>54</v>
      </c>
      <c r="B252" s="870">
        <v>17039</v>
      </c>
      <c r="C252" s="870">
        <v>126407</v>
      </c>
      <c r="D252" s="870">
        <v>14100</v>
      </c>
      <c r="E252" s="870">
        <v>95474</v>
      </c>
      <c r="F252" s="870">
        <v>4852</v>
      </c>
      <c r="G252" s="870">
        <v>22842</v>
      </c>
      <c r="H252" s="870">
        <v>3978</v>
      </c>
      <c r="I252" s="870">
        <v>24198</v>
      </c>
      <c r="J252" s="870">
        <v>41245</v>
      </c>
      <c r="K252" s="870">
        <v>163825</v>
      </c>
      <c r="L252" s="870">
        <v>36735</v>
      </c>
      <c r="M252" s="870">
        <v>155731</v>
      </c>
      <c r="N252" s="870">
        <v>4917</v>
      </c>
      <c r="O252" s="870">
        <v>10462</v>
      </c>
      <c r="P252" s="870">
        <v>4255</v>
      </c>
      <c r="Q252" s="870">
        <v>8325</v>
      </c>
      <c r="R252" s="870">
        <v>1654</v>
      </c>
      <c r="S252" s="870">
        <v>5195</v>
      </c>
      <c r="T252" s="870">
        <v>1196</v>
      </c>
      <c r="U252" s="870">
        <v>2938</v>
      </c>
      <c r="V252" s="870">
        <v>86</v>
      </c>
      <c r="W252" s="870">
        <v>994</v>
      </c>
      <c r="X252" s="870">
        <v>104</v>
      </c>
      <c r="Y252" s="870">
        <v>1361</v>
      </c>
      <c r="Z252" s="870">
        <v>1368</v>
      </c>
      <c r="AA252" s="870">
        <v>37572</v>
      </c>
      <c r="AB252" s="870">
        <v>922</v>
      </c>
      <c r="AC252" s="870">
        <v>21869</v>
      </c>
      <c r="AD252" s="890">
        <f t="shared" si="43"/>
        <v>71161</v>
      </c>
      <c r="AE252" s="890">
        <f t="shared" si="44"/>
        <v>367297</v>
      </c>
      <c r="AF252" s="890">
        <f t="shared" si="48"/>
        <v>61290</v>
      </c>
      <c r="AG252" s="895">
        <f t="shared" si="45"/>
        <v>-13.9</v>
      </c>
      <c r="AH252" s="890">
        <f t="shared" si="46"/>
        <v>309896</v>
      </c>
      <c r="AI252" s="895">
        <f t="shared" si="47"/>
        <v>-15.6</v>
      </c>
    </row>
    <row r="253" spans="1:35" s="846" customFormat="1" ht="19.5" hidden="1" customHeight="1">
      <c r="A253" s="897" t="s">
        <v>56</v>
      </c>
      <c r="B253" s="870">
        <v>49895</v>
      </c>
      <c r="C253" s="870">
        <v>211458</v>
      </c>
      <c r="D253" s="870">
        <v>40280</v>
      </c>
      <c r="E253" s="870">
        <v>148080</v>
      </c>
      <c r="F253" s="870">
        <v>78</v>
      </c>
      <c r="G253" s="870">
        <v>1553</v>
      </c>
      <c r="H253" s="870">
        <v>74</v>
      </c>
      <c r="I253" s="870">
        <v>1556</v>
      </c>
      <c r="J253" s="870">
        <v>12404</v>
      </c>
      <c r="K253" s="870">
        <v>47064</v>
      </c>
      <c r="L253" s="870">
        <v>10038</v>
      </c>
      <c r="M253" s="870">
        <v>33414</v>
      </c>
      <c r="N253" s="870">
        <v>5689</v>
      </c>
      <c r="O253" s="870">
        <v>12002</v>
      </c>
      <c r="P253" s="870">
        <v>1864</v>
      </c>
      <c r="Q253" s="870">
        <v>3584</v>
      </c>
      <c r="R253" s="870">
        <v>7893</v>
      </c>
      <c r="S253" s="870">
        <v>22694</v>
      </c>
      <c r="T253" s="870">
        <v>8986</v>
      </c>
      <c r="U253" s="870">
        <v>20923</v>
      </c>
      <c r="V253" s="870">
        <v>7</v>
      </c>
      <c r="W253" s="870">
        <v>211</v>
      </c>
      <c r="X253" s="870">
        <v>17</v>
      </c>
      <c r="Y253" s="870">
        <v>324</v>
      </c>
      <c r="Z253" s="870">
        <v>32642</v>
      </c>
      <c r="AA253" s="870">
        <v>7690</v>
      </c>
      <c r="AB253" s="870">
        <v>691</v>
      </c>
      <c r="AC253" s="870">
        <v>5512</v>
      </c>
      <c r="AD253" s="890">
        <f t="shared" si="43"/>
        <v>108608</v>
      </c>
      <c r="AE253" s="890">
        <f t="shared" si="44"/>
        <v>302672</v>
      </c>
      <c r="AF253" s="890">
        <f t="shared" si="48"/>
        <v>61950</v>
      </c>
      <c r="AG253" s="895">
        <f t="shared" si="45"/>
        <v>-43</v>
      </c>
      <c r="AH253" s="890">
        <f t="shared" si="46"/>
        <v>213393</v>
      </c>
      <c r="AI253" s="895">
        <f t="shared" si="47"/>
        <v>-29.5</v>
      </c>
    </row>
    <row r="254" spans="1:35" s="846" customFormat="1" ht="19.5" hidden="1" customHeight="1">
      <c r="A254" s="897" t="s">
        <v>57</v>
      </c>
      <c r="B254" s="870">
        <v>31834</v>
      </c>
      <c r="C254" s="870">
        <v>244409</v>
      </c>
      <c r="D254" s="870">
        <v>16432</v>
      </c>
      <c r="E254" s="870">
        <v>146934</v>
      </c>
      <c r="F254" s="870">
        <v>16</v>
      </c>
      <c r="G254" s="870">
        <v>742</v>
      </c>
      <c r="H254" s="870">
        <v>151</v>
      </c>
      <c r="I254" s="870">
        <v>2434</v>
      </c>
      <c r="J254" s="870">
        <v>9986</v>
      </c>
      <c r="K254" s="870">
        <v>55897</v>
      </c>
      <c r="L254" s="870">
        <v>6686</v>
      </c>
      <c r="M254" s="870">
        <v>39561</v>
      </c>
      <c r="N254" s="870">
        <v>1450</v>
      </c>
      <c r="O254" s="870">
        <v>3241</v>
      </c>
      <c r="P254" s="870">
        <v>1484</v>
      </c>
      <c r="Q254" s="870">
        <v>2894</v>
      </c>
      <c r="R254" s="870">
        <v>27326</v>
      </c>
      <c r="S254" s="870">
        <v>67981</v>
      </c>
      <c r="T254" s="870">
        <v>27923</v>
      </c>
      <c r="U254" s="870">
        <v>57269</v>
      </c>
      <c r="V254" s="870">
        <v>136</v>
      </c>
      <c r="W254" s="870">
        <v>5208</v>
      </c>
      <c r="X254" s="870">
        <v>118</v>
      </c>
      <c r="Y254" s="870">
        <v>5374</v>
      </c>
      <c r="Z254" s="870">
        <v>232</v>
      </c>
      <c r="AA254" s="870">
        <v>6165</v>
      </c>
      <c r="AB254" s="870">
        <v>215</v>
      </c>
      <c r="AC254" s="870">
        <v>6792</v>
      </c>
      <c r="AD254" s="890">
        <f t="shared" si="43"/>
        <v>70980</v>
      </c>
      <c r="AE254" s="890">
        <f t="shared" si="44"/>
        <v>383643</v>
      </c>
      <c r="AF254" s="890">
        <f t="shared" si="48"/>
        <v>53009</v>
      </c>
      <c r="AG254" s="895">
        <f t="shared" si="45"/>
        <v>-25.3</v>
      </c>
      <c r="AH254" s="890">
        <f t="shared" si="46"/>
        <v>261258</v>
      </c>
      <c r="AI254" s="895">
        <f t="shared" si="47"/>
        <v>-31.9</v>
      </c>
    </row>
    <row r="255" spans="1:35" s="846" customFormat="1" ht="19.5" hidden="1" customHeight="1">
      <c r="A255" s="897" t="s">
        <v>55</v>
      </c>
      <c r="B255" s="870">
        <v>15471</v>
      </c>
      <c r="C255" s="870">
        <v>91585</v>
      </c>
      <c r="D255" s="870">
        <v>13716</v>
      </c>
      <c r="E255" s="870">
        <v>78273</v>
      </c>
      <c r="F255" s="870">
        <v>48</v>
      </c>
      <c r="G255" s="870">
        <v>589</v>
      </c>
      <c r="H255" s="870">
        <v>71</v>
      </c>
      <c r="I255" s="870">
        <v>479</v>
      </c>
      <c r="J255" s="870">
        <v>28617</v>
      </c>
      <c r="K255" s="870">
        <v>87807</v>
      </c>
      <c r="L255" s="870">
        <v>25870</v>
      </c>
      <c r="M255" s="870">
        <v>75808</v>
      </c>
      <c r="N255" s="870">
        <v>16699</v>
      </c>
      <c r="O255" s="870">
        <v>34745</v>
      </c>
      <c r="P255" s="870">
        <v>11516</v>
      </c>
      <c r="Q255" s="870">
        <v>22247</v>
      </c>
      <c r="R255" s="870">
        <v>15058</v>
      </c>
      <c r="S255" s="870">
        <v>44207</v>
      </c>
      <c r="T255" s="870">
        <v>15650</v>
      </c>
      <c r="U255" s="870">
        <v>37104</v>
      </c>
      <c r="V255" s="870">
        <v>52</v>
      </c>
      <c r="W255" s="870">
        <v>1312</v>
      </c>
      <c r="X255" s="870">
        <v>66</v>
      </c>
      <c r="Y255" s="870">
        <v>1453</v>
      </c>
      <c r="Z255" s="870">
        <v>77</v>
      </c>
      <c r="AA255" s="870">
        <v>1340</v>
      </c>
      <c r="AB255" s="870">
        <v>171</v>
      </c>
      <c r="AC255" s="870">
        <v>1100</v>
      </c>
      <c r="AD255" s="890">
        <f t="shared" si="43"/>
        <v>76022</v>
      </c>
      <c r="AE255" s="890">
        <f t="shared" si="44"/>
        <v>261585</v>
      </c>
      <c r="AF255" s="890">
        <f t="shared" si="48"/>
        <v>67060</v>
      </c>
      <c r="AG255" s="895">
        <f t="shared" si="45"/>
        <v>-11.8</v>
      </c>
      <c r="AH255" s="890">
        <f t="shared" si="46"/>
        <v>216464</v>
      </c>
      <c r="AI255" s="895">
        <f t="shared" si="47"/>
        <v>-17.2</v>
      </c>
    </row>
    <row r="256" spans="1:35" s="846" customFormat="1" ht="19.5" hidden="1" customHeight="1">
      <c r="A256" s="897" t="s">
        <v>59</v>
      </c>
      <c r="B256" s="870">
        <v>23618</v>
      </c>
      <c r="C256" s="870">
        <v>153325</v>
      </c>
      <c r="D256" s="870">
        <v>17482</v>
      </c>
      <c r="E256" s="870">
        <v>103489</v>
      </c>
      <c r="F256" s="870">
        <v>46</v>
      </c>
      <c r="G256" s="870">
        <v>3119</v>
      </c>
      <c r="H256" s="870">
        <v>74</v>
      </c>
      <c r="I256" s="870">
        <v>2794</v>
      </c>
      <c r="J256" s="870">
        <v>5091</v>
      </c>
      <c r="K256" s="870">
        <v>20839</v>
      </c>
      <c r="L256" s="870">
        <v>5184</v>
      </c>
      <c r="M256" s="870">
        <v>23364</v>
      </c>
      <c r="N256" s="870">
        <v>0</v>
      </c>
      <c r="O256" s="870">
        <v>3</v>
      </c>
      <c r="P256" s="870">
        <v>85</v>
      </c>
      <c r="Q256" s="870">
        <v>1078</v>
      </c>
      <c r="R256" s="870">
        <v>2341</v>
      </c>
      <c r="S256" s="870">
        <v>7040</v>
      </c>
      <c r="T256" s="870">
        <v>1310</v>
      </c>
      <c r="U256" s="870">
        <v>3067</v>
      </c>
      <c r="V256" s="870">
        <v>135</v>
      </c>
      <c r="W256" s="870">
        <v>4273</v>
      </c>
      <c r="X256" s="870">
        <v>252</v>
      </c>
      <c r="Y256" s="870">
        <v>5718</v>
      </c>
      <c r="Z256" s="870">
        <v>104</v>
      </c>
      <c r="AA256" s="870">
        <v>180</v>
      </c>
      <c r="AB256" s="870">
        <v>15</v>
      </c>
      <c r="AC256" s="870">
        <v>181</v>
      </c>
      <c r="AD256" s="890">
        <f t="shared" si="43"/>
        <v>31335</v>
      </c>
      <c r="AE256" s="890">
        <f t="shared" si="44"/>
        <v>188779</v>
      </c>
      <c r="AF256" s="890">
        <f t="shared" si="48"/>
        <v>24402</v>
      </c>
      <c r="AG256" s="895">
        <f t="shared" si="45"/>
        <v>-22.1</v>
      </c>
      <c r="AH256" s="890">
        <f t="shared" si="46"/>
        <v>139691</v>
      </c>
      <c r="AI256" s="895">
        <f t="shared" si="47"/>
        <v>-26</v>
      </c>
    </row>
    <row r="257" spans="1:35" s="846" customFormat="1" ht="19.5" hidden="1" customHeight="1">
      <c r="A257" s="897" t="s">
        <v>58</v>
      </c>
      <c r="B257" s="870">
        <v>4499</v>
      </c>
      <c r="C257" s="870">
        <v>29280</v>
      </c>
      <c r="D257" s="870">
        <v>5420</v>
      </c>
      <c r="E257" s="870">
        <v>33383</v>
      </c>
      <c r="F257" s="870">
        <v>41</v>
      </c>
      <c r="G257" s="870">
        <v>651</v>
      </c>
      <c r="H257" s="870">
        <v>61</v>
      </c>
      <c r="I257" s="870">
        <v>1109</v>
      </c>
      <c r="J257" s="870">
        <v>15395</v>
      </c>
      <c r="K257" s="870">
        <v>48789</v>
      </c>
      <c r="L257" s="870">
        <v>11034</v>
      </c>
      <c r="M257" s="870">
        <v>33637</v>
      </c>
      <c r="N257" s="870">
        <v>14350</v>
      </c>
      <c r="O257" s="870">
        <v>30546</v>
      </c>
      <c r="P257" s="870">
        <v>11811</v>
      </c>
      <c r="Q257" s="870">
        <v>22840</v>
      </c>
      <c r="R257" s="870">
        <v>18235</v>
      </c>
      <c r="S257" s="870">
        <v>52314</v>
      </c>
      <c r="T257" s="870">
        <v>18949</v>
      </c>
      <c r="U257" s="870">
        <v>43240</v>
      </c>
      <c r="V257" s="870">
        <v>20</v>
      </c>
      <c r="W257" s="870">
        <v>506</v>
      </c>
      <c r="X257" s="870">
        <v>18</v>
      </c>
      <c r="Y257" s="870">
        <v>435</v>
      </c>
      <c r="Z257" s="870">
        <v>13</v>
      </c>
      <c r="AA257" s="870">
        <v>358</v>
      </c>
      <c r="AB257" s="870">
        <v>1</v>
      </c>
      <c r="AC257" s="870">
        <v>102</v>
      </c>
      <c r="AD257" s="890">
        <f t="shared" si="43"/>
        <v>52553</v>
      </c>
      <c r="AE257" s="890">
        <f t="shared" si="44"/>
        <v>162444</v>
      </c>
      <c r="AF257" s="890">
        <f t="shared" si="48"/>
        <v>47294</v>
      </c>
      <c r="AG257" s="895">
        <f t="shared" si="45"/>
        <v>-10</v>
      </c>
      <c r="AH257" s="890">
        <f t="shared" si="46"/>
        <v>134746</v>
      </c>
      <c r="AI257" s="895">
        <f t="shared" si="47"/>
        <v>-17.100000000000001</v>
      </c>
    </row>
    <row r="258" spans="1:35" s="846" customFormat="1" ht="19.5" hidden="1" customHeight="1">
      <c r="A258" s="897" t="s">
        <v>61</v>
      </c>
      <c r="B258" s="870">
        <v>8815</v>
      </c>
      <c r="C258" s="870">
        <v>58263</v>
      </c>
      <c r="D258" s="870">
        <v>8194</v>
      </c>
      <c r="E258" s="870">
        <v>50313</v>
      </c>
      <c r="F258" s="870">
        <v>7</v>
      </c>
      <c r="G258" s="870">
        <v>79</v>
      </c>
      <c r="H258" s="870">
        <v>4</v>
      </c>
      <c r="I258" s="870">
        <v>35</v>
      </c>
      <c r="J258" s="870">
        <v>24376</v>
      </c>
      <c r="K258" s="870">
        <v>70637</v>
      </c>
      <c r="L258" s="870">
        <v>24939</v>
      </c>
      <c r="M258" s="870">
        <v>68023</v>
      </c>
      <c r="N258" s="870">
        <v>1359</v>
      </c>
      <c r="O258" s="870">
        <v>6367</v>
      </c>
      <c r="P258" s="870">
        <v>1784</v>
      </c>
      <c r="Q258" s="870">
        <v>8519</v>
      </c>
      <c r="R258" s="870">
        <v>6496</v>
      </c>
      <c r="S258" s="870">
        <v>19837</v>
      </c>
      <c r="T258" s="870">
        <v>7405</v>
      </c>
      <c r="U258" s="870">
        <v>17571</v>
      </c>
      <c r="V258" s="870">
        <v>0</v>
      </c>
      <c r="W258" s="870">
        <v>0</v>
      </c>
      <c r="X258" s="870">
        <v>0</v>
      </c>
      <c r="Y258" s="870">
        <v>0</v>
      </c>
      <c r="Z258" s="870">
        <v>20</v>
      </c>
      <c r="AA258" s="870">
        <v>286</v>
      </c>
      <c r="AB258" s="870">
        <v>23</v>
      </c>
      <c r="AC258" s="870">
        <v>505</v>
      </c>
      <c r="AD258" s="890">
        <f t="shared" si="43"/>
        <v>41073</v>
      </c>
      <c r="AE258" s="890">
        <f t="shared" si="44"/>
        <v>155469</v>
      </c>
      <c r="AF258" s="890">
        <f t="shared" si="48"/>
        <v>42349</v>
      </c>
      <c r="AG258" s="895">
        <f t="shared" si="45"/>
        <v>3.1</v>
      </c>
      <c r="AH258" s="890">
        <f t="shared" si="46"/>
        <v>144966</v>
      </c>
      <c r="AI258" s="895">
        <f t="shared" si="47"/>
        <v>-6.8</v>
      </c>
    </row>
    <row r="259" spans="1:35" s="846" customFormat="1" ht="19.5" hidden="1" customHeight="1">
      <c r="A259" s="897" t="s">
        <v>60</v>
      </c>
      <c r="B259" s="870">
        <v>8868</v>
      </c>
      <c r="C259" s="870">
        <v>58603</v>
      </c>
      <c r="D259" s="870">
        <v>8673</v>
      </c>
      <c r="E259" s="870">
        <v>43599</v>
      </c>
      <c r="F259" s="870">
        <v>2</v>
      </c>
      <c r="G259" s="870">
        <v>163</v>
      </c>
      <c r="H259" s="870">
        <v>155</v>
      </c>
      <c r="I259" s="870">
        <v>744</v>
      </c>
      <c r="J259" s="870">
        <v>2339</v>
      </c>
      <c r="K259" s="870">
        <v>14151</v>
      </c>
      <c r="L259" s="870">
        <v>2167</v>
      </c>
      <c r="M259" s="870">
        <v>13952</v>
      </c>
      <c r="N259" s="870">
        <v>5</v>
      </c>
      <c r="O259" s="870">
        <v>20</v>
      </c>
      <c r="P259" s="870">
        <v>50</v>
      </c>
      <c r="Q259" s="870">
        <v>165</v>
      </c>
      <c r="R259" s="870">
        <v>18706</v>
      </c>
      <c r="S259" s="870">
        <v>54124</v>
      </c>
      <c r="T259" s="870">
        <v>7675</v>
      </c>
      <c r="U259" s="870">
        <v>17098</v>
      </c>
      <c r="V259" s="870">
        <v>4</v>
      </c>
      <c r="W259" s="870">
        <v>96</v>
      </c>
      <c r="X259" s="870">
        <v>1</v>
      </c>
      <c r="Y259" s="870">
        <v>26</v>
      </c>
      <c r="Z259" s="870">
        <v>546</v>
      </c>
      <c r="AA259" s="870">
        <v>3827</v>
      </c>
      <c r="AB259" s="870">
        <v>619</v>
      </c>
      <c r="AC259" s="870">
        <v>3515</v>
      </c>
      <c r="AD259" s="890">
        <f t="shared" si="43"/>
        <v>30470</v>
      </c>
      <c r="AE259" s="890">
        <f t="shared" si="44"/>
        <v>130984</v>
      </c>
      <c r="AF259" s="890">
        <f t="shared" si="48"/>
        <v>19340</v>
      </c>
      <c r="AG259" s="895">
        <f t="shared" si="45"/>
        <v>-36.5</v>
      </c>
      <c r="AH259" s="890">
        <f t="shared" si="46"/>
        <v>79099</v>
      </c>
      <c r="AI259" s="895">
        <f t="shared" si="47"/>
        <v>-39.6</v>
      </c>
    </row>
    <row r="260" spans="1:35" s="846" customFormat="1" ht="19.5" hidden="1" customHeight="1">
      <c r="A260" s="897" t="s">
        <v>65</v>
      </c>
      <c r="B260" s="870">
        <v>3677</v>
      </c>
      <c r="C260" s="870">
        <v>25379</v>
      </c>
      <c r="D260" s="870">
        <v>647</v>
      </c>
      <c r="E260" s="870">
        <v>4550</v>
      </c>
      <c r="F260" s="870">
        <v>0</v>
      </c>
      <c r="G260" s="870">
        <v>7</v>
      </c>
      <c r="H260" s="870">
        <v>1</v>
      </c>
      <c r="I260" s="870">
        <v>26</v>
      </c>
      <c r="J260" s="870">
        <v>30932</v>
      </c>
      <c r="K260" s="870">
        <v>86455</v>
      </c>
      <c r="L260" s="870">
        <v>28102</v>
      </c>
      <c r="M260" s="870">
        <v>75748</v>
      </c>
      <c r="N260" s="870">
        <v>1</v>
      </c>
      <c r="O260" s="870">
        <v>8</v>
      </c>
      <c r="P260" s="870">
        <v>0</v>
      </c>
      <c r="Q260" s="870">
        <v>0</v>
      </c>
      <c r="R260" s="870">
        <v>28</v>
      </c>
      <c r="S260" s="870">
        <v>265</v>
      </c>
      <c r="T260" s="870">
        <v>23</v>
      </c>
      <c r="U260" s="870">
        <v>265</v>
      </c>
      <c r="V260" s="870">
        <v>3</v>
      </c>
      <c r="W260" s="870">
        <v>103</v>
      </c>
      <c r="X260" s="870">
        <v>1</v>
      </c>
      <c r="Y260" s="870">
        <v>39</v>
      </c>
      <c r="Z260" s="870">
        <v>1</v>
      </c>
      <c r="AA260" s="870">
        <v>102</v>
      </c>
      <c r="AB260" s="870">
        <v>0</v>
      </c>
      <c r="AC260" s="870">
        <v>44</v>
      </c>
      <c r="AD260" s="890">
        <f t="shared" si="43"/>
        <v>34642</v>
      </c>
      <c r="AE260" s="890">
        <f t="shared" si="44"/>
        <v>112319</v>
      </c>
      <c r="AF260" s="890">
        <f t="shared" si="48"/>
        <v>28774</v>
      </c>
      <c r="AG260" s="895">
        <f t="shared" si="45"/>
        <v>-16.899999999999999</v>
      </c>
      <c r="AH260" s="890">
        <f t="shared" si="46"/>
        <v>80672</v>
      </c>
      <c r="AI260" s="895">
        <f t="shared" si="47"/>
        <v>-28.2</v>
      </c>
    </row>
    <row r="261" spans="1:35" s="846" customFormat="1" ht="19.5" hidden="1" customHeight="1">
      <c r="A261" s="897" t="s">
        <v>63</v>
      </c>
      <c r="B261" s="870">
        <v>1053</v>
      </c>
      <c r="C261" s="870">
        <v>8196</v>
      </c>
      <c r="D261" s="870">
        <v>1022</v>
      </c>
      <c r="E261" s="870">
        <v>7713</v>
      </c>
      <c r="F261" s="870">
        <v>23</v>
      </c>
      <c r="G261" s="870">
        <v>1618</v>
      </c>
      <c r="H261" s="870">
        <v>16</v>
      </c>
      <c r="I261" s="870">
        <v>348</v>
      </c>
      <c r="J261" s="870">
        <v>13633</v>
      </c>
      <c r="K261" s="870">
        <v>35708</v>
      </c>
      <c r="L261" s="870">
        <v>17937</v>
      </c>
      <c r="M261" s="870">
        <v>37716</v>
      </c>
      <c r="N261" s="870">
        <v>0</v>
      </c>
      <c r="O261" s="870">
        <v>0</v>
      </c>
      <c r="P261" s="870">
        <v>16</v>
      </c>
      <c r="Q261" s="870">
        <v>32</v>
      </c>
      <c r="R261" s="870">
        <v>8356</v>
      </c>
      <c r="S261" s="870">
        <v>23754</v>
      </c>
      <c r="T261" s="870">
        <v>8472</v>
      </c>
      <c r="U261" s="870">
        <v>18791</v>
      </c>
      <c r="V261" s="870">
        <v>0</v>
      </c>
      <c r="W261" s="870">
        <v>0</v>
      </c>
      <c r="X261" s="870">
        <v>0</v>
      </c>
      <c r="Y261" s="870">
        <v>0</v>
      </c>
      <c r="Z261" s="870">
        <v>0</v>
      </c>
      <c r="AA261" s="870">
        <v>23</v>
      </c>
      <c r="AB261" s="870">
        <v>0</v>
      </c>
      <c r="AC261" s="870">
        <v>13</v>
      </c>
      <c r="AD261" s="890">
        <f t="shared" si="43"/>
        <v>23065</v>
      </c>
      <c r="AE261" s="890">
        <f t="shared" si="44"/>
        <v>69299</v>
      </c>
      <c r="AF261" s="890">
        <f t="shared" si="48"/>
        <v>27463</v>
      </c>
      <c r="AG261" s="895">
        <f t="shared" si="45"/>
        <v>19.100000000000001</v>
      </c>
      <c r="AH261" s="890">
        <f t="shared" si="46"/>
        <v>64613</v>
      </c>
      <c r="AI261" s="895">
        <f t="shared" si="47"/>
        <v>-6.8</v>
      </c>
    </row>
    <row r="262" spans="1:35" s="846" customFormat="1" ht="19.5" hidden="1" customHeight="1">
      <c r="A262" s="897" t="s">
        <v>64</v>
      </c>
      <c r="B262" s="870">
        <v>1460</v>
      </c>
      <c r="C262" s="870">
        <v>10974</v>
      </c>
      <c r="D262" s="870">
        <v>1281</v>
      </c>
      <c r="E262" s="870">
        <v>9082</v>
      </c>
      <c r="F262" s="870">
        <v>8</v>
      </c>
      <c r="G262" s="870">
        <v>782</v>
      </c>
      <c r="H262" s="870">
        <v>15</v>
      </c>
      <c r="I262" s="870">
        <v>1546</v>
      </c>
      <c r="J262" s="870">
        <v>7237</v>
      </c>
      <c r="K262" s="870">
        <v>20183</v>
      </c>
      <c r="L262" s="870">
        <v>10489</v>
      </c>
      <c r="M262" s="870">
        <v>25566</v>
      </c>
      <c r="N262" s="870">
        <v>45</v>
      </c>
      <c r="O262" s="870">
        <v>89</v>
      </c>
      <c r="P262" s="870">
        <v>50</v>
      </c>
      <c r="Q262" s="870">
        <v>89</v>
      </c>
      <c r="R262" s="870">
        <v>12077</v>
      </c>
      <c r="S262" s="870">
        <v>33149</v>
      </c>
      <c r="T262" s="870">
        <v>7616</v>
      </c>
      <c r="U262" s="870">
        <v>16721</v>
      </c>
      <c r="V262" s="870">
        <v>136</v>
      </c>
      <c r="W262" s="870">
        <v>890</v>
      </c>
      <c r="X262" s="870">
        <v>98</v>
      </c>
      <c r="Y262" s="870">
        <v>549</v>
      </c>
      <c r="Z262" s="870">
        <v>29</v>
      </c>
      <c r="AA262" s="870">
        <v>292</v>
      </c>
      <c r="AB262" s="870">
        <v>0</v>
      </c>
      <c r="AC262" s="870">
        <v>35</v>
      </c>
      <c r="AD262" s="890">
        <f t="shared" si="43"/>
        <v>20992</v>
      </c>
      <c r="AE262" s="890">
        <f t="shared" si="44"/>
        <v>66359</v>
      </c>
      <c r="AF262" s="890">
        <f t="shared" si="48"/>
        <v>19549</v>
      </c>
      <c r="AG262" s="895">
        <f t="shared" si="45"/>
        <v>-6.9</v>
      </c>
      <c r="AH262" s="890">
        <f t="shared" si="46"/>
        <v>53588</v>
      </c>
      <c r="AI262" s="895">
        <f t="shared" si="47"/>
        <v>-19.2</v>
      </c>
    </row>
    <row r="263" spans="1:35" s="846" customFormat="1" ht="19.5" hidden="1" customHeight="1">
      <c r="A263" s="897" t="s">
        <v>62</v>
      </c>
      <c r="B263" s="870">
        <v>2360</v>
      </c>
      <c r="C263" s="870">
        <v>14876</v>
      </c>
      <c r="D263" s="870">
        <v>1653</v>
      </c>
      <c r="E263" s="870">
        <v>9570</v>
      </c>
      <c r="F263" s="870">
        <v>0</v>
      </c>
      <c r="G263" s="870">
        <v>0</v>
      </c>
      <c r="H263" s="870">
        <v>0</v>
      </c>
      <c r="I263" s="870">
        <v>0</v>
      </c>
      <c r="J263" s="870">
        <v>2812</v>
      </c>
      <c r="K263" s="870">
        <v>13076</v>
      </c>
      <c r="L263" s="870">
        <v>3507</v>
      </c>
      <c r="M263" s="870">
        <v>13051</v>
      </c>
      <c r="N263" s="870">
        <v>1488</v>
      </c>
      <c r="O263" s="870">
        <v>3201</v>
      </c>
      <c r="P263" s="870">
        <v>3157</v>
      </c>
      <c r="Q263" s="870">
        <v>5904</v>
      </c>
      <c r="R263" s="870">
        <v>9489</v>
      </c>
      <c r="S263" s="870">
        <v>27578</v>
      </c>
      <c r="T263" s="870">
        <v>8662</v>
      </c>
      <c r="U263" s="870">
        <v>19802</v>
      </c>
      <c r="V263" s="870">
        <v>0</v>
      </c>
      <c r="W263" s="870">
        <v>0</v>
      </c>
      <c r="X263" s="870">
        <v>0</v>
      </c>
      <c r="Y263" s="870">
        <v>0</v>
      </c>
      <c r="Z263" s="870">
        <v>15136</v>
      </c>
      <c r="AA263" s="870">
        <v>851</v>
      </c>
      <c r="AB263" s="870">
        <v>0</v>
      </c>
      <c r="AC263" s="870">
        <v>0</v>
      </c>
      <c r="AD263" s="890">
        <f t="shared" si="43"/>
        <v>31285</v>
      </c>
      <c r="AE263" s="890">
        <f t="shared" si="44"/>
        <v>59582</v>
      </c>
      <c r="AF263" s="890">
        <f t="shared" si="48"/>
        <v>16979</v>
      </c>
      <c r="AG263" s="895">
        <f t="shared" si="45"/>
        <v>-45.7</v>
      </c>
      <c r="AH263" s="890">
        <f t="shared" si="46"/>
        <v>48327</v>
      </c>
      <c r="AI263" s="895">
        <f t="shared" si="47"/>
        <v>-18.899999999999999</v>
      </c>
    </row>
    <row r="264" spans="1:35" s="846" customFormat="1" ht="19.5" hidden="1" customHeight="1">
      <c r="A264" s="897" t="s">
        <v>448</v>
      </c>
      <c r="B264" s="870">
        <v>1008</v>
      </c>
      <c r="C264" s="870">
        <v>14759</v>
      </c>
      <c r="D264" s="870">
        <v>3724</v>
      </c>
      <c r="E264" s="870">
        <v>48023</v>
      </c>
      <c r="F264" s="870">
        <v>24</v>
      </c>
      <c r="G264" s="870">
        <v>1725</v>
      </c>
      <c r="H264" s="870">
        <v>21</v>
      </c>
      <c r="I264" s="870">
        <v>1394</v>
      </c>
      <c r="J264" s="870">
        <v>6672</v>
      </c>
      <c r="K264" s="870">
        <v>37577</v>
      </c>
      <c r="L264" s="870">
        <v>4860</v>
      </c>
      <c r="M264" s="870">
        <v>36535</v>
      </c>
      <c r="N264" s="870">
        <v>13</v>
      </c>
      <c r="O264" s="870">
        <v>2</v>
      </c>
      <c r="P264" s="870">
        <v>8</v>
      </c>
      <c r="Q264" s="870">
        <v>30</v>
      </c>
      <c r="R264" s="870">
        <v>18</v>
      </c>
      <c r="S264" s="870">
        <v>149</v>
      </c>
      <c r="T264" s="870">
        <v>5</v>
      </c>
      <c r="U264" s="870">
        <v>136</v>
      </c>
      <c r="V264" s="870">
        <v>2</v>
      </c>
      <c r="W264" s="870">
        <v>92</v>
      </c>
      <c r="X264" s="870">
        <v>1</v>
      </c>
      <c r="Y264" s="870">
        <v>44</v>
      </c>
      <c r="Z264" s="870">
        <v>1</v>
      </c>
      <c r="AA264" s="870">
        <v>172</v>
      </c>
      <c r="AB264" s="870">
        <v>0</v>
      </c>
      <c r="AC264" s="870">
        <v>14</v>
      </c>
      <c r="AD264" s="890">
        <f t="shared" si="43"/>
        <v>7738</v>
      </c>
      <c r="AE264" s="890">
        <f t="shared" si="44"/>
        <v>54476</v>
      </c>
      <c r="AF264" s="890">
        <f t="shared" si="48"/>
        <v>8619</v>
      </c>
      <c r="AG264" s="895">
        <f t="shared" si="45"/>
        <v>11.4</v>
      </c>
      <c r="AH264" s="890">
        <f t="shared" si="46"/>
        <v>86176</v>
      </c>
      <c r="AI264" s="895">
        <f t="shared" si="47"/>
        <v>58.2</v>
      </c>
    </row>
    <row r="265" spans="1:35" s="846" customFormat="1" ht="19.5" hidden="1" customHeight="1">
      <c r="A265" s="897" t="s">
        <v>77</v>
      </c>
      <c r="B265" s="870">
        <v>596</v>
      </c>
      <c r="C265" s="870">
        <v>6797</v>
      </c>
      <c r="D265" s="870">
        <v>903</v>
      </c>
      <c r="E265" s="870">
        <v>8488</v>
      </c>
      <c r="F265" s="870">
        <v>0</v>
      </c>
      <c r="G265" s="870">
        <v>30</v>
      </c>
      <c r="H265" s="870">
        <v>1</v>
      </c>
      <c r="I265" s="870">
        <v>71</v>
      </c>
      <c r="J265" s="870">
        <v>20489</v>
      </c>
      <c r="K265" s="870">
        <v>47311</v>
      </c>
      <c r="L265" s="870">
        <v>17305</v>
      </c>
      <c r="M265" s="870">
        <v>38549</v>
      </c>
      <c r="N265" s="870">
        <v>0</v>
      </c>
      <c r="O265" s="870">
        <v>0</v>
      </c>
      <c r="P265" s="870">
        <v>293</v>
      </c>
      <c r="Q265" s="870">
        <v>536</v>
      </c>
      <c r="R265" s="870">
        <v>0</v>
      </c>
      <c r="S265" s="870">
        <v>0</v>
      </c>
      <c r="T265" s="870">
        <v>0</v>
      </c>
      <c r="U265" s="870">
        <v>7</v>
      </c>
      <c r="V265" s="870">
        <v>0</v>
      </c>
      <c r="W265" s="870">
        <v>0</v>
      </c>
      <c r="X265" s="870">
        <v>0</v>
      </c>
      <c r="Y265" s="870">
        <v>0</v>
      </c>
      <c r="Z265" s="870">
        <v>1</v>
      </c>
      <c r="AA265" s="870">
        <v>12</v>
      </c>
      <c r="AB265" s="870">
        <v>1</v>
      </c>
      <c r="AC265" s="870">
        <v>7</v>
      </c>
      <c r="AD265" s="890">
        <f t="shared" si="43"/>
        <v>21086</v>
      </c>
      <c r="AE265" s="890">
        <f t="shared" si="44"/>
        <v>54150</v>
      </c>
      <c r="AF265" s="890">
        <f t="shared" si="48"/>
        <v>18503</v>
      </c>
      <c r="AG265" s="895">
        <f t="shared" si="45"/>
        <v>-12.2</v>
      </c>
      <c r="AH265" s="890">
        <f t="shared" si="46"/>
        <v>47658</v>
      </c>
      <c r="AI265" s="895">
        <f t="shared" si="47"/>
        <v>-12</v>
      </c>
    </row>
    <row r="266" spans="1:35" s="846" customFormat="1" ht="19.5" hidden="1" customHeight="1">
      <c r="A266" s="897" t="s">
        <v>75</v>
      </c>
      <c r="B266" s="870">
        <v>300</v>
      </c>
      <c r="C266" s="870">
        <v>2658</v>
      </c>
      <c r="D266" s="870">
        <v>1359</v>
      </c>
      <c r="E266" s="870">
        <v>9630</v>
      </c>
      <c r="F266" s="870">
        <v>0</v>
      </c>
      <c r="G266" s="870">
        <v>1</v>
      </c>
      <c r="H266" s="870">
        <v>1</v>
      </c>
      <c r="I266" s="870">
        <v>13</v>
      </c>
      <c r="J266" s="870">
        <v>12930</v>
      </c>
      <c r="K266" s="870">
        <v>34045</v>
      </c>
      <c r="L266" s="870">
        <v>17278</v>
      </c>
      <c r="M266" s="870">
        <v>40596</v>
      </c>
      <c r="N266" s="870">
        <v>0</v>
      </c>
      <c r="O266" s="870">
        <v>0</v>
      </c>
      <c r="P266" s="870">
        <v>0</v>
      </c>
      <c r="Q266" s="870">
        <v>0</v>
      </c>
      <c r="R266" s="870">
        <v>269</v>
      </c>
      <c r="S266" s="870">
        <v>755</v>
      </c>
      <c r="T266" s="870">
        <v>0</v>
      </c>
      <c r="U266" s="870">
        <v>2</v>
      </c>
      <c r="V266" s="870">
        <v>80</v>
      </c>
      <c r="W266" s="870">
        <v>1682</v>
      </c>
      <c r="X266" s="870">
        <v>20</v>
      </c>
      <c r="Y266" s="870">
        <v>299</v>
      </c>
      <c r="Z266" s="870">
        <v>134</v>
      </c>
      <c r="AA266" s="870">
        <v>369</v>
      </c>
      <c r="AB266" s="870">
        <v>44</v>
      </c>
      <c r="AC266" s="870">
        <v>344</v>
      </c>
      <c r="AD266" s="890">
        <f t="shared" si="43"/>
        <v>13713</v>
      </c>
      <c r="AE266" s="890">
        <f t="shared" si="44"/>
        <v>39510</v>
      </c>
      <c r="AF266" s="890">
        <f t="shared" si="48"/>
        <v>18702</v>
      </c>
      <c r="AG266" s="895">
        <f t="shared" si="45"/>
        <v>36.4</v>
      </c>
      <c r="AH266" s="890">
        <f t="shared" si="46"/>
        <v>50884</v>
      </c>
      <c r="AI266" s="895">
        <f t="shared" si="47"/>
        <v>28.8</v>
      </c>
    </row>
    <row r="267" spans="1:35" s="846" customFormat="1" ht="19.5" hidden="1" customHeight="1">
      <c r="A267" s="897" t="s">
        <v>449</v>
      </c>
      <c r="B267" s="870">
        <v>1808</v>
      </c>
      <c r="C267" s="870">
        <v>21938</v>
      </c>
      <c r="D267" s="870">
        <v>3108</v>
      </c>
      <c r="E267" s="870">
        <v>34752</v>
      </c>
      <c r="F267" s="870">
        <v>0</v>
      </c>
      <c r="G267" s="870">
        <v>0</v>
      </c>
      <c r="H267" s="870">
        <v>1</v>
      </c>
      <c r="I267" s="870">
        <v>0</v>
      </c>
      <c r="J267" s="870">
        <v>938</v>
      </c>
      <c r="K267" s="870">
        <v>6200</v>
      </c>
      <c r="L267" s="870">
        <v>3368</v>
      </c>
      <c r="M267" s="870">
        <v>15183</v>
      </c>
      <c r="N267" s="870">
        <v>0</v>
      </c>
      <c r="O267" s="870">
        <v>0</v>
      </c>
      <c r="P267" s="870">
        <v>0</v>
      </c>
      <c r="Q267" s="870">
        <v>0</v>
      </c>
      <c r="R267" s="870">
        <v>0</v>
      </c>
      <c r="S267" s="870">
        <v>0</v>
      </c>
      <c r="T267" s="870">
        <v>0</v>
      </c>
      <c r="U267" s="870">
        <v>0</v>
      </c>
      <c r="V267" s="870">
        <v>0</v>
      </c>
      <c r="W267" s="870">
        <v>0</v>
      </c>
      <c r="X267" s="870">
        <v>0</v>
      </c>
      <c r="Y267" s="870">
        <v>1</v>
      </c>
      <c r="Z267" s="870">
        <v>0</v>
      </c>
      <c r="AA267" s="870">
        <v>14</v>
      </c>
      <c r="AB267" s="870">
        <v>0</v>
      </c>
      <c r="AC267" s="870">
        <v>33</v>
      </c>
      <c r="AD267" s="890">
        <f t="shared" si="43"/>
        <v>2746</v>
      </c>
      <c r="AE267" s="890">
        <f t="shared" si="44"/>
        <v>28152</v>
      </c>
      <c r="AF267" s="890">
        <f t="shared" si="48"/>
        <v>6477</v>
      </c>
      <c r="AG267" s="895">
        <f t="shared" si="45"/>
        <v>135.9</v>
      </c>
      <c r="AH267" s="890">
        <f t="shared" si="46"/>
        <v>49969</v>
      </c>
      <c r="AI267" s="895">
        <f t="shared" si="47"/>
        <v>77.5</v>
      </c>
    </row>
    <row r="268" spans="1:35" s="846" customFormat="1" ht="19.5" hidden="1" customHeight="1">
      <c r="A268" s="897" t="s">
        <v>68</v>
      </c>
      <c r="B268" s="870">
        <v>633</v>
      </c>
      <c r="C268" s="870">
        <v>8723</v>
      </c>
      <c r="D268" s="870">
        <v>632</v>
      </c>
      <c r="E268" s="870">
        <v>7795</v>
      </c>
      <c r="F268" s="870">
        <v>99</v>
      </c>
      <c r="G268" s="870">
        <v>1033</v>
      </c>
      <c r="H268" s="870">
        <v>248</v>
      </c>
      <c r="I268" s="870">
        <v>1072</v>
      </c>
      <c r="J268" s="870">
        <v>4514</v>
      </c>
      <c r="K268" s="870">
        <v>19969</v>
      </c>
      <c r="L268" s="870">
        <v>1467</v>
      </c>
      <c r="M268" s="870">
        <v>7180</v>
      </c>
      <c r="N268" s="870">
        <v>0</v>
      </c>
      <c r="O268" s="870">
        <v>0</v>
      </c>
      <c r="P268" s="870">
        <v>0</v>
      </c>
      <c r="Q268" s="870">
        <v>0</v>
      </c>
      <c r="R268" s="870">
        <v>4</v>
      </c>
      <c r="S268" s="870">
        <v>20</v>
      </c>
      <c r="T268" s="870">
        <v>3</v>
      </c>
      <c r="U268" s="870">
        <v>24</v>
      </c>
      <c r="V268" s="870">
        <v>0</v>
      </c>
      <c r="W268" s="870">
        <v>62</v>
      </c>
      <c r="X268" s="870">
        <v>0</v>
      </c>
      <c r="Y268" s="870">
        <v>23</v>
      </c>
      <c r="Z268" s="870">
        <v>34</v>
      </c>
      <c r="AA268" s="870">
        <v>5109</v>
      </c>
      <c r="AB268" s="870">
        <v>61</v>
      </c>
      <c r="AC268" s="870">
        <v>4760</v>
      </c>
      <c r="AD268" s="890">
        <f t="shared" si="43"/>
        <v>5284</v>
      </c>
      <c r="AE268" s="890">
        <f t="shared" si="44"/>
        <v>34916</v>
      </c>
      <c r="AF268" s="890">
        <f t="shared" si="48"/>
        <v>2411</v>
      </c>
      <c r="AG268" s="895">
        <f t="shared" si="45"/>
        <v>-54.4</v>
      </c>
      <c r="AH268" s="890">
        <f t="shared" si="46"/>
        <v>20854</v>
      </c>
      <c r="AI268" s="895">
        <f t="shared" si="47"/>
        <v>-40.299999999999997</v>
      </c>
    </row>
    <row r="269" spans="1:35" s="846" customFormat="1" ht="19.5" hidden="1" customHeight="1">
      <c r="A269" s="897" t="s">
        <v>66</v>
      </c>
      <c r="B269" s="870">
        <v>2300</v>
      </c>
      <c r="C269" s="870">
        <v>12510</v>
      </c>
      <c r="D269" s="870">
        <v>1663</v>
      </c>
      <c r="E269" s="870">
        <v>11544</v>
      </c>
      <c r="F269" s="870">
        <v>24</v>
      </c>
      <c r="G269" s="870">
        <v>380</v>
      </c>
      <c r="H269" s="870">
        <v>118</v>
      </c>
      <c r="I269" s="870">
        <v>1026</v>
      </c>
      <c r="J269" s="870">
        <v>2529</v>
      </c>
      <c r="K269" s="870">
        <v>11115</v>
      </c>
      <c r="L269" s="870">
        <v>1688</v>
      </c>
      <c r="M269" s="870">
        <v>9218</v>
      </c>
      <c r="N269" s="870">
        <v>76</v>
      </c>
      <c r="O269" s="870">
        <v>162</v>
      </c>
      <c r="P269" s="870">
        <v>97</v>
      </c>
      <c r="Q269" s="870">
        <v>134</v>
      </c>
      <c r="R269" s="870">
        <v>1311</v>
      </c>
      <c r="S269" s="870">
        <v>4003</v>
      </c>
      <c r="T269" s="870">
        <v>907</v>
      </c>
      <c r="U269" s="870">
        <v>2208</v>
      </c>
      <c r="V269" s="870">
        <v>17</v>
      </c>
      <c r="W269" s="870">
        <v>330</v>
      </c>
      <c r="X269" s="870">
        <v>0</v>
      </c>
      <c r="Y269" s="870">
        <v>6</v>
      </c>
      <c r="Z269" s="870">
        <v>240</v>
      </c>
      <c r="AA269" s="870">
        <v>2055</v>
      </c>
      <c r="AB269" s="870">
        <v>367</v>
      </c>
      <c r="AC269" s="870">
        <v>1120</v>
      </c>
      <c r="AD269" s="890">
        <f t="shared" si="43"/>
        <v>6497</v>
      </c>
      <c r="AE269" s="890">
        <f t="shared" si="44"/>
        <v>30555</v>
      </c>
      <c r="AF269" s="890">
        <f t="shared" si="48"/>
        <v>4840</v>
      </c>
      <c r="AG269" s="895">
        <f t="shared" si="45"/>
        <v>-25.5</v>
      </c>
      <c r="AH269" s="890">
        <f t="shared" si="46"/>
        <v>25256</v>
      </c>
      <c r="AI269" s="895">
        <f t="shared" si="47"/>
        <v>-17.3</v>
      </c>
    </row>
    <row r="270" spans="1:35" s="846" customFormat="1" ht="19.5" hidden="1" customHeight="1">
      <c r="A270" s="897" t="s">
        <v>73</v>
      </c>
      <c r="B270" s="870">
        <v>537</v>
      </c>
      <c r="C270" s="870">
        <v>3644</v>
      </c>
      <c r="D270" s="870">
        <v>942</v>
      </c>
      <c r="E270" s="870">
        <v>4926</v>
      </c>
      <c r="F270" s="870">
        <v>4</v>
      </c>
      <c r="G270" s="870">
        <v>268</v>
      </c>
      <c r="H270" s="870">
        <v>19</v>
      </c>
      <c r="I270" s="870">
        <v>224</v>
      </c>
      <c r="J270" s="870">
        <v>9097</v>
      </c>
      <c r="K270" s="870">
        <v>23304</v>
      </c>
      <c r="L270" s="870">
        <v>1419</v>
      </c>
      <c r="M270" s="870">
        <v>7472</v>
      </c>
      <c r="N270" s="870">
        <v>0</v>
      </c>
      <c r="O270" s="870">
        <v>0</v>
      </c>
      <c r="P270" s="870">
        <v>0</v>
      </c>
      <c r="Q270" s="870">
        <v>0</v>
      </c>
      <c r="R270" s="870">
        <v>0</v>
      </c>
      <c r="S270" s="870">
        <v>7</v>
      </c>
      <c r="T270" s="870">
        <v>0</v>
      </c>
      <c r="U270" s="870">
        <v>1</v>
      </c>
      <c r="V270" s="870">
        <v>14</v>
      </c>
      <c r="W270" s="870">
        <v>232</v>
      </c>
      <c r="X270" s="870">
        <v>12</v>
      </c>
      <c r="Y270" s="870">
        <v>147</v>
      </c>
      <c r="Z270" s="870">
        <v>7</v>
      </c>
      <c r="AA270" s="870">
        <v>126</v>
      </c>
      <c r="AB270" s="870">
        <v>23</v>
      </c>
      <c r="AC270" s="870">
        <v>409</v>
      </c>
      <c r="AD270" s="890">
        <f t="shared" si="43"/>
        <v>9659</v>
      </c>
      <c r="AE270" s="890">
        <f t="shared" si="44"/>
        <v>27581</v>
      </c>
      <c r="AF270" s="890">
        <f t="shared" si="48"/>
        <v>2415</v>
      </c>
      <c r="AG270" s="895">
        <f t="shared" si="45"/>
        <v>-75</v>
      </c>
      <c r="AH270" s="890">
        <f t="shared" si="46"/>
        <v>13179</v>
      </c>
      <c r="AI270" s="895">
        <f t="shared" si="47"/>
        <v>-52.2</v>
      </c>
    </row>
    <row r="271" spans="1:35" s="846" customFormat="1" ht="19.5" hidden="1" customHeight="1">
      <c r="A271" s="897" t="s">
        <v>71</v>
      </c>
      <c r="B271" s="870">
        <v>1905</v>
      </c>
      <c r="C271" s="870">
        <v>14816</v>
      </c>
      <c r="D271" s="870">
        <v>1661</v>
      </c>
      <c r="E271" s="870">
        <v>11971</v>
      </c>
      <c r="F271" s="870">
        <v>180</v>
      </c>
      <c r="G271" s="870">
        <v>1931</v>
      </c>
      <c r="H271" s="870">
        <v>104</v>
      </c>
      <c r="I271" s="870">
        <v>512</v>
      </c>
      <c r="J271" s="870">
        <v>3047</v>
      </c>
      <c r="K271" s="870">
        <v>9255</v>
      </c>
      <c r="L271" s="870">
        <v>577</v>
      </c>
      <c r="M271" s="870">
        <v>2152</v>
      </c>
      <c r="N271" s="870">
        <v>0</v>
      </c>
      <c r="O271" s="870">
        <v>0</v>
      </c>
      <c r="P271" s="870">
        <v>0</v>
      </c>
      <c r="Q271" s="870">
        <v>0</v>
      </c>
      <c r="R271" s="870">
        <v>1</v>
      </c>
      <c r="S271" s="870">
        <v>7</v>
      </c>
      <c r="T271" s="870">
        <v>0</v>
      </c>
      <c r="U271" s="870">
        <v>3</v>
      </c>
      <c r="V271" s="870">
        <v>0</v>
      </c>
      <c r="W271" s="870">
        <v>0</v>
      </c>
      <c r="X271" s="870">
        <v>0</v>
      </c>
      <c r="Y271" s="870">
        <v>0</v>
      </c>
      <c r="Z271" s="870">
        <v>194</v>
      </c>
      <c r="AA271" s="870">
        <v>2834</v>
      </c>
      <c r="AB271" s="870">
        <v>104</v>
      </c>
      <c r="AC271" s="870">
        <v>757</v>
      </c>
      <c r="AD271" s="890">
        <f t="shared" si="43"/>
        <v>5327</v>
      </c>
      <c r="AE271" s="890">
        <f t="shared" si="44"/>
        <v>28843</v>
      </c>
      <c r="AF271" s="890">
        <f t="shared" si="48"/>
        <v>2446</v>
      </c>
      <c r="AG271" s="895">
        <f t="shared" si="45"/>
        <v>-54.1</v>
      </c>
      <c r="AH271" s="890">
        <f t="shared" si="46"/>
        <v>15395</v>
      </c>
      <c r="AI271" s="895">
        <f t="shared" si="47"/>
        <v>-46.6</v>
      </c>
    </row>
    <row r="272" spans="1:35" s="846" customFormat="1" ht="19.5" hidden="1" customHeight="1">
      <c r="A272" s="891" t="s">
        <v>70</v>
      </c>
      <c r="B272" s="870">
        <v>174</v>
      </c>
      <c r="C272" s="870">
        <v>578</v>
      </c>
      <c r="D272" s="870">
        <v>102</v>
      </c>
      <c r="E272" s="870">
        <v>572</v>
      </c>
      <c r="F272" s="870">
        <v>0</v>
      </c>
      <c r="G272" s="870">
        <v>8</v>
      </c>
      <c r="H272" s="870">
        <v>6</v>
      </c>
      <c r="I272" s="870">
        <v>126</v>
      </c>
      <c r="J272" s="870">
        <v>3996</v>
      </c>
      <c r="K272" s="870">
        <v>9848</v>
      </c>
      <c r="L272" s="870">
        <v>4324</v>
      </c>
      <c r="M272" s="870">
        <v>9893</v>
      </c>
      <c r="N272" s="870">
        <v>1</v>
      </c>
      <c r="O272" s="870">
        <v>2</v>
      </c>
      <c r="P272" s="870">
        <v>0</v>
      </c>
      <c r="Q272" s="870">
        <v>0</v>
      </c>
      <c r="R272" s="870">
        <v>7404</v>
      </c>
      <c r="S272" s="870">
        <v>21623</v>
      </c>
      <c r="T272" s="870">
        <v>2699</v>
      </c>
      <c r="U272" s="870">
        <v>6206</v>
      </c>
      <c r="V272" s="870">
        <v>0</v>
      </c>
      <c r="W272" s="870">
        <v>2</v>
      </c>
      <c r="X272" s="870">
        <v>10</v>
      </c>
      <c r="Y272" s="870">
        <v>179</v>
      </c>
      <c r="Z272" s="870">
        <v>20</v>
      </c>
      <c r="AA272" s="870">
        <v>66</v>
      </c>
      <c r="AB272" s="870">
        <v>0</v>
      </c>
      <c r="AC272" s="870">
        <v>2</v>
      </c>
      <c r="AD272" s="890">
        <f t="shared" si="43"/>
        <v>11595</v>
      </c>
      <c r="AE272" s="890">
        <f t="shared" si="44"/>
        <v>32127</v>
      </c>
      <c r="AF272" s="890">
        <f t="shared" si="48"/>
        <v>7141</v>
      </c>
      <c r="AG272" s="895">
        <f t="shared" si="45"/>
        <v>-38.4</v>
      </c>
      <c r="AH272" s="890">
        <f t="shared" si="46"/>
        <v>16978</v>
      </c>
      <c r="AI272" s="895">
        <f t="shared" si="47"/>
        <v>-47.2</v>
      </c>
    </row>
    <row r="273" spans="1:35" s="846" customFormat="1" ht="19.5" hidden="1" customHeight="1">
      <c r="A273" s="897" t="s">
        <v>74</v>
      </c>
      <c r="B273" s="870">
        <v>1287</v>
      </c>
      <c r="C273" s="870">
        <v>10729</v>
      </c>
      <c r="D273" s="870">
        <v>887</v>
      </c>
      <c r="E273" s="870">
        <v>6820</v>
      </c>
      <c r="F273" s="870">
        <v>1</v>
      </c>
      <c r="G273" s="870">
        <v>79</v>
      </c>
      <c r="H273" s="870">
        <v>0</v>
      </c>
      <c r="I273" s="870">
        <v>21</v>
      </c>
      <c r="J273" s="870">
        <v>5474</v>
      </c>
      <c r="K273" s="870">
        <v>14491</v>
      </c>
      <c r="L273" s="870">
        <v>4523</v>
      </c>
      <c r="M273" s="870">
        <v>10984</v>
      </c>
      <c r="N273" s="870">
        <v>0</v>
      </c>
      <c r="O273" s="870">
        <v>0</v>
      </c>
      <c r="P273" s="870">
        <v>0</v>
      </c>
      <c r="Q273" s="870">
        <v>0</v>
      </c>
      <c r="R273" s="870">
        <v>0</v>
      </c>
      <c r="S273" s="870">
        <v>11</v>
      </c>
      <c r="T273" s="870">
        <v>0</v>
      </c>
      <c r="U273" s="870">
        <v>0</v>
      </c>
      <c r="V273" s="870">
        <v>0</v>
      </c>
      <c r="W273" s="870">
        <v>0</v>
      </c>
      <c r="X273" s="870">
        <v>0</v>
      </c>
      <c r="Y273" s="870">
        <v>0</v>
      </c>
      <c r="Z273" s="870">
        <v>81</v>
      </c>
      <c r="AA273" s="870">
        <v>273</v>
      </c>
      <c r="AB273" s="870">
        <v>965</v>
      </c>
      <c r="AC273" s="870">
        <v>2395</v>
      </c>
      <c r="AD273" s="890">
        <f t="shared" si="43"/>
        <v>6843</v>
      </c>
      <c r="AE273" s="890">
        <f t="shared" si="44"/>
        <v>25583</v>
      </c>
      <c r="AF273" s="890">
        <f t="shared" si="48"/>
        <v>6375</v>
      </c>
      <c r="AG273" s="895">
        <f t="shared" si="45"/>
        <v>-6.8</v>
      </c>
      <c r="AH273" s="890">
        <f t="shared" si="46"/>
        <v>20220</v>
      </c>
      <c r="AI273" s="895">
        <f t="shared" si="47"/>
        <v>-21</v>
      </c>
    </row>
    <row r="274" spans="1:35" s="846" customFormat="1" ht="19.5" hidden="1" customHeight="1">
      <c r="A274" s="891" t="s">
        <v>88</v>
      </c>
      <c r="B274" s="870">
        <v>2</v>
      </c>
      <c r="C274" s="870">
        <v>42</v>
      </c>
      <c r="D274" s="870">
        <v>0</v>
      </c>
      <c r="E274" s="870">
        <v>8</v>
      </c>
      <c r="F274" s="870">
        <v>0</v>
      </c>
      <c r="G274" s="870">
        <v>0</v>
      </c>
      <c r="H274" s="870">
        <v>0</v>
      </c>
      <c r="I274" s="870">
        <v>0</v>
      </c>
      <c r="J274" s="870">
        <v>11283</v>
      </c>
      <c r="K274" s="870">
        <v>26086</v>
      </c>
      <c r="L274" s="870">
        <v>5761</v>
      </c>
      <c r="M274" s="870">
        <v>12133</v>
      </c>
      <c r="N274" s="870">
        <v>0</v>
      </c>
      <c r="O274" s="870">
        <v>0</v>
      </c>
      <c r="P274" s="870">
        <v>0</v>
      </c>
      <c r="Q274" s="870">
        <v>0</v>
      </c>
      <c r="R274" s="870">
        <v>225</v>
      </c>
      <c r="S274" s="870">
        <v>699</v>
      </c>
      <c r="T274" s="870">
        <v>0</v>
      </c>
      <c r="U274" s="870">
        <v>0</v>
      </c>
      <c r="V274" s="870">
        <v>0</v>
      </c>
      <c r="W274" s="870">
        <v>0</v>
      </c>
      <c r="X274" s="870">
        <v>0</v>
      </c>
      <c r="Y274" s="870">
        <v>0</v>
      </c>
      <c r="Z274" s="870">
        <v>0</v>
      </c>
      <c r="AA274" s="870">
        <v>0</v>
      </c>
      <c r="AB274" s="870">
        <v>0</v>
      </c>
      <c r="AC274" s="870">
        <v>0</v>
      </c>
      <c r="AD274" s="890">
        <f t="shared" si="43"/>
        <v>11510</v>
      </c>
      <c r="AE274" s="890">
        <f t="shared" si="44"/>
        <v>26827</v>
      </c>
      <c r="AF274" s="890">
        <f t="shared" si="48"/>
        <v>5761</v>
      </c>
      <c r="AG274" s="895">
        <f t="shared" si="45"/>
        <v>-49.9</v>
      </c>
      <c r="AH274" s="890">
        <f t="shared" si="46"/>
        <v>12141</v>
      </c>
      <c r="AI274" s="895">
        <f t="shared" si="47"/>
        <v>-54.7</v>
      </c>
    </row>
    <row r="275" spans="1:35" s="846" customFormat="1" ht="19.5" hidden="1" customHeight="1">
      <c r="A275" s="891" t="s">
        <v>67</v>
      </c>
      <c r="B275" s="870">
        <v>121</v>
      </c>
      <c r="C275" s="870">
        <v>196</v>
      </c>
      <c r="D275" s="870">
        <v>208</v>
      </c>
      <c r="E275" s="870">
        <v>312</v>
      </c>
      <c r="F275" s="870">
        <v>0</v>
      </c>
      <c r="G275" s="870">
        <v>0</v>
      </c>
      <c r="H275" s="870">
        <v>0</v>
      </c>
      <c r="I275" s="870">
        <v>1</v>
      </c>
      <c r="J275" s="870">
        <v>8944</v>
      </c>
      <c r="K275" s="870">
        <v>22678</v>
      </c>
      <c r="L275" s="870">
        <v>10688</v>
      </c>
      <c r="M275" s="870">
        <v>24149</v>
      </c>
      <c r="N275" s="870">
        <v>0</v>
      </c>
      <c r="O275" s="870">
        <v>0</v>
      </c>
      <c r="P275" s="870">
        <v>2</v>
      </c>
      <c r="Q275" s="870">
        <v>7</v>
      </c>
      <c r="R275" s="870">
        <v>6</v>
      </c>
      <c r="S275" s="870">
        <v>7</v>
      </c>
      <c r="T275" s="870">
        <v>0</v>
      </c>
      <c r="U275" s="870">
        <v>0</v>
      </c>
      <c r="V275" s="870">
        <v>0</v>
      </c>
      <c r="W275" s="870">
        <v>0</v>
      </c>
      <c r="X275" s="870">
        <v>0</v>
      </c>
      <c r="Y275" s="870">
        <v>0</v>
      </c>
      <c r="Z275" s="870">
        <v>0</v>
      </c>
      <c r="AA275" s="870">
        <v>0</v>
      </c>
      <c r="AB275" s="870">
        <v>0</v>
      </c>
      <c r="AC275" s="870">
        <v>0</v>
      </c>
      <c r="AD275" s="890">
        <f t="shared" si="43"/>
        <v>9071</v>
      </c>
      <c r="AE275" s="890">
        <f t="shared" si="44"/>
        <v>22881</v>
      </c>
      <c r="AF275" s="890">
        <f t="shared" si="48"/>
        <v>10898</v>
      </c>
      <c r="AG275" s="895">
        <f t="shared" si="45"/>
        <v>20.100000000000001</v>
      </c>
      <c r="AH275" s="890">
        <f t="shared" si="46"/>
        <v>24469</v>
      </c>
      <c r="AI275" s="895">
        <f t="shared" si="47"/>
        <v>6.9</v>
      </c>
    </row>
    <row r="276" spans="1:35" s="846" customFormat="1" ht="19.5" hidden="1" customHeight="1">
      <c r="A276" s="897" t="s">
        <v>72</v>
      </c>
      <c r="B276" s="870">
        <v>479</v>
      </c>
      <c r="C276" s="870">
        <v>3328</v>
      </c>
      <c r="D276" s="870">
        <v>499</v>
      </c>
      <c r="E276" s="870">
        <v>3705</v>
      </c>
      <c r="F276" s="870">
        <v>0</v>
      </c>
      <c r="G276" s="870">
        <v>1</v>
      </c>
      <c r="H276" s="870">
        <v>0</v>
      </c>
      <c r="I276" s="870">
        <v>12</v>
      </c>
      <c r="J276" s="870">
        <v>3557</v>
      </c>
      <c r="K276" s="870">
        <v>15312</v>
      </c>
      <c r="L276" s="870">
        <v>2717</v>
      </c>
      <c r="M276" s="870">
        <v>15662</v>
      </c>
      <c r="N276" s="870">
        <v>0</v>
      </c>
      <c r="O276" s="870">
        <v>0</v>
      </c>
      <c r="P276" s="870">
        <v>0</v>
      </c>
      <c r="Q276" s="870">
        <v>0</v>
      </c>
      <c r="R276" s="870">
        <v>1</v>
      </c>
      <c r="S276" s="870">
        <v>11</v>
      </c>
      <c r="T276" s="870">
        <v>1</v>
      </c>
      <c r="U276" s="870">
        <v>15</v>
      </c>
      <c r="V276" s="870">
        <v>0</v>
      </c>
      <c r="W276" s="870">
        <v>0</v>
      </c>
      <c r="X276" s="870">
        <v>0</v>
      </c>
      <c r="Y276" s="870">
        <v>0</v>
      </c>
      <c r="Z276" s="870">
        <v>25</v>
      </c>
      <c r="AA276" s="870">
        <v>1349</v>
      </c>
      <c r="AB276" s="870">
        <v>22</v>
      </c>
      <c r="AC276" s="870">
        <v>1262</v>
      </c>
      <c r="AD276" s="890">
        <f t="shared" si="43"/>
        <v>4062</v>
      </c>
      <c r="AE276" s="890">
        <f t="shared" si="44"/>
        <v>20001</v>
      </c>
      <c r="AF276" s="890">
        <f t="shared" si="48"/>
        <v>3239</v>
      </c>
      <c r="AG276" s="895">
        <f t="shared" si="45"/>
        <v>-20.3</v>
      </c>
      <c r="AH276" s="890">
        <f t="shared" si="46"/>
        <v>20656</v>
      </c>
      <c r="AI276" s="895">
        <f t="shared" si="47"/>
        <v>3.3</v>
      </c>
    </row>
    <row r="277" spans="1:35" s="846" customFormat="1" ht="19.5" hidden="1" customHeight="1">
      <c r="A277" s="897" t="s">
        <v>69</v>
      </c>
      <c r="B277" s="870">
        <v>351</v>
      </c>
      <c r="C277" s="870">
        <v>3804</v>
      </c>
      <c r="D277" s="870">
        <v>279</v>
      </c>
      <c r="E277" s="870">
        <v>3087</v>
      </c>
      <c r="F277" s="870">
        <v>59</v>
      </c>
      <c r="G277" s="870">
        <v>350</v>
      </c>
      <c r="H277" s="870">
        <v>0</v>
      </c>
      <c r="I277" s="870">
        <v>46</v>
      </c>
      <c r="J277" s="870">
        <v>4428</v>
      </c>
      <c r="K277" s="870">
        <v>13346</v>
      </c>
      <c r="L277" s="870">
        <v>382</v>
      </c>
      <c r="M277" s="870">
        <v>5532</v>
      </c>
      <c r="N277" s="870">
        <v>5</v>
      </c>
      <c r="O277" s="870">
        <v>2</v>
      </c>
      <c r="P277" s="870">
        <v>51</v>
      </c>
      <c r="Q277" s="870">
        <v>27</v>
      </c>
      <c r="R277" s="870">
        <v>0</v>
      </c>
      <c r="S277" s="870">
        <v>0</v>
      </c>
      <c r="T277" s="870">
        <v>0</v>
      </c>
      <c r="U277" s="870">
        <v>0</v>
      </c>
      <c r="V277" s="870">
        <v>0</v>
      </c>
      <c r="W277" s="870">
        <v>7</v>
      </c>
      <c r="X277" s="870">
        <v>0</v>
      </c>
      <c r="Y277" s="870">
        <v>7</v>
      </c>
      <c r="Z277" s="870">
        <v>622</v>
      </c>
      <c r="AA277" s="870">
        <v>5193</v>
      </c>
      <c r="AB277" s="870">
        <v>369</v>
      </c>
      <c r="AC277" s="870">
        <v>2382</v>
      </c>
      <c r="AD277" s="890">
        <f t="shared" si="43"/>
        <v>5465</v>
      </c>
      <c r="AE277" s="890">
        <f t="shared" si="44"/>
        <v>22702</v>
      </c>
      <c r="AF277" s="890">
        <f t="shared" si="48"/>
        <v>1081</v>
      </c>
      <c r="AG277" s="895">
        <f t="shared" si="45"/>
        <v>-80.2</v>
      </c>
      <c r="AH277" s="890">
        <f t="shared" si="46"/>
        <v>11081</v>
      </c>
      <c r="AI277" s="895">
        <f t="shared" si="47"/>
        <v>-51.2</v>
      </c>
    </row>
    <row r="278" spans="1:35" s="846" customFormat="1" ht="19.5" hidden="1" customHeight="1">
      <c r="A278" s="877" t="s">
        <v>560</v>
      </c>
      <c r="B278" s="892">
        <f t="shared" ref="B278:G278" si="49">B279-SUM(B248:B277)</f>
        <v>6835</v>
      </c>
      <c r="C278" s="892">
        <f t="shared" si="49"/>
        <v>63700</v>
      </c>
      <c r="D278" s="892">
        <f t="shared" si="49"/>
        <v>8291</v>
      </c>
      <c r="E278" s="892">
        <f t="shared" si="49"/>
        <v>63404</v>
      </c>
      <c r="F278" s="892">
        <f t="shared" si="49"/>
        <v>557</v>
      </c>
      <c r="G278" s="892">
        <f t="shared" si="49"/>
        <v>3341</v>
      </c>
      <c r="H278" s="892">
        <f t="shared" ref="H278:AC278" si="50">H279-SUM(H248:H277)</f>
        <v>311</v>
      </c>
      <c r="I278" s="892">
        <f t="shared" si="50"/>
        <v>4336</v>
      </c>
      <c r="J278" s="892">
        <f t="shared" si="50"/>
        <v>48439</v>
      </c>
      <c r="K278" s="892">
        <f t="shared" si="50"/>
        <v>144636</v>
      </c>
      <c r="L278" s="892">
        <f t="shared" si="50"/>
        <v>37086</v>
      </c>
      <c r="M278" s="892">
        <f t="shared" si="50"/>
        <v>110790</v>
      </c>
      <c r="N278" s="892">
        <f t="shared" si="50"/>
        <v>4577</v>
      </c>
      <c r="O278" s="892">
        <f t="shared" si="50"/>
        <v>10420</v>
      </c>
      <c r="P278" s="892">
        <f t="shared" si="50"/>
        <v>2740</v>
      </c>
      <c r="Q278" s="892">
        <f t="shared" si="50"/>
        <v>5640</v>
      </c>
      <c r="R278" s="892">
        <f t="shared" si="50"/>
        <v>10033</v>
      </c>
      <c r="S278" s="892">
        <f t="shared" si="50"/>
        <v>29382</v>
      </c>
      <c r="T278" s="892">
        <f t="shared" si="50"/>
        <v>15844</v>
      </c>
      <c r="U278" s="892">
        <f t="shared" si="50"/>
        <v>36102</v>
      </c>
      <c r="V278" s="892">
        <f t="shared" si="50"/>
        <v>24</v>
      </c>
      <c r="W278" s="892">
        <f t="shared" si="50"/>
        <v>431</v>
      </c>
      <c r="X278" s="892">
        <f t="shared" si="50"/>
        <v>32</v>
      </c>
      <c r="Y278" s="892">
        <f t="shared" si="50"/>
        <v>349</v>
      </c>
      <c r="Z278" s="892">
        <f t="shared" si="50"/>
        <v>333</v>
      </c>
      <c r="AA278" s="892">
        <f t="shared" si="50"/>
        <v>5821</v>
      </c>
      <c r="AB278" s="892">
        <f t="shared" si="50"/>
        <v>643</v>
      </c>
      <c r="AC278" s="892">
        <f t="shared" si="50"/>
        <v>7579</v>
      </c>
      <c r="AD278" s="892">
        <f>AD279-SUM(AD248:AD277)</f>
        <v>70798</v>
      </c>
      <c r="AE278" s="892">
        <f>AE279-SUM(AE248:AE277)</f>
        <v>257731</v>
      </c>
      <c r="AF278" s="892">
        <f>AF279-SUM(AF248:AF277)</f>
        <v>64947</v>
      </c>
      <c r="AG278" s="895">
        <f t="shared" si="45"/>
        <v>-8.3000000000000007</v>
      </c>
      <c r="AH278" s="892">
        <f>AH279-SUM(AH248:AH277)</f>
        <v>228200</v>
      </c>
      <c r="AI278" s="896">
        <f t="shared" si="47"/>
        <v>-11.5</v>
      </c>
    </row>
    <row r="279" spans="1:35" s="846" customFormat="1" ht="19.5" hidden="1" customHeight="1">
      <c r="A279" s="915" t="s">
        <v>79</v>
      </c>
      <c r="B279" s="886">
        <v>411941</v>
      </c>
      <c r="C279" s="886">
        <v>2780238</v>
      </c>
      <c r="D279" s="886">
        <v>383331</v>
      </c>
      <c r="E279" s="886">
        <v>2495400</v>
      </c>
      <c r="F279" s="886">
        <v>11542</v>
      </c>
      <c r="G279" s="888">
        <v>103188</v>
      </c>
      <c r="H279" s="886">
        <v>8876</v>
      </c>
      <c r="I279" s="886">
        <v>83232</v>
      </c>
      <c r="J279" s="886">
        <v>638792</v>
      </c>
      <c r="K279" s="886">
        <v>2094247</v>
      </c>
      <c r="L279" s="886">
        <v>699644</v>
      </c>
      <c r="M279" s="886">
        <v>2016502</v>
      </c>
      <c r="N279" s="886">
        <v>215820</v>
      </c>
      <c r="O279" s="886">
        <v>463782</v>
      </c>
      <c r="P279" s="886">
        <v>201163</v>
      </c>
      <c r="Q279" s="886">
        <v>397800</v>
      </c>
      <c r="R279" s="886">
        <v>318767</v>
      </c>
      <c r="S279" s="886">
        <v>911545</v>
      </c>
      <c r="T279" s="886">
        <v>349715</v>
      </c>
      <c r="U279" s="886">
        <v>764459</v>
      </c>
      <c r="V279" s="886">
        <v>1222</v>
      </c>
      <c r="W279" s="886">
        <v>26061</v>
      </c>
      <c r="X279" s="886">
        <v>1122</v>
      </c>
      <c r="Y279" s="886">
        <v>25173</v>
      </c>
      <c r="Z279" s="886">
        <v>73212</v>
      </c>
      <c r="AA279" s="888">
        <v>172105</v>
      </c>
      <c r="AB279" s="886">
        <v>13742</v>
      </c>
      <c r="AC279" s="886">
        <v>136175</v>
      </c>
      <c r="AD279" s="893">
        <f>SUM(B279+F279+J279+N279+R279+V279+Z279)</f>
        <v>1671296</v>
      </c>
      <c r="AE279" s="893">
        <f>SUM(C279+G279+K279+O279+S279+W279+AA279)</f>
        <v>6551166</v>
      </c>
      <c r="AF279" s="893">
        <f>SUM(D279+H279+L279+P279+T279+X279+AB279)</f>
        <v>1657593</v>
      </c>
      <c r="AG279" s="906">
        <f t="shared" si="45"/>
        <v>-0.8</v>
      </c>
      <c r="AH279" s="893">
        <f>SUM(E279+I279+M279+Q279+U279+Y279+AC279)</f>
        <v>5918741</v>
      </c>
      <c r="AI279" s="896">
        <f t="shared" si="47"/>
        <v>-9.6999999999999993</v>
      </c>
    </row>
    <row r="280" spans="1:35" hidden="1"/>
    <row r="281" spans="1:35" s="846" customFormat="1" ht="22.5" hidden="1" customHeight="1">
      <c r="A281" s="1095" t="s">
        <v>634</v>
      </c>
      <c r="B281" s="1095"/>
      <c r="C281" s="1095"/>
      <c r="D281" s="1095"/>
      <c r="E281" s="1095"/>
      <c r="F281" s="1095"/>
      <c r="G281" s="1095"/>
      <c r="H281" s="1095"/>
      <c r="I281" s="1095"/>
      <c r="J281" s="1095"/>
      <c r="K281" s="1095"/>
      <c r="L281" s="1095"/>
      <c r="M281" s="1095"/>
      <c r="N281" s="1095"/>
      <c r="O281" s="1095"/>
      <c r="P281" s="1095"/>
      <c r="Q281" s="1095"/>
      <c r="R281" s="1095"/>
      <c r="S281" s="1095"/>
      <c r="T281" s="1095"/>
      <c r="U281" s="1095"/>
      <c r="V281" s="1095"/>
      <c r="W281" s="1095"/>
      <c r="X281" s="1095"/>
      <c r="Y281" s="1095"/>
      <c r="Z281" s="1095"/>
      <c r="AA281" s="1095"/>
      <c r="AB281" s="1095"/>
      <c r="AC281" s="1095"/>
      <c r="AD281" s="1095"/>
      <c r="AE281" s="1095"/>
      <c r="AF281" s="1095"/>
      <c r="AG281" s="1095"/>
      <c r="AH281" s="1095"/>
      <c r="AI281" s="1095"/>
    </row>
    <row r="282" spans="1:35" s="846" customFormat="1" ht="16.5" hidden="1" customHeight="1">
      <c r="A282" s="871"/>
      <c r="B282" s="872"/>
      <c r="C282" s="872"/>
      <c r="D282" s="872"/>
      <c r="E282" s="872"/>
      <c r="F282" s="872"/>
      <c r="G282" s="871"/>
      <c r="H282" s="872"/>
      <c r="I282" s="872"/>
      <c r="J282" s="872"/>
      <c r="K282" s="872"/>
      <c r="L282" s="872"/>
      <c r="M282" s="872"/>
      <c r="N282" s="872"/>
      <c r="O282" s="872"/>
      <c r="P282" s="872"/>
      <c r="Q282" s="872"/>
      <c r="R282" s="873"/>
      <c r="S282" s="873"/>
      <c r="T282" s="872"/>
      <c r="U282" s="872"/>
      <c r="V282" s="872"/>
      <c r="W282" s="872"/>
      <c r="X282" s="872"/>
      <c r="Y282" s="872"/>
      <c r="Z282" s="872"/>
      <c r="AA282" s="872"/>
      <c r="AB282" s="872"/>
      <c r="AC282" s="872"/>
      <c r="AD282" s="872"/>
      <c r="AE282" s="872"/>
      <c r="AF282" s="872"/>
      <c r="AG282" s="872"/>
      <c r="AH282" s="872"/>
      <c r="AI282" s="872"/>
    </row>
    <row r="283" spans="1:35" s="846" customFormat="1" ht="16.5" hidden="1" customHeight="1">
      <c r="A283" s="850"/>
      <c r="B283" s="851"/>
      <c r="C283" s="851"/>
      <c r="D283" s="851"/>
      <c r="E283" s="851"/>
      <c r="F283" s="851"/>
      <c r="G283" s="850"/>
      <c r="H283" s="851"/>
      <c r="I283" s="851"/>
      <c r="J283" s="851"/>
      <c r="K283" s="851"/>
      <c r="L283" s="851"/>
      <c r="M283" s="851"/>
      <c r="N283" s="851"/>
      <c r="O283" s="851"/>
      <c r="P283" s="851"/>
      <c r="Q283" s="851"/>
      <c r="R283" s="852"/>
      <c r="S283" s="852"/>
      <c r="T283" s="851"/>
      <c r="U283" s="851"/>
      <c r="V283" s="851"/>
      <c r="W283" s="851"/>
      <c r="X283" s="851"/>
      <c r="Y283" s="851"/>
      <c r="Z283" s="851"/>
      <c r="AA283" s="851"/>
      <c r="AB283" s="851"/>
      <c r="AC283" s="851"/>
      <c r="AD283" s="851"/>
      <c r="AE283" s="851"/>
      <c r="AF283" s="851"/>
      <c r="AG283" s="851"/>
      <c r="AH283" s="851"/>
      <c r="AI283" s="853" t="s">
        <v>0</v>
      </c>
    </row>
    <row r="284" spans="1:35" s="846" customFormat="1" ht="21.75" hidden="1" customHeight="1">
      <c r="A284" s="1149" t="s">
        <v>43</v>
      </c>
      <c r="B284" s="1151" t="s">
        <v>637</v>
      </c>
      <c r="C284" s="1153"/>
      <c r="D284" s="1153"/>
      <c r="E284" s="1152"/>
      <c r="F284" s="1151" t="s">
        <v>638</v>
      </c>
      <c r="G284" s="1153"/>
      <c r="H284" s="1153"/>
      <c r="I284" s="1152"/>
      <c r="J284" s="1151" t="s">
        <v>639</v>
      </c>
      <c r="K284" s="1153"/>
      <c r="L284" s="1153"/>
      <c r="M284" s="1152"/>
      <c r="N284" s="1151" t="s">
        <v>640</v>
      </c>
      <c r="O284" s="1153"/>
      <c r="P284" s="1153"/>
      <c r="Q284" s="1152"/>
      <c r="R284" s="1151" t="s">
        <v>641</v>
      </c>
      <c r="S284" s="1153"/>
      <c r="T284" s="1153"/>
      <c r="U284" s="1152"/>
      <c r="V284" s="1151" t="s">
        <v>642</v>
      </c>
      <c r="W284" s="1153"/>
      <c r="X284" s="1153"/>
      <c r="Y284" s="1152"/>
      <c r="Z284" s="1151" t="s">
        <v>643</v>
      </c>
      <c r="AA284" s="1153"/>
      <c r="AB284" s="1153"/>
      <c r="AC284" s="1152"/>
      <c r="AD284" s="1151" t="s">
        <v>636</v>
      </c>
      <c r="AE284" s="1153"/>
      <c r="AF284" s="1153"/>
      <c r="AG284" s="1153"/>
      <c r="AH284" s="1153"/>
      <c r="AI284" s="1152"/>
    </row>
    <row r="285" spans="1:35" s="846" customFormat="1" ht="21" hidden="1" customHeight="1">
      <c r="A285" s="1154"/>
      <c r="B285" s="1151" t="s">
        <v>315</v>
      </c>
      <c r="C285" s="1152"/>
      <c r="D285" s="1151" t="s">
        <v>459</v>
      </c>
      <c r="E285" s="1152"/>
      <c r="F285" s="1151" t="s">
        <v>315</v>
      </c>
      <c r="G285" s="1152"/>
      <c r="H285" s="1151" t="s">
        <v>459</v>
      </c>
      <c r="I285" s="1152"/>
      <c r="J285" s="1151" t="s">
        <v>315</v>
      </c>
      <c r="K285" s="1152"/>
      <c r="L285" s="1151" t="s">
        <v>459</v>
      </c>
      <c r="M285" s="1152"/>
      <c r="N285" s="1151" t="s">
        <v>315</v>
      </c>
      <c r="O285" s="1152"/>
      <c r="P285" s="1151" t="s">
        <v>459</v>
      </c>
      <c r="Q285" s="1152"/>
      <c r="R285" s="1151" t="s">
        <v>315</v>
      </c>
      <c r="S285" s="1152"/>
      <c r="T285" s="1151" t="s">
        <v>459</v>
      </c>
      <c r="U285" s="1152"/>
      <c r="V285" s="1151" t="s">
        <v>315</v>
      </c>
      <c r="W285" s="1152"/>
      <c r="X285" s="1151" t="s">
        <v>459</v>
      </c>
      <c r="Y285" s="1152"/>
      <c r="Z285" s="1151" t="s">
        <v>315</v>
      </c>
      <c r="AA285" s="1152"/>
      <c r="AB285" s="1151" t="s">
        <v>459</v>
      </c>
      <c r="AC285" s="1152"/>
      <c r="AD285" s="1151" t="s">
        <v>315</v>
      </c>
      <c r="AE285" s="1152"/>
      <c r="AF285" s="1151" t="s">
        <v>459</v>
      </c>
      <c r="AG285" s="1153"/>
      <c r="AH285" s="1153"/>
      <c r="AI285" s="1152"/>
    </row>
    <row r="286" spans="1:35" s="846" customFormat="1" ht="16.5" hidden="1" customHeight="1">
      <c r="A286" s="1154"/>
      <c r="B286" s="1149" t="s">
        <v>44</v>
      </c>
      <c r="C286" s="1149" t="s">
        <v>45</v>
      </c>
      <c r="D286" s="1149" t="s">
        <v>46</v>
      </c>
      <c r="E286" s="1149" t="s">
        <v>45</v>
      </c>
      <c r="F286" s="1149" t="s">
        <v>47</v>
      </c>
      <c r="G286" s="1149" t="s">
        <v>45</v>
      </c>
      <c r="H286" s="1149" t="s">
        <v>46</v>
      </c>
      <c r="I286" s="1149" t="s">
        <v>45</v>
      </c>
      <c r="J286" s="1149" t="s">
        <v>44</v>
      </c>
      <c r="K286" s="1149" t="s">
        <v>45</v>
      </c>
      <c r="L286" s="1149" t="s">
        <v>46</v>
      </c>
      <c r="M286" s="1149" t="s">
        <v>45</v>
      </c>
      <c r="N286" s="1149" t="s">
        <v>44</v>
      </c>
      <c r="O286" s="1149" t="s">
        <v>45</v>
      </c>
      <c r="P286" s="1149" t="s">
        <v>46</v>
      </c>
      <c r="Q286" s="1149" t="s">
        <v>45</v>
      </c>
      <c r="R286" s="1149" t="s">
        <v>44</v>
      </c>
      <c r="S286" s="1149" t="s">
        <v>45</v>
      </c>
      <c r="T286" s="1149" t="s">
        <v>46</v>
      </c>
      <c r="U286" s="1149" t="s">
        <v>45</v>
      </c>
      <c r="V286" s="1149" t="s">
        <v>44</v>
      </c>
      <c r="W286" s="1149" t="s">
        <v>45</v>
      </c>
      <c r="X286" s="1149" t="s">
        <v>48</v>
      </c>
      <c r="Y286" s="1149" t="s">
        <v>45</v>
      </c>
      <c r="Z286" s="1149" t="s">
        <v>44</v>
      </c>
      <c r="AA286" s="1149" t="s">
        <v>45</v>
      </c>
      <c r="AB286" s="1149" t="s">
        <v>46</v>
      </c>
      <c r="AC286" s="1149" t="s">
        <v>45</v>
      </c>
      <c r="AD286" s="1149" t="s">
        <v>44</v>
      </c>
      <c r="AE286" s="1149" t="s">
        <v>45</v>
      </c>
      <c r="AF286" s="1147" t="s">
        <v>46</v>
      </c>
      <c r="AG286" s="874"/>
      <c r="AH286" s="1147" t="s">
        <v>45</v>
      </c>
      <c r="AI286" s="874"/>
    </row>
    <row r="287" spans="1:35" s="846" customFormat="1" ht="16.5" hidden="1" customHeight="1" thickBot="1">
      <c r="A287" s="1150"/>
      <c r="B287" s="1150"/>
      <c r="C287" s="1150"/>
      <c r="D287" s="1150"/>
      <c r="E287" s="1150"/>
      <c r="F287" s="1150"/>
      <c r="G287" s="1150"/>
      <c r="H287" s="1150"/>
      <c r="I287" s="1150"/>
      <c r="J287" s="1150"/>
      <c r="K287" s="1150"/>
      <c r="L287" s="1150"/>
      <c r="M287" s="1150"/>
      <c r="N287" s="1150"/>
      <c r="O287" s="1150"/>
      <c r="P287" s="1150"/>
      <c r="Q287" s="1150"/>
      <c r="R287" s="1150"/>
      <c r="S287" s="1150"/>
      <c r="T287" s="1150"/>
      <c r="U287" s="1150"/>
      <c r="V287" s="1150"/>
      <c r="W287" s="1150"/>
      <c r="X287" s="1150"/>
      <c r="Y287" s="1150"/>
      <c r="Z287" s="1150"/>
      <c r="AA287" s="1150"/>
      <c r="AB287" s="1150"/>
      <c r="AC287" s="1150"/>
      <c r="AD287" s="1150"/>
      <c r="AE287" s="1150"/>
      <c r="AF287" s="1148"/>
      <c r="AG287" s="875" t="s">
        <v>49</v>
      </c>
      <c r="AH287" s="1148"/>
      <c r="AI287" s="875" t="s">
        <v>49</v>
      </c>
    </row>
    <row r="288" spans="1:35" s="846" customFormat="1" ht="19.5" hidden="1" customHeight="1" thickTop="1">
      <c r="A288" s="897" t="s">
        <v>50</v>
      </c>
      <c r="B288" s="870">
        <v>186170</v>
      </c>
      <c r="C288" s="870">
        <v>1239526</v>
      </c>
      <c r="D288" s="870">
        <v>196913</v>
      </c>
      <c r="E288" s="870">
        <v>1273377</v>
      </c>
      <c r="F288" s="870">
        <v>3730</v>
      </c>
      <c r="G288" s="870">
        <v>35241</v>
      </c>
      <c r="H288" s="870">
        <v>2326</v>
      </c>
      <c r="I288" s="870">
        <v>24555</v>
      </c>
      <c r="J288" s="870">
        <v>70827</v>
      </c>
      <c r="K288" s="870">
        <v>290013</v>
      </c>
      <c r="L288" s="870">
        <v>226179</v>
      </c>
      <c r="M288" s="870">
        <v>534722</v>
      </c>
      <c r="N288" s="870">
        <v>37612</v>
      </c>
      <c r="O288" s="870">
        <v>78400</v>
      </c>
      <c r="P288" s="870">
        <v>16418</v>
      </c>
      <c r="Q288" s="870">
        <v>30904</v>
      </c>
      <c r="R288" s="870">
        <v>80440</v>
      </c>
      <c r="S288" s="870">
        <v>220534</v>
      </c>
      <c r="T288" s="870">
        <v>89600</v>
      </c>
      <c r="U288" s="870">
        <v>186527</v>
      </c>
      <c r="V288" s="870">
        <v>182</v>
      </c>
      <c r="W288" s="870">
        <v>5258</v>
      </c>
      <c r="X288" s="870">
        <v>211</v>
      </c>
      <c r="Y288" s="870">
        <v>6019</v>
      </c>
      <c r="Z288" s="870">
        <v>2287</v>
      </c>
      <c r="AA288" s="870">
        <v>52604</v>
      </c>
      <c r="AB288" s="870">
        <v>6353</v>
      </c>
      <c r="AC288" s="870">
        <v>52058</v>
      </c>
      <c r="AD288" s="890">
        <f t="shared" ref="AD288:AD317" si="51">SUM(B288+F288+J288+N288+R288+V288+Z288)</f>
        <v>381248</v>
      </c>
      <c r="AE288" s="890">
        <f>SUM(C288+G288+K288+O288+S288+W288+AA288)</f>
        <v>1921576</v>
      </c>
      <c r="AF288" s="890">
        <f>SUM(D288+H288+L288+P288+T288+X288+AB288)</f>
        <v>538000</v>
      </c>
      <c r="AG288" s="895">
        <f>ROUND(((AF288/AD288-1)*100),1)</f>
        <v>41.1</v>
      </c>
      <c r="AH288" s="890">
        <f>SUM(E288+I288+M288+Q288+U288+Y288+AC288)</f>
        <v>2108162</v>
      </c>
      <c r="AI288" s="895">
        <f>ROUND(((AH288/AE288-1)*100),1)</f>
        <v>9.6999999999999993</v>
      </c>
    </row>
    <row r="289" spans="1:35" s="846" customFormat="1" ht="19.5" hidden="1" customHeight="1">
      <c r="A289" s="897" t="s">
        <v>51</v>
      </c>
      <c r="B289" s="870">
        <v>43442</v>
      </c>
      <c r="C289" s="870">
        <v>336990</v>
      </c>
      <c r="D289" s="870">
        <v>39468</v>
      </c>
      <c r="E289" s="870">
        <v>309650</v>
      </c>
      <c r="F289" s="870">
        <v>657</v>
      </c>
      <c r="G289" s="870">
        <v>15751</v>
      </c>
      <c r="H289" s="870">
        <v>183</v>
      </c>
      <c r="I289" s="870">
        <v>5769</v>
      </c>
      <c r="J289" s="870">
        <v>143049</v>
      </c>
      <c r="K289" s="870">
        <v>404011</v>
      </c>
      <c r="L289" s="870">
        <v>148268</v>
      </c>
      <c r="M289" s="870">
        <v>387628</v>
      </c>
      <c r="N289" s="870">
        <v>54666</v>
      </c>
      <c r="O289" s="870">
        <v>118631</v>
      </c>
      <c r="P289" s="870">
        <v>67923</v>
      </c>
      <c r="Q289" s="870">
        <v>134151</v>
      </c>
      <c r="R289" s="870">
        <v>47492</v>
      </c>
      <c r="S289" s="870">
        <v>137690</v>
      </c>
      <c r="T289" s="870">
        <v>52458</v>
      </c>
      <c r="U289" s="870">
        <v>120074</v>
      </c>
      <c r="V289" s="870">
        <v>221</v>
      </c>
      <c r="W289" s="870">
        <v>4026</v>
      </c>
      <c r="X289" s="870">
        <v>212</v>
      </c>
      <c r="Y289" s="870">
        <v>3549</v>
      </c>
      <c r="Z289" s="870">
        <v>1286</v>
      </c>
      <c r="AA289" s="870">
        <v>10513</v>
      </c>
      <c r="AB289" s="870">
        <v>219</v>
      </c>
      <c r="AC289" s="870">
        <v>5178</v>
      </c>
      <c r="AD289" s="890">
        <f t="shared" si="51"/>
        <v>290813</v>
      </c>
      <c r="AE289" s="890">
        <f t="shared" ref="AE289:AE317" si="52">SUM(C289+G289+K289+O289+S289+W289+AA289)</f>
        <v>1027612</v>
      </c>
      <c r="AF289" s="890">
        <f>SUM(D289+H289+L289+P289+T289+X289+AB289)</f>
        <v>308731</v>
      </c>
      <c r="AG289" s="895">
        <f t="shared" ref="AG289:AG319" si="53">ROUND(((AF289/AD289-1)*100),1)</f>
        <v>6.2</v>
      </c>
      <c r="AH289" s="890">
        <f t="shared" ref="AH289:AH317" si="54">SUM(E289+I289+M289+Q289+U289+Y289+AC289)</f>
        <v>965999</v>
      </c>
      <c r="AI289" s="895">
        <f t="shared" ref="AI289:AI319" si="55">ROUND(((AH289/AE289-1)*100),1)</f>
        <v>-6</v>
      </c>
    </row>
    <row r="290" spans="1:35" s="846" customFormat="1" ht="19.5" hidden="1" customHeight="1">
      <c r="A290" s="897" t="s">
        <v>53</v>
      </c>
      <c r="B290" s="870">
        <v>18277</v>
      </c>
      <c r="C290" s="870">
        <v>165746</v>
      </c>
      <c r="D290" s="870">
        <v>19406</v>
      </c>
      <c r="E290" s="870">
        <v>165325</v>
      </c>
      <c r="F290" s="870">
        <v>519</v>
      </c>
      <c r="G290" s="870">
        <v>6241</v>
      </c>
      <c r="H290" s="870">
        <v>289</v>
      </c>
      <c r="I290" s="870">
        <v>3489</v>
      </c>
      <c r="J290" s="870">
        <v>76017</v>
      </c>
      <c r="K290" s="870">
        <v>293759</v>
      </c>
      <c r="L290" s="870">
        <v>61155</v>
      </c>
      <c r="M290" s="870">
        <v>227245</v>
      </c>
      <c r="N290" s="870">
        <v>51774</v>
      </c>
      <c r="O290" s="870">
        <v>109607</v>
      </c>
      <c r="P290" s="870">
        <v>45398</v>
      </c>
      <c r="Q290" s="870">
        <v>87802</v>
      </c>
      <c r="R290" s="870">
        <v>59</v>
      </c>
      <c r="S290" s="870">
        <v>1167</v>
      </c>
      <c r="T290" s="870">
        <v>48312</v>
      </c>
      <c r="U290" s="870">
        <v>97645</v>
      </c>
      <c r="V290" s="870">
        <v>3</v>
      </c>
      <c r="W290" s="870">
        <v>1617</v>
      </c>
      <c r="X290" s="870">
        <v>13</v>
      </c>
      <c r="Y290" s="870">
        <v>950</v>
      </c>
      <c r="Z290" s="870">
        <v>2633</v>
      </c>
      <c r="AA290" s="870">
        <v>31084</v>
      </c>
      <c r="AB290" s="870">
        <v>2455</v>
      </c>
      <c r="AC290" s="870">
        <v>25370</v>
      </c>
      <c r="AD290" s="890">
        <f t="shared" si="51"/>
        <v>149282</v>
      </c>
      <c r="AE290" s="890">
        <f t="shared" si="52"/>
        <v>609221</v>
      </c>
      <c r="AF290" s="890">
        <f t="shared" ref="AF290:AF317" si="56">SUM(D290+H290+L290+P290+T290+X290+AB290)</f>
        <v>177028</v>
      </c>
      <c r="AG290" s="895">
        <f t="shared" si="53"/>
        <v>18.600000000000001</v>
      </c>
      <c r="AH290" s="890">
        <f t="shared" si="54"/>
        <v>607826</v>
      </c>
      <c r="AI290" s="895">
        <f t="shared" si="55"/>
        <v>-0.2</v>
      </c>
    </row>
    <row r="291" spans="1:35" s="846" customFormat="1" ht="19.5" hidden="1" customHeight="1">
      <c r="A291" s="897" t="s">
        <v>52</v>
      </c>
      <c r="B291" s="870">
        <v>6343</v>
      </c>
      <c r="C291" s="870">
        <v>42941</v>
      </c>
      <c r="D291" s="870">
        <v>6114</v>
      </c>
      <c r="E291" s="870">
        <v>36867</v>
      </c>
      <c r="F291" s="870">
        <v>1450</v>
      </c>
      <c r="G291" s="870">
        <v>15752</v>
      </c>
      <c r="H291" s="870">
        <v>816</v>
      </c>
      <c r="I291" s="870">
        <v>11428</v>
      </c>
      <c r="J291" s="870">
        <v>48174</v>
      </c>
      <c r="K291" s="870">
        <v>138583</v>
      </c>
      <c r="L291" s="870">
        <v>29808</v>
      </c>
      <c r="M291" s="870">
        <v>80613</v>
      </c>
      <c r="N291" s="870">
        <v>50036</v>
      </c>
      <c r="O291" s="870">
        <v>108225</v>
      </c>
      <c r="P291" s="870">
        <v>49282</v>
      </c>
      <c r="Q291" s="870">
        <v>98670</v>
      </c>
      <c r="R291" s="870">
        <v>68194</v>
      </c>
      <c r="S291" s="870">
        <v>198531</v>
      </c>
      <c r="T291" s="870">
        <v>51938</v>
      </c>
      <c r="U291" s="870">
        <v>120643</v>
      </c>
      <c r="V291" s="870">
        <v>152</v>
      </c>
      <c r="W291" s="870">
        <v>189</v>
      </c>
      <c r="X291" s="870">
        <v>3</v>
      </c>
      <c r="Y291" s="870">
        <v>72</v>
      </c>
      <c r="Z291" s="870">
        <v>16201</v>
      </c>
      <c r="AA291" s="870">
        <v>7434</v>
      </c>
      <c r="AB291" s="870">
        <v>891</v>
      </c>
      <c r="AC291" s="870">
        <v>3220</v>
      </c>
      <c r="AD291" s="890">
        <f t="shared" si="51"/>
        <v>190550</v>
      </c>
      <c r="AE291" s="890">
        <f t="shared" si="52"/>
        <v>511655</v>
      </c>
      <c r="AF291" s="890">
        <f t="shared" si="56"/>
        <v>138852</v>
      </c>
      <c r="AG291" s="895">
        <f t="shared" si="53"/>
        <v>-27.1</v>
      </c>
      <c r="AH291" s="890">
        <f t="shared" si="54"/>
        <v>351513</v>
      </c>
      <c r="AI291" s="895">
        <f t="shared" si="55"/>
        <v>-31.3</v>
      </c>
    </row>
    <row r="292" spans="1:35" s="846" customFormat="1" ht="19.5" hidden="1" customHeight="1">
      <c r="A292" s="897" t="s">
        <v>54</v>
      </c>
      <c r="B292" s="870">
        <v>18781</v>
      </c>
      <c r="C292" s="870">
        <v>139700</v>
      </c>
      <c r="D292" s="870">
        <v>15233</v>
      </c>
      <c r="E292" s="870">
        <v>104693</v>
      </c>
      <c r="F292" s="870">
        <v>5708</v>
      </c>
      <c r="G292" s="870">
        <v>27445</v>
      </c>
      <c r="H292" s="870">
        <v>4636</v>
      </c>
      <c r="I292" s="870">
        <v>28429</v>
      </c>
      <c r="J292" s="870">
        <v>46396</v>
      </c>
      <c r="K292" s="870">
        <v>186583</v>
      </c>
      <c r="L292" s="870">
        <v>41220</v>
      </c>
      <c r="M292" s="870">
        <v>179570</v>
      </c>
      <c r="N292" s="870">
        <v>5521</v>
      </c>
      <c r="O292" s="870">
        <v>11754</v>
      </c>
      <c r="P292" s="870">
        <v>4559</v>
      </c>
      <c r="Q292" s="870">
        <v>8926</v>
      </c>
      <c r="R292" s="870">
        <v>1888</v>
      </c>
      <c r="S292" s="870">
        <v>5805</v>
      </c>
      <c r="T292" s="870">
        <v>1288</v>
      </c>
      <c r="U292" s="870">
        <v>3183</v>
      </c>
      <c r="V292" s="870">
        <v>86</v>
      </c>
      <c r="W292" s="870">
        <v>1021</v>
      </c>
      <c r="X292" s="870">
        <v>105</v>
      </c>
      <c r="Y292" s="870">
        <v>1464</v>
      </c>
      <c r="Z292" s="870">
        <v>1517</v>
      </c>
      <c r="AA292" s="870">
        <v>40400</v>
      </c>
      <c r="AB292" s="870">
        <v>1031</v>
      </c>
      <c r="AC292" s="870">
        <v>24716</v>
      </c>
      <c r="AD292" s="890">
        <f t="shared" si="51"/>
        <v>79897</v>
      </c>
      <c r="AE292" s="890">
        <f t="shared" si="52"/>
        <v>412708</v>
      </c>
      <c r="AF292" s="890">
        <f t="shared" si="56"/>
        <v>68072</v>
      </c>
      <c r="AG292" s="895">
        <f t="shared" si="53"/>
        <v>-14.8</v>
      </c>
      <c r="AH292" s="890">
        <f t="shared" si="54"/>
        <v>350981</v>
      </c>
      <c r="AI292" s="895">
        <f t="shared" si="55"/>
        <v>-15</v>
      </c>
    </row>
    <row r="293" spans="1:35" s="846" customFormat="1" ht="19.5" hidden="1" customHeight="1">
      <c r="A293" s="897" t="s">
        <v>56</v>
      </c>
      <c r="B293" s="870">
        <v>59855</v>
      </c>
      <c r="C293" s="870">
        <v>255022</v>
      </c>
      <c r="D293" s="870">
        <v>47697</v>
      </c>
      <c r="E293" s="870">
        <v>172688</v>
      </c>
      <c r="F293" s="870">
        <v>85</v>
      </c>
      <c r="G293" s="870">
        <v>1783</v>
      </c>
      <c r="H293" s="870">
        <v>98</v>
      </c>
      <c r="I293" s="870">
        <v>1874</v>
      </c>
      <c r="J293" s="870">
        <v>13294</v>
      </c>
      <c r="K293" s="870">
        <v>51304</v>
      </c>
      <c r="L293" s="870">
        <v>11520</v>
      </c>
      <c r="M293" s="870">
        <v>38500</v>
      </c>
      <c r="N293" s="870">
        <v>6537</v>
      </c>
      <c r="O293" s="870">
        <v>13735</v>
      </c>
      <c r="P293" s="870">
        <v>2245</v>
      </c>
      <c r="Q293" s="870">
        <v>4274</v>
      </c>
      <c r="R293" s="870">
        <v>9770</v>
      </c>
      <c r="S293" s="870">
        <v>27692</v>
      </c>
      <c r="T293" s="870">
        <v>9766</v>
      </c>
      <c r="U293" s="870">
        <v>22794</v>
      </c>
      <c r="V293" s="870">
        <v>8</v>
      </c>
      <c r="W293" s="870">
        <v>237</v>
      </c>
      <c r="X293" s="870">
        <v>20</v>
      </c>
      <c r="Y293" s="870">
        <v>371</v>
      </c>
      <c r="Z293" s="870">
        <v>32796</v>
      </c>
      <c r="AA293" s="870">
        <v>8807</v>
      </c>
      <c r="AB293" s="870">
        <v>696</v>
      </c>
      <c r="AC293" s="870">
        <v>6161</v>
      </c>
      <c r="AD293" s="890">
        <f t="shared" si="51"/>
        <v>122345</v>
      </c>
      <c r="AE293" s="890">
        <f t="shared" si="52"/>
        <v>358580</v>
      </c>
      <c r="AF293" s="890">
        <f t="shared" si="56"/>
        <v>72042</v>
      </c>
      <c r="AG293" s="895">
        <f t="shared" si="53"/>
        <v>-41.1</v>
      </c>
      <c r="AH293" s="890">
        <f t="shared" si="54"/>
        <v>246662</v>
      </c>
      <c r="AI293" s="895">
        <f t="shared" si="55"/>
        <v>-31.2</v>
      </c>
    </row>
    <row r="294" spans="1:35" s="846" customFormat="1" ht="19.5" hidden="1" customHeight="1">
      <c r="A294" s="897" t="s">
        <v>57</v>
      </c>
      <c r="B294" s="870">
        <v>33348</v>
      </c>
      <c r="C294" s="870">
        <v>261135</v>
      </c>
      <c r="D294" s="870">
        <v>17866</v>
      </c>
      <c r="E294" s="870">
        <v>163295</v>
      </c>
      <c r="F294" s="870">
        <v>20</v>
      </c>
      <c r="G294" s="870">
        <v>879</v>
      </c>
      <c r="H294" s="870">
        <v>151</v>
      </c>
      <c r="I294" s="870">
        <v>2498</v>
      </c>
      <c r="J294" s="870">
        <v>10960</v>
      </c>
      <c r="K294" s="870">
        <v>61047</v>
      </c>
      <c r="L294" s="870">
        <v>7492</v>
      </c>
      <c r="M294" s="870">
        <v>44397</v>
      </c>
      <c r="N294" s="870">
        <v>1711</v>
      </c>
      <c r="O294" s="870">
        <v>3843</v>
      </c>
      <c r="P294" s="870">
        <v>1605</v>
      </c>
      <c r="Q294" s="870">
        <v>3160</v>
      </c>
      <c r="R294" s="870">
        <v>30724</v>
      </c>
      <c r="S294" s="870">
        <v>75628</v>
      </c>
      <c r="T294" s="870">
        <v>30600</v>
      </c>
      <c r="U294" s="870">
        <v>63322</v>
      </c>
      <c r="V294" s="870">
        <v>172</v>
      </c>
      <c r="W294" s="870">
        <v>6354</v>
      </c>
      <c r="X294" s="870">
        <v>159</v>
      </c>
      <c r="Y294" s="870">
        <v>6628</v>
      </c>
      <c r="Z294" s="870">
        <v>235</v>
      </c>
      <c r="AA294" s="870">
        <v>6702</v>
      </c>
      <c r="AB294" s="870">
        <v>279</v>
      </c>
      <c r="AC294" s="870">
        <v>7965</v>
      </c>
      <c r="AD294" s="890">
        <f t="shared" si="51"/>
        <v>77170</v>
      </c>
      <c r="AE294" s="890">
        <f t="shared" si="52"/>
        <v>415588</v>
      </c>
      <c r="AF294" s="890">
        <f t="shared" si="56"/>
        <v>58152</v>
      </c>
      <c r="AG294" s="895">
        <f t="shared" si="53"/>
        <v>-24.6</v>
      </c>
      <c r="AH294" s="890">
        <f t="shared" si="54"/>
        <v>291265</v>
      </c>
      <c r="AI294" s="895">
        <f t="shared" si="55"/>
        <v>-29.9</v>
      </c>
    </row>
    <row r="295" spans="1:35" s="846" customFormat="1" ht="19.5" hidden="1" customHeight="1">
      <c r="A295" s="897" t="s">
        <v>55</v>
      </c>
      <c r="B295" s="870">
        <v>17496</v>
      </c>
      <c r="C295" s="870">
        <v>104321</v>
      </c>
      <c r="D295" s="870">
        <v>15311</v>
      </c>
      <c r="E295" s="870">
        <v>87273</v>
      </c>
      <c r="F295" s="870">
        <v>48</v>
      </c>
      <c r="G295" s="870">
        <v>592</v>
      </c>
      <c r="H295" s="870">
        <v>74</v>
      </c>
      <c r="I295" s="870">
        <v>506</v>
      </c>
      <c r="J295" s="870">
        <v>32491</v>
      </c>
      <c r="K295" s="870">
        <v>99968</v>
      </c>
      <c r="L295" s="870">
        <v>27875</v>
      </c>
      <c r="M295" s="870">
        <v>82456</v>
      </c>
      <c r="N295" s="870">
        <v>19548</v>
      </c>
      <c r="O295" s="870">
        <v>40738</v>
      </c>
      <c r="P295" s="870">
        <v>13488</v>
      </c>
      <c r="Q295" s="870">
        <v>26230</v>
      </c>
      <c r="R295" s="870">
        <v>17765</v>
      </c>
      <c r="S295" s="870">
        <v>51378</v>
      </c>
      <c r="T295" s="870">
        <v>18765</v>
      </c>
      <c r="U295" s="870">
        <v>45077</v>
      </c>
      <c r="V295" s="870">
        <v>57</v>
      </c>
      <c r="W295" s="870">
        <v>1435</v>
      </c>
      <c r="X295" s="870">
        <v>71</v>
      </c>
      <c r="Y295" s="870">
        <v>1571</v>
      </c>
      <c r="Z295" s="870">
        <v>82</v>
      </c>
      <c r="AA295" s="870">
        <v>1575</v>
      </c>
      <c r="AB295" s="870">
        <v>171</v>
      </c>
      <c r="AC295" s="870">
        <v>1192</v>
      </c>
      <c r="AD295" s="890">
        <f t="shared" si="51"/>
        <v>87487</v>
      </c>
      <c r="AE295" s="890">
        <f t="shared" si="52"/>
        <v>300007</v>
      </c>
      <c r="AF295" s="890">
        <f t="shared" si="56"/>
        <v>75755</v>
      </c>
      <c r="AG295" s="895">
        <f t="shared" si="53"/>
        <v>-13.4</v>
      </c>
      <c r="AH295" s="890">
        <f t="shared" si="54"/>
        <v>244305</v>
      </c>
      <c r="AI295" s="895">
        <f t="shared" si="55"/>
        <v>-18.600000000000001</v>
      </c>
    </row>
    <row r="296" spans="1:35" s="846" customFormat="1" ht="19.5" hidden="1" customHeight="1">
      <c r="A296" s="897" t="s">
        <v>59</v>
      </c>
      <c r="B296" s="870">
        <v>26161</v>
      </c>
      <c r="C296" s="870">
        <v>169193</v>
      </c>
      <c r="D296" s="870">
        <v>19986</v>
      </c>
      <c r="E296" s="870">
        <v>119026</v>
      </c>
      <c r="F296" s="870">
        <v>51</v>
      </c>
      <c r="G296" s="870">
        <v>3294</v>
      </c>
      <c r="H296" s="870">
        <v>85</v>
      </c>
      <c r="I296" s="870">
        <v>3567</v>
      </c>
      <c r="J296" s="870">
        <v>5810</v>
      </c>
      <c r="K296" s="870">
        <v>23549</v>
      </c>
      <c r="L296" s="870">
        <v>5707</v>
      </c>
      <c r="M296" s="870">
        <v>24972</v>
      </c>
      <c r="N296" s="870">
        <v>0</v>
      </c>
      <c r="O296" s="870">
        <v>4</v>
      </c>
      <c r="P296" s="870">
        <v>86</v>
      </c>
      <c r="Q296" s="870">
        <v>1078</v>
      </c>
      <c r="R296" s="870">
        <v>2730</v>
      </c>
      <c r="S296" s="870">
        <v>8077</v>
      </c>
      <c r="T296" s="870">
        <v>1533</v>
      </c>
      <c r="U296" s="870">
        <v>3577</v>
      </c>
      <c r="V296" s="870">
        <v>170</v>
      </c>
      <c r="W296" s="870">
        <v>5137</v>
      </c>
      <c r="X296" s="870">
        <v>253</v>
      </c>
      <c r="Y296" s="870">
        <v>5872</v>
      </c>
      <c r="Z296" s="870">
        <v>104</v>
      </c>
      <c r="AA296" s="870">
        <v>182</v>
      </c>
      <c r="AB296" s="870">
        <v>16</v>
      </c>
      <c r="AC296" s="870">
        <v>186</v>
      </c>
      <c r="AD296" s="890">
        <f t="shared" si="51"/>
        <v>35026</v>
      </c>
      <c r="AE296" s="890">
        <f t="shared" si="52"/>
        <v>209436</v>
      </c>
      <c r="AF296" s="890">
        <f t="shared" si="56"/>
        <v>27666</v>
      </c>
      <c r="AG296" s="895">
        <f t="shared" si="53"/>
        <v>-21</v>
      </c>
      <c r="AH296" s="890">
        <f t="shared" si="54"/>
        <v>158278</v>
      </c>
      <c r="AI296" s="895">
        <f t="shared" si="55"/>
        <v>-24.4</v>
      </c>
    </row>
    <row r="297" spans="1:35" s="846" customFormat="1" ht="19.5" hidden="1" customHeight="1">
      <c r="A297" s="897" t="s">
        <v>58</v>
      </c>
      <c r="B297" s="870">
        <v>5231</v>
      </c>
      <c r="C297" s="870">
        <v>33801</v>
      </c>
      <c r="D297" s="870">
        <v>5871</v>
      </c>
      <c r="E297" s="870">
        <v>36261</v>
      </c>
      <c r="F297" s="870">
        <v>42</v>
      </c>
      <c r="G297" s="870">
        <v>663</v>
      </c>
      <c r="H297" s="870">
        <v>65</v>
      </c>
      <c r="I297" s="870">
        <v>1196</v>
      </c>
      <c r="J297" s="870">
        <v>17490</v>
      </c>
      <c r="K297" s="870">
        <v>55172</v>
      </c>
      <c r="L297" s="870">
        <v>12735</v>
      </c>
      <c r="M297" s="870">
        <v>37702</v>
      </c>
      <c r="N297" s="870">
        <v>16533</v>
      </c>
      <c r="O297" s="870">
        <v>35219</v>
      </c>
      <c r="P297" s="870">
        <v>12758</v>
      </c>
      <c r="Q297" s="870">
        <v>24621</v>
      </c>
      <c r="R297" s="870">
        <v>21931</v>
      </c>
      <c r="S297" s="870">
        <v>61884</v>
      </c>
      <c r="T297" s="870">
        <v>21400</v>
      </c>
      <c r="U297" s="870">
        <v>49048</v>
      </c>
      <c r="V297" s="870">
        <v>23</v>
      </c>
      <c r="W297" s="870">
        <v>596</v>
      </c>
      <c r="X297" s="870">
        <v>21</v>
      </c>
      <c r="Y297" s="870">
        <v>513</v>
      </c>
      <c r="Z297" s="870">
        <v>13</v>
      </c>
      <c r="AA297" s="870">
        <v>358</v>
      </c>
      <c r="AB297" s="870">
        <v>1</v>
      </c>
      <c r="AC297" s="870">
        <v>103</v>
      </c>
      <c r="AD297" s="890">
        <f t="shared" si="51"/>
        <v>61263</v>
      </c>
      <c r="AE297" s="890">
        <f t="shared" si="52"/>
        <v>187693</v>
      </c>
      <c r="AF297" s="890">
        <f t="shared" si="56"/>
        <v>52851</v>
      </c>
      <c r="AG297" s="895">
        <f t="shared" si="53"/>
        <v>-13.7</v>
      </c>
      <c r="AH297" s="890">
        <f t="shared" si="54"/>
        <v>149444</v>
      </c>
      <c r="AI297" s="895">
        <f t="shared" si="55"/>
        <v>-20.399999999999999</v>
      </c>
    </row>
    <row r="298" spans="1:35" s="846" customFormat="1" ht="19.5" hidden="1" customHeight="1">
      <c r="A298" s="897" t="s">
        <v>61</v>
      </c>
      <c r="B298" s="870">
        <v>9782</v>
      </c>
      <c r="C298" s="870">
        <v>64186</v>
      </c>
      <c r="D298" s="870">
        <v>9222</v>
      </c>
      <c r="E298" s="870">
        <v>57268</v>
      </c>
      <c r="F298" s="870">
        <v>8</v>
      </c>
      <c r="G298" s="870">
        <v>89</v>
      </c>
      <c r="H298" s="870">
        <v>4</v>
      </c>
      <c r="I298" s="870">
        <v>36</v>
      </c>
      <c r="J298" s="870">
        <v>28186</v>
      </c>
      <c r="K298" s="870">
        <v>80896</v>
      </c>
      <c r="L298" s="870">
        <v>28180</v>
      </c>
      <c r="M298" s="870">
        <v>75904</v>
      </c>
      <c r="N298" s="870">
        <v>1847</v>
      </c>
      <c r="O298" s="870">
        <v>8837</v>
      </c>
      <c r="P298" s="870">
        <v>2081</v>
      </c>
      <c r="Q298" s="870">
        <v>10279</v>
      </c>
      <c r="R298" s="870">
        <v>7496</v>
      </c>
      <c r="S298" s="870">
        <v>22549</v>
      </c>
      <c r="T298" s="870">
        <v>8745</v>
      </c>
      <c r="U298" s="870">
        <v>21045</v>
      </c>
      <c r="V298" s="870">
        <v>0</v>
      </c>
      <c r="W298" s="870">
        <v>0</v>
      </c>
      <c r="X298" s="870">
        <v>0</v>
      </c>
      <c r="Y298" s="870">
        <v>0</v>
      </c>
      <c r="Z298" s="870">
        <v>20</v>
      </c>
      <c r="AA298" s="870">
        <v>287</v>
      </c>
      <c r="AB298" s="870">
        <v>23</v>
      </c>
      <c r="AC298" s="870">
        <v>460</v>
      </c>
      <c r="AD298" s="890">
        <f t="shared" si="51"/>
        <v>47339</v>
      </c>
      <c r="AE298" s="890">
        <f t="shared" si="52"/>
        <v>176844</v>
      </c>
      <c r="AF298" s="890">
        <f t="shared" si="56"/>
        <v>48255</v>
      </c>
      <c r="AG298" s="895">
        <f t="shared" si="53"/>
        <v>1.9</v>
      </c>
      <c r="AH298" s="890">
        <f t="shared" si="54"/>
        <v>164992</v>
      </c>
      <c r="AI298" s="895">
        <f t="shared" si="55"/>
        <v>-6.7</v>
      </c>
    </row>
    <row r="299" spans="1:35" s="846" customFormat="1" ht="19.5" hidden="1" customHeight="1">
      <c r="A299" s="897" t="s">
        <v>60</v>
      </c>
      <c r="B299" s="870">
        <v>9885</v>
      </c>
      <c r="C299" s="870">
        <v>65399</v>
      </c>
      <c r="D299" s="870">
        <v>9808</v>
      </c>
      <c r="E299" s="870">
        <v>48883</v>
      </c>
      <c r="F299" s="870">
        <v>2</v>
      </c>
      <c r="G299" s="870">
        <v>205</v>
      </c>
      <c r="H299" s="870">
        <v>155</v>
      </c>
      <c r="I299" s="870">
        <v>802</v>
      </c>
      <c r="J299" s="870">
        <v>2573</v>
      </c>
      <c r="K299" s="870">
        <v>16006</v>
      </c>
      <c r="L299" s="870">
        <v>2392</v>
      </c>
      <c r="M299" s="870">
        <v>15427</v>
      </c>
      <c r="N299" s="870">
        <v>9</v>
      </c>
      <c r="O299" s="870">
        <v>35</v>
      </c>
      <c r="P299" s="870">
        <v>55</v>
      </c>
      <c r="Q299" s="870">
        <v>185</v>
      </c>
      <c r="R299" s="870">
        <v>20911</v>
      </c>
      <c r="S299" s="870">
        <v>59643</v>
      </c>
      <c r="T299" s="870">
        <v>8177</v>
      </c>
      <c r="U299" s="870">
        <v>18400</v>
      </c>
      <c r="V299" s="870">
        <v>4</v>
      </c>
      <c r="W299" s="870">
        <v>103</v>
      </c>
      <c r="X299" s="870">
        <v>1</v>
      </c>
      <c r="Y299" s="870">
        <v>39</v>
      </c>
      <c r="Z299" s="870">
        <v>563</v>
      </c>
      <c r="AA299" s="870">
        <v>4186</v>
      </c>
      <c r="AB299" s="870">
        <v>747</v>
      </c>
      <c r="AC299" s="870">
        <v>4182</v>
      </c>
      <c r="AD299" s="890">
        <f t="shared" si="51"/>
        <v>33947</v>
      </c>
      <c r="AE299" s="890">
        <f t="shared" si="52"/>
        <v>145577</v>
      </c>
      <c r="AF299" s="890">
        <f t="shared" si="56"/>
        <v>21335</v>
      </c>
      <c r="AG299" s="895">
        <f t="shared" si="53"/>
        <v>-37.200000000000003</v>
      </c>
      <c r="AH299" s="890">
        <f t="shared" si="54"/>
        <v>87918</v>
      </c>
      <c r="AI299" s="895">
        <f t="shared" si="55"/>
        <v>-39.6</v>
      </c>
    </row>
    <row r="300" spans="1:35" s="846" customFormat="1" ht="19.5" hidden="1" customHeight="1">
      <c r="A300" s="897" t="s">
        <v>65</v>
      </c>
      <c r="B300" s="870">
        <v>4189</v>
      </c>
      <c r="C300" s="870">
        <v>28570</v>
      </c>
      <c r="D300" s="870">
        <v>657</v>
      </c>
      <c r="E300" s="870">
        <v>4646</v>
      </c>
      <c r="F300" s="870">
        <v>0</v>
      </c>
      <c r="G300" s="870">
        <v>7</v>
      </c>
      <c r="H300" s="870">
        <v>1</v>
      </c>
      <c r="I300" s="870">
        <v>26</v>
      </c>
      <c r="J300" s="870">
        <v>36143</v>
      </c>
      <c r="K300" s="870">
        <v>100632</v>
      </c>
      <c r="L300" s="870">
        <v>31177</v>
      </c>
      <c r="M300" s="870">
        <v>84226</v>
      </c>
      <c r="N300" s="870">
        <v>1</v>
      </c>
      <c r="O300" s="870">
        <v>8</v>
      </c>
      <c r="P300" s="870">
        <v>0</v>
      </c>
      <c r="Q300" s="870">
        <v>0</v>
      </c>
      <c r="R300" s="870">
        <v>42</v>
      </c>
      <c r="S300" s="870">
        <v>356</v>
      </c>
      <c r="T300" s="870">
        <v>29</v>
      </c>
      <c r="U300" s="870">
        <v>319</v>
      </c>
      <c r="V300" s="870">
        <v>3</v>
      </c>
      <c r="W300" s="870">
        <v>103</v>
      </c>
      <c r="X300" s="870">
        <v>1</v>
      </c>
      <c r="Y300" s="870">
        <v>39</v>
      </c>
      <c r="Z300" s="870">
        <v>1</v>
      </c>
      <c r="AA300" s="870">
        <v>110</v>
      </c>
      <c r="AB300" s="870">
        <v>0</v>
      </c>
      <c r="AC300" s="870">
        <v>69</v>
      </c>
      <c r="AD300" s="890">
        <f t="shared" si="51"/>
        <v>40379</v>
      </c>
      <c r="AE300" s="890">
        <f t="shared" si="52"/>
        <v>129786</v>
      </c>
      <c r="AF300" s="890">
        <f t="shared" si="56"/>
        <v>31865</v>
      </c>
      <c r="AG300" s="895">
        <f t="shared" si="53"/>
        <v>-21.1</v>
      </c>
      <c r="AH300" s="890">
        <f t="shared" si="54"/>
        <v>89325</v>
      </c>
      <c r="AI300" s="895">
        <f t="shared" si="55"/>
        <v>-31.2</v>
      </c>
    </row>
    <row r="301" spans="1:35" s="846" customFormat="1" ht="19.5" hidden="1" customHeight="1">
      <c r="A301" s="897" t="s">
        <v>63</v>
      </c>
      <c r="B301" s="870">
        <v>1264</v>
      </c>
      <c r="C301" s="870">
        <v>9669</v>
      </c>
      <c r="D301" s="870">
        <v>1256</v>
      </c>
      <c r="E301" s="870">
        <v>9386</v>
      </c>
      <c r="F301" s="870">
        <v>24</v>
      </c>
      <c r="G301" s="870">
        <v>1649</v>
      </c>
      <c r="H301" s="870">
        <v>24</v>
      </c>
      <c r="I301" s="870">
        <v>381</v>
      </c>
      <c r="J301" s="870">
        <v>16023</v>
      </c>
      <c r="K301" s="870">
        <v>41176</v>
      </c>
      <c r="L301" s="870">
        <v>20263</v>
      </c>
      <c r="M301" s="870">
        <v>42855</v>
      </c>
      <c r="N301" s="870">
        <v>0</v>
      </c>
      <c r="O301" s="870">
        <v>5</v>
      </c>
      <c r="P301" s="870">
        <v>21</v>
      </c>
      <c r="Q301" s="870">
        <v>43</v>
      </c>
      <c r="R301" s="870">
        <v>9407</v>
      </c>
      <c r="S301" s="870">
        <v>26413</v>
      </c>
      <c r="T301" s="870">
        <v>9867</v>
      </c>
      <c r="U301" s="870">
        <v>22106</v>
      </c>
      <c r="V301" s="870">
        <v>0</v>
      </c>
      <c r="W301" s="870">
        <v>0</v>
      </c>
      <c r="X301" s="870">
        <v>0</v>
      </c>
      <c r="Y301" s="870">
        <v>0</v>
      </c>
      <c r="Z301" s="870">
        <v>1</v>
      </c>
      <c r="AA301" s="870">
        <v>25</v>
      </c>
      <c r="AB301" s="870">
        <v>0</v>
      </c>
      <c r="AC301" s="870">
        <v>14</v>
      </c>
      <c r="AD301" s="890">
        <f t="shared" si="51"/>
        <v>26719</v>
      </c>
      <c r="AE301" s="890">
        <f t="shared" si="52"/>
        <v>78937</v>
      </c>
      <c r="AF301" s="890">
        <f t="shared" si="56"/>
        <v>31431</v>
      </c>
      <c r="AG301" s="895">
        <f t="shared" si="53"/>
        <v>17.600000000000001</v>
      </c>
      <c r="AH301" s="890">
        <f t="shared" si="54"/>
        <v>74785</v>
      </c>
      <c r="AI301" s="895">
        <f t="shared" si="55"/>
        <v>-5.3</v>
      </c>
    </row>
    <row r="302" spans="1:35" s="846" customFormat="1" ht="19.5" hidden="1" customHeight="1">
      <c r="A302" s="897" t="s">
        <v>64</v>
      </c>
      <c r="B302" s="870">
        <v>1674</v>
      </c>
      <c r="C302" s="870">
        <v>12547</v>
      </c>
      <c r="D302" s="870">
        <v>1300</v>
      </c>
      <c r="E302" s="870">
        <v>9326</v>
      </c>
      <c r="F302" s="870">
        <v>8</v>
      </c>
      <c r="G302" s="870">
        <v>783</v>
      </c>
      <c r="H302" s="870">
        <v>15</v>
      </c>
      <c r="I302" s="870">
        <v>1551</v>
      </c>
      <c r="J302" s="870">
        <v>8494</v>
      </c>
      <c r="K302" s="870">
        <v>23932</v>
      </c>
      <c r="L302" s="870">
        <v>12011</v>
      </c>
      <c r="M302" s="870">
        <v>29159</v>
      </c>
      <c r="N302" s="870">
        <v>45</v>
      </c>
      <c r="O302" s="870">
        <v>89</v>
      </c>
      <c r="P302" s="870">
        <v>50</v>
      </c>
      <c r="Q302" s="870">
        <v>89</v>
      </c>
      <c r="R302" s="870">
        <v>12930</v>
      </c>
      <c r="S302" s="870">
        <v>35286</v>
      </c>
      <c r="T302" s="870">
        <v>8443</v>
      </c>
      <c r="U302" s="870">
        <v>18812</v>
      </c>
      <c r="V302" s="870">
        <v>177</v>
      </c>
      <c r="W302" s="870">
        <v>991</v>
      </c>
      <c r="X302" s="870">
        <v>98</v>
      </c>
      <c r="Y302" s="870">
        <v>549</v>
      </c>
      <c r="Z302" s="870">
        <v>29</v>
      </c>
      <c r="AA302" s="870">
        <v>296</v>
      </c>
      <c r="AB302" s="870">
        <v>0</v>
      </c>
      <c r="AC302" s="870">
        <v>36</v>
      </c>
      <c r="AD302" s="890">
        <f t="shared" si="51"/>
        <v>23357</v>
      </c>
      <c r="AE302" s="890">
        <f t="shared" si="52"/>
        <v>73924</v>
      </c>
      <c r="AF302" s="890">
        <f t="shared" si="56"/>
        <v>21917</v>
      </c>
      <c r="AG302" s="895">
        <f t="shared" si="53"/>
        <v>-6.2</v>
      </c>
      <c r="AH302" s="890">
        <f t="shared" si="54"/>
        <v>59522</v>
      </c>
      <c r="AI302" s="895">
        <f t="shared" si="55"/>
        <v>-19.5</v>
      </c>
    </row>
    <row r="303" spans="1:35" s="846" customFormat="1" ht="19.5" hidden="1" customHeight="1">
      <c r="A303" s="897" t="s">
        <v>62</v>
      </c>
      <c r="B303" s="870">
        <v>2588</v>
      </c>
      <c r="C303" s="870">
        <v>16251</v>
      </c>
      <c r="D303" s="870">
        <v>1873</v>
      </c>
      <c r="E303" s="870">
        <v>10999</v>
      </c>
      <c r="F303" s="870">
        <v>0</v>
      </c>
      <c r="G303" s="870">
        <v>0</v>
      </c>
      <c r="H303" s="870">
        <v>0</v>
      </c>
      <c r="I303" s="870">
        <v>0</v>
      </c>
      <c r="J303" s="870">
        <v>3133</v>
      </c>
      <c r="K303" s="870">
        <v>14575</v>
      </c>
      <c r="L303" s="870">
        <v>3732</v>
      </c>
      <c r="M303" s="870">
        <v>14250</v>
      </c>
      <c r="N303" s="870">
        <v>1637</v>
      </c>
      <c r="O303" s="870">
        <v>3547</v>
      </c>
      <c r="P303" s="870">
        <v>3539</v>
      </c>
      <c r="Q303" s="870">
        <v>6703</v>
      </c>
      <c r="R303" s="870">
        <v>10737</v>
      </c>
      <c r="S303" s="870">
        <v>30995</v>
      </c>
      <c r="T303" s="870">
        <v>8921</v>
      </c>
      <c r="U303" s="870">
        <v>20438</v>
      </c>
      <c r="V303" s="870">
        <v>0</v>
      </c>
      <c r="W303" s="870">
        <v>0</v>
      </c>
      <c r="X303" s="870">
        <v>0</v>
      </c>
      <c r="Y303" s="870">
        <v>0</v>
      </c>
      <c r="Z303" s="870">
        <v>15136</v>
      </c>
      <c r="AA303" s="870">
        <v>851</v>
      </c>
      <c r="AB303" s="870">
        <v>0</v>
      </c>
      <c r="AC303" s="870">
        <v>0</v>
      </c>
      <c r="AD303" s="890">
        <f t="shared" si="51"/>
        <v>33231</v>
      </c>
      <c r="AE303" s="890">
        <f t="shared" si="52"/>
        <v>66219</v>
      </c>
      <c r="AF303" s="890">
        <f t="shared" si="56"/>
        <v>18065</v>
      </c>
      <c r="AG303" s="895">
        <f t="shared" si="53"/>
        <v>-45.6</v>
      </c>
      <c r="AH303" s="890">
        <f t="shared" si="54"/>
        <v>52390</v>
      </c>
      <c r="AI303" s="895">
        <f t="shared" si="55"/>
        <v>-20.9</v>
      </c>
    </row>
    <row r="304" spans="1:35" s="846" customFormat="1" ht="19.5" hidden="1" customHeight="1">
      <c r="A304" s="897" t="s">
        <v>448</v>
      </c>
      <c r="B304" s="870">
        <v>1358</v>
      </c>
      <c r="C304" s="870">
        <v>19728</v>
      </c>
      <c r="D304" s="870">
        <v>4495</v>
      </c>
      <c r="E304" s="870">
        <v>58003</v>
      </c>
      <c r="F304" s="870">
        <v>31</v>
      </c>
      <c r="G304" s="870">
        <v>2259</v>
      </c>
      <c r="H304" s="870">
        <v>23</v>
      </c>
      <c r="I304" s="870">
        <v>1540</v>
      </c>
      <c r="J304" s="870">
        <v>7602</v>
      </c>
      <c r="K304" s="870">
        <v>42136</v>
      </c>
      <c r="L304" s="870">
        <v>5696</v>
      </c>
      <c r="M304" s="870">
        <v>42324</v>
      </c>
      <c r="N304" s="870">
        <v>15</v>
      </c>
      <c r="O304" s="870">
        <v>4</v>
      </c>
      <c r="P304" s="870">
        <v>8</v>
      </c>
      <c r="Q304" s="870">
        <v>30</v>
      </c>
      <c r="R304" s="870">
        <v>19</v>
      </c>
      <c r="S304" s="870">
        <v>183</v>
      </c>
      <c r="T304" s="870">
        <v>10</v>
      </c>
      <c r="U304" s="870">
        <v>162</v>
      </c>
      <c r="V304" s="870">
        <v>3</v>
      </c>
      <c r="W304" s="870">
        <v>108</v>
      </c>
      <c r="X304" s="870">
        <v>2</v>
      </c>
      <c r="Y304" s="870">
        <v>75</v>
      </c>
      <c r="Z304" s="870">
        <v>1</v>
      </c>
      <c r="AA304" s="870">
        <v>172</v>
      </c>
      <c r="AB304" s="870">
        <v>0</v>
      </c>
      <c r="AC304" s="870">
        <v>29</v>
      </c>
      <c r="AD304" s="890">
        <f t="shared" si="51"/>
        <v>9029</v>
      </c>
      <c r="AE304" s="890">
        <f t="shared" si="52"/>
        <v>64590</v>
      </c>
      <c r="AF304" s="890">
        <f t="shared" si="56"/>
        <v>10234</v>
      </c>
      <c r="AG304" s="895">
        <f t="shared" si="53"/>
        <v>13.3</v>
      </c>
      <c r="AH304" s="890">
        <f t="shared" si="54"/>
        <v>102163</v>
      </c>
      <c r="AI304" s="895">
        <f t="shared" si="55"/>
        <v>58.2</v>
      </c>
    </row>
    <row r="305" spans="1:35" s="846" customFormat="1" ht="19.5" hidden="1" customHeight="1">
      <c r="A305" s="897" t="s">
        <v>77</v>
      </c>
      <c r="B305" s="870">
        <v>706</v>
      </c>
      <c r="C305" s="870">
        <v>7953</v>
      </c>
      <c r="D305" s="870">
        <v>948</v>
      </c>
      <c r="E305" s="870">
        <v>8881</v>
      </c>
      <c r="F305" s="870">
        <v>0</v>
      </c>
      <c r="G305" s="870">
        <v>30</v>
      </c>
      <c r="H305" s="870">
        <v>1</v>
      </c>
      <c r="I305" s="870">
        <v>72</v>
      </c>
      <c r="J305" s="870">
        <v>22987</v>
      </c>
      <c r="K305" s="870">
        <v>52909</v>
      </c>
      <c r="L305" s="870">
        <v>20968</v>
      </c>
      <c r="M305" s="870">
        <v>47062</v>
      </c>
      <c r="N305" s="870">
        <v>0</v>
      </c>
      <c r="O305" s="870">
        <v>0</v>
      </c>
      <c r="P305" s="870">
        <v>293</v>
      </c>
      <c r="Q305" s="870">
        <v>536</v>
      </c>
      <c r="R305" s="870">
        <v>0</v>
      </c>
      <c r="S305" s="870">
        <v>0</v>
      </c>
      <c r="T305" s="870">
        <v>0</v>
      </c>
      <c r="U305" s="870">
        <v>8</v>
      </c>
      <c r="V305" s="870">
        <v>0</v>
      </c>
      <c r="W305" s="870">
        <v>0</v>
      </c>
      <c r="X305" s="870">
        <v>0</v>
      </c>
      <c r="Y305" s="870">
        <v>0</v>
      </c>
      <c r="Z305" s="870">
        <v>1</v>
      </c>
      <c r="AA305" s="870">
        <v>12</v>
      </c>
      <c r="AB305" s="870">
        <v>1</v>
      </c>
      <c r="AC305" s="870">
        <v>7</v>
      </c>
      <c r="AD305" s="890">
        <f t="shared" si="51"/>
        <v>23694</v>
      </c>
      <c r="AE305" s="890">
        <f t="shared" si="52"/>
        <v>60904</v>
      </c>
      <c r="AF305" s="890">
        <f t="shared" si="56"/>
        <v>22211</v>
      </c>
      <c r="AG305" s="895">
        <f t="shared" si="53"/>
        <v>-6.3</v>
      </c>
      <c r="AH305" s="890">
        <f t="shared" si="54"/>
        <v>56566</v>
      </c>
      <c r="AI305" s="895">
        <f t="shared" si="55"/>
        <v>-7.1</v>
      </c>
    </row>
    <row r="306" spans="1:35" s="846" customFormat="1" ht="19.5" hidden="1" customHeight="1">
      <c r="A306" s="897" t="s">
        <v>75</v>
      </c>
      <c r="B306" s="870">
        <v>361</v>
      </c>
      <c r="C306" s="870">
        <v>3246</v>
      </c>
      <c r="D306" s="870">
        <v>1475</v>
      </c>
      <c r="E306" s="870">
        <v>10673</v>
      </c>
      <c r="F306" s="870">
        <v>0</v>
      </c>
      <c r="G306" s="870">
        <v>1</v>
      </c>
      <c r="H306" s="870">
        <v>1</v>
      </c>
      <c r="I306" s="870">
        <v>13</v>
      </c>
      <c r="J306" s="870">
        <v>14574</v>
      </c>
      <c r="K306" s="870">
        <v>38132</v>
      </c>
      <c r="L306" s="870">
        <v>19593</v>
      </c>
      <c r="M306" s="870">
        <v>45785</v>
      </c>
      <c r="N306" s="870">
        <v>0</v>
      </c>
      <c r="O306" s="870">
        <v>0</v>
      </c>
      <c r="P306" s="870">
        <v>0</v>
      </c>
      <c r="Q306" s="870">
        <v>0</v>
      </c>
      <c r="R306" s="870">
        <v>269</v>
      </c>
      <c r="S306" s="870">
        <v>755</v>
      </c>
      <c r="T306" s="870">
        <v>0</v>
      </c>
      <c r="U306" s="870">
        <v>2</v>
      </c>
      <c r="V306" s="870">
        <v>80</v>
      </c>
      <c r="W306" s="870">
        <v>1682</v>
      </c>
      <c r="X306" s="870">
        <v>20</v>
      </c>
      <c r="Y306" s="870">
        <v>299</v>
      </c>
      <c r="Z306" s="870">
        <v>134</v>
      </c>
      <c r="AA306" s="870">
        <v>369</v>
      </c>
      <c r="AB306" s="870">
        <v>44</v>
      </c>
      <c r="AC306" s="870">
        <v>344</v>
      </c>
      <c r="AD306" s="890">
        <f t="shared" si="51"/>
        <v>15418</v>
      </c>
      <c r="AE306" s="890">
        <f t="shared" si="52"/>
        <v>44185</v>
      </c>
      <c r="AF306" s="890">
        <f t="shared" si="56"/>
        <v>21133</v>
      </c>
      <c r="AG306" s="895">
        <f t="shared" si="53"/>
        <v>37.1</v>
      </c>
      <c r="AH306" s="890">
        <f t="shared" si="54"/>
        <v>57116</v>
      </c>
      <c r="AI306" s="895">
        <f t="shared" si="55"/>
        <v>29.3</v>
      </c>
    </row>
    <row r="307" spans="1:35" s="846" customFormat="1" ht="19.5" hidden="1" customHeight="1">
      <c r="A307" s="897" t="s">
        <v>449</v>
      </c>
      <c r="B307" s="870">
        <v>1983</v>
      </c>
      <c r="C307" s="870">
        <v>24070</v>
      </c>
      <c r="D307" s="870">
        <v>3379</v>
      </c>
      <c r="E307" s="870">
        <v>38065</v>
      </c>
      <c r="F307" s="870">
        <v>0</v>
      </c>
      <c r="G307" s="870">
        <v>0</v>
      </c>
      <c r="H307" s="870">
        <v>1</v>
      </c>
      <c r="I307" s="870">
        <v>10</v>
      </c>
      <c r="J307" s="870">
        <v>1194</v>
      </c>
      <c r="K307" s="870">
        <v>7412</v>
      </c>
      <c r="L307" s="870">
        <v>3877</v>
      </c>
      <c r="M307" s="870">
        <v>17660</v>
      </c>
      <c r="N307" s="870">
        <v>0</v>
      </c>
      <c r="O307" s="870">
        <v>0</v>
      </c>
      <c r="P307" s="870">
        <v>0</v>
      </c>
      <c r="Q307" s="870">
        <v>0</v>
      </c>
      <c r="R307" s="870">
        <v>0</v>
      </c>
      <c r="S307" s="870">
        <v>0</v>
      </c>
      <c r="T307" s="870">
        <v>0</v>
      </c>
      <c r="U307" s="870">
        <v>0</v>
      </c>
      <c r="V307" s="870">
        <v>0</v>
      </c>
      <c r="W307" s="870">
        <v>0</v>
      </c>
      <c r="X307" s="870">
        <v>0</v>
      </c>
      <c r="Y307" s="870">
        <v>1</v>
      </c>
      <c r="Z307" s="870">
        <v>0</v>
      </c>
      <c r="AA307" s="870">
        <v>15</v>
      </c>
      <c r="AB307" s="870">
        <v>0</v>
      </c>
      <c r="AC307" s="870">
        <v>48</v>
      </c>
      <c r="AD307" s="890">
        <f t="shared" si="51"/>
        <v>3177</v>
      </c>
      <c r="AE307" s="890">
        <f t="shared" si="52"/>
        <v>31497</v>
      </c>
      <c r="AF307" s="890">
        <f t="shared" si="56"/>
        <v>7257</v>
      </c>
      <c r="AG307" s="895">
        <f t="shared" si="53"/>
        <v>128.4</v>
      </c>
      <c r="AH307" s="890">
        <f t="shared" si="54"/>
        <v>55784</v>
      </c>
      <c r="AI307" s="895">
        <f t="shared" si="55"/>
        <v>77.099999999999994</v>
      </c>
    </row>
    <row r="308" spans="1:35" s="846" customFormat="1" ht="19.5" hidden="1" customHeight="1">
      <c r="A308" s="897" t="s">
        <v>68</v>
      </c>
      <c r="B308" s="870">
        <v>697</v>
      </c>
      <c r="C308" s="870">
        <v>9990</v>
      </c>
      <c r="D308" s="870">
        <v>690</v>
      </c>
      <c r="E308" s="870">
        <v>8306</v>
      </c>
      <c r="F308" s="870">
        <v>99</v>
      </c>
      <c r="G308" s="870">
        <v>1039</v>
      </c>
      <c r="H308" s="870">
        <v>250</v>
      </c>
      <c r="I308" s="870">
        <v>1114</v>
      </c>
      <c r="J308" s="870">
        <v>4928</v>
      </c>
      <c r="K308" s="870">
        <v>23786</v>
      </c>
      <c r="L308" s="870">
        <v>1569</v>
      </c>
      <c r="M308" s="870">
        <v>7657</v>
      </c>
      <c r="N308" s="870">
        <v>0</v>
      </c>
      <c r="O308" s="870">
        <v>0</v>
      </c>
      <c r="P308" s="870">
        <v>0</v>
      </c>
      <c r="Q308" s="870">
        <v>0</v>
      </c>
      <c r="R308" s="870">
        <v>5</v>
      </c>
      <c r="S308" s="870">
        <v>21</v>
      </c>
      <c r="T308" s="870">
        <v>3</v>
      </c>
      <c r="U308" s="870">
        <v>25</v>
      </c>
      <c r="V308" s="870">
        <v>0</v>
      </c>
      <c r="W308" s="870">
        <v>68</v>
      </c>
      <c r="X308" s="870">
        <v>0</v>
      </c>
      <c r="Y308" s="870">
        <v>23</v>
      </c>
      <c r="Z308" s="870">
        <v>47</v>
      </c>
      <c r="AA308" s="870">
        <v>5594</v>
      </c>
      <c r="AB308" s="870">
        <v>64</v>
      </c>
      <c r="AC308" s="870">
        <v>5343</v>
      </c>
      <c r="AD308" s="890">
        <f t="shared" si="51"/>
        <v>5776</v>
      </c>
      <c r="AE308" s="890">
        <f t="shared" si="52"/>
        <v>40498</v>
      </c>
      <c r="AF308" s="890">
        <f t="shared" si="56"/>
        <v>2576</v>
      </c>
      <c r="AG308" s="895">
        <f t="shared" si="53"/>
        <v>-55.4</v>
      </c>
      <c r="AH308" s="890">
        <f t="shared" si="54"/>
        <v>22468</v>
      </c>
      <c r="AI308" s="895">
        <f t="shared" si="55"/>
        <v>-44.5</v>
      </c>
    </row>
    <row r="309" spans="1:35" s="846" customFormat="1" ht="19.5" hidden="1" customHeight="1">
      <c r="A309" s="897" t="s">
        <v>66</v>
      </c>
      <c r="B309" s="870">
        <v>2469</v>
      </c>
      <c r="C309" s="870">
        <v>13622</v>
      </c>
      <c r="D309" s="870">
        <v>1819</v>
      </c>
      <c r="E309" s="870">
        <v>12706</v>
      </c>
      <c r="F309" s="870">
        <v>27</v>
      </c>
      <c r="G309" s="870">
        <v>546</v>
      </c>
      <c r="H309" s="870">
        <v>119</v>
      </c>
      <c r="I309" s="870">
        <v>1066</v>
      </c>
      <c r="J309" s="870">
        <v>2931</v>
      </c>
      <c r="K309" s="870">
        <v>12505</v>
      </c>
      <c r="L309" s="870">
        <v>1852</v>
      </c>
      <c r="M309" s="870">
        <v>10195</v>
      </c>
      <c r="N309" s="870">
        <v>76</v>
      </c>
      <c r="O309" s="870">
        <v>162</v>
      </c>
      <c r="P309" s="870">
        <v>97</v>
      </c>
      <c r="Q309" s="870">
        <v>134</v>
      </c>
      <c r="R309" s="870">
        <v>1432</v>
      </c>
      <c r="S309" s="870">
        <v>4336</v>
      </c>
      <c r="T309" s="870">
        <v>1028</v>
      </c>
      <c r="U309" s="870">
        <v>2533</v>
      </c>
      <c r="V309" s="870">
        <v>24</v>
      </c>
      <c r="W309" s="870">
        <v>488</v>
      </c>
      <c r="X309" s="870">
        <v>0</v>
      </c>
      <c r="Y309" s="870">
        <v>6</v>
      </c>
      <c r="Z309" s="870">
        <v>251</v>
      </c>
      <c r="AA309" s="870">
        <v>2383</v>
      </c>
      <c r="AB309" s="870">
        <v>367</v>
      </c>
      <c r="AC309" s="870">
        <v>1216</v>
      </c>
      <c r="AD309" s="890">
        <f t="shared" si="51"/>
        <v>7210</v>
      </c>
      <c r="AE309" s="890">
        <f t="shared" si="52"/>
        <v>34042</v>
      </c>
      <c r="AF309" s="890">
        <f t="shared" si="56"/>
        <v>5282</v>
      </c>
      <c r="AG309" s="895">
        <f t="shared" si="53"/>
        <v>-26.7</v>
      </c>
      <c r="AH309" s="890">
        <f t="shared" si="54"/>
        <v>27856</v>
      </c>
      <c r="AI309" s="895">
        <f t="shared" si="55"/>
        <v>-18.2</v>
      </c>
    </row>
    <row r="310" spans="1:35" s="846" customFormat="1" ht="19.5" hidden="1" customHeight="1">
      <c r="A310" s="897" t="s">
        <v>73</v>
      </c>
      <c r="B310" s="870">
        <v>624</v>
      </c>
      <c r="C310" s="870">
        <v>4175</v>
      </c>
      <c r="D310" s="870">
        <v>1115</v>
      </c>
      <c r="E310" s="870">
        <v>5892</v>
      </c>
      <c r="F310" s="870">
        <v>4</v>
      </c>
      <c r="G310" s="870">
        <v>298</v>
      </c>
      <c r="H310" s="870">
        <v>19</v>
      </c>
      <c r="I310" s="870">
        <v>237</v>
      </c>
      <c r="J310" s="870">
        <v>10607</v>
      </c>
      <c r="K310" s="870">
        <v>28072</v>
      </c>
      <c r="L310" s="870">
        <v>1793</v>
      </c>
      <c r="M310" s="870">
        <v>9372</v>
      </c>
      <c r="N310" s="870">
        <v>0</v>
      </c>
      <c r="O310" s="870">
        <v>0</v>
      </c>
      <c r="P310" s="870">
        <v>0</v>
      </c>
      <c r="Q310" s="870">
        <v>0</v>
      </c>
      <c r="R310" s="870">
        <v>0</v>
      </c>
      <c r="S310" s="870">
        <v>7</v>
      </c>
      <c r="T310" s="870">
        <v>0</v>
      </c>
      <c r="U310" s="870">
        <v>1</v>
      </c>
      <c r="V310" s="870">
        <v>14</v>
      </c>
      <c r="W310" s="870">
        <v>232</v>
      </c>
      <c r="X310" s="870">
        <v>12</v>
      </c>
      <c r="Y310" s="870">
        <v>147</v>
      </c>
      <c r="Z310" s="870">
        <v>7</v>
      </c>
      <c r="AA310" s="870">
        <v>126</v>
      </c>
      <c r="AB310" s="870">
        <v>23</v>
      </c>
      <c r="AC310" s="870">
        <v>414</v>
      </c>
      <c r="AD310" s="890">
        <f t="shared" si="51"/>
        <v>11256</v>
      </c>
      <c r="AE310" s="890">
        <f t="shared" si="52"/>
        <v>32910</v>
      </c>
      <c r="AF310" s="890">
        <f t="shared" si="56"/>
        <v>2962</v>
      </c>
      <c r="AG310" s="895">
        <f t="shared" si="53"/>
        <v>-73.7</v>
      </c>
      <c r="AH310" s="890">
        <f t="shared" si="54"/>
        <v>16063</v>
      </c>
      <c r="AI310" s="895">
        <f t="shared" si="55"/>
        <v>-51.2</v>
      </c>
    </row>
    <row r="311" spans="1:35" s="846" customFormat="1" ht="19.5" hidden="1" customHeight="1">
      <c r="A311" s="897" t="s">
        <v>71</v>
      </c>
      <c r="B311" s="870">
        <v>2107</v>
      </c>
      <c r="C311" s="870">
        <v>16348</v>
      </c>
      <c r="D311" s="870">
        <v>1814</v>
      </c>
      <c r="E311" s="870">
        <v>13174</v>
      </c>
      <c r="F311" s="870">
        <v>189</v>
      </c>
      <c r="G311" s="870">
        <v>2039</v>
      </c>
      <c r="H311" s="870">
        <v>113</v>
      </c>
      <c r="I311" s="870">
        <v>587</v>
      </c>
      <c r="J311" s="870">
        <v>3749</v>
      </c>
      <c r="K311" s="870">
        <v>10996</v>
      </c>
      <c r="L311" s="870">
        <v>579</v>
      </c>
      <c r="M311" s="870">
        <v>2196</v>
      </c>
      <c r="N311" s="870">
        <v>0</v>
      </c>
      <c r="O311" s="870">
        <v>0</v>
      </c>
      <c r="P311" s="870">
        <v>0</v>
      </c>
      <c r="Q311" s="870">
        <v>0</v>
      </c>
      <c r="R311" s="870">
        <v>1</v>
      </c>
      <c r="S311" s="870">
        <v>7</v>
      </c>
      <c r="T311" s="870">
        <v>1</v>
      </c>
      <c r="U311" s="870">
        <v>3</v>
      </c>
      <c r="V311" s="870">
        <v>0</v>
      </c>
      <c r="W311" s="870">
        <v>0</v>
      </c>
      <c r="X311" s="870">
        <v>0</v>
      </c>
      <c r="Y311" s="870">
        <v>0</v>
      </c>
      <c r="Z311" s="870">
        <v>197</v>
      </c>
      <c r="AA311" s="870">
        <v>2901</v>
      </c>
      <c r="AB311" s="870">
        <v>104</v>
      </c>
      <c r="AC311" s="870">
        <v>756</v>
      </c>
      <c r="AD311" s="890">
        <f t="shared" si="51"/>
        <v>6243</v>
      </c>
      <c r="AE311" s="890">
        <f t="shared" si="52"/>
        <v>32291</v>
      </c>
      <c r="AF311" s="890">
        <f t="shared" si="56"/>
        <v>2611</v>
      </c>
      <c r="AG311" s="895">
        <f t="shared" si="53"/>
        <v>-58.2</v>
      </c>
      <c r="AH311" s="890">
        <f t="shared" si="54"/>
        <v>16716</v>
      </c>
      <c r="AI311" s="895">
        <f t="shared" si="55"/>
        <v>-48.2</v>
      </c>
    </row>
    <row r="312" spans="1:35" s="846" customFormat="1" ht="19.5" hidden="1" customHeight="1">
      <c r="A312" s="891" t="s">
        <v>70</v>
      </c>
      <c r="B312" s="870">
        <v>174</v>
      </c>
      <c r="C312" s="870">
        <v>583</v>
      </c>
      <c r="D312" s="870">
        <v>120</v>
      </c>
      <c r="E312" s="870">
        <v>711</v>
      </c>
      <c r="F312" s="870">
        <v>0</v>
      </c>
      <c r="G312" s="870">
        <v>8</v>
      </c>
      <c r="H312" s="870">
        <v>6</v>
      </c>
      <c r="I312" s="870">
        <v>126</v>
      </c>
      <c r="J312" s="870">
        <v>4376</v>
      </c>
      <c r="K312" s="870">
        <v>10880</v>
      </c>
      <c r="L312" s="870">
        <v>4727</v>
      </c>
      <c r="M312" s="870">
        <v>12473</v>
      </c>
      <c r="N312" s="870">
        <v>1</v>
      </c>
      <c r="O312" s="870">
        <v>2</v>
      </c>
      <c r="P312" s="870">
        <v>0</v>
      </c>
      <c r="Q312" s="870">
        <v>0</v>
      </c>
      <c r="R312" s="870">
        <v>7584</v>
      </c>
      <c r="S312" s="870">
        <v>22112</v>
      </c>
      <c r="T312" s="870">
        <v>3257</v>
      </c>
      <c r="U312" s="870">
        <v>7467</v>
      </c>
      <c r="V312" s="870">
        <v>0</v>
      </c>
      <c r="W312" s="870">
        <v>2</v>
      </c>
      <c r="X312" s="870">
        <v>10</v>
      </c>
      <c r="Y312" s="870">
        <v>179</v>
      </c>
      <c r="Z312" s="870">
        <v>20</v>
      </c>
      <c r="AA312" s="870">
        <v>66</v>
      </c>
      <c r="AB312" s="870">
        <v>0</v>
      </c>
      <c r="AC312" s="870">
        <v>2</v>
      </c>
      <c r="AD312" s="890">
        <f t="shared" si="51"/>
        <v>12155</v>
      </c>
      <c r="AE312" s="890">
        <f t="shared" si="52"/>
        <v>33653</v>
      </c>
      <c r="AF312" s="890">
        <f t="shared" si="56"/>
        <v>8120</v>
      </c>
      <c r="AG312" s="895">
        <f t="shared" si="53"/>
        <v>-33.200000000000003</v>
      </c>
      <c r="AH312" s="890">
        <f t="shared" si="54"/>
        <v>20958</v>
      </c>
      <c r="AI312" s="895">
        <f t="shared" si="55"/>
        <v>-37.700000000000003</v>
      </c>
    </row>
    <row r="313" spans="1:35" s="846" customFormat="1" ht="19.5" hidden="1" customHeight="1">
      <c r="A313" s="897" t="s">
        <v>74</v>
      </c>
      <c r="B313" s="870">
        <v>1468</v>
      </c>
      <c r="C313" s="870">
        <v>12122</v>
      </c>
      <c r="D313" s="870">
        <v>1019</v>
      </c>
      <c r="E313" s="870">
        <v>7905</v>
      </c>
      <c r="F313" s="870">
        <v>1</v>
      </c>
      <c r="G313" s="870">
        <v>87</v>
      </c>
      <c r="H313" s="870">
        <v>0</v>
      </c>
      <c r="I313" s="870">
        <v>21</v>
      </c>
      <c r="J313" s="870">
        <v>6359</v>
      </c>
      <c r="K313" s="870">
        <v>16628</v>
      </c>
      <c r="L313" s="870">
        <v>5446</v>
      </c>
      <c r="M313" s="870">
        <v>13145</v>
      </c>
      <c r="N313" s="870">
        <v>0</v>
      </c>
      <c r="O313" s="870">
        <v>0</v>
      </c>
      <c r="P313" s="870">
        <v>0</v>
      </c>
      <c r="Q313" s="870">
        <v>0</v>
      </c>
      <c r="R313" s="870">
        <v>0</v>
      </c>
      <c r="S313" s="870">
        <v>11</v>
      </c>
      <c r="T313" s="870">
        <v>0</v>
      </c>
      <c r="U313" s="870">
        <v>0</v>
      </c>
      <c r="V313" s="870">
        <v>0</v>
      </c>
      <c r="W313" s="870">
        <v>0</v>
      </c>
      <c r="X313" s="870">
        <v>0</v>
      </c>
      <c r="Y313" s="870">
        <v>0</v>
      </c>
      <c r="Z313" s="870">
        <v>458</v>
      </c>
      <c r="AA313" s="870">
        <v>1262</v>
      </c>
      <c r="AB313" s="870">
        <v>965</v>
      </c>
      <c r="AC313" s="870">
        <v>2402</v>
      </c>
      <c r="AD313" s="890">
        <f t="shared" si="51"/>
        <v>8286</v>
      </c>
      <c r="AE313" s="890">
        <f t="shared" si="52"/>
        <v>30110</v>
      </c>
      <c r="AF313" s="890">
        <f t="shared" si="56"/>
        <v>7430</v>
      </c>
      <c r="AG313" s="895">
        <f t="shared" si="53"/>
        <v>-10.3</v>
      </c>
      <c r="AH313" s="890">
        <f t="shared" si="54"/>
        <v>23473</v>
      </c>
      <c r="AI313" s="895">
        <f t="shared" si="55"/>
        <v>-22</v>
      </c>
    </row>
    <row r="314" spans="1:35" s="846" customFormat="1" ht="19.5" hidden="1" customHeight="1">
      <c r="A314" s="891" t="s">
        <v>88</v>
      </c>
      <c r="B314" s="870">
        <v>103</v>
      </c>
      <c r="C314" s="870">
        <v>86</v>
      </c>
      <c r="D314" s="870">
        <v>0</v>
      </c>
      <c r="E314" s="870">
        <v>8</v>
      </c>
      <c r="F314" s="870">
        <v>0</v>
      </c>
      <c r="G314" s="870">
        <v>0</v>
      </c>
      <c r="H314" s="870">
        <v>0</v>
      </c>
      <c r="I314" s="870">
        <v>0</v>
      </c>
      <c r="J314" s="870">
        <v>13757</v>
      </c>
      <c r="K314" s="870">
        <v>31670</v>
      </c>
      <c r="L314" s="870">
        <v>7023</v>
      </c>
      <c r="M314" s="870">
        <v>14832</v>
      </c>
      <c r="N314" s="870">
        <v>0</v>
      </c>
      <c r="O314" s="870">
        <v>0</v>
      </c>
      <c r="P314" s="870">
        <v>0</v>
      </c>
      <c r="Q314" s="870">
        <v>0</v>
      </c>
      <c r="R314" s="870">
        <v>225</v>
      </c>
      <c r="S314" s="870">
        <v>699</v>
      </c>
      <c r="T314" s="870">
        <v>0</v>
      </c>
      <c r="U314" s="870">
        <v>0</v>
      </c>
      <c r="V314" s="870">
        <v>0</v>
      </c>
      <c r="W314" s="870">
        <v>0</v>
      </c>
      <c r="X314" s="870">
        <v>0</v>
      </c>
      <c r="Y314" s="870">
        <v>0</v>
      </c>
      <c r="Z314" s="870">
        <v>0</v>
      </c>
      <c r="AA314" s="870">
        <v>0</v>
      </c>
      <c r="AB314" s="870">
        <v>0</v>
      </c>
      <c r="AC314" s="870">
        <v>0</v>
      </c>
      <c r="AD314" s="890">
        <f t="shared" si="51"/>
        <v>14085</v>
      </c>
      <c r="AE314" s="890">
        <f t="shared" si="52"/>
        <v>32455</v>
      </c>
      <c r="AF314" s="890">
        <f t="shared" si="56"/>
        <v>7023</v>
      </c>
      <c r="AG314" s="895">
        <f t="shared" si="53"/>
        <v>-50.1</v>
      </c>
      <c r="AH314" s="890">
        <f t="shared" si="54"/>
        <v>14840</v>
      </c>
      <c r="AI314" s="895">
        <f t="shared" si="55"/>
        <v>-54.3</v>
      </c>
    </row>
    <row r="315" spans="1:35" s="846" customFormat="1" ht="19.5" hidden="1" customHeight="1">
      <c r="A315" s="891" t="s">
        <v>67</v>
      </c>
      <c r="B315" s="870">
        <v>157</v>
      </c>
      <c r="C315" s="870">
        <v>240</v>
      </c>
      <c r="D315" s="870">
        <v>279</v>
      </c>
      <c r="E315" s="870">
        <v>327</v>
      </c>
      <c r="F315" s="870">
        <v>0</v>
      </c>
      <c r="G315" s="870">
        <v>1</v>
      </c>
      <c r="H315" s="870">
        <v>0</v>
      </c>
      <c r="I315" s="870">
        <v>1</v>
      </c>
      <c r="J315" s="870">
        <v>9244</v>
      </c>
      <c r="K315" s="870">
        <v>23483</v>
      </c>
      <c r="L315" s="870">
        <v>13393</v>
      </c>
      <c r="M315" s="870">
        <v>29814</v>
      </c>
      <c r="N315" s="870">
        <v>0</v>
      </c>
      <c r="O315" s="870">
        <v>0</v>
      </c>
      <c r="P315" s="870">
        <v>2</v>
      </c>
      <c r="Q315" s="870">
        <v>7</v>
      </c>
      <c r="R315" s="870">
        <v>6</v>
      </c>
      <c r="S315" s="870">
        <v>7</v>
      </c>
      <c r="T315" s="870">
        <v>0</v>
      </c>
      <c r="U315" s="870">
        <v>0</v>
      </c>
      <c r="V315" s="870">
        <v>0</v>
      </c>
      <c r="W315" s="870">
        <v>0</v>
      </c>
      <c r="X315" s="870">
        <v>0</v>
      </c>
      <c r="Y315" s="870">
        <v>0</v>
      </c>
      <c r="Z315" s="870">
        <v>0</v>
      </c>
      <c r="AA315" s="870">
        <v>0</v>
      </c>
      <c r="AB315" s="870">
        <v>0</v>
      </c>
      <c r="AC315" s="870">
        <v>0</v>
      </c>
      <c r="AD315" s="890">
        <f t="shared" si="51"/>
        <v>9407</v>
      </c>
      <c r="AE315" s="890">
        <f t="shared" si="52"/>
        <v>23731</v>
      </c>
      <c r="AF315" s="890">
        <f t="shared" si="56"/>
        <v>13674</v>
      </c>
      <c r="AG315" s="895">
        <f t="shared" si="53"/>
        <v>45.4</v>
      </c>
      <c r="AH315" s="890">
        <f t="shared" si="54"/>
        <v>30149</v>
      </c>
      <c r="AI315" s="895">
        <f t="shared" si="55"/>
        <v>27</v>
      </c>
    </row>
    <row r="316" spans="1:35" s="846" customFormat="1" ht="19.5" hidden="1" customHeight="1">
      <c r="A316" s="897" t="s">
        <v>72</v>
      </c>
      <c r="B316" s="870">
        <v>491</v>
      </c>
      <c r="C316" s="870">
        <v>3432</v>
      </c>
      <c r="D316" s="870">
        <v>534</v>
      </c>
      <c r="E316" s="870">
        <v>3983</v>
      </c>
      <c r="F316" s="870">
        <v>21</v>
      </c>
      <c r="G316" s="870">
        <v>64</v>
      </c>
      <c r="H316" s="870">
        <v>0</v>
      </c>
      <c r="I316" s="870">
        <v>12</v>
      </c>
      <c r="J316" s="870">
        <v>4003</v>
      </c>
      <c r="K316" s="870">
        <v>17533</v>
      </c>
      <c r="L316" s="870">
        <v>3146</v>
      </c>
      <c r="M316" s="870">
        <v>18388</v>
      </c>
      <c r="N316" s="870">
        <v>0</v>
      </c>
      <c r="O316" s="870">
        <v>0</v>
      </c>
      <c r="P316" s="870">
        <v>0</v>
      </c>
      <c r="Q316" s="870">
        <v>0</v>
      </c>
      <c r="R316" s="870">
        <v>1</v>
      </c>
      <c r="S316" s="870">
        <v>23</v>
      </c>
      <c r="T316" s="870">
        <v>1</v>
      </c>
      <c r="U316" s="870">
        <v>21</v>
      </c>
      <c r="V316" s="870">
        <v>0</v>
      </c>
      <c r="W316" s="870">
        <v>0</v>
      </c>
      <c r="X316" s="870">
        <v>0</v>
      </c>
      <c r="Y316" s="870">
        <v>0</v>
      </c>
      <c r="Z316" s="870">
        <v>25</v>
      </c>
      <c r="AA316" s="870">
        <v>1459</v>
      </c>
      <c r="AB316" s="870">
        <v>22</v>
      </c>
      <c r="AC316" s="870">
        <v>1280</v>
      </c>
      <c r="AD316" s="890">
        <f t="shared" si="51"/>
        <v>4541</v>
      </c>
      <c r="AE316" s="890">
        <f t="shared" si="52"/>
        <v>22511</v>
      </c>
      <c r="AF316" s="890">
        <f t="shared" si="56"/>
        <v>3703</v>
      </c>
      <c r="AG316" s="895">
        <f t="shared" si="53"/>
        <v>-18.5</v>
      </c>
      <c r="AH316" s="890">
        <f t="shared" si="54"/>
        <v>23684</v>
      </c>
      <c r="AI316" s="895">
        <f t="shared" si="55"/>
        <v>5.2</v>
      </c>
    </row>
    <row r="317" spans="1:35" s="846" customFormat="1" ht="19.5" hidden="1" customHeight="1">
      <c r="A317" s="897" t="s">
        <v>69</v>
      </c>
      <c r="B317" s="870">
        <v>392</v>
      </c>
      <c r="C317" s="870">
        <v>4265</v>
      </c>
      <c r="D317" s="870">
        <v>321</v>
      </c>
      <c r="E317" s="870">
        <v>3619</v>
      </c>
      <c r="F317" s="870">
        <v>59</v>
      </c>
      <c r="G317" s="870">
        <v>351</v>
      </c>
      <c r="H317" s="870">
        <v>3</v>
      </c>
      <c r="I317" s="870">
        <v>104</v>
      </c>
      <c r="J317" s="870">
        <v>5452</v>
      </c>
      <c r="K317" s="870">
        <v>16129</v>
      </c>
      <c r="L317" s="870">
        <v>420</v>
      </c>
      <c r="M317" s="870">
        <v>6305</v>
      </c>
      <c r="N317" s="870">
        <v>6</v>
      </c>
      <c r="O317" s="870">
        <v>2</v>
      </c>
      <c r="P317" s="870">
        <v>52</v>
      </c>
      <c r="Q317" s="870">
        <v>27</v>
      </c>
      <c r="R317" s="870">
        <v>0</v>
      </c>
      <c r="S317" s="870">
        <v>0</v>
      </c>
      <c r="T317" s="870">
        <v>0</v>
      </c>
      <c r="U317" s="870">
        <v>0</v>
      </c>
      <c r="V317" s="870">
        <v>0</v>
      </c>
      <c r="W317" s="870">
        <v>8</v>
      </c>
      <c r="X317" s="870">
        <v>0</v>
      </c>
      <c r="Y317" s="870">
        <v>7</v>
      </c>
      <c r="Z317" s="870">
        <v>654</v>
      </c>
      <c r="AA317" s="870">
        <v>5471</v>
      </c>
      <c r="AB317" s="870">
        <v>409</v>
      </c>
      <c r="AC317" s="870">
        <v>2655</v>
      </c>
      <c r="AD317" s="890">
        <f t="shared" si="51"/>
        <v>6563</v>
      </c>
      <c r="AE317" s="890">
        <f t="shared" si="52"/>
        <v>26226</v>
      </c>
      <c r="AF317" s="890">
        <f t="shared" si="56"/>
        <v>1205</v>
      </c>
      <c r="AG317" s="895">
        <f t="shared" si="53"/>
        <v>-81.599999999999994</v>
      </c>
      <c r="AH317" s="890">
        <f t="shared" si="54"/>
        <v>12717</v>
      </c>
      <c r="AI317" s="895">
        <f t="shared" si="55"/>
        <v>-51.5</v>
      </c>
    </row>
    <row r="318" spans="1:35" s="846" customFormat="1" ht="19.5" hidden="1" customHeight="1">
      <c r="A318" s="877" t="s">
        <v>560</v>
      </c>
      <c r="B318" s="892">
        <f t="shared" ref="B318:G318" si="57">B319-SUM(B288:B317)</f>
        <v>7696</v>
      </c>
      <c r="C318" s="892">
        <f t="shared" si="57"/>
        <v>70878</v>
      </c>
      <c r="D318" s="892">
        <f t="shared" si="57"/>
        <v>9514</v>
      </c>
      <c r="E318" s="892">
        <f t="shared" si="57"/>
        <v>74339</v>
      </c>
      <c r="F318" s="892">
        <f t="shared" si="57"/>
        <v>614</v>
      </c>
      <c r="G318" s="892">
        <f t="shared" si="57"/>
        <v>3375</v>
      </c>
      <c r="H318" s="892">
        <f t="shared" ref="H318:AC318" si="58">H319-SUM(H288:H317)</f>
        <v>313</v>
      </c>
      <c r="I318" s="892">
        <f t="shared" si="58"/>
        <v>4400</v>
      </c>
      <c r="J318" s="892">
        <f t="shared" si="58"/>
        <v>53315</v>
      </c>
      <c r="K318" s="892">
        <f t="shared" si="58"/>
        <v>159621</v>
      </c>
      <c r="L318" s="892">
        <f t="shared" si="58"/>
        <v>43004</v>
      </c>
      <c r="M318" s="892">
        <f t="shared" si="58"/>
        <v>127750</v>
      </c>
      <c r="N318" s="892">
        <f t="shared" si="58"/>
        <v>5097</v>
      </c>
      <c r="O318" s="892">
        <f t="shared" si="58"/>
        <v>11691</v>
      </c>
      <c r="P318" s="892">
        <f t="shared" si="58"/>
        <v>3191</v>
      </c>
      <c r="Q318" s="892">
        <f t="shared" si="58"/>
        <v>6565</v>
      </c>
      <c r="R318" s="892">
        <f t="shared" si="58"/>
        <v>11947</v>
      </c>
      <c r="S318" s="892">
        <f t="shared" si="58"/>
        <v>34156</v>
      </c>
      <c r="T318" s="892">
        <f t="shared" si="58"/>
        <v>17234</v>
      </c>
      <c r="U318" s="892">
        <f t="shared" si="58"/>
        <v>39454</v>
      </c>
      <c r="V318" s="892">
        <f t="shared" si="58"/>
        <v>44</v>
      </c>
      <c r="W318" s="892">
        <f t="shared" si="58"/>
        <v>592</v>
      </c>
      <c r="X318" s="892">
        <f t="shared" si="58"/>
        <v>32</v>
      </c>
      <c r="Y318" s="892">
        <f t="shared" si="58"/>
        <v>355</v>
      </c>
      <c r="Z318" s="892">
        <f t="shared" si="58"/>
        <v>388</v>
      </c>
      <c r="AA318" s="892">
        <f t="shared" si="58"/>
        <v>6652</v>
      </c>
      <c r="AB318" s="892">
        <f t="shared" si="58"/>
        <v>711</v>
      </c>
      <c r="AC318" s="892">
        <f t="shared" si="58"/>
        <v>8333</v>
      </c>
      <c r="AD318" s="892">
        <f>AD319-SUM(AD288:AD317)</f>
        <v>79101</v>
      </c>
      <c r="AE318" s="892">
        <f>AE319-SUM(AE288:AE317)</f>
        <v>286965</v>
      </c>
      <c r="AF318" s="892">
        <f>AF319-SUM(AF288:AF317)</f>
        <v>73999</v>
      </c>
      <c r="AG318" s="895">
        <f t="shared" si="53"/>
        <v>-6.4</v>
      </c>
      <c r="AH318" s="892">
        <f>AH319-SUM(AH288:AH317)</f>
        <v>261196</v>
      </c>
      <c r="AI318" s="896">
        <f t="shared" si="55"/>
        <v>-9</v>
      </c>
    </row>
    <row r="319" spans="1:35" s="846" customFormat="1" ht="19.5" hidden="1" customHeight="1">
      <c r="A319" s="1027" t="s">
        <v>79</v>
      </c>
      <c r="B319" s="886">
        <v>465272</v>
      </c>
      <c r="C319" s="886">
        <v>3135735</v>
      </c>
      <c r="D319" s="886">
        <v>435503</v>
      </c>
      <c r="E319" s="886">
        <v>2855555</v>
      </c>
      <c r="F319" s="886">
        <v>13397</v>
      </c>
      <c r="G319" s="888">
        <v>120472</v>
      </c>
      <c r="H319" s="886">
        <v>9771</v>
      </c>
      <c r="I319" s="886">
        <v>95410</v>
      </c>
      <c r="J319" s="886">
        <v>724138</v>
      </c>
      <c r="K319" s="886">
        <v>2373098</v>
      </c>
      <c r="L319" s="886">
        <v>802800</v>
      </c>
      <c r="M319" s="886">
        <v>2304584</v>
      </c>
      <c r="N319" s="886">
        <v>252672</v>
      </c>
      <c r="O319" s="886">
        <v>544538</v>
      </c>
      <c r="P319" s="886">
        <v>223151</v>
      </c>
      <c r="Q319" s="886">
        <v>444414</v>
      </c>
      <c r="R319" s="886">
        <v>364005</v>
      </c>
      <c r="S319" s="886">
        <v>1025945</v>
      </c>
      <c r="T319" s="886">
        <v>391376</v>
      </c>
      <c r="U319" s="886">
        <v>862686</v>
      </c>
      <c r="V319" s="886">
        <v>1423</v>
      </c>
      <c r="W319" s="886">
        <v>30247</v>
      </c>
      <c r="X319" s="886">
        <v>1244</v>
      </c>
      <c r="Y319" s="886">
        <v>28728</v>
      </c>
      <c r="Z319" s="886">
        <v>75087</v>
      </c>
      <c r="AA319" s="888">
        <v>191896</v>
      </c>
      <c r="AB319" s="886">
        <v>15592</v>
      </c>
      <c r="AC319" s="886">
        <v>153739</v>
      </c>
      <c r="AD319" s="893">
        <f>SUM(B319+F319+J319+N319+R319+V319+Z319)</f>
        <v>1895994</v>
      </c>
      <c r="AE319" s="893">
        <f>SUM(C319+G319+K319+O319+S319+W319+AA319)</f>
        <v>7421931</v>
      </c>
      <c r="AF319" s="893">
        <f>SUM(D319+H319+L319+P319+T319+X319+AB319)</f>
        <v>1879437</v>
      </c>
      <c r="AG319" s="906">
        <f t="shared" si="53"/>
        <v>-0.9</v>
      </c>
      <c r="AH319" s="893">
        <f>SUM(E319+I319+M319+Q319+U319+Y319+AC319)</f>
        <v>6745116</v>
      </c>
      <c r="AI319" s="896">
        <f t="shared" si="55"/>
        <v>-9.1</v>
      </c>
    </row>
    <row r="320" spans="1:35" hidden="1"/>
    <row r="321" spans="1:35" s="846" customFormat="1" ht="22.5" hidden="1" customHeight="1">
      <c r="A321" s="1095" t="s">
        <v>656</v>
      </c>
      <c r="B321" s="1095"/>
      <c r="C321" s="1095"/>
      <c r="D321" s="1095"/>
      <c r="E321" s="1095"/>
      <c r="F321" s="1095"/>
      <c r="G321" s="1095"/>
      <c r="H321" s="1095"/>
      <c r="I321" s="1095"/>
      <c r="J321" s="1095"/>
      <c r="K321" s="1095"/>
      <c r="L321" s="1095"/>
      <c r="M321" s="1095"/>
      <c r="N321" s="1095"/>
      <c r="O321" s="1095"/>
      <c r="P321" s="1095"/>
      <c r="Q321" s="1095"/>
      <c r="R321" s="1095"/>
      <c r="S321" s="1095"/>
      <c r="T321" s="1095"/>
      <c r="U321" s="1095"/>
      <c r="V321" s="1095"/>
      <c r="W321" s="1095"/>
      <c r="X321" s="1095"/>
      <c r="Y321" s="1095"/>
      <c r="Z321" s="1095"/>
      <c r="AA321" s="1095"/>
      <c r="AB321" s="1095"/>
      <c r="AC321" s="1095"/>
      <c r="AD321" s="1095"/>
      <c r="AE321" s="1095"/>
      <c r="AF321" s="1095"/>
      <c r="AG321" s="1095"/>
      <c r="AH321" s="1095"/>
      <c r="AI321" s="1095"/>
    </row>
    <row r="322" spans="1:35" s="846" customFormat="1" ht="16.5" hidden="1" customHeight="1">
      <c r="A322" s="871"/>
      <c r="B322" s="872"/>
      <c r="C322" s="872"/>
      <c r="D322" s="872"/>
      <c r="E322" s="872"/>
      <c r="F322" s="872"/>
      <c r="G322" s="871"/>
      <c r="H322" s="872"/>
      <c r="I322" s="872"/>
      <c r="J322" s="872"/>
      <c r="K322" s="872"/>
      <c r="L322" s="872"/>
      <c r="M322" s="872"/>
      <c r="N322" s="872"/>
      <c r="O322" s="872"/>
      <c r="P322" s="872"/>
      <c r="Q322" s="872"/>
      <c r="R322" s="873"/>
      <c r="S322" s="873"/>
      <c r="T322" s="872"/>
      <c r="U322" s="872"/>
      <c r="V322" s="872"/>
      <c r="W322" s="872"/>
      <c r="X322" s="872"/>
      <c r="Y322" s="872"/>
      <c r="Z322" s="872"/>
      <c r="AA322" s="872"/>
      <c r="AB322" s="872"/>
      <c r="AC322" s="872"/>
      <c r="AD322" s="872"/>
      <c r="AE322" s="872"/>
      <c r="AF322" s="872"/>
      <c r="AG322" s="872"/>
      <c r="AH322" s="872"/>
      <c r="AI322" s="872"/>
    </row>
    <row r="323" spans="1:35" s="846" customFormat="1" ht="16.5" hidden="1" customHeight="1">
      <c r="A323" s="850"/>
      <c r="B323" s="851"/>
      <c r="C323" s="851"/>
      <c r="D323" s="851"/>
      <c r="E323" s="851"/>
      <c r="F323" s="851"/>
      <c r="G323" s="850"/>
      <c r="H323" s="851"/>
      <c r="I323" s="851"/>
      <c r="J323" s="851"/>
      <c r="K323" s="851"/>
      <c r="L323" s="851"/>
      <c r="M323" s="851"/>
      <c r="N323" s="851"/>
      <c r="O323" s="851"/>
      <c r="P323" s="851"/>
      <c r="Q323" s="851"/>
      <c r="R323" s="852"/>
      <c r="S323" s="852"/>
      <c r="T323" s="851"/>
      <c r="U323" s="851"/>
      <c r="V323" s="851"/>
      <c r="W323" s="851"/>
      <c r="X323" s="851"/>
      <c r="Y323" s="851"/>
      <c r="Z323" s="851"/>
      <c r="AA323" s="851"/>
      <c r="AB323" s="851"/>
      <c r="AC323" s="851"/>
      <c r="AD323" s="851"/>
      <c r="AE323" s="851"/>
      <c r="AF323" s="851"/>
      <c r="AG323" s="851"/>
      <c r="AH323" s="851"/>
      <c r="AI323" s="853" t="s">
        <v>0</v>
      </c>
    </row>
    <row r="324" spans="1:35" s="846" customFormat="1" ht="21.75" hidden="1" customHeight="1">
      <c r="A324" s="1149" t="s">
        <v>43</v>
      </c>
      <c r="B324" s="1151" t="s">
        <v>657</v>
      </c>
      <c r="C324" s="1153"/>
      <c r="D324" s="1153"/>
      <c r="E324" s="1152"/>
      <c r="F324" s="1151" t="s">
        <v>658</v>
      </c>
      <c r="G324" s="1153"/>
      <c r="H324" s="1153"/>
      <c r="I324" s="1152"/>
      <c r="J324" s="1151" t="s">
        <v>659</v>
      </c>
      <c r="K324" s="1153"/>
      <c r="L324" s="1153"/>
      <c r="M324" s="1152"/>
      <c r="N324" s="1151" t="s">
        <v>660</v>
      </c>
      <c r="O324" s="1153"/>
      <c r="P324" s="1153"/>
      <c r="Q324" s="1152"/>
      <c r="R324" s="1151" t="s">
        <v>661</v>
      </c>
      <c r="S324" s="1153"/>
      <c r="T324" s="1153"/>
      <c r="U324" s="1152"/>
      <c r="V324" s="1151" t="s">
        <v>662</v>
      </c>
      <c r="W324" s="1153"/>
      <c r="X324" s="1153"/>
      <c r="Y324" s="1152"/>
      <c r="Z324" s="1151" t="s">
        <v>663</v>
      </c>
      <c r="AA324" s="1153"/>
      <c r="AB324" s="1153"/>
      <c r="AC324" s="1152"/>
      <c r="AD324" s="1151" t="s">
        <v>664</v>
      </c>
      <c r="AE324" s="1153"/>
      <c r="AF324" s="1153"/>
      <c r="AG324" s="1153"/>
      <c r="AH324" s="1153"/>
      <c r="AI324" s="1152"/>
    </row>
    <row r="325" spans="1:35" s="846" customFormat="1" ht="21" hidden="1" customHeight="1">
      <c r="A325" s="1154"/>
      <c r="B325" s="1151" t="s">
        <v>315</v>
      </c>
      <c r="C325" s="1152"/>
      <c r="D325" s="1151" t="s">
        <v>459</v>
      </c>
      <c r="E325" s="1152"/>
      <c r="F325" s="1151" t="s">
        <v>315</v>
      </c>
      <c r="G325" s="1152"/>
      <c r="H325" s="1151" t="s">
        <v>459</v>
      </c>
      <c r="I325" s="1152"/>
      <c r="J325" s="1151" t="s">
        <v>315</v>
      </c>
      <c r="K325" s="1152"/>
      <c r="L325" s="1151" t="s">
        <v>459</v>
      </c>
      <c r="M325" s="1152"/>
      <c r="N325" s="1151" t="s">
        <v>315</v>
      </c>
      <c r="O325" s="1152"/>
      <c r="P325" s="1151" t="s">
        <v>459</v>
      </c>
      <c r="Q325" s="1152"/>
      <c r="R325" s="1151" t="s">
        <v>315</v>
      </c>
      <c r="S325" s="1152"/>
      <c r="T325" s="1151" t="s">
        <v>459</v>
      </c>
      <c r="U325" s="1152"/>
      <c r="V325" s="1151" t="s">
        <v>315</v>
      </c>
      <c r="W325" s="1152"/>
      <c r="X325" s="1151" t="s">
        <v>459</v>
      </c>
      <c r="Y325" s="1152"/>
      <c r="Z325" s="1151" t="s">
        <v>315</v>
      </c>
      <c r="AA325" s="1152"/>
      <c r="AB325" s="1151" t="s">
        <v>459</v>
      </c>
      <c r="AC325" s="1152"/>
      <c r="AD325" s="1151" t="s">
        <v>315</v>
      </c>
      <c r="AE325" s="1152"/>
      <c r="AF325" s="1151" t="s">
        <v>459</v>
      </c>
      <c r="AG325" s="1153"/>
      <c r="AH325" s="1153"/>
      <c r="AI325" s="1152"/>
    </row>
    <row r="326" spans="1:35" s="846" customFormat="1" ht="16.5" hidden="1" customHeight="1">
      <c r="A326" s="1154"/>
      <c r="B326" s="1149" t="s">
        <v>44</v>
      </c>
      <c r="C326" s="1149" t="s">
        <v>45</v>
      </c>
      <c r="D326" s="1149" t="s">
        <v>46</v>
      </c>
      <c r="E326" s="1149" t="s">
        <v>45</v>
      </c>
      <c r="F326" s="1149" t="s">
        <v>47</v>
      </c>
      <c r="G326" s="1149" t="s">
        <v>45</v>
      </c>
      <c r="H326" s="1149" t="s">
        <v>46</v>
      </c>
      <c r="I326" s="1149" t="s">
        <v>45</v>
      </c>
      <c r="J326" s="1149" t="s">
        <v>44</v>
      </c>
      <c r="K326" s="1149" t="s">
        <v>45</v>
      </c>
      <c r="L326" s="1149" t="s">
        <v>46</v>
      </c>
      <c r="M326" s="1149" t="s">
        <v>45</v>
      </c>
      <c r="N326" s="1149" t="s">
        <v>44</v>
      </c>
      <c r="O326" s="1149" t="s">
        <v>45</v>
      </c>
      <c r="P326" s="1149" t="s">
        <v>46</v>
      </c>
      <c r="Q326" s="1149" t="s">
        <v>45</v>
      </c>
      <c r="R326" s="1149" t="s">
        <v>44</v>
      </c>
      <c r="S326" s="1149" t="s">
        <v>45</v>
      </c>
      <c r="T326" s="1149" t="s">
        <v>46</v>
      </c>
      <c r="U326" s="1149" t="s">
        <v>45</v>
      </c>
      <c r="V326" s="1149" t="s">
        <v>44</v>
      </c>
      <c r="W326" s="1149" t="s">
        <v>45</v>
      </c>
      <c r="X326" s="1149" t="s">
        <v>48</v>
      </c>
      <c r="Y326" s="1149" t="s">
        <v>45</v>
      </c>
      <c r="Z326" s="1149" t="s">
        <v>44</v>
      </c>
      <c r="AA326" s="1149" t="s">
        <v>45</v>
      </c>
      <c r="AB326" s="1149" t="s">
        <v>46</v>
      </c>
      <c r="AC326" s="1149" t="s">
        <v>45</v>
      </c>
      <c r="AD326" s="1149" t="s">
        <v>44</v>
      </c>
      <c r="AE326" s="1149" t="s">
        <v>45</v>
      </c>
      <c r="AF326" s="1147" t="s">
        <v>46</v>
      </c>
      <c r="AG326" s="874"/>
      <c r="AH326" s="1147" t="s">
        <v>45</v>
      </c>
      <c r="AI326" s="874"/>
    </row>
    <row r="327" spans="1:35" s="846" customFormat="1" ht="16.5" hidden="1" customHeight="1" thickBot="1">
      <c r="A327" s="1150"/>
      <c r="B327" s="1150"/>
      <c r="C327" s="1150"/>
      <c r="D327" s="1150"/>
      <c r="E327" s="1150"/>
      <c r="F327" s="1150"/>
      <c r="G327" s="1150"/>
      <c r="H327" s="1150"/>
      <c r="I327" s="1150"/>
      <c r="J327" s="1150"/>
      <c r="K327" s="1150"/>
      <c r="L327" s="1150"/>
      <c r="M327" s="1150"/>
      <c r="N327" s="1150"/>
      <c r="O327" s="1150"/>
      <c r="P327" s="1150"/>
      <c r="Q327" s="1150"/>
      <c r="R327" s="1150"/>
      <c r="S327" s="1150"/>
      <c r="T327" s="1150"/>
      <c r="U327" s="1150"/>
      <c r="V327" s="1150"/>
      <c r="W327" s="1150"/>
      <c r="X327" s="1150"/>
      <c r="Y327" s="1150"/>
      <c r="Z327" s="1150"/>
      <c r="AA327" s="1150"/>
      <c r="AB327" s="1150"/>
      <c r="AC327" s="1150"/>
      <c r="AD327" s="1150"/>
      <c r="AE327" s="1150"/>
      <c r="AF327" s="1148"/>
      <c r="AG327" s="875" t="s">
        <v>49</v>
      </c>
      <c r="AH327" s="1148"/>
      <c r="AI327" s="875" t="s">
        <v>49</v>
      </c>
    </row>
    <row r="328" spans="1:35" s="846" customFormat="1" ht="19.5" hidden="1" customHeight="1" thickTop="1">
      <c r="A328" s="897" t="s">
        <v>50</v>
      </c>
      <c r="B328" s="870">
        <v>205218</v>
      </c>
      <c r="C328" s="870">
        <v>1366635</v>
      </c>
      <c r="D328" s="870">
        <v>227142</v>
      </c>
      <c r="E328" s="870">
        <v>1488568</v>
      </c>
      <c r="F328" s="870">
        <v>4246</v>
      </c>
      <c r="G328" s="870">
        <v>41456</v>
      </c>
      <c r="H328" s="870">
        <v>2510</v>
      </c>
      <c r="I328" s="870">
        <v>26793</v>
      </c>
      <c r="J328" s="870">
        <v>80853</v>
      </c>
      <c r="K328" s="870">
        <v>329099</v>
      </c>
      <c r="L328" s="870">
        <v>258447</v>
      </c>
      <c r="M328" s="870">
        <v>612233</v>
      </c>
      <c r="N328" s="870">
        <v>40186</v>
      </c>
      <c r="O328" s="870">
        <v>83910</v>
      </c>
      <c r="P328" s="870">
        <v>17420</v>
      </c>
      <c r="Q328" s="870">
        <v>32944</v>
      </c>
      <c r="R328" s="870">
        <v>91758</v>
      </c>
      <c r="S328" s="870">
        <v>247159</v>
      </c>
      <c r="T328" s="870">
        <v>109500</v>
      </c>
      <c r="U328" s="870">
        <v>236148</v>
      </c>
      <c r="V328" s="870">
        <v>201</v>
      </c>
      <c r="W328" s="870">
        <v>5808</v>
      </c>
      <c r="X328" s="870">
        <v>255</v>
      </c>
      <c r="Y328" s="870">
        <v>7170</v>
      </c>
      <c r="Z328" s="870">
        <v>2444</v>
      </c>
      <c r="AA328" s="870">
        <v>56836</v>
      </c>
      <c r="AB328" s="870">
        <v>6764</v>
      </c>
      <c r="AC328" s="870">
        <v>60947</v>
      </c>
      <c r="AD328" s="890">
        <f t="shared" ref="AD328:AD357" si="59">SUM(B328+F328+J328+N328+R328+V328+Z328)</f>
        <v>424906</v>
      </c>
      <c r="AE328" s="890">
        <f>SUM(C328+G328+K328+O328+S328+W328+AA328)</f>
        <v>2130903</v>
      </c>
      <c r="AF328" s="890">
        <f>SUM(D328+H328+L328+P328+T328+X328+AB328)</f>
        <v>622038</v>
      </c>
      <c r="AG328" s="895">
        <f>ROUND(((AF328/AD328-1)*100),1)</f>
        <v>46.4</v>
      </c>
      <c r="AH328" s="890">
        <f>SUM(E328+I328+M328+Q328+U328+Y328+AC328)</f>
        <v>2464803</v>
      </c>
      <c r="AI328" s="895">
        <f>ROUND(((AH328/AE328-1)*100),1)</f>
        <v>15.7</v>
      </c>
    </row>
    <row r="329" spans="1:35" s="846" customFormat="1" ht="19.5" hidden="1" customHeight="1">
      <c r="A329" s="897" t="s">
        <v>51</v>
      </c>
      <c r="B329" s="870">
        <v>47708</v>
      </c>
      <c r="C329" s="870">
        <v>371332</v>
      </c>
      <c r="D329" s="870">
        <v>44402</v>
      </c>
      <c r="E329" s="870">
        <v>352496</v>
      </c>
      <c r="F329" s="870">
        <v>690</v>
      </c>
      <c r="G329" s="870">
        <v>17280</v>
      </c>
      <c r="H329" s="870">
        <v>197</v>
      </c>
      <c r="I329" s="870">
        <v>6249</v>
      </c>
      <c r="J329" s="870">
        <v>161754</v>
      </c>
      <c r="K329" s="870">
        <v>454888</v>
      </c>
      <c r="L329" s="870">
        <v>169460</v>
      </c>
      <c r="M329" s="870">
        <v>442927</v>
      </c>
      <c r="N329" s="870">
        <v>62297</v>
      </c>
      <c r="O329" s="870">
        <v>135664</v>
      </c>
      <c r="P329" s="870">
        <v>80025</v>
      </c>
      <c r="Q329" s="870">
        <v>159749</v>
      </c>
      <c r="R329" s="870">
        <v>53453</v>
      </c>
      <c r="S329" s="870">
        <v>152674</v>
      </c>
      <c r="T329" s="870">
        <v>61072</v>
      </c>
      <c r="U329" s="870">
        <v>142593</v>
      </c>
      <c r="V329" s="870">
        <v>275</v>
      </c>
      <c r="W329" s="870">
        <v>4696</v>
      </c>
      <c r="X329" s="870">
        <v>234</v>
      </c>
      <c r="Y329" s="870">
        <v>4005</v>
      </c>
      <c r="Z329" s="870">
        <v>1331</v>
      </c>
      <c r="AA329" s="870">
        <v>11059</v>
      </c>
      <c r="AB329" s="870">
        <v>412</v>
      </c>
      <c r="AC329" s="870">
        <v>5827</v>
      </c>
      <c r="AD329" s="890">
        <f t="shared" si="59"/>
        <v>327508</v>
      </c>
      <c r="AE329" s="890">
        <f t="shared" ref="AE329:AE357" si="60">SUM(C329+G329+K329+O329+S329+W329+AA329)</f>
        <v>1147593</v>
      </c>
      <c r="AF329" s="890">
        <f>SUM(D329+H329+L329+P329+T329+X329+AB329)</f>
        <v>355802</v>
      </c>
      <c r="AG329" s="895">
        <f t="shared" ref="AG329:AG359" si="61">ROUND(((AF329/AD329-1)*100),1)</f>
        <v>8.6</v>
      </c>
      <c r="AH329" s="890">
        <f t="shared" ref="AH329:AH357" si="62">SUM(E329+I329+M329+Q329+U329+Y329+AC329)</f>
        <v>1113846</v>
      </c>
      <c r="AI329" s="895">
        <f t="shared" ref="AI329:AI359" si="63">ROUND(((AH329/AE329-1)*100),1)</f>
        <v>-2.9</v>
      </c>
    </row>
    <row r="330" spans="1:35" s="846" customFormat="1" ht="19.5" hidden="1" customHeight="1">
      <c r="A330" s="897" t="s">
        <v>53</v>
      </c>
      <c r="B330" s="870">
        <v>20145</v>
      </c>
      <c r="C330" s="870">
        <v>183553</v>
      </c>
      <c r="D330" s="870">
        <v>22763</v>
      </c>
      <c r="E330" s="870">
        <v>193076</v>
      </c>
      <c r="F330" s="870">
        <v>556</v>
      </c>
      <c r="G330" s="870">
        <v>6748</v>
      </c>
      <c r="H330" s="870">
        <v>323</v>
      </c>
      <c r="I330" s="870">
        <v>3959</v>
      </c>
      <c r="J330" s="870">
        <v>83348</v>
      </c>
      <c r="K330" s="870">
        <v>321944</v>
      </c>
      <c r="L330" s="870">
        <v>67457</v>
      </c>
      <c r="M330" s="870">
        <v>253312</v>
      </c>
      <c r="N330" s="870">
        <v>51782</v>
      </c>
      <c r="O330" s="870">
        <v>109631</v>
      </c>
      <c r="P330" s="870">
        <v>46921</v>
      </c>
      <c r="Q330" s="870">
        <v>91002</v>
      </c>
      <c r="R330" s="870">
        <v>62</v>
      </c>
      <c r="S330" s="870">
        <v>1241</v>
      </c>
      <c r="T330" s="870">
        <v>48316</v>
      </c>
      <c r="U330" s="870">
        <v>97725</v>
      </c>
      <c r="V330" s="870">
        <v>14</v>
      </c>
      <c r="W330" s="870">
        <v>1823</v>
      </c>
      <c r="X330" s="870">
        <v>48</v>
      </c>
      <c r="Y330" s="870">
        <v>1542</v>
      </c>
      <c r="Z330" s="870">
        <v>2896</v>
      </c>
      <c r="AA330" s="870">
        <v>34170</v>
      </c>
      <c r="AB330" s="870">
        <v>2803</v>
      </c>
      <c r="AC330" s="870">
        <v>29316</v>
      </c>
      <c r="AD330" s="890">
        <f t="shared" si="59"/>
        <v>158803</v>
      </c>
      <c r="AE330" s="890">
        <f t="shared" si="60"/>
        <v>659110</v>
      </c>
      <c r="AF330" s="890">
        <f t="shared" ref="AF330:AF357" si="64">SUM(D330+H330+L330+P330+T330+X330+AB330)</f>
        <v>188631</v>
      </c>
      <c r="AG330" s="895">
        <f t="shared" si="61"/>
        <v>18.8</v>
      </c>
      <c r="AH330" s="890">
        <f t="shared" si="62"/>
        <v>669932</v>
      </c>
      <c r="AI330" s="895">
        <f t="shared" si="63"/>
        <v>1.6</v>
      </c>
    </row>
    <row r="331" spans="1:35" s="846" customFormat="1" ht="19.5" hidden="1" customHeight="1">
      <c r="A331" s="897" t="s">
        <v>52</v>
      </c>
      <c r="B331" s="870">
        <v>7114</v>
      </c>
      <c r="C331" s="870">
        <v>47769</v>
      </c>
      <c r="D331" s="870">
        <v>6912</v>
      </c>
      <c r="E331" s="870">
        <v>42130</v>
      </c>
      <c r="F331" s="870">
        <v>1571</v>
      </c>
      <c r="G331" s="870">
        <v>17894</v>
      </c>
      <c r="H331" s="870">
        <v>947</v>
      </c>
      <c r="I331" s="870">
        <v>12436</v>
      </c>
      <c r="J331" s="870">
        <v>52463</v>
      </c>
      <c r="K331" s="870">
        <v>150440</v>
      </c>
      <c r="L331" s="870">
        <v>33294</v>
      </c>
      <c r="M331" s="870">
        <v>91603</v>
      </c>
      <c r="N331" s="870">
        <v>52999</v>
      </c>
      <c r="O331" s="870">
        <v>114965</v>
      </c>
      <c r="P331" s="870">
        <v>54794</v>
      </c>
      <c r="Q331" s="870">
        <v>110006</v>
      </c>
      <c r="R331" s="870">
        <v>75994</v>
      </c>
      <c r="S331" s="870">
        <v>218491</v>
      </c>
      <c r="T331" s="870">
        <v>62365</v>
      </c>
      <c r="U331" s="870">
        <v>146740</v>
      </c>
      <c r="V331" s="870">
        <v>252</v>
      </c>
      <c r="W331" s="870">
        <v>346</v>
      </c>
      <c r="X331" s="870">
        <v>3</v>
      </c>
      <c r="Y331" s="870">
        <v>73</v>
      </c>
      <c r="Z331" s="870">
        <v>16412</v>
      </c>
      <c r="AA331" s="870">
        <v>8134</v>
      </c>
      <c r="AB331" s="870">
        <v>1153</v>
      </c>
      <c r="AC331" s="870">
        <v>4142</v>
      </c>
      <c r="AD331" s="890">
        <f t="shared" si="59"/>
        <v>206805</v>
      </c>
      <c r="AE331" s="890">
        <f t="shared" si="60"/>
        <v>558039</v>
      </c>
      <c r="AF331" s="890">
        <f t="shared" si="64"/>
        <v>159468</v>
      </c>
      <c r="AG331" s="895">
        <f t="shared" si="61"/>
        <v>-22.9</v>
      </c>
      <c r="AH331" s="890">
        <f t="shared" si="62"/>
        <v>407130</v>
      </c>
      <c r="AI331" s="895">
        <f t="shared" si="63"/>
        <v>-27</v>
      </c>
    </row>
    <row r="332" spans="1:35" s="846" customFormat="1" ht="19.5" hidden="1" customHeight="1">
      <c r="A332" s="897" t="s">
        <v>54</v>
      </c>
      <c r="B332" s="870">
        <v>20658</v>
      </c>
      <c r="C332" s="870">
        <v>154827</v>
      </c>
      <c r="D332" s="870">
        <v>17098</v>
      </c>
      <c r="E332" s="870">
        <v>120205</v>
      </c>
      <c r="F332" s="870">
        <v>6378</v>
      </c>
      <c r="G332" s="870">
        <v>31916</v>
      </c>
      <c r="H332" s="870">
        <v>5246</v>
      </c>
      <c r="I332" s="870">
        <v>31479</v>
      </c>
      <c r="J332" s="870">
        <v>50650</v>
      </c>
      <c r="K332" s="870">
        <v>206968</v>
      </c>
      <c r="L332" s="870">
        <v>47138</v>
      </c>
      <c r="M332" s="870">
        <v>207601</v>
      </c>
      <c r="N332" s="870">
        <v>5836</v>
      </c>
      <c r="O332" s="870">
        <v>12425</v>
      </c>
      <c r="P332" s="870">
        <v>5268</v>
      </c>
      <c r="Q332" s="870">
        <v>10578</v>
      </c>
      <c r="R332" s="870">
        <v>2041</v>
      </c>
      <c r="S332" s="870">
        <v>6268</v>
      </c>
      <c r="T332" s="870">
        <v>1464</v>
      </c>
      <c r="U332" s="870">
        <v>3587</v>
      </c>
      <c r="V332" s="870">
        <v>87</v>
      </c>
      <c r="W332" s="870">
        <v>1081</v>
      </c>
      <c r="X332" s="870">
        <v>117</v>
      </c>
      <c r="Y332" s="870">
        <v>1874</v>
      </c>
      <c r="Z332" s="870">
        <v>1650</v>
      </c>
      <c r="AA332" s="870">
        <v>45365</v>
      </c>
      <c r="AB332" s="870">
        <v>1134</v>
      </c>
      <c r="AC332" s="870">
        <v>27589</v>
      </c>
      <c r="AD332" s="890">
        <f t="shared" si="59"/>
        <v>87300</v>
      </c>
      <c r="AE332" s="890">
        <f t="shared" si="60"/>
        <v>458850</v>
      </c>
      <c r="AF332" s="890">
        <f t="shared" si="64"/>
        <v>77465</v>
      </c>
      <c r="AG332" s="895">
        <f t="shared" si="61"/>
        <v>-11.3</v>
      </c>
      <c r="AH332" s="890">
        <f t="shared" si="62"/>
        <v>402913</v>
      </c>
      <c r="AI332" s="895">
        <f t="shared" si="63"/>
        <v>-12.2</v>
      </c>
    </row>
    <row r="333" spans="1:35" s="846" customFormat="1" ht="19.5" hidden="1" customHeight="1">
      <c r="A333" s="897" t="s">
        <v>56</v>
      </c>
      <c r="B333" s="870">
        <v>68779</v>
      </c>
      <c r="C333" s="870">
        <v>293239</v>
      </c>
      <c r="D333" s="870">
        <v>55554</v>
      </c>
      <c r="E333" s="870">
        <v>203276</v>
      </c>
      <c r="F333" s="870">
        <v>88</v>
      </c>
      <c r="G333" s="870">
        <v>1933</v>
      </c>
      <c r="H333" s="870">
        <v>104</v>
      </c>
      <c r="I333" s="870">
        <v>2101</v>
      </c>
      <c r="J333" s="870">
        <v>14818</v>
      </c>
      <c r="K333" s="870">
        <v>57111</v>
      </c>
      <c r="L333" s="870">
        <v>13107</v>
      </c>
      <c r="M333" s="870">
        <v>43389</v>
      </c>
      <c r="N333" s="870">
        <v>6975</v>
      </c>
      <c r="O333" s="870">
        <v>14657</v>
      </c>
      <c r="P333" s="870">
        <v>2557</v>
      </c>
      <c r="Q333" s="870">
        <v>4880</v>
      </c>
      <c r="R333" s="870">
        <v>11165</v>
      </c>
      <c r="S333" s="870">
        <v>31205</v>
      </c>
      <c r="T333" s="870">
        <v>11820</v>
      </c>
      <c r="U333" s="870">
        <v>28038</v>
      </c>
      <c r="V333" s="870">
        <v>9</v>
      </c>
      <c r="W333" s="870">
        <v>257</v>
      </c>
      <c r="X333" s="870">
        <v>28</v>
      </c>
      <c r="Y333" s="870">
        <v>529</v>
      </c>
      <c r="Z333" s="870">
        <v>33082</v>
      </c>
      <c r="AA333" s="870">
        <v>10091</v>
      </c>
      <c r="AB333" s="870">
        <v>703</v>
      </c>
      <c r="AC333" s="870">
        <v>6905</v>
      </c>
      <c r="AD333" s="890">
        <f t="shared" si="59"/>
        <v>134916</v>
      </c>
      <c r="AE333" s="890">
        <f t="shared" si="60"/>
        <v>408493</v>
      </c>
      <c r="AF333" s="890">
        <f t="shared" si="64"/>
        <v>83873</v>
      </c>
      <c r="AG333" s="895">
        <f t="shared" si="61"/>
        <v>-37.799999999999997</v>
      </c>
      <c r="AH333" s="890">
        <f t="shared" si="62"/>
        <v>289118</v>
      </c>
      <c r="AI333" s="895">
        <f t="shared" si="63"/>
        <v>-29.2</v>
      </c>
    </row>
    <row r="334" spans="1:35" s="846" customFormat="1" ht="19.5" hidden="1" customHeight="1">
      <c r="A334" s="897" t="s">
        <v>57</v>
      </c>
      <c r="B334" s="870">
        <v>34333</v>
      </c>
      <c r="C334" s="870">
        <v>273580</v>
      </c>
      <c r="D334" s="870">
        <v>19502</v>
      </c>
      <c r="E334" s="870">
        <v>181570</v>
      </c>
      <c r="F334" s="870">
        <v>20</v>
      </c>
      <c r="G334" s="870">
        <v>905</v>
      </c>
      <c r="H334" s="870">
        <v>232</v>
      </c>
      <c r="I334" s="870">
        <v>3735</v>
      </c>
      <c r="J334" s="870">
        <v>12069</v>
      </c>
      <c r="K334" s="870">
        <v>68492</v>
      </c>
      <c r="L334" s="870">
        <v>8458</v>
      </c>
      <c r="M334" s="870">
        <v>49708</v>
      </c>
      <c r="N334" s="870">
        <v>1868</v>
      </c>
      <c r="O334" s="870">
        <v>4214</v>
      </c>
      <c r="P334" s="870">
        <v>1765</v>
      </c>
      <c r="Q334" s="870">
        <v>3507</v>
      </c>
      <c r="R334" s="870">
        <v>34540</v>
      </c>
      <c r="S334" s="870">
        <v>83760</v>
      </c>
      <c r="T334" s="870">
        <v>33795</v>
      </c>
      <c r="U334" s="870">
        <v>71247</v>
      </c>
      <c r="V334" s="870">
        <v>177</v>
      </c>
      <c r="W334" s="870">
        <v>6922</v>
      </c>
      <c r="X334" s="870">
        <v>180</v>
      </c>
      <c r="Y334" s="870">
        <v>7786</v>
      </c>
      <c r="Z334" s="870">
        <v>267</v>
      </c>
      <c r="AA334" s="870">
        <v>7516</v>
      </c>
      <c r="AB334" s="870">
        <v>318</v>
      </c>
      <c r="AC334" s="870">
        <v>9150</v>
      </c>
      <c r="AD334" s="890">
        <f t="shared" si="59"/>
        <v>83274</v>
      </c>
      <c r="AE334" s="890">
        <f t="shared" si="60"/>
        <v>445389</v>
      </c>
      <c r="AF334" s="890">
        <f t="shared" si="64"/>
        <v>64250</v>
      </c>
      <c r="AG334" s="895">
        <f t="shared" si="61"/>
        <v>-22.8</v>
      </c>
      <c r="AH334" s="890">
        <f t="shared" si="62"/>
        <v>326703</v>
      </c>
      <c r="AI334" s="895">
        <f t="shared" si="63"/>
        <v>-26.6</v>
      </c>
    </row>
    <row r="335" spans="1:35" s="846" customFormat="1" ht="19.5" hidden="1" customHeight="1">
      <c r="A335" s="897" t="s">
        <v>55</v>
      </c>
      <c r="B335" s="870">
        <v>20089</v>
      </c>
      <c r="C335" s="870">
        <v>120266</v>
      </c>
      <c r="D335" s="870">
        <v>18167</v>
      </c>
      <c r="E335" s="870">
        <v>105985</v>
      </c>
      <c r="F335" s="870">
        <v>495</v>
      </c>
      <c r="G335" s="870">
        <v>776</v>
      </c>
      <c r="H335" s="870">
        <v>82</v>
      </c>
      <c r="I335" s="870">
        <v>600</v>
      </c>
      <c r="J335" s="870">
        <v>36782</v>
      </c>
      <c r="K335" s="870">
        <v>112632</v>
      </c>
      <c r="L335" s="870">
        <v>31178</v>
      </c>
      <c r="M335" s="870">
        <v>92955</v>
      </c>
      <c r="N335" s="870">
        <v>21705</v>
      </c>
      <c r="O335" s="870">
        <v>45383</v>
      </c>
      <c r="P335" s="870">
        <v>15114</v>
      </c>
      <c r="Q335" s="870">
        <v>29570</v>
      </c>
      <c r="R335" s="870">
        <v>20113</v>
      </c>
      <c r="S335" s="870">
        <v>57354</v>
      </c>
      <c r="T335" s="870">
        <v>21832</v>
      </c>
      <c r="U335" s="870">
        <v>53284</v>
      </c>
      <c r="V335" s="870">
        <v>67</v>
      </c>
      <c r="W335" s="870">
        <v>1661</v>
      </c>
      <c r="X335" s="870">
        <v>78</v>
      </c>
      <c r="Y335" s="870">
        <v>1761</v>
      </c>
      <c r="Z335" s="870">
        <v>143</v>
      </c>
      <c r="AA335" s="870">
        <v>1732</v>
      </c>
      <c r="AB335" s="870">
        <v>219</v>
      </c>
      <c r="AC335" s="870">
        <v>1525</v>
      </c>
      <c r="AD335" s="890">
        <f t="shared" si="59"/>
        <v>99394</v>
      </c>
      <c r="AE335" s="890">
        <f t="shared" si="60"/>
        <v>339804</v>
      </c>
      <c r="AF335" s="890">
        <f t="shared" si="64"/>
        <v>86670</v>
      </c>
      <c r="AG335" s="895">
        <f t="shared" si="61"/>
        <v>-12.8</v>
      </c>
      <c r="AH335" s="890">
        <f t="shared" si="62"/>
        <v>285680</v>
      </c>
      <c r="AI335" s="895">
        <f t="shared" si="63"/>
        <v>-15.9</v>
      </c>
    </row>
    <row r="336" spans="1:35" s="846" customFormat="1" ht="19.5" hidden="1" customHeight="1">
      <c r="A336" s="897" t="s">
        <v>59</v>
      </c>
      <c r="B336" s="870">
        <v>31633</v>
      </c>
      <c r="C336" s="870">
        <v>202580</v>
      </c>
      <c r="D336" s="870">
        <v>22852</v>
      </c>
      <c r="E336" s="870">
        <v>137014</v>
      </c>
      <c r="F336" s="870">
        <v>55</v>
      </c>
      <c r="G336" s="870">
        <v>3439</v>
      </c>
      <c r="H336" s="870">
        <v>117</v>
      </c>
      <c r="I336" s="870">
        <v>4821</v>
      </c>
      <c r="J336" s="870">
        <v>6634</v>
      </c>
      <c r="K336" s="870">
        <v>26511</v>
      </c>
      <c r="L336" s="870">
        <v>6202</v>
      </c>
      <c r="M336" s="870">
        <v>26870</v>
      </c>
      <c r="N336" s="870">
        <v>0</v>
      </c>
      <c r="O336" s="870">
        <v>4</v>
      </c>
      <c r="P336" s="870">
        <v>86</v>
      </c>
      <c r="Q336" s="870">
        <v>1078</v>
      </c>
      <c r="R336" s="870">
        <v>2936</v>
      </c>
      <c r="S336" s="870">
        <v>8591</v>
      </c>
      <c r="T336" s="870">
        <v>1815</v>
      </c>
      <c r="U336" s="870">
        <v>4315</v>
      </c>
      <c r="V336" s="870">
        <v>173</v>
      </c>
      <c r="W336" s="870">
        <v>5325</v>
      </c>
      <c r="X336" s="870">
        <v>296</v>
      </c>
      <c r="Y336" s="870">
        <v>7436</v>
      </c>
      <c r="Z336" s="870">
        <v>405</v>
      </c>
      <c r="AA336" s="870">
        <v>454</v>
      </c>
      <c r="AB336" s="870">
        <v>36</v>
      </c>
      <c r="AC336" s="870">
        <v>300</v>
      </c>
      <c r="AD336" s="890">
        <f t="shared" si="59"/>
        <v>41836</v>
      </c>
      <c r="AE336" s="890">
        <f t="shared" si="60"/>
        <v>246904</v>
      </c>
      <c r="AF336" s="890">
        <f t="shared" si="64"/>
        <v>31404</v>
      </c>
      <c r="AG336" s="895">
        <f t="shared" si="61"/>
        <v>-24.9</v>
      </c>
      <c r="AH336" s="890">
        <f t="shared" si="62"/>
        <v>181834</v>
      </c>
      <c r="AI336" s="895">
        <f t="shared" si="63"/>
        <v>-26.4</v>
      </c>
    </row>
    <row r="337" spans="1:35" s="846" customFormat="1" ht="19.5" hidden="1" customHeight="1">
      <c r="A337" s="897" t="s">
        <v>58</v>
      </c>
      <c r="B337" s="870">
        <v>5893</v>
      </c>
      <c r="C337" s="870">
        <v>38097</v>
      </c>
      <c r="D337" s="870">
        <v>6377</v>
      </c>
      <c r="E337" s="870">
        <v>39699</v>
      </c>
      <c r="F337" s="870">
        <v>43</v>
      </c>
      <c r="G337" s="870">
        <v>684</v>
      </c>
      <c r="H337" s="870">
        <v>89</v>
      </c>
      <c r="I337" s="870">
        <v>2168</v>
      </c>
      <c r="J337" s="870">
        <v>19031</v>
      </c>
      <c r="K337" s="870">
        <v>60762</v>
      </c>
      <c r="L337" s="870">
        <v>15319</v>
      </c>
      <c r="M337" s="870">
        <v>44496</v>
      </c>
      <c r="N337" s="870">
        <v>18927</v>
      </c>
      <c r="O337" s="870">
        <v>40456</v>
      </c>
      <c r="P337" s="870">
        <v>14100</v>
      </c>
      <c r="Q337" s="870">
        <v>27308</v>
      </c>
      <c r="R337" s="870">
        <v>25693</v>
      </c>
      <c r="S337" s="870">
        <v>71214</v>
      </c>
      <c r="T337" s="870">
        <v>25213</v>
      </c>
      <c r="U337" s="870">
        <v>58869</v>
      </c>
      <c r="V337" s="870">
        <v>24</v>
      </c>
      <c r="W337" s="870">
        <v>627</v>
      </c>
      <c r="X337" s="870">
        <v>23</v>
      </c>
      <c r="Y337" s="870">
        <v>569</v>
      </c>
      <c r="Z337" s="870">
        <v>13</v>
      </c>
      <c r="AA337" s="870">
        <v>362</v>
      </c>
      <c r="AB337" s="870">
        <v>1</v>
      </c>
      <c r="AC337" s="870">
        <v>104</v>
      </c>
      <c r="AD337" s="890">
        <f t="shared" si="59"/>
        <v>69624</v>
      </c>
      <c r="AE337" s="890">
        <f t="shared" si="60"/>
        <v>212202</v>
      </c>
      <c r="AF337" s="890">
        <f t="shared" si="64"/>
        <v>61122</v>
      </c>
      <c r="AG337" s="895">
        <f t="shared" si="61"/>
        <v>-12.2</v>
      </c>
      <c r="AH337" s="890">
        <f t="shared" si="62"/>
        <v>173213</v>
      </c>
      <c r="AI337" s="895">
        <f t="shared" si="63"/>
        <v>-18.399999999999999</v>
      </c>
    </row>
    <row r="338" spans="1:35" s="846" customFormat="1" ht="19.5" hidden="1" customHeight="1">
      <c r="A338" s="897" t="s">
        <v>61</v>
      </c>
      <c r="B338" s="870">
        <v>11459</v>
      </c>
      <c r="C338" s="870">
        <v>75001</v>
      </c>
      <c r="D338" s="870">
        <v>10465</v>
      </c>
      <c r="E338" s="870">
        <v>66082</v>
      </c>
      <c r="F338" s="870">
        <v>8</v>
      </c>
      <c r="G338" s="870">
        <v>89</v>
      </c>
      <c r="H338" s="870">
        <v>5</v>
      </c>
      <c r="I338" s="870">
        <v>45</v>
      </c>
      <c r="J338" s="870">
        <v>31784</v>
      </c>
      <c r="K338" s="870">
        <v>91448</v>
      </c>
      <c r="L338" s="870">
        <v>32045</v>
      </c>
      <c r="M338" s="870">
        <v>86654</v>
      </c>
      <c r="N338" s="870">
        <v>1847</v>
      </c>
      <c r="O338" s="870">
        <v>8842</v>
      </c>
      <c r="P338" s="870">
        <v>2385</v>
      </c>
      <c r="Q338" s="870">
        <v>12055</v>
      </c>
      <c r="R338" s="870">
        <v>8619</v>
      </c>
      <c r="S338" s="870">
        <v>25538</v>
      </c>
      <c r="T338" s="870">
        <v>9551</v>
      </c>
      <c r="U338" s="870">
        <v>23248</v>
      </c>
      <c r="V338" s="870">
        <v>0</v>
      </c>
      <c r="W338" s="870">
        <v>0</v>
      </c>
      <c r="X338" s="870">
        <v>0</v>
      </c>
      <c r="Y338" s="870">
        <v>0</v>
      </c>
      <c r="Z338" s="870">
        <v>20</v>
      </c>
      <c r="AA338" s="870">
        <v>288</v>
      </c>
      <c r="AB338" s="870">
        <v>24</v>
      </c>
      <c r="AC338" s="870">
        <v>555</v>
      </c>
      <c r="AD338" s="890">
        <f t="shared" si="59"/>
        <v>53737</v>
      </c>
      <c r="AE338" s="890">
        <f t="shared" si="60"/>
        <v>201206</v>
      </c>
      <c r="AF338" s="890">
        <f t="shared" si="64"/>
        <v>54475</v>
      </c>
      <c r="AG338" s="895">
        <f t="shared" si="61"/>
        <v>1.4</v>
      </c>
      <c r="AH338" s="890">
        <f t="shared" si="62"/>
        <v>188639</v>
      </c>
      <c r="AI338" s="895">
        <f t="shared" si="63"/>
        <v>-6.2</v>
      </c>
    </row>
    <row r="339" spans="1:35" s="846" customFormat="1" ht="19.5" hidden="1" customHeight="1">
      <c r="A339" s="897" t="s">
        <v>60</v>
      </c>
      <c r="B339" s="870">
        <v>11638</v>
      </c>
      <c r="C339" s="870">
        <v>74152</v>
      </c>
      <c r="D339" s="870">
        <v>10772</v>
      </c>
      <c r="E339" s="870">
        <v>55128</v>
      </c>
      <c r="F339" s="870">
        <v>11</v>
      </c>
      <c r="G339" s="870">
        <v>283</v>
      </c>
      <c r="H339" s="870">
        <v>156</v>
      </c>
      <c r="I339" s="870">
        <v>893</v>
      </c>
      <c r="J339" s="870">
        <v>2857</v>
      </c>
      <c r="K339" s="870">
        <v>18073</v>
      </c>
      <c r="L339" s="870">
        <v>2800</v>
      </c>
      <c r="M339" s="870">
        <v>17764</v>
      </c>
      <c r="N339" s="870">
        <v>10</v>
      </c>
      <c r="O339" s="870">
        <v>43</v>
      </c>
      <c r="P339" s="870">
        <v>57</v>
      </c>
      <c r="Q339" s="870">
        <v>195</v>
      </c>
      <c r="R339" s="870">
        <v>23112</v>
      </c>
      <c r="S339" s="870">
        <v>65646</v>
      </c>
      <c r="T339" s="870">
        <v>9637</v>
      </c>
      <c r="U339" s="870">
        <v>22464</v>
      </c>
      <c r="V339" s="870">
        <v>5</v>
      </c>
      <c r="W339" s="870">
        <v>116</v>
      </c>
      <c r="X339" s="870">
        <v>1</v>
      </c>
      <c r="Y339" s="870">
        <v>42</v>
      </c>
      <c r="Z339" s="870">
        <v>564</v>
      </c>
      <c r="AA339" s="870">
        <v>4328</v>
      </c>
      <c r="AB339" s="870">
        <v>835</v>
      </c>
      <c r="AC339" s="870">
        <v>4919</v>
      </c>
      <c r="AD339" s="890">
        <f t="shared" si="59"/>
        <v>38197</v>
      </c>
      <c r="AE339" s="890">
        <f t="shared" si="60"/>
        <v>162641</v>
      </c>
      <c r="AF339" s="890">
        <f t="shared" si="64"/>
        <v>24258</v>
      </c>
      <c r="AG339" s="895">
        <f t="shared" si="61"/>
        <v>-36.5</v>
      </c>
      <c r="AH339" s="890">
        <f t="shared" si="62"/>
        <v>101405</v>
      </c>
      <c r="AI339" s="895">
        <f t="shared" si="63"/>
        <v>-37.700000000000003</v>
      </c>
    </row>
    <row r="340" spans="1:35" s="846" customFormat="1" ht="19.5" hidden="1" customHeight="1">
      <c r="A340" s="897" t="s">
        <v>65</v>
      </c>
      <c r="B340" s="870">
        <v>4833</v>
      </c>
      <c r="C340" s="870">
        <v>32696</v>
      </c>
      <c r="D340" s="870">
        <v>684</v>
      </c>
      <c r="E340" s="870">
        <v>4929</v>
      </c>
      <c r="F340" s="870">
        <v>0</v>
      </c>
      <c r="G340" s="870">
        <v>7</v>
      </c>
      <c r="H340" s="870">
        <v>1</v>
      </c>
      <c r="I340" s="870">
        <v>27</v>
      </c>
      <c r="J340" s="870">
        <v>41723</v>
      </c>
      <c r="K340" s="870">
        <v>115453</v>
      </c>
      <c r="L340" s="870">
        <v>36682</v>
      </c>
      <c r="M340" s="870">
        <v>99132</v>
      </c>
      <c r="N340" s="870">
        <v>1</v>
      </c>
      <c r="O340" s="870">
        <v>8</v>
      </c>
      <c r="P340" s="870">
        <v>0</v>
      </c>
      <c r="Q340" s="870">
        <v>0</v>
      </c>
      <c r="R340" s="870">
        <v>44</v>
      </c>
      <c r="S340" s="870">
        <v>377</v>
      </c>
      <c r="T340" s="870">
        <v>39</v>
      </c>
      <c r="U340" s="870">
        <v>391</v>
      </c>
      <c r="V340" s="870">
        <v>3</v>
      </c>
      <c r="W340" s="870">
        <v>131</v>
      </c>
      <c r="X340" s="870">
        <v>1</v>
      </c>
      <c r="Y340" s="870">
        <v>40</v>
      </c>
      <c r="Z340" s="870">
        <v>1</v>
      </c>
      <c r="AA340" s="870">
        <v>110</v>
      </c>
      <c r="AB340" s="870">
        <v>1</v>
      </c>
      <c r="AC340" s="870">
        <v>88</v>
      </c>
      <c r="AD340" s="890">
        <f t="shared" si="59"/>
        <v>46605</v>
      </c>
      <c r="AE340" s="890">
        <f t="shared" si="60"/>
        <v>148782</v>
      </c>
      <c r="AF340" s="890">
        <f t="shared" si="64"/>
        <v>37408</v>
      </c>
      <c r="AG340" s="895">
        <f t="shared" si="61"/>
        <v>-19.7</v>
      </c>
      <c r="AH340" s="890">
        <f t="shared" si="62"/>
        <v>104607</v>
      </c>
      <c r="AI340" s="895">
        <f t="shared" si="63"/>
        <v>-29.7</v>
      </c>
    </row>
    <row r="341" spans="1:35" s="846" customFormat="1" ht="19.5" hidden="1" customHeight="1">
      <c r="A341" s="897" t="s">
        <v>63</v>
      </c>
      <c r="B341" s="870">
        <v>1389</v>
      </c>
      <c r="C341" s="870">
        <v>10539</v>
      </c>
      <c r="D341" s="870">
        <v>1392</v>
      </c>
      <c r="E341" s="870">
        <v>10423</v>
      </c>
      <c r="F341" s="870">
        <v>25</v>
      </c>
      <c r="G341" s="870">
        <v>1754</v>
      </c>
      <c r="H341" s="870">
        <v>24</v>
      </c>
      <c r="I341" s="870">
        <v>383</v>
      </c>
      <c r="J341" s="870">
        <v>18219</v>
      </c>
      <c r="K341" s="870">
        <v>45522</v>
      </c>
      <c r="L341" s="870">
        <v>21970</v>
      </c>
      <c r="M341" s="870">
        <v>45619</v>
      </c>
      <c r="N341" s="870">
        <v>2</v>
      </c>
      <c r="O341" s="870">
        <v>10</v>
      </c>
      <c r="P341" s="870">
        <v>21</v>
      </c>
      <c r="Q341" s="870">
        <v>43</v>
      </c>
      <c r="R341" s="870">
        <v>10132</v>
      </c>
      <c r="S341" s="870">
        <v>28191</v>
      </c>
      <c r="T341" s="870">
        <v>10868</v>
      </c>
      <c r="U341" s="870">
        <v>24516</v>
      </c>
      <c r="V341" s="870">
        <v>0</v>
      </c>
      <c r="W341" s="870">
        <v>0</v>
      </c>
      <c r="X341" s="870">
        <v>0</v>
      </c>
      <c r="Y341" s="870">
        <v>0</v>
      </c>
      <c r="Z341" s="870">
        <v>2</v>
      </c>
      <c r="AA341" s="870">
        <v>31</v>
      </c>
      <c r="AB341" s="870">
        <v>0</v>
      </c>
      <c r="AC341" s="870">
        <v>15</v>
      </c>
      <c r="AD341" s="890">
        <f t="shared" si="59"/>
        <v>29769</v>
      </c>
      <c r="AE341" s="890">
        <f t="shared" si="60"/>
        <v>86047</v>
      </c>
      <c r="AF341" s="890">
        <f t="shared" si="64"/>
        <v>34275</v>
      </c>
      <c r="AG341" s="895">
        <f t="shared" si="61"/>
        <v>15.1</v>
      </c>
      <c r="AH341" s="890">
        <f t="shared" si="62"/>
        <v>80999</v>
      </c>
      <c r="AI341" s="895">
        <f t="shared" si="63"/>
        <v>-5.9</v>
      </c>
    </row>
    <row r="342" spans="1:35" s="846" customFormat="1" ht="19.5" hidden="1" customHeight="1">
      <c r="A342" s="897" t="s">
        <v>64</v>
      </c>
      <c r="B342" s="870">
        <v>1903</v>
      </c>
      <c r="C342" s="870">
        <v>14076</v>
      </c>
      <c r="D342" s="870">
        <v>1464</v>
      </c>
      <c r="E342" s="870">
        <v>10582</v>
      </c>
      <c r="F342" s="870">
        <v>9</v>
      </c>
      <c r="G342" s="870">
        <v>824</v>
      </c>
      <c r="H342" s="870">
        <v>16</v>
      </c>
      <c r="I342" s="870">
        <v>1573</v>
      </c>
      <c r="J342" s="870">
        <v>9154</v>
      </c>
      <c r="K342" s="870">
        <v>25672</v>
      </c>
      <c r="L342" s="870">
        <v>13514</v>
      </c>
      <c r="M342" s="870">
        <v>32793</v>
      </c>
      <c r="N342" s="870">
        <v>45</v>
      </c>
      <c r="O342" s="870">
        <v>89</v>
      </c>
      <c r="P342" s="870">
        <v>50</v>
      </c>
      <c r="Q342" s="870">
        <v>89</v>
      </c>
      <c r="R342" s="870">
        <v>14059</v>
      </c>
      <c r="S342" s="870">
        <v>37933</v>
      </c>
      <c r="T342" s="870">
        <v>8844</v>
      </c>
      <c r="U342" s="870">
        <v>19877</v>
      </c>
      <c r="V342" s="870">
        <v>177</v>
      </c>
      <c r="W342" s="870">
        <v>991</v>
      </c>
      <c r="X342" s="870">
        <v>190</v>
      </c>
      <c r="Y342" s="870">
        <v>865</v>
      </c>
      <c r="Z342" s="870">
        <v>29</v>
      </c>
      <c r="AA342" s="870">
        <v>297</v>
      </c>
      <c r="AB342" s="870">
        <v>0</v>
      </c>
      <c r="AC342" s="870">
        <v>40</v>
      </c>
      <c r="AD342" s="890">
        <f t="shared" si="59"/>
        <v>25376</v>
      </c>
      <c r="AE342" s="890">
        <f t="shared" si="60"/>
        <v>79882</v>
      </c>
      <c r="AF342" s="890">
        <f t="shared" si="64"/>
        <v>24078</v>
      </c>
      <c r="AG342" s="895">
        <f t="shared" si="61"/>
        <v>-5.0999999999999996</v>
      </c>
      <c r="AH342" s="890">
        <f t="shared" si="62"/>
        <v>65819</v>
      </c>
      <c r="AI342" s="895">
        <f t="shared" si="63"/>
        <v>-17.600000000000001</v>
      </c>
    </row>
    <row r="343" spans="1:35" s="846" customFormat="1" ht="19.5" hidden="1" customHeight="1">
      <c r="A343" s="897" t="s">
        <v>62</v>
      </c>
      <c r="B343" s="870">
        <v>2828</v>
      </c>
      <c r="C343" s="870">
        <v>17641</v>
      </c>
      <c r="D343" s="870">
        <v>2093</v>
      </c>
      <c r="E343" s="870">
        <v>12480</v>
      </c>
      <c r="F343" s="870">
        <v>0</v>
      </c>
      <c r="G343" s="870">
        <v>0</v>
      </c>
      <c r="H343" s="870">
        <v>0</v>
      </c>
      <c r="I343" s="870">
        <v>0</v>
      </c>
      <c r="J343" s="870">
        <v>4163</v>
      </c>
      <c r="K343" s="870">
        <v>17789</v>
      </c>
      <c r="L343" s="870">
        <v>3973</v>
      </c>
      <c r="M343" s="870">
        <v>15455</v>
      </c>
      <c r="N343" s="870">
        <v>1736</v>
      </c>
      <c r="O343" s="870">
        <v>3750</v>
      </c>
      <c r="P343" s="870">
        <v>3680</v>
      </c>
      <c r="Q343" s="870">
        <v>6980</v>
      </c>
      <c r="R343" s="870">
        <v>12386</v>
      </c>
      <c r="S343" s="870">
        <v>35344</v>
      </c>
      <c r="T343" s="870">
        <v>9152</v>
      </c>
      <c r="U343" s="870">
        <v>21050</v>
      </c>
      <c r="V343" s="870">
        <v>0</v>
      </c>
      <c r="W343" s="870">
        <v>0</v>
      </c>
      <c r="X343" s="870">
        <v>0</v>
      </c>
      <c r="Y343" s="870">
        <v>0</v>
      </c>
      <c r="Z343" s="870">
        <v>15136</v>
      </c>
      <c r="AA343" s="870">
        <v>851</v>
      </c>
      <c r="AB343" s="870">
        <v>0</v>
      </c>
      <c r="AC343" s="870">
        <v>0</v>
      </c>
      <c r="AD343" s="890">
        <f t="shared" si="59"/>
        <v>36249</v>
      </c>
      <c r="AE343" s="890">
        <f t="shared" si="60"/>
        <v>75375</v>
      </c>
      <c r="AF343" s="890">
        <f t="shared" si="64"/>
        <v>18898</v>
      </c>
      <c r="AG343" s="895">
        <f t="shared" si="61"/>
        <v>-47.9</v>
      </c>
      <c r="AH343" s="890">
        <f t="shared" si="62"/>
        <v>55965</v>
      </c>
      <c r="AI343" s="895">
        <f t="shared" si="63"/>
        <v>-25.8</v>
      </c>
    </row>
    <row r="344" spans="1:35" s="846" customFormat="1" ht="19.5" hidden="1" customHeight="1">
      <c r="A344" s="897" t="s">
        <v>448</v>
      </c>
      <c r="B344" s="870">
        <v>1637</v>
      </c>
      <c r="C344" s="870">
        <v>23772</v>
      </c>
      <c r="D344" s="870">
        <v>5680</v>
      </c>
      <c r="E344" s="870">
        <v>73449</v>
      </c>
      <c r="F344" s="870">
        <v>37</v>
      </c>
      <c r="G344" s="870">
        <v>2660</v>
      </c>
      <c r="H344" s="870">
        <v>28</v>
      </c>
      <c r="I344" s="870">
        <v>1827</v>
      </c>
      <c r="J344" s="870">
        <v>8368</v>
      </c>
      <c r="K344" s="870">
        <v>46260</v>
      </c>
      <c r="L344" s="870">
        <v>6685</v>
      </c>
      <c r="M344" s="870">
        <v>49246</v>
      </c>
      <c r="N344" s="870">
        <v>16</v>
      </c>
      <c r="O344" s="870">
        <v>5</v>
      </c>
      <c r="P344" s="870">
        <v>8</v>
      </c>
      <c r="Q344" s="870">
        <v>30</v>
      </c>
      <c r="R344" s="870">
        <v>19</v>
      </c>
      <c r="S344" s="870">
        <v>214</v>
      </c>
      <c r="T344" s="870">
        <v>21</v>
      </c>
      <c r="U344" s="870">
        <v>206</v>
      </c>
      <c r="V344" s="870">
        <v>3</v>
      </c>
      <c r="W344" s="870">
        <v>116</v>
      </c>
      <c r="X344" s="870">
        <v>4</v>
      </c>
      <c r="Y344" s="870">
        <v>111</v>
      </c>
      <c r="Z344" s="870">
        <v>1</v>
      </c>
      <c r="AA344" s="870">
        <v>172</v>
      </c>
      <c r="AB344" s="870">
        <v>0</v>
      </c>
      <c r="AC344" s="870">
        <v>62</v>
      </c>
      <c r="AD344" s="890">
        <f t="shared" si="59"/>
        <v>10081</v>
      </c>
      <c r="AE344" s="890">
        <f t="shared" si="60"/>
        <v>73199</v>
      </c>
      <c r="AF344" s="890">
        <f t="shared" si="64"/>
        <v>12426</v>
      </c>
      <c r="AG344" s="895">
        <f t="shared" si="61"/>
        <v>23.3</v>
      </c>
      <c r="AH344" s="890">
        <f t="shared" si="62"/>
        <v>124931</v>
      </c>
      <c r="AI344" s="895">
        <f t="shared" si="63"/>
        <v>70.7</v>
      </c>
    </row>
    <row r="345" spans="1:35" s="846" customFormat="1" ht="19.5" hidden="1" customHeight="1">
      <c r="A345" s="897" t="s">
        <v>77</v>
      </c>
      <c r="B345" s="870">
        <v>908</v>
      </c>
      <c r="C345" s="870">
        <v>9576</v>
      </c>
      <c r="D345" s="870">
        <v>1038</v>
      </c>
      <c r="E345" s="870">
        <v>9491</v>
      </c>
      <c r="F345" s="870">
        <v>0</v>
      </c>
      <c r="G345" s="870">
        <v>30</v>
      </c>
      <c r="H345" s="870">
        <v>1</v>
      </c>
      <c r="I345" s="870">
        <v>72</v>
      </c>
      <c r="J345" s="870">
        <v>25942</v>
      </c>
      <c r="K345" s="870">
        <v>59559</v>
      </c>
      <c r="L345" s="870">
        <v>23209</v>
      </c>
      <c r="M345" s="870">
        <v>52731</v>
      </c>
      <c r="N345" s="870">
        <v>0</v>
      </c>
      <c r="O345" s="870">
        <v>0</v>
      </c>
      <c r="P345" s="870">
        <v>293</v>
      </c>
      <c r="Q345" s="870">
        <v>536</v>
      </c>
      <c r="R345" s="870">
        <v>0</v>
      </c>
      <c r="S345" s="870">
        <v>0</v>
      </c>
      <c r="T345" s="870">
        <v>0</v>
      </c>
      <c r="U345" s="870">
        <v>8</v>
      </c>
      <c r="V345" s="870">
        <v>0</v>
      </c>
      <c r="W345" s="870">
        <v>0</v>
      </c>
      <c r="X345" s="870">
        <v>1</v>
      </c>
      <c r="Y345" s="870">
        <v>4</v>
      </c>
      <c r="Z345" s="870">
        <v>2</v>
      </c>
      <c r="AA345" s="870">
        <v>20</v>
      </c>
      <c r="AB345" s="870">
        <v>1</v>
      </c>
      <c r="AC345" s="870">
        <v>16</v>
      </c>
      <c r="AD345" s="890">
        <f t="shared" si="59"/>
        <v>26852</v>
      </c>
      <c r="AE345" s="890">
        <f t="shared" si="60"/>
        <v>69185</v>
      </c>
      <c r="AF345" s="890">
        <f t="shared" si="64"/>
        <v>24543</v>
      </c>
      <c r="AG345" s="895">
        <f t="shared" si="61"/>
        <v>-8.6</v>
      </c>
      <c r="AH345" s="890">
        <f t="shared" si="62"/>
        <v>62858</v>
      </c>
      <c r="AI345" s="895">
        <f t="shared" si="63"/>
        <v>-9.1</v>
      </c>
    </row>
    <row r="346" spans="1:35" s="846" customFormat="1" ht="19.5" hidden="1" customHeight="1">
      <c r="A346" s="897" t="s">
        <v>75</v>
      </c>
      <c r="B346" s="870">
        <v>418</v>
      </c>
      <c r="C346" s="870">
        <v>3788</v>
      </c>
      <c r="D346" s="870">
        <v>1610</v>
      </c>
      <c r="E346" s="870">
        <v>11958</v>
      </c>
      <c r="F346" s="870">
        <v>0</v>
      </c>
      <c r="G346" s="870">
        <v>2</v>
      </c>
      <c r="H346" s="870">
        <v>1</v>
      </c>
      <c r="I346" s="870">
        <v>13</v>
      </c>
      <c r="J346" s="870">
        <v>16832</v>
      </c>
      <c r="K346" s="870">
        <v>43657</v>
      </c>
      <c r="L346" s="870">
        <v>21411</v>
      </c>
      <c r="M346" s="870">
        <v>50284</v>
      </c>
      <c r="N346" s="870">
        <v>0</v>
      </c>
      <c r="O346" s="870">
        <v>1</v>
      </c>
      <c r="P346" s="870">
        <v>0</v>
      </c>
      <c r="Q346" s="870">
        <v>0</v>
      </c>
      <c r="R346" s="870">
        <v>269</v>
      </c>
      <c r="S346" s="870">
        <v>755</v>
      </c>
      <c r="T346" s="870">
        <v>0</v>
      </c>
      <c r="U346" s="870">
        <v>4</v>
      </c>
      <c r="V346" s="870">
        <v>84</v>
      </c>
      <c r="W346" s="870">
        <v>1739</v>
      </c>
      <c r="X346" s="870">
        <v>20</v>
      </c>
      <c r="Y346" s="870">
        <v>299</v>
      </c>
      <c r="Z346" s="870">
        <v>134</v>
      </c>
      <c r="AA346" s="870">
        <v>372</v>
      </c>
      <c r="AB346" s="870">
        <v>80</v>
      </c>
      <c r="AC346" s="870">
        <v>366</v>
      </c>
      <c r="AD346" s="890">
        <f t="shared" si="59"/>
        <v>17737</v>
      </c>
      <c r="AE346" s="890">
        <f t="shared" si="60"/>
        <v>50314</v>
      </c>
      <c r="AF346" s="890">
        <f t="shared" si="64"/>
        <v>23122</v>
      </c>
      <c r="AG346" s="895">
        <f t="shared" si="61"/>
        <v>30.4</v>
      </c>
      <c r="AH346" s="890">
        <f t="shared" si="62"/>
        <v>62924</v>
      </c>
      <c r="AI346" s="895">
        <f t="shared" si="63"/>
        <v>25.1</v>
      </c>
    </row>
    <row r="347" spans="1:35" s="846" customFormat="1" ht="19.5" hidden="1" customHeight="1">
      <c r="A347" s="897" t="s">
        <v>449</v>
      </c>
      <c r="B347" s="870">
        <v>2257</v>
      </c>
      <c r="C347" s="870">
        <v>27752</v>
      </c>
      <c r="D347" s="870">
        <v>3899</v>
      </c>
      <c r="E347" s="870">
        <v>44277</v>
      </c>
      <c r="F347" s="870">
        <v>0</v>
      </c>
      <c r="G347" s="870">
        <v>0</v>
      </c>
      <c r="H347" s="870">
        <v>1</v>
      </c>
      <c r="I347" s="870">
        <v>10</v>
      </c>
      <c r="J347" s="870">
        <v>1517</v>
      </c>
      <c r="K347" s="870">
        <v>8908</v>
      </c>
      <c r="L347" s="870">
        <v>4842</v>
      </c>
      <c r="M347" s="870">
        <v>22352</v>
      </c>
      <c r="N347" s="870">
        <v>0</v>
      </c>
      <c r="O347" s="870">
        <v>0</v>
      </c>
      <c r="P347" s="870">
        <v>0</v>
      </c>
      <c r="Q347" s="870">
        <v>0</v>
      </c>
      <c r="R347" s="870">
        <v>0</v>
      </c>
      <c r="S347" s="870">
        <v>0</v>
      </c>
      <c r="T347" s="870">
        <v>0</v>
      </c>
      <c r="U347" s="870">
        <v>0</v>
      </c>
      <c r="V347" s="870">
        <v>0</v>
      </c>
      <c r="W347" s="870">
        <v>0</v>
      </c>
      <c r="X347" s="870">
        <v>0</v>
      </c>
      <c r="Y347" s="870">
        <v>1</v>
      </c>
      <c r="Z347" s="870">
        <v>0</v>
      </c>
      <c r="AA347" s="870">
        <v>15</v>
      </c>
      <c r="AB347" s="870">
        <v>0</v>
      </c>
      <c r="AC347" s="870">
        <v>49</v>
      </c>
      <c r="AD347" s="890">
        <f t="shared" si="59"/>
        <v>3774</v>
      </c>
      <c r="AE347" s="890">
        <f t="shared" si="60"/>
        <v>36675</v>
      </c>
      <c r="AF347" s="890">
        <f t="shared" si="64"/>
        <v>8742</v>
      </c>
      <c r="AG347" s="895">
        <f t="shared" si="61"/>
        <v>131.6</v>
      </c>
      <c r="AH347" s="890">
        <f t="shared" si="62"/>
        <v>66689</v>
      </c>
      <c r="AI347" s="895">
        <f t="shared" si="63"/>
        <v>81.8</v>
      </c>
    </row>
    <row r="348" spans="1:35" s="846" customFormat="1" ht="19.5" hidden="1" customHeight="1">
      <c r="A348" s="897" t="s">
        <v>68</v>
      </c>
      <c r="B348" s="870">
        <v>810</v>
      </c>
      <c r="C348" s="870">
        <v>11082</v>
      </c>
      <c r="D348" s="870">
        <v>735</v>
      </c>
      <c r="E348" s="870">
        <v>9111</v>
      </c>
      <c r="F348" s="870">
        <v>103</v>
      </c>
      <c r="G348" s="870">
        <v>1161</v>
      </c>
      <c r="H348" s="870">
        <v>275</v>
      </c>
      <c r="I348" s="870">
        <v>1395</v>
      </c>
      <c r="J348" s="870">
        <v>5251</v>
      </c>
      <c r="K348" s="870">
        <v>25402</v>
      </c>
      <c r="L348" s="870">
        <v>1769</v>
      </c>
      <c r="M348" s="870">
        <v>8734</v>
      </c>
      <c r="N348" s="870">
        <v>0</v>
      </c>
      <c r="O348" s="870">
        <v>0</v>
      </c>
      <c r="P348" s="870">
        <v>1</v>
      </c>
      <c r="Q348" s="870">
        <v>48</v>
      </c>
      <c r="R348" s="870">
        <v>6</v>
      </c>
      <c r="S348" s="870">
        <v>40</v>
      </c>
      <c r="T348" s="870">
        <v>3</v>
      </c>
      <c r="U348" s="870">
        <v>26</v>
      </c>
      <c r="V348" s="870">
        <v>0</v>
      </c>
      <c r="W348" s="870">
        <v>68</v>
      </c>
      <c r="X348" s="870">
        <v>0</v>
      </c>
      <c r="Y348" s="870">
        <v>23</v>
      </c>
      <c r="Z348" s="870">
        <v>49</v>
      </c>
      <c r="AA348" s="870">
        <v>6081</v>
      </c>
      <c r="AB348" s="870">
        <v>67</v>
      </c>
      <c r="AC348" s="870">
        <v>5907</v>
      </c>
      <c r="AD348" s="890">
        <f t="shared" si="59"/>
        <v>6219</v>
      </c>
      <c r="AE348" s="890">
        <f t="shared" si="60"/>
        <v>43834</v>
      </c>
      <c r="AF348" s="890">
        <f t="shared" si="64"/>
        <v>2850</v>
      </c>
      <c r="AG348" s="895">
        <f t="shared" si="61"/>
        <v>-54.2</v>
      </c>
      <c r="AH348" s="890">
        <f t="shared" si="62"/>
        <v>25244</v>
      </c>
      <c r="AI348" s="895">
        <f t="shared" si="63"/>
        <v>-42.4</v>
      </c>
    </row>
    <row r="349" spans="1:35" s="846" customFormat="1" ht="19.5" hidden="1" customHeight="1">
      <c r="A349" s="897" t="s">
        <v>66</v>
      </c>
      <c r="B349" s="870">
        <v>2704</v>
      </c>
      <c r="C349" s="870">
        <v>15073</v>
      </c>
      <c r="D349" s="870">
        <v>2157</v>
      </c>
      <c r="E349" s="870">
        <v>14791</v>
      </c>
      <c r="F349" s="870">
        <v>35</v>
      </c>
      <c r="G349" s="870">
        <v>657</v>
      </c>
      <c r="H349" s="870">
        <v>129</v>
      </c>
      <c r="I349" s="870">
        <v>1149</v>
      </c>
      <c r="J349" s="870">
        <v>3372</v>
      </c>
      <c r="K349" s="870">
        <v>14466</v>
      </c>
      <c r="L349" s="870">
        <v>2033</v>
      </c>
      <c r="M349" s="870">
        <v>11487</v>
      </c>
      <c r="N349" s="870">
        <v>76</v>
      </c>
      <c r="O349" s="870">
        <v>162</v>
      </c>
      <c r="P349" s="870">
        <v>97</v>
      </c>
      <c r="Q349" s="870">
        <v>134</v>
      </c>
      <c r="R349" s="870">
        <v>1595</v>
      </c>
      <c r="S349" s="870">
        <v>4772</v>
      </c>
      <c r="T349" s="870">
        <v>1230</v>
      </c>
      <c r="U349" s="870">
        <v>3101</v>
      </c>
      <c r="V349" s="870">
        <v>24</v>
      </c>
      <c r="W349" s="870">
        <v>490</v>
      </c>
      <c r="X349" s="870">
        <v>0</v>
      </c>
      <c r="Y349" s="870">
        <v>7</v>
      </c>
      <c r="Z349" s="870">
        <v>252</v>
      </c>
      <c r="AA349" s="870">
        <v>2465</v>
      </c>
      <c r="AB349" s="870">
        <v>368</v>
      </c>
      <c r="AC349" s="870">
        <v>1303</v>
      </c>
      <c r="AD349" s="890">
        <f t="shared" si="59"/>
        <v>8058</v>
      </c>
      <c r="AE349" s="890">
        <f t="shared" si="60"/>
        <v>38085</v>
      </c>
      <c r="AF349" s="890">
        <f t="shared" si="64"/>
        <v>6014</v>
      </c>
      <c r="AG349" s="895">
        <f t="shared" si="61"/>
        <v>-25.4</v>
      </c>
      <c r="AH349" s="890">
        <f t="shared" si="62"/>
        <v>31972</v>
      </c>
      <c r="AI349" s="895">
        <f t="shared" si="63"/>
        <v>-16.100000000000001</v>
      </c>
    </row>
    <row r="350" spans="1:35" s="846" customFormat="1" ht="19.5" hidden="1" customHeight="1">
      <c r="A350" s="897" t="s">
        <v>73</v>
      </c>
      <c r="B350" s="870">
        <v>681</v>
      </c>
      <c r="C350" s="870">
        <v>4602</v>
      </c>
      <c r="D350" s="870">
        <v>1324</v>
      </c>
      <c r="E350" s="870">
        <v>7040</v>
      </c>
      <c r="F350" s="870">
        <v>4</v>
      </c>
      <c r="G350" s="870">
        <v>323</v>
      </c>
      <c r="H350" s="870">
        <v>19</v>
      </c>
      <c r="I350" s="870">
        <v>266</v>
      </c>
      <c r="J350" s="870">
        <v>11333</v>
      </c>
      <c r="K350" s="870">
        <v>29658</v>
      </c>
      <c r="L350" s="870">
        <v>2112</v>
      </c>
      <c r="M350" s="870">
        <v>10539</v>
      </c>
      <c r="N350" s="870">
        <v>0</v>
      </c>
      <c r="O350" s="870">
        <v>0</v>
      </c>
      <c r="P350" s="870">
        <v>0</v>
      </c>
      <c r="Q350" s="870">
        <v>0</v>
      </c>
      <c r="R350" s="870">
        <v>0</v>
      </c>
      <c r="S350" s="870">
        <v>7</v>
      </c>
      <c r="T350" s="870">
        <v>0</v>
      </c>
      <c r="U350" s="870">
        <v>7</v>
      </c>
      <c r="V350" s="870">
        <v>14</v>
      </c>
      <c r="W350" s="870">
        <v>232</v>
      </c>
      <c r="X350" s="870">
        <v>19</v>
      </c>
      <c r="Y350" s="870">
        <v>250</v>
      </c>
      <c r="Z350" s="870">
        <v>20</v>
      </c>
      <c r="AA350" s="870">
        <v>333</v>
      </c>
      <c r="AB350" s="870">
        <v>23</v>
      </c>
      <c r="AC350" s="870">
        <v>414</v>
      </c>
      <c r="AD350" s="890">
        <f t="shared" si="59"/>
        <v>12052</v>
      </c>
      <c r="AE350" s="890">
        <f t="shared" si="60"/>
        <v>35155</v>
      </c>
      <c r="AF350" s="890">
        <f t="shared" si="64"/>
        <v>3497</v>
      </c>
      <c r="AG350" s="895">
        <f t="shared" si="61"/>
        <v>-71</v>
      </c>
      <c r="AH350" s="890">
        <f t="shared" si="62"/>
        <v>18516</v>
      </c>
      <c r="AI350" s="895">
        <f t="shared" si="63"/>
        <v>-47.3</v>
      </c>
    </row>
    <row r="351" spans="1:35" s="846" customFormat="1" ht="19.5" hidden="1" customHeight="1">
      <c r="A351" s="897" t="s">
        <v>71</v>
      </c>
      <c r="B351" s="870">
        <v>2271</v>
      </c>
      <c r="C351" s="870">
        <v>17590</v>
      </c>
      <c r="D351" s="870">
        <v>2097</v>
      </c>
      <c r="E351" s="870">
        <v>15453</v>
      </c>
      <c r="F351" s="870">
        <v>198</v>
      </c>
      <c r="G351" s="870">
        <v>2126</v>
      </c>
      <c r="H351" s="870">
        <v>142</v>
      </c>
      <c r="I351" s="870">
        <v>682</v>
      </c>
      <c r="J351" s="870">
        <v>4161</v>
      </c>
      <c r="K351" s="870">
        <v>12118</v>
      </c>
      <c r="L351" s="870">
        <v>605</v>
      </c>
      <c r="M351" s="870">
        <v>2389</v>
      </c>
      <c r="N351" s="870">
        <v>0</v>
      </c>
      <c r="O351" s="870">
        <v>0</v>
      </c>
      <c r="P351" s="870">
        <v>0</v>
      </c>
      <c r="Q351" s="870">
        <v>0</v>
      </c>
      <c r="R351" s="870">
        <v>17</v>
      </c>
      <c r="S351" s="870">
        <v>16</v>
      </c>
      <c r="T351" s="870">
        <v>1</v>
      </c>
      <c r="U351" s="870">
        <v>3</v>
      </c>
      <c r="V351" s="870">
        <v>0</v>
      </c>
      <c r="W351" s="870">
        <v>0</v>
      </c>
      <c r="X351" s="870">
        <v>0</v>
      </c>
      <c r="Y351" s="870">
        <v>0</v>
      </c>
      <c r="Z351" s="870">
        <v>238</v>
      </c>
      <c r="AA351" s="870">
        <v>3035</v>
      </c>
      <c r="AB351" s="870">
        <v>104</v>
      </c>
      <c r="AC351" s="870">
        <v>761</v>
      </c>
      <c r="AD351" s="890">
        <f t="shared" si="59"/>
        <v>6885</v>
      </c>
      <c r="AE351" s="890">
        <f t="shared" si="60"/>
        <v>34885</v>
      </c>
      <c r="AF351" s="890">
        <f t="shared" si="64"/>
        <v>2949</v>
      </c>
      <c r="AG351" s="895">
        <f t="shared" si="61"/>
        <v>-57.2</v>
      </c>
      <c r="AH351" s="890">
        <f t="shared" si="62"/>
        <v>19288</v>
      </c>
      <c r="AI351" s="895">
        <f t="shared" si="63"/>
        <v>-44.7</v>
      </c>
    </row>
    <row r="352" spans="1:35" s="846" customFormat="1" ht="19.5" hidden="1" customHeight="1">
      <c r="A352" s="891" t="s">
        <v>70</v>
      </c>
      <c r="B352" s="870">
        <v>174</v>
      </c>
      <c r="C352" s="870">
        <v>583</v>
      </c>
      <c r="D352" s="870">
        <v>170</v>
      </c>
      <c r="E352" s="870">
        <v>795</v>
      </c>
      <c r="F352" s="870">
        <v>0</v>
      </c>
      <c r="G352" s="870">
        <v>8</v>
      </c>
      <c r="H352" s="870">
        <v>6</v>
      </c>
      <c r="I352" s="870">
        <v>126</v>
      </c>
      <c r="J352" s="870">
        <v>4864</v>
      </c>
      <c r="K352" s="870">
        <v>11974</v>
      </c>
      <c r="L352" s="870">
        <v>4738</v>
      </c>
      <c r="M352" s="870">
        <v>12523</v>
      </c>
      <c r="N352" s="870">
        <v>1</v>
      </c>
      <c r="O352" s="870">
        <v>2</v>
      </c>
      <c r="P352" s="870">
        <v>0</v>
      </c>
      <c r="Q352" s="870">
        <v>0</v>
      </c>
      <c r="R352" s="870">
        <v>8203</v>
      </c>
      <c r="S352" s="870">
        <v>23698</v>
      </c>
      <c r="T352" s="870">
        <v>3721</v>
      </c>
      <c r="U352" s="870">
        <v>8691</v>
      </c>
      <c r="V352" s="870">
        <v>0</v>
      </c>
      <c r="W352" s="870">
        <v>2</v>
      </c>
      <c r="X352" s="870">
        <v>10</v>
      </c>
      <c r="Y352" s="870">
        <v>179</v>
      </c>
      <c r="Z352" s="870">
        <v>20</v>
      </c>
      <c r="AA352" s="870">
        <v>66</v>
      </c>
      <c r="AB352" s="870">
        <v>0</v>
      </c>
      <c r="AC352" s="870">
        <v>3</v>
      </c>
      <c r="AD352" s="890">
        <f t="shared" si="59"/>
        <v>13262</v>
      </c>
      <c r="AE352" s="890">
        <f t="shared" si="60"/>
        <v>36333</v>
      </c>
      <c r="AF352" s="890">
        <f t="shared" si="64"/>
        <v>8645</v>
      </c>
      <c r="AG352" s="895">
        <f t="shared" si="61"/>
        <v>-34.799999999999997</v>
      </c>
      <c r="AH352" s="890">
        <f t="shared" si="62"/>
        <v>22317</v>
      </c>
      <c r="AI352" s="895">
        <f t="shared" si="63"/>
        <v>-38.6</v>
      </c>
    </row>
    <row r="353" spans="1:35" s="846" customFormat="1" ht="19.5" hidden="1" customHeight="1">
      <c r="A353" s="897" t="s">
        <v>74</v>
      </c>
      <c r="B353" s="870">
        <v>1551</v>
      </c>
      <c r="C353" s="870">
        <v>12797</v>
      </c>
      <c r="D353" s="870">
        <v>1173</v>
      </c>
      <c r="E353" s="870">
        <v>9196</v>
      </c>
      <c r="F353" s="870">
        <v>1</v>
      </c>
      <c r="G353" s="870">
        <v>95</v>
      </c>
      <c r="H353" s="870">
        <v>0</v>
      </c>
      <c r="I353" s="870">
        <v>26</v>
      </c>
      <c r="J353" s="870">
        <v>6672</v>
      </c>
      <c r="K353" s="870">
        <v>17744</v>
      </c>
      <c r="L353" s="870">
        <v>6040</v>
      </c>
      <c r="M353" s="870">
        <v>14849</v>
      </c>
      <c r="N353" s="870">
        <v>0</v>
      </c>
      <c r="O353" s="870">
        <v>0</v>
      </c>
      <c r="P353" s="870">
        <v>0</v>
      </c>
      <c r="Q353" s="870">
        <v>0</v>
      </c>
      <c r="R353" s="870">
        <v>0</v>
      </c>
      <c r="S353" s="870">
        <v>17</v>
      </c>
      <c r="T353" s="870">
        <v>0</v>
      </c>
      <c r="U353" s="870">
        <v>0</v>
      </c>
      <c r="V353" s="870">
        <v>0</v>
      </c>
      <c r="W353" s="870">
        <v>0</v>
      </c>
      <c r="X353" s="870">
        <v>0</v>
      </c>
      <c r="Y353" s="870">
        <v>0</v>
      </c>
      <c r="Z353" s="870">
        <v>498</v>
      </c>
      <c r="AA353" s="870">
        <v>1378</v>
      </c>
      <c r="AB353" s="870">
        <v>966</v>
      </c>
      <c r="AC353" s="870">
        <v>2443</v>
      </c>
      <c r="AD353" s="890">
        <f t="shared" si="59"/>
        <v>8722</v>
      </c>
      <c r="AE353" s="890">
        <f t="shared" si="60"/>
        <v>32031</v>
      </c>
      <c r="AF353" s="890">
        <f t="shared" si="64"/>
        <v>8179</v>
      </c>
      <c r="AG353" s="895">
        <f t="shared" si="61"/>
        <v>-6.2</v>
      </c>
      <c r="AH353" s="890">
        <f t="shared" si="62"/>
        <v>26514</v>
      </c>
      <c r="AI353" s="895">
        <f t="shared" si="63"/>
        <v>-17.2</v>
      </c>
    </row>
    <row r="354" spans="1:35" s="846" customFormat="1" ht="19.5" hidden="1" customHeight="1">
      <c r="A354" s="891" t="s">
        <v>88</v>
      </c>
      <c r="B354" s="870">
        <v>103</v>
      </c>
      <c r="C354" s="870">
        <v>86</v>
      </c>
      <c r="D354" s="870">
        <v>0</v>
      </c>
      <c r="E354" s="870">
        <v>8</v>
      </c>
      <c r="F354" s="870">
        <v>0</v>
      </c>
      <c r="G354" s="870">
        <v>0</v>
      </c>
      <c r="H354" s="870">
        <v>0</v>
      </c>
      <c r="I354" s="870">
        <v>0</v>
      </c>
      <c r="J354" s="870">
        <v>15012</v>
      </c>
      <c r="K354" s="870">
        <v>34447</v>
      </c>
      <c r="L354" s="870">
        <v>7044</v>
      </c>
      <c r="M354" s="870">
        <v>14878</v>
      </c>
      <c r="N354" s="870">
        <v>0</v>
      </c>
      <c r="O354" s="870">
        <v>0</v>
      </c>
      <c r="P354" s="870">
        <v>0</v>
      </c>
      <c r="Q354" s="870">
        <v>0</v>
      </c>
      <c r="R354" s="870">
        <v>225</v>
      </c>
      <c r="S354" s="870">
        <v>699</v>
      </c>
      <c r="T354" s="870">
        <v>0</v>
      </c>
      <c r="U354" s="870">
        <v>0</v>
      </c>
      <c r="V354" s="870">
        <v>0</v>
      </c>
      <c r="W354" s="870">
        <v>0</v>
      </c>
      <c r="X354" s="870">
        <v>0</v>
      </c>
      <c r="Y354" s="870">
        <v>0</v>
      </c>
      <c r="Z354" s="870">
        <v>0</v>
      </c>
      <c r="AA354" s="870">
        <v>0</v>
      </c>
      <c r="AB354" s="870">
        <v>0</v>
      </c>
      <c r="AC354" s="870">
        <v>0</v>
      </c>
      <c r="AD354" s="890">
        <f t="shared" si="59"/>
        <v>15340</v>
      </c>
      <c r="AE354" s="890">
        <f t="shared" si="60"/>
        <v>35232</v>
      </c>
      <c r="AF354" s="890">
        <f t="shared" si="64"/>
        <v>7044</v>
      </c>
      <c r="AG354" s="895">
        <f t="shared" si="61"/>
        <v>-54.1</v>
      </c>
      <c r="AH354" s="890">
        <f t="shared" si="62"/>
        <v>14886</v>
      </c>
      <c r="AI354" s="895">
        <f t="shared" si="63"/>
        <v>-57.7</v>
      </c>
    </row>
    <row r="355" spans="1:35" s="846" customFormat="1" ht="19.5" hidden="1" customHeight="1">
      <c r="A355" s="891" t="s">
        <v>67</v>
      </c>
      <c r="B355" s="870">
        <v>174</v>
      </c>
      <c r="C355" s="870">
        <v>269</v>
      </c>
      <c r="D355" s="870">
        <v>280</v>
      </c>
      <c r="E355" s="870">
        <v>337</v>
      </c>
      <c r="F355" s="870">
        <v>0</v>
      </c>
      <c r="G355" s="870">
        <v>1</v>
      </c>
      <c r="H355" s="870">
        <v>0</v>
      </c>
      <c r="I355" s="870">
        <v>1</v>
      </c>
      <c r="J355" s="870">
        <v>9838</v>
      </c>
      <c r="K355" s="870">
        <v>24991</v>
      </c>
      <c r="L355" s="870">
        <v>15481</v>
      </c>
      <c r="M355" s="870">
        <v>34666</v>
      </c>
      <c r="N355" s="870">
        <v>0</v>
      </c>
      <c r="O355" s="870">
        <v>0</v>
      </c>
      <c r="P355" s="870">
        <v>2</v>
      </c>
      <c r="Q355" s="870">
        <v>7</v>
      </c>
      <c r="R355" s="870">
        <v>6</v>
      </c>
      <c r="S355" s="870">
        <v>7</v>
      </c>
      <c r="T355" s="870">
        <v>0</v>
      </c>
      <c r="U355" s="870">
        <v>0</v>
      </c>
      <c r="V355" s="870">
        <v>0</v>
      </c>
      <c r="W355" s="870">
        <v>0</v>
      </c>
      <c r="X355" s="870">
        <v>0</v>
      </c>
      <c r="Y355" s="870">
        <v>0</v>
      </c>
      <c r="Z355" s="870">
        <v>0</v>
      </c>
      <c r="AA355" s="870">
        <v>0</v>
      </c>
      <c r="AB355" s="870">
        <v>0</v>
      </c>
      <c r="AC355" s="870">
        <v>0</v>
      </c>
      <c r="AD355" s="890">
        <f t="shared" si="59"/>
        <v>10018</v>
      </c>
      <c r="AE355" s="890">
        <f t="shared" si="60"/>
        <v>25268</v>
      </c>
      <c r="AF355" s="890">
        <f t="shared" si="64"/>
        <v>15763</v>
      </c>
      <c r="AG355" s="895">
        <f t="shared" si="61"/>
        <v>57.3</v>
      </c>
      <c r="AH355" s="890">
        <f t="shared" si="62"/>
        <v>35011</v>
      </c>
      <c r="AI355" s="895">
        <f t="shared" si="63"/>
        <v>38.6</v>
      </c>
    </row>
    <row r="356" spans="1:35" s="846" customFormat="1" ht="19.5" hidden="1" customHeight="1">
      <c r="A356" s="897" t="s">
        <v>72</v>
      </c>
      <c r="B356" s="870">
        <v>563</v>
      </c>
      <c r="C356" s="870">
        <v>3883</v>
      </c>
      <c r="D356" s="870">
        <v>603</v>
      </c>
      <c r="E356" s="870">
        <v>5155</v>
      </c>
      <c r="F356" s="870">
        <v>23</v>
      </c>
      <c r="G356" s="870">
        <v>98</v>
      </c>
      <c r="H356" s="870">
        <v>0</v>
      </c>
      <c r="I356" s="870">
        <v>14</v>
      </c>
      <c r="J356" s="870">
        <v>4406</v>
      </c>
      <c r="K356" s="870">
        <v>19556</v>
      </c>
      <c r="L356" s="870">
        <v>3564</v>
      </c>
      <c r="M356" s="870">
        <v>21020</v>
      </c>
      <c r="N356" s="870">
        <v>0</v>
      </c>
      <c r="O356" s="870">
        <v>0</v>
      </c>
      <c r="P356" s="870">
        <v>0</v>
      </c>
      <c r="Q356" s="870">
        <v>0</v>
      </c>
      <c r="R356" s="870">
        <v>2</v>
      </c>
      <c r="S356" s="870">
        <v>45</v>
      </c>
      <c r="T356" s="870">
        <v>2</v>
      </c>
      <c r="U356" s="870">
        <v>32</v>
      </c>
      <c r="V356" s="870">
        <v>0</v>
      </c>
      <c r="W356" s="870">
        <v>0</v>
      </c>
      <c r="X356" s="870">
        <v>0</v>
      </c>
      <c r="Y356" s="870">
        <v>0</v>
      </c>
      <c r="Z356" s="870">
        <v>26</v>
      </c>
      <c r="AA356" s="870">
        <v>1547</v>
      </c>
      <c r="AB356" s="870">
        <v>22</v>
      </c>
      <c r="AC356" s="870">
        <v>1335</v>
      </c>
      <c r="AD356" s="890">
        <f t="shared" si="59"/>
        <v>5020</v>
      </c>
      <c r="AE356" s="890">
        <f t="shared" si="60"/>
        <v>25129</v>
      </c>
      <c r="AF356" s="890">
        <f t="shared" si="64"/>
        <v>4191</v>
      </c>
      <c r="AG356" s="895">
        <f t="shared" si="61"/>
        <v>-16.5</v>
      </c>
      <c r="AH356" s="890">
        <f t="shared" si="62"/>
        <v>27556</v>
      </c>
      <c r="AI356" s="895">
        <f t="shared" si="63"/>
        <v>9.6999999999999993</v>
      </c>
    </row>
    <row r="357" spans="1:35" s="846" customFormat="1" ht="19.5" hidden="1" customHeight="1">
      <c r="A357" s="897" t="s">
        <v>69</v>
      </c>
      <c r="B357" s="870">
        <v>432</v>
      </c>
      <c r="C357" s="870">
        <v>4687</v>
      </c>
      <c r="D357" s="870">
        <v>361</v>
      </c>
      <c r="E357" s="870">
        <v>4082</v>
      </c>
      <c r="F357" s="870">
        <v>67</v>
      </c>
      <c r="G357" s="870">
        <v>496</v>
      </c>
      <c r="H357" s="870">
        <v>3</v>
      </c>
      <c r="I357" s="870">
        <v>106</v>
      </c>
      <c r="J357" s="870">
        <v>5806</v>
      </c>
      <c r="K357" s="870">
        <v>17259</v>
      </c>
      <c r="L357" s="870">
        <v>439</v>
      </c>
      <c r="M357" s="870">
        <v>6571</v>
      </c>
      <c r="N357" s="870">
        <v>7</v>
      </c>
      <c r="O357" s="870">
        <v>2</v>
      </c>
      <c r="P357" s="870">
        <v>62</v>
      </c>
      <c r="Q357" s="870">
        <v>32</v>
      </c>
      <c r="R357" s="870">
        <v>0</v>
      </c>
      <c r="S357" s="870">
        <v>0</v>
      </c>
      <c r="T357" s="870">
        <v>0</v>
      </c>
      <c r="U357" s="870">
        <v>0</v>
      </c>
      <c r="V357" s="870">
        <v>0</v>
      </c>
      <c r="W357" s="870">
        <v>9</v>
      </c>
      <c r="X357" s="870">
        <v>0</v>
      </c>
      <c r="Y357" s="870">
        <v>10</v>
      </c>
      <c r="Z357" s="870">
        <v>751</v>
      </c>
      <c r="AA357" s="870">
        <v>6150</v>
      </c>
      <c r="AB357" s="870">
        <v>453</v>
      </c>
      <c r="AC357" s="870">
        <v>2983</v>
      </c>
      <c r="AD357" s="890">
        <f t="shared" si="59"/>
        <v>7063</v>
      </c>
      <c r="AE357" s="890">
        <f t="shared" si="60"/>
        <v>28603</v>
      </c>
      <c r="AF357" s="890">
        <f t="shared" si="64"/>
        <v>1318</v>
      </c>
      <c r="AG357" s="895">
        <f t="shared" si="61"/>
        <v>-81.3</v>
      </c>
      <c r="AH357" s="890">
        <f t="shared" si="62"/>
        <v>13784</v>
      </c>
      <c r="AI357" s="895">
        <f t="shared" si="63"/>
        <v>-51.8</v>
      </c>
    </row>
    <row r="358" spans="1:35" s="846" customFormat="1" ht="19.5" hidden="1" customHeight="1">
      <c r="A358" s="877" t="s">
        <v>560</v>
      </c>
      <c r="B358" s="892">
        <f t="shared" ref="B358:G358" si="65">B359-SUM(B328:B357)</f>
        <v>8953</v>
      </c>
      <c r="C358" s="892">
        <f t="shared" si="65"/>
        <v>82196</v>
      </c>
      <c r="D358" s="892">
        <f t="shared" si="65"/>
        <v>10765</v>
      </c>
      <c r="E358" s="892">
        <f t="shared" si="65"/>
        <v>84540</v>
      </c>
      <c r="F358" s="892">
        <f t="shared" si="65"/>
        <v>682</v>
      </c>
      <c r="G358" s="892">
        <f t="shared" si="65"/>
        <v>4843</v>
      </c>
      <c r="H358" s="892">
        <f t="shared" ref="H358:AC358" si="66">H359-SUM(H328:H357)</f>
        <v>345</v>
      </c>
      <c r="I358" s="892">
        <f t="shared" si="66"/>
        <v>4967</v>
      </c>
      <c r="J358" s="892">
        <f t="shared" si="66"/>
        <v>59081</v>
      </c>
      <c r="K358" s="892">
        <f t="shared" si="66"/>
        <v>175472</v>
      </c>
      <c r="L358" s="892">
        <f t="shared" si="66"/>
        <v>49138</v>
      </c>
      <c r="M358" s="892">
        <f t="shared" si="66"/>
        <v>147093</v>
      </c>
      <c r="N358" s="892">
        <f t="shared" si="66"/>
        <v>5657</v>
      </c>
      <c r="O358" s="892">
        <f t="shared" si="66"/>
        <v>12972</v>
      </c>
      <c r="P358" s="892">
        <f t="shared" si="66"/>
        <v>3369</v>
      </c>
      <c r="Q358" s="892">
        <f t="shared" si="66"/>
        <v>6949</v>
      </c>
      <c r="R358" s="892">
        <f t="shared" si="66"/>
        <v>13160</v>
      </c>
      <c r="S358" s="892">
        <f t="shared" si="66"/>
        <v>37080</v>
      </c>
      <c r="T358" s="892">
        <f t="shared" si="66"/>
        <v>18530</v>
      </c>
      <c r="U358" s="892">
        <f t="shared" si="66"/>
        <v>42682</v>
      </c>
      <c r="V358" s="892">
        <f t="shared" si="66"/>
        <v>46</v>
      </c>
      <c r="W358" s="892">
        <f t="shared" si="66"/>
        <v>627</v>
      </c>
      <c r="X358" s="892">
        <f t="shared" si="66"/>
        <v>33</v>
      </c>
      <c r="Y358" s="892">
        <f t="shared" si="66"/>
        <v>357</v>
      </c>
      <c r="Z358" s="892">
        <f t="shared" si="66"/>
        <v>526</v>
      </c>
      <c r="AA358" s="892">
        <f t="shared" si="66"/>
        <v>7843</v>
      </c>
      <c r="AB358" s="892">
        <f t="shared" si="66"/>
        <v>775</v>
      </c>
      <c r="AC358" s="892">
        <f t="shared" si="66"/>
        <v>9292</v>
      </c>
      <c r="AD358" s="892">
        <f>AD359-SUM(AD328:AD357)</f>
        <v>88105</v>
      </c>
      <c r="AE358" s="892">
        <f>AE359-SUM(AE328:AE357)</f>
        <v>321033</v>
      </c>
      <c r="AF358" s="892">
        <f>AF359-SUM(AF328:AF357)</f>
        <v>82955</v>
      </c>
      <c r="AG358" s="895">
        <f t="shared" si="61"/>
        <v>-5.8</v>
      </c>
      <c r="AH358" s="892">
        <f>AH359-SUM(AH328:AH357)</f>
        <v>295880</v>
      </c>
      <c r="AI358" s="896">
        <f t="shared" si="63"/>
        <v>-7.8</v>
      </c>
    </row>
    <row r="359" spans="1:35" s="846" customFormat="1" ht="19.5" hidden="1" customHeight="1">
      <c r="A359" s="1040" t="s">
        <v>79</v>
      </c>
      <c r="B359" s="886">
        <v>519256</v>
      </c>
      <c r="C359" s="886">
        <v>3493719</v>
      </c>
      <c r="D359" s="886">
        <v>499531</v>
      </c>
      <c r="E359" s="886">
        <v>3313326</v>
      </c>
      <c r="F359" s="886">
        <v>15345</v>
      </c>
      <c r="G359" s="888">
        <v>138488</v>
      </c>
      <c r="H359" s="886">
        <v>10999</v>
      </c>
      <c r="I359" s="886">
        <v>107916</v>
      </c>
      <c r="J359" s="886">
        <v>808757</v>
      </c>
      <c r="K359" s="886">
        <v>2644275</v>
      </c>
      <c r="L359" s="886">
        <v>910154</v>
      </c>
      <c r="M359" s="886">
        <v>2621873</v>
      </c>
      <c r="N359" s="886">
        <v>271973</v>
      </c>
      <c r="O359" s="886">
        <v>587195</v>
      </c>
      <c r="P359" s="886">
        <v>248075</v>
      </c>
      <c r="Q359" s="886">
        <v>497720</v>
      </c>
      <c r="R359" s="886">
        <v>409609</v>
      </c>
      <c r="S359" s="886">
        <v>1138336</v>
      </c>
      <c r="T359" s="886">
        <v>448791</v>
      </c>
      <c r="U359" s="886">
        <v>1008852</v>
      </c>
      <c r="V359" s="886">
        <v>1635</v>
      </c>
      <c r="W359" s="886">
        <v>33067</v>
      </c>
      <c r="X359" s="886">
        <v>1541</v>
      </c>
      <c r="Y359" s="886">
        <v>34933</v>
      </c>
      <c r="Z359" s="886">
        <v>76912</v>
      </c>
      <c r="AA359" s="888">
        <v>211101</v>
      </c>
      <c r="AB359" s="886">
        <v>17262</v>
      </c>
      <c r="AC359" s="886">
        <v>176356</v>
      </c>
      <c r="AD359" s="893">
        <f>SUM(B359+F359+J359+N359+R359+V359+Z359)</f>
        <v>2103487</v>
      </c>
      <c r="AE359" s="893">
        <f>SUM(C359+G359+K359+O359+S359+W359+AA359)</f>
        <v>8246181</v>
      </c>
      <c r="AF359" s="893">
        <f>SUM(D359+H359+L359+P359+T359+X359+AB359)</f>
        <v>2136353</v>
      </c>
      <c r="AG359" s="906">
        <f t="shared" si="61"/>
        <v>1.6</v>
      </c>
      <c r="AH359" s="893">
        <f>SUM(E359+I359+M359+Q359+U359+Y359+AC359)</f>
        <v>7760976</v>
      </c>
      <c r="AI359" s="896">
        <f t="shared" si="63"/>
        <v>-5.9</v>
      </c>
    </row>
    <row r="360" spans="1:35" hidden="1"/>
    <row r="361" spans="1:35" s="846" customFormat="1" ht="22.5" hidden="1" customHeight="1">
      <c r="A361" s="1095" t="s">
        <v>686</v>
      </c>
      <c r="B361" s="1095"/>
      <c r="C361" s="1095"/>
      <c r="D361" s="1095"/>
      <c r="E361" s="1095"/>
      <c r="F361" s="1095"/>
      <c r="G361" s="1095"/>
      <c r="H361" s="1095"/>
      <c r="I361" s="1095"/>
      <c r="J361" s="1095"/>
      <c r="K361" s="1095"/>
      <c r="L361" s="1095"/>
      <c r="M361" s="1095"/>
      <c r="N361" s="1095"/>
      <c r="O361" s="1095"/>
      <c r="P361" s="1095"/>
      <c r="Q361" s="1095"/>
      <c r="R361" s="1095"/>
      <c r="S361" s="1095"/>
      <c r="T361" s="1095"/>
      <c r="U361" s="1095"/>
      <c r="V361" s="1095"/>
      <c r="W361" s="1095"/>
      <c r="X361" s="1095"/>
      <c r="Y361" s="1095"/>
      <c r="Z361" s="1095"/>
      <c r="AA361" s="1095"/>
      <c r="AB361" s="1095"/>
      <c r="AC361" s="1095"/>
      <c r="AD361" s="1095"/>
      <c r="AE361" s="1095"/>
      <c r="AF361" s="1095"/>
      <c r="AG361" s="1095"/>
      <c r="AH361" s="1095"/>
      <c r="AI361" s="1095"/>
    </row>
    <row r="362" spans="1:35" s="846" customFormat="1" ht="16.5" hidden="1" customHeight="1">
      <c r="A362" s="871"/>
      <c r="B362" s="872"/>
      <c r="C362" s="872"/>
      <c r="D362" s="872"/>
      <c r="E362" s="872"/>
      <c r="F362" s="872"/>
      <c r="G362" s="871"/>
      <c r="H362" s="872"/>
      <c r="I362" s="872"/>
      <c r="J362" s="872"/>
      <c r="K362" s="872"/>
      <c r="L362" s="872"/>
      <c r="M362" s="872"/>
      <c r="N362" s="872"/>
      <c r="O362" s="872"/>
      <c r="P362" s="872"/>
      <c r="Q362" s="872"/>
      <c r="R362" s="873"/>
      <c r="S362" s="873"/>
      <c r="T362" s="872"/>
      <c r="U362" s="872"/>
      <c r="V362" s="872"/>
      <c r="W362" s="872"/>
      <c r="X362" s="872"/>
      <c r="Y362" s="872"/>
      <c r="Z362" s="872"/>
      <c r="AA362" s="872"/>
      <c r="AB362" s="872"/>
      <c r="AC362" s="872"/>
      <c r="AD362" s="872"/>
      <c r="AE362" s="872"/>
      <c r="AF362" s="872"/>
      <c r="AG362" s="872"/>
      <c r="AH362" s="872"/>
      <c r="AI362" s="872"/>
    </row>
    <row r="363" spans="1:35" s="846" customFormat="1" ht="16.5" hidden="1" customHeight="1">
      <c r="A363" s="850"/>
      <c r="B363" s="851"/>
      <c r="C363" s="851"/>
      <c r="D363" s="851"/>
      <c r="E363" s="851"/>
      <c r="F363" s="851"/>
      <c r="G363" s="850"/>
      <c r="H363" s="851"/>
      <c r="I363" s="851"/>
      <c r="J363" s="851"/>
      <c r="K363" s="851"/>
      <c r="L363" s="851"/>
      <c r="M363" s="851"/>
      <c r="N363" s="851"/>
      <c r="O363" s="851"/>
      <c r="P363" s="851"/>
      <c r="Q363" s="851"/>
      <c r="R363" s="852"/>
      <c r="S363" s="852"/>
      <c r="T363" s="851"/>
      <c r="U363" s="851"/>
      <c r="V363" s="851"/>
      <c r="W363" s="851"/>
      <c r="X363" s="851"/>
      <c r="Y363" s="851"/>
      <c r="Z363" s="851"/>
      <c r="AA363" s="851"/>
      <c r="AB363" s="851"/>
      <c r="AC363" s="851"/>
      <c r="AD363" s="851"/>
      <c r="AE363" s="851"/>
      <c r="AF363" s="851"/>
      <c r="AG363" s="851"/>
      <c r="AH363" s="851"/>
      <c r="AI363" s="853" t="s">
        <v>0</v>
      </c>
    </row>
    <row r="364" spans="1:35" s="846" customFormat="1" ht="21.75" hidden="1" customHeight="1">
      <c r="A364" s="1149" t="s">
        <v>43</v>
      </c>
      <c r="B364" s="1151" t="s">
        <v>687</v>
      </c>
      <c r="C364" s="1153"/>
      <c r="D364" s="1153"/>
      <c r="E364" s="1152"/>
      <c r="F364" s="1151" t="s">
        <v>688</v>
      </c>
      <c r="G364" s="1153"/>
      <c r="H364" s="1153"/>
      <c r="I364" s="1152"/>
      <c r="J364" s="1151" t="s">
        <v>689</v>
      </c>
      <c r="K364" s="1153"/>
      <c r="L364" s="1153"/>
      <c r="M364" s="1152"/>
      <c r="N364" s="1151" t="s">
        <v>690</v>
      </c>
      <c r="O364" s="1153"/>
      <c r="P364" s="1153"/>
      <c r="Q364" s="1152"/>
      <c r="R364" s="1151" t="s">
        <v>691</v>
      </c>
      <c r="S364" s="1153"/>
      <c r="T364" s="1153"/>
      <c r="U364" s="1152"/>
      <c r="V364" s="1151" t="s">
        <v>692</v>
      </c>
      <c r="W364" s="1153"/>
      <c r="X364" s="1153"/>
      <c r="Y364" s="1152"/>
      <c r="Z364" s="1151" t="s">
        <v>693</v>
      </c>
      <c r="AA364" s="1153"/>
      <c r="AB364" s="1153"/>
      <c r="AC364" s="1152"/>
      <c r="AD364" s="1151" t="s">
        <v>694</v>
      </c>
      <c r="AE364" s="1153"/>
      <c r="AF364" s="1153"/>
      <c r="AG364" s="1153"/>
      <c r="AH364" s="1153"/>
      <c r="AI364" s="1152"/>
    </row>
    <row r="365" spans="1:35" s="846" customFormat="1" ht="21" hidden="1" customHeight="1">
      <c r="A365" s="1154"/>
      <c r="B365" s="1151" t="s">
        <v>315</v>
      </c>
      <c r="C365" s="1152"/>
      <c r="D365" s="1151" t="s">
        <v>459</v>
      </c>
      <c r="E365" s="1152"/>
      <c r="F365" s="1151" t="s">
        <v>315</v>
      </c>
      <c r="G365" s="1152"/>
      <c r="H365" s="1151" t="s">
        <v>459</v>
      </c>
      <c r="I365" s="1152"/>
      <c r="J365" s="1151" t="s">
        <v>315</v>
      </c>
      <c r="K365" s="1152"/>
      <c r="L365" s="1151" t="s">
        <v>459</v>
      </c>
      <c r="M365" s="1152"/>
      <c r="N365" s="1151" t="s">
        <v>315</v>
      </c>
      <c r="O365" s="1152"/>
      <c r="P365" s="1151" t="s">
        <v>459</v>
      </c>
      <c r="Q365" s="1152"/>
      <c r="R365" s="1151" t="s">
        <v>315</v>
      </c>
      <c r="S365" s="1152"/>
      <c r="T365" s="1151" t="s">
        <v>459</v>
      </c>
      <c r="U365" s="1152"/>
      <c r="V365" s="1151" t="s">
        <v>315</v>
      </c>
      <c r="W365" s="1152"/>
      <c r="X365" s="1151" t="s">
        <v>459</v>
      </c>
      <c r="Y365" s="1152"/>
      <c r="Z365" s="1151" t="s">
        <v>315</v>
      </c>
      <c r="AA365" s="1152"/>
      <c r="AB365" s="1151" t="s">
        <v>459</v>
      </c>
      <c r="AC365" s="1152"/>
      <c r="AD365" s="1151" t="s">
        <v>315</v>
      </c>
      <c r="AE365" s="1152"/>
      <c r="AF365" s="1151" t="s">
        <v>459</v>
      </c>
      <c r="AG365" s="1153"/>
      <c r="AH365" s="1153"/>
      <c r="AI365" s="1152"/>
    </row>
    <row r="366" spans="1:35" s="846" customFormat="1" ht="16.5" hidden="1" customHeight="1">
      <c r="A366" s="1154"/>
      <c r="B366" s="1149" t="s">
        <v>44</v>
      </c>
      <c r="C366" s="1149" t="s">
        <v>45</v>
      </c>
      <c r="D366" s="1149" t="s">
        <v>46</v>
      </c>
      <c r="E366" s="1149" t="s">
        <v>45</v>
      </c>
      <c r="F366" s="1149" t="s">
        <v>47</v>
      </c>
      <c r="G366" s="1149" t="s">
        <v>45</v>
      </c>
      <c r="H366" s="1149" t="s">
        <v>46</v>
      </c>
      <c r="I366" s="1149" t="s">
        <v>45</v>
      </c>
      <c r="J366" s="1149" t="s">
        <v>44</v>
      </c>
      <c r="K366" s="1149" t="s">
        <v>45</v>
      </c>
      <c r="L366" s="1149" t="s">
        <v>46</v>
      </c>
      <c r="M366" s="1149" t="s">
        <v>45</v>
      </c>
      <c r="N366" s="1149" t="s">
        <v>44</v>
      </c>
      <c r="O366" s="1149" t="s">
        <v>45</v>
      </c>
      <c r="P366" s="1149" t="s">
        <v>46</v>
      </c>
      <c r="Q366" s="1149" t="s">
        <v>45</v>
      </c>
      <c r="R366" s="1149" t="s">
        <v>44</v>
      </c>
      <c r="S366" s="1149" t="s">
        <v>45</v>
      </c>
      <c r="T366" s="1149" t="s">
        <v>46</v>
      </c>
      <c r="U366" s="1149" t="s">
        <v>45</v>
      </c>
      <c r="V366" s="1149" t="s">
        <v>44</v>
      </c>
      <c r="W366" s="1149" t="s">
        <v>45</v>
      </c>
      <c r="X366" s="1149" t="s">
        <v>48</v>
      </c>
      <c r="Y366" s="1149" t="s">
        <v>45</v>
      </c>
      <c r="Z366" s="1149" t="s">
        <v>44</v>
      </c>
      <c r="AA366" s="1149" t="s">
        <v>45</v>
      </c>
      <c r="AB366" s="1149" t="s">
        <v>46</v>
      </c>
      <c r="AC366" s="1149" t="s">
        <v>45</v>
      </c>
      <c r="AD366" s="1149" t="s">
        <v>44</v>
      </c>
      <c r="AE366" s="1149" t="s">
        <v>45</v>
      </c>
      <c r="AF366" s="1147" t="s">
        <v>46</v>
      </c>
      <c r="AG366" s="874"/>
      <c r="AH366" s="1147" t="s">
        <v>45</v>
      </c>
      <c r="AI366" s="874"/>
    </row>
    <row r="367" spans="1:35" s="846" customFormat="1" ht="16.5" hidden="1" customHeight="1" thickBot="1">
      <c r="A367" s="1150"/>
      <c r="B367" s="1150"/>
      <c r="C367" s="1150"/>
      <c r="D367" s="1150"/>
      <c r="E367" s="1150"/>
      <c r="F367" s="1150"/>
      <c r="G367" s="1150"/>
      <c r="H367" s="1150"/>
      <c r="I367" s="1150"/>
      <c r="J367" s="1150"/>
      <c r="K367" s="1150"/>
      <c r="L367" s="1150"/>
      <c r="M367" s="1150"/>
      <c r="N367" s="1150"/>
      <c r="O367" s="1150"/>
      <c r="P367" s="1150"/>
      <c r="Q367" s="1150"/>
      <c r="R367" s="1150"/>
      <c r="S367" s="1150"/>
      <c r="T367" s="1150"/>
      <c r="U367" s="1150"/>
      <c r="V367" s="1150"/>
      <c r="W367" s="1150"/>
      <c r="X367" s="1150"/>
      <c r="Y367" s="1150"/>
      <c r="Z367" s="1150"/>
      <c r="AA367" s="1150"/>
      <c r="AB367" s="1150"/>
      <c r="AC367" s="1150"/>
      <c r="AD367" s="1150"/>
      <c r="AE367" s="1150"/>
      <c r="AF367" s="1148"/>
      <c r="AG367" s="875" t="s">
        <v>49</v>
      </c>
      <c r="AH367" s="1148"/>
      <c r="AI367" s="875" t="s">
        <v>49</v>
      </c>
    </row>
    <row r="368" spans="1:35" s="846" customFormat="1" ht="19.5" hidden="1" customHeight="1" thickTop="1">
      <c r="A368" s="897" t="s">
        <v>50</v>
      </c>
      <c r="B368" s="870">
        <v>229617</v>
      </c>
      <c r="C368" s="870">
        <v>1527788</v>
      </c>
      <c r="D368" s="870">
        <v>260894</v>
      </c>
      <c r="E368" s="870">
        <v>1726664</v>
      </c>
      <c r="F368" s="870">
        <v>4845</v>
      </c>
      <c r="G368" s="870">
        <v>45155</v>
      </c>
      <c r="H368" s="870">
        <v>2742</v>
      </c>
      <c r="I368" s="870">
        <v>29045</v>
      </c>
      <c r="J368" s="870">
        <v>92449</v>
      </c>
      <c r="K368" s="870">
        <v>372570</v>
      </c>
      <c r="L368" s="870">
        <v>283412</v>
      </c>
      <c r="M368" s="870">
        <v>675889</v>
      </c>
      <c r="N368" s="870">
        <v>42131</v>
      </c>
      <c r="O368" s="870">
        <v>88115</v>
      </c>
      <c r="P368" s="870">
        <v>17421</v>
      </c>
      <c r="Q368" s="870">
        <v>32953</v>
      </c>
      <c r="R368" s="870">
        <v>113989</v>
      </c>
      <c r="S368" s="870">
        <v>299267</v>
      </c>
      <c r="T368" s="870">
        <v>128762</v>
      </c>
      <c r="U368" s="870">
        <v>284671</v>
      </c>
      <c r="V368" s="870">
        <v>231</v>
      </c>
      <c r="W368" s="870">
        <v>6576</v>
      </c>
      <c r="X368" s="870">
        <v>301</v>
      </c>
      <c r="Y368" s="870">
        <v>8311</v>
      </c>
      <c r="Z368" s="870">
        <v>2744</v>
      </c>
      <c r="AA368" s="870">
        <v>62730</v>
      </c>
      <c r="AB368" s="870">
        <v>7831</v>
      </c>
      <c r="AC368" s="870">
        <v>68114</v>
      </c>
      <c r="AD368" s="890">
        <f t="shared" ref="AD368:AD397" si="67">SUM(B368+F368+J368+N368+R368+V368+Z368)</f>
        <v>486006</v>
      </c>
      <c r="AE368" s="890">
        <f>SUM(C368+G368+K368+O368+S368+W368+AA368)</f>
        <v>2402201</v>
      </c>
      <c r="AF368" s="890">
        <f>SUM(D368+H368+L368+P368+T368+X368+AB368)</f>
        <v>701363</v>
      </c>
      <c r="AG368" s="895">
        <f>ROUND(((AF368/AD368-1)*100),1)</f>
        <v>44.3</v>
      </c>
      <c r="AH368" s="890">
        <f>SUM(E368+I368+M368+Q368+U368+Y368+AC368)</f>
        <v>2825647</v>
      </c>
      <c r="AI368" s="895">
        <f>ROUND(((AH368/AE368-1)*100),1)</f>
        <v>17.600000000000001</v>
      </c>
    </row>
    <row r="369" spans="1:35" s="846" customFormat="1" ht="19.5" hidden="1" customHeight="1">
      <c r="A369" s="897" t="s">
        <v>51</v>
      </c>
      <c r="B369" s="870">
        <v>51563</v>
      </c>
      <c r="C369" s="870">
        <v>404386</v>
      </c>
      <c r="D369" s="870">
        <v>51627</v>
      </c>
      <c r="E369" s="870">
        <v>409250</v>
      </c>
      <c r="F369" s="870">
        <v>783</v>
      </c>
      <c r="G369" s="870">
        <v>19289</v>
      </c>
      <c r="H369" s="870">
        <v>216</v>
      </c>
      <c r="I369" s="870">
        <v>6849</v>
      </c>
      <c r="J369" s="870">
        <v>184502</v>
      </c>
      <c r="K369" s="870">
        <v>515819</v>
      </c>
      <c r="L369" s="870">
        <v>186880</v>
      </c>
      <c r="M369" s="870">
        <v>489567</v>
      </c>
      <c r="N369" s="870">
        <v>73501</v>
      </c>
      <c r="O369" s="870">
        <v>160800</v>
      </c>
      <c r="P369" s="870">
        <v>90176</v>
      </c>
      <c r="Q369" s="870">
        <v>180647</v>
      </c>
      <c r="R369" s="870">
        <v>58513</v>
      </c>
      <c r="S369" s="870">
        <v>165607</v>
      </c>
      <c r="T369" s="870">
        <v>68642</v>
      </c>
      <c r="U369" s="870">
        <v>162408</v>
      </c>
      <c r="V369" s="870">
        <v>297</v>
      </c>
      <c r="W369" s="870">
        <v>5195</v>
      </c>
      <c r="X369" s="870">
        <v>258</v>
      </c>
      <c r="Y369" s="870">
        <v>4445</v>
      </c>
      <c r="Z369" s="870">
        <v>1357</v>
      </c>
      <c r="AA369" s="870">
        <v>11933</v>
      </c>
      <c r="AB369" s="870">
        <v>419</v>
      </c>
      <c r="AC369" s="870">
        <v>6189</v>
      </c>
      <c r="AD369" s="890">
        <f t="shared" si="67"/>
        <v>370516</v>
      </c>
      <c r="AE369" s="890">
        <f t="shared" ref="AE369:AE397" si="68">SUM(C369+G369+K369+O369+S369+W369+AA369)</f>
        <v>1283029</v>
      </c>
      <c r="AF369" s="890">
        <f>SUM(D369+H369+L369+P369+T369+X369+AB369)</f>
        <v>398218</v>
      </c>
      <c r="AG369" s="895">
        <f t="shared" ref="AG369:AG399" si="69">ROUND(((AF369/AD369-1)*100),1)</f>
        <v>7.5</v>
      </c>
      <c r="AH369" s="890">
        <f t="shared" ref="AH369:AH397" si="70">SUM(E369+I369+M369+Q369+U369+Y369+AC369)</f>
        <v>1259355</v>
      </c>
      <c r="AI369" s="895">
        <f t="shared" ref="AI369:AI399" si="71">ROUND(((AH369/AE369-1)*100),1)</f>
        <v>-1.8</v>
      </c>
    </row>
    <row r="370" spans="1:35" s="846" customFormat="1" ht="19.5" hidden="1" customHeight="1">
      <c r="A370" s="897" t="s">
        <v>53</v>
      </c>
      <c r="B370" s="870">
        <v>22429</v>
      </c>
      <c r="C370" s="870">
        <v>204800</v>
      </c>
      <c r="D370" s="870">
        <v>24998</v>
      </c>
      <c r="E370" s="870">
        <v>216105</v>
      </c>
      <c r="F370" s="870">
        <v>647</v>
      </c>
      <c r="G370" s="870">
        <v>7772</v>
      </c>
      <c r="H370" s="870">
        <v>341</v>
      </c>
      <c r="I370" s="870">
        <v>4188</v>
      </c>
      <c r="J370" s="870">
        <v>92772</v>
      </c>
      <c r="K370" s="870">
        <v>358240</v>
      </c>
      <c r="L370" s="870">
        <v>75824</v>
      </c>
      <c r="M370" s="870">
        <v>284450</v>
      </c>
      <c r="N370" s="870">
        <v>53299</v>
      </c>
      <c r="O370" s="870">
        <v>113000</v>
      </c>
      <c r="P370" s="870">
        <v>46921</v>
      </c>
      <c r="Q370" s="870">
        <v>91011</v>
      </c>
      <c r="R370" s="870">
        <v>66</v>
      </c>
      <c r="S370" s="870">
        <v>1314</v>
      </c>
      <c r="T370" s="870">
        <v>52378</v>
      </c>
      <c r="U370" s="870">
        <v>107929</v>
      </c>
      <c r="V370" s="870">
        <v>15</v>
      </c>
      <c r="W370" s="870">
        <v>1996</v>
      </c>
      <c r="X370" s="870">
        <v>65</v>
      </c>
      <c r="Y370" s="870">
        <v>2016</v>
      </c>
      <c r="Z370" s="870">
        <v>3124</v>
      </c>
      <c r="AA370" s="870">
        <v>36963</v>
      </c>
      <c r="AB370" s="870">
        <v>3266</v>
      </c>
      <c r="AC370" s="870">
        <v>34059</v>
      </c>
      <c r="AD370" s="890">
        <f t="shared" si="67"/>
        <v>172352</v>
      </c>
      <c r="AE370" s="890">
        <f t="shared" si="68"/>
        <v>724085</v>
      </c>
      <c r="AF370" s="890">
        <f t="shared" ref="AF370:AF397" si="72">SUM(D370+H370+L370+P370+T370+X370+AB370)</f>
        <v>203793</v>
      </c>
      <c r="AG370" s="895">
        <f t="shared" si="69"/>
        <v>18.2</v>
      </c>
      <c r="AH370" s="890">
        <f t="shared" si="70"/>
        <v>739758</v>
      </c>
      <c r="AI370" s="895">
        <f t="shared" si="71"/>
        <v>2.2000000000000002</v>
      </c>
    </row>
    <row r="371" spans="1:35" s="846" customFormat="1" ht="19.5" hidden="1" customHeight="1">
      <c r="A371" s="897" t="s">
        <v>52</v>
      </c>
      <c r="B371" s="870">
        <v>7697</v>
      </c>
      <c r="C371" s="870">
        <v>51348</v>
      </c>
      <c r="D371" s="870">
        <v>7331</v>
      </c>
      <c r="E371" s="870">
        <v>44847</v>
      </c>
      <c r="F371" s="870">
        <v>1707</v>
      </c>
      <c r="G371" s="870">
        <v>20306</v>
      </c>
      <c r="H371" s="870">
        <v>1096</v>
      </c>
      <c r="I371" s="870">
        <v>14500</v>
      </c>
      <c r="J371" s="870">
        <v>55941</v>
      </c>
      <c r="K371" s="870">
        <v>160921</v>
      </c>
      <c r="L371" s="870">
        <v>38895</v>
      </c>
      <c r="M371" s="870">
        <v>107168</v>
      </c>
      <c r="N371" s="870">
        <v>57606</v>
      </c>
      <c r="O371" s="870">
        <v>125580</v>
      </c>
      <c r="P371" s="870">
        <v>59384</v>
      </c>
      <c r="Q371" s="870">
        <v>119551</v>
      </c>
      <c r="R371" s="870">
        <v>81156</v>
      </c>
      <c r="S371" s="870">
        <v>231859</v>
      </c>
      <c r="T371" s="870">
        <v>72737</v>
      </c>
      <c r="U371" s="870">
        <v>173010</v>
      </c>
      <c r="V371" s="870">
        <v>252</v>
      </c>
      <c r="W371" s="870">
        <v>347</v>
      </c>
      <c r="X371" s="870">
        <v>3</v>
      </c>
      <c r="Y371" s="870">
        <v>85</v>
      </c>
      <c r="Z371" s="870">
        <v>16642</v>
      </c>
      <c r="AA371" s="870">
        <v>8959</v>
      </c>
      <c r="AB371" s="870">
        <v>1315</v>
      </c>
      <c r="AC371" s="870">
        <v>4709</v>
      </c>
      <c r="AD371" s="890">
        <f t="shared" si="67"/>
        <v>221001</v>
      </c>
      <c r="AE371" s="890">
        <f t="shared" si="68"/>
        <v>599320</v>
      </c>
      <c r="AF371" s="890">
        <f t="shared" si="72"/>
        <v>180761</v>
      </c>
      <c r="AG371" s="895">
        <f t="shared" si="69"/>
        <v>-18.2</v>
      </c>
      <c r="AH371" s="890">
        <f t="shared" si="70"/>
        <v>463870</v>
      </c>
      <c r="AI371" s="895">
        <f t="shared" si="71"/>
        <v>-22.6</v>
      </c>
    </row>
    <row r="372" spans="1:35" s="846" customFormat="1" ht="19.5" hidden="1" customHeight="1">
      <c r="A372" s="897" t="s">
        <v>54</v>
      </c>
      <c r="B372" s="870">
        <v>22965</v>
      </c>
      <c r="C372" s="870">
        <v>172479</v>
      </c>
      <c r="D372" s="870">
        <v>19102</v>
      </c>
      <c r="E372" s="870">
        <v>135846</v>
      </c>
      <c r="F372" s="870">
        <v>7188</v>
      </c>
      <c r="G372" s="870">
        <v>37513</v>
      </c>
      <c r="H372" s="870">
        <v>5806</v>
      </c>
      <c r="I372" s="870">
        <v>34508</v>
      </c>
      <c r="J372" s="870">
        <v>55842</v>
      </c>
      <c r="K372" s="870">
        <v>230545</v>
      </c>
      <c r="L372" s="870">
        <v>54442</v>
      </c>
      <c r="M372" s="870">
        <v>238523</v>
      </c>
      <c r="N372" s="870">
        <v>7072</v>
      </c>
      <c r="O372" s="870">
        <v>15198</v>
      </c>
      <c r="P372" s="870">
        <v>5973</v>
      </c>
      <c r="Q372" s="870">
        <v>12026</v>
      </c>
      <c r="R372" s="870">
        <v>2175</v>
      </c>
      <c r="S372" s="870">
        <v>6720</v>
      </c>
      <c r="T372" s="870">
        <v>1505</v>
      </c>
      <c r="U372" s="870">
        <v>3781</v>
      </c>
      <c r="V372" s="870">
        <v>88</v>
      </c>
      <c r="W372" s="870">
        <v>1159</v>
      </c>
      <c r="X372" s="870">
        <v>119</v>
      </c>
      <c r="Y372" s="870">
        <v>2034</v>
      </c>
      <c r="Z372" s="870">
        <v>1821</v>
      </c>
      <c r="AA372" s="870">
        <v>48797</v>
      </c>
      <c r="AB372" s="870">
        <v>1243</v>
      </c>
      <c r="AC372" s="870">
        <v>30043</v>
      </c>
      <c r="AD372" s="890">
        <f t="shared" si="67"/>
        <v>97151</v>
      </c>
      <c r="AE372" s="890">
        <f t="shared" si="68"/>
        <v>512411</v>
      </c>
      <c r="AF372" s="890">
        <f t="shared" si="72"/>
        <v>88190</v>
      </c>
      <c r="AG372" s="895">
        <f t="shared" si="69"/>
        <v>-9.1999999999999993</v>
      </c>
      <c r="AH372" s="890">
        <f t="shared" si="70"/>
        <v>456761</v>
      </c>
      <c r="AI372" s="895">
        <f t="shared" si="71"/>
        <v>-10.9</v>
      </c>
    </row>
    <row r="373" spans="1:35" s="846" customFormat="1" ht="19.5" hidden="1" customHeight="1">
      <c r="A373" s="897" t="s">
        <v>56</v>
      </c>
      <c r="B373" s="870">
        <v>80117</v>
      </c>
      <c r="C373" s="870">
        <v>341270</v>
      </c>
      <c r="D373" s="870">
        <v>61629</v>
      </c>
      <c r="E373" s="870">
        <v>224529</v>
      </c>
      <c r="F373" s="870">
        <v>95</v>
      </c>
      <c r="G373" s="870">
        <v>2107</v>
      </c>
      <c r="H373" s="870">
        <v>111</v>
      </c>
      <c r="I373" s="870">
        <v>2226</v>
      </c>
      <c r="J373" s="870">
        <v>16374</v>
      </c>
      <c r="K373" s="870">
        <v>62697</v>
      </c>
      <c r="L373" s="870">
        <v>14442</v>
      </c>
      <c r="M373" s="870">
        <v>48463</v>
      </c>
      <c r="N373" s="870">
        <v>7519</v>
      </c>
      <c r="O373" s="870">
        <v>15847</v>
      </c>
      <c r="P373" s="870">
        <v>2577</v>
      </c>
      <c r="Q373" s="870">
        <v>4920</v>
      </c>
      <c r="R373" s="870">
        <v>12574</v>
      </c>
      <c r="S373" s="870">
        <v>34833</v>
      </c>
      <c r="T373" s="870">
        <v>13569</v>
      </c>
      <c r="U373" s="870">
        <v>32569</v>
      </c>
      <c r="V373" s="870">
        <v>10</v>
      </c>
      <c r="W373" s="870">
        <v>284</v>
      </c>
      <c r="X373" s="870">
        <v>28</v>
      </c>
      <c r="Y373" s="870">
        <v>532</v>
      </c>
      <c r="Z373" s="870">
        <v>33351</v>
      </c>
      <c r="AA373" s="870">
        <v>11562</v>
      </c>
      <c r="AB373" s="870">
        <v>710</v>
      </c>
      <c r="AC373" s="870">
        <v>7466</v>
      </c>
      <c r="AD373" s="890">
        <f t="shared" si="67"/>
        <v>150040</v>
      </c>
      <c r="AE373" s="890">
        <f t="shared" si="68"/>
        <v>468600</v>
      </c>
      <c r="AF373" s="890">
        <f t="shared" si="72"/>
        <v>93066</v>
      </c>
      <c r="AG373" s="895">
        <f t="shared" si="69"/>
        <v>-38</v>
      </c>
      <c r="AH373" s="890">
        <f t="shared" si="70"/>
        <v>320705</v>
      </c>
      <c r="AI373" s="895">
        <f t="shared" si="71"/>
        <v>-31.6</v>
      </c>
    </row>
    <row r="374" spans="1:35" s="846" customFormat="1" ht="19.5" hidden="1" customHeight="1">
      <c r="A374" s="897" t="s">
        <v>57</v>
      </c>
      <c r="B374" s="870">
        <v>36035</v>
      </c>
      <c r="C374" s="870">
        <v>291814</v>
      </c>
      <c r="D374" s="870">
        <v>20961</v>
      </c>
      <c r="E374" s="870">
        <v>198751</v>
      </c>
      <c r="F374" s="870">
        <v>20</v>
      </c>
      <c r="G374" s="870">
        <v>959</v>
      </c>
      <c r="H374" s="870">
        <v>238</v>
      </c>
      <c r="I374" s="870">
        <v>3865</v>
      </c>
      <c r="J374" s="870">
        <v>13316</v>
      </c>
      <c r="K374" s="870">
        <v>76451</v>
      </c>
      <c r="L374" s="870">
        <v>9624</v>
      </c>
      <c r="M374" s="870">
        <v>57088</v>
      </c>
      <c r="N374" s="870">
        <v>2069</v>
      </c>
      <c r="O374" s="870">
        <v>4700</v>
      </c>
      <c r="P374" s="870">
        <v>1885</v>
      </c>
      <c r="Q374" s="870">
        <v>3758</v>
      </c>
      <c r="R374" s="870">
        <v>38344</v>
      </c>
      <c r="S374" s="870">
        <v>91906</v>
      </c>
      <c r="T374" s="870">
        <v>37632</v>
      </c>
      <c r="U374" s="870">
        <v>80692</v>
      </c>
      <c r="V374" s="870">
        <v>193</v>
      </c>
      <c r="W374" s="870">
        <v>7530</v>
      </c>
      <c r="X374" s="870">
        <v>188</v>
      </c>
      <c r="Y374" s="870">
        <v>9057</v>
      </c>
      <c r="Z374" s="870">
        <v>288</v>
      </c>
      <c r="AA374" s="870">
        <v>8648</v>
      </c>
      <c r="AB374" s="870">
        <v>342</v>
      </c>
      <c r="AC374" s="870">
        <v>10042</v>
      </c>
      <c r="AD374" s="890">
        <f t="shared" si="67"/>
        <v>90265</v>
      </c>
      <c r="AE374" s="890">
        <f t="shared" si="68"/>
        <v>482008</v>
      </c>
      <c r="AF374" s="890">
        <f t="shared" si="72"/>
        <v>70870</v>
      </c>
      <c r="AG374" s="895">
        <f t="shared" si="69"/>
        <v>-21.5</v>
      </c>
      <c r="AH374" s="890">
        <f t="shared" si="70"/>
        <v>363253</v>
      </c>
      <c r="AI374" s="895">
        <f t="shared" si="71"/>
        <v>-24.6</v>
      </c>
    </row>
    <row r="375" spans="1:35" s="846" customFormat="1" ht="19.5" hidden="1" customHeight="1">
      <c r="A375" s="897" t="s">
        <v>55</v>
      </c>
      <c r="B375" s="870">
        <v>22744</v>
      </c>
      <c r="C375" s="870">
        <v>138421</v>
      </c>
      <c r="D375" s="870">
        <v>21330</v>
      </c>
      <c r="E375" s="870">
        <v>125484</v>
      </c>
      <c r="F375" s="870">
        <v>503</v>
      </c>
      <c r="G375" s="870">
        <v>857</v>
      </c>
      <c r="H375" s="870">
        <v>87</v>
      </c>
      <c r="I375" s="870">
        <v>645</v>
      </c>
      <c r="J375" s="870">
        <v>42357</v>
      </c>
      <c r="K375" s="870">
        <v>128590</v>
      </c>
      <c r="L375" s="870">
        <v>33768</v>
      </c>
      <c r="M375" s="870">
        <v>102293</v>
      </c>
      <c r="N375" s="870">
        <v>24871</v>
      </c>
      <c r="O375" s="870">
        <v>52414</v>
      </c>
      <c r="P375" s="870">
        <v>17863</v>
      </c>
      <c r="Q375" s="870">
        <v>35119</v>
      </c>
      <c r="R375" s="870">
        <v>22437</v>
      </c>
      <c r="S375" s="870">
        <v>63494</v>
      </c>
      <c r="T375" s="870">
        <v>23151</v>
      </c>
      <c r="U375" s="870">
        <v>56787</v>
      </c>
      <c r="V375" s="870">
        <v>76</v>
      </c>
      <c r="W375" s="870">
        <v>1880</v>
      </c>
      <c r="X375" s="870">
        <v>83</v>
      </c>
      <c r="Y375" s="870">
        <v>1884</v>
      </c>
      <c r="Z375" s="870">
        <v>144</v>
      </c>
      <c r="AA375" s="870">
        <v>1988</v>
      </c>
      <c r="AB375" s="870">
        <v>220</v>
      </c>
      <c r="AC375" s="870">
        <v>1730</v>
      </c>
      <c r="AD375" s="890">
        <f t="shared" si="67"/>
        <v>113132</v>
      </c>
      <c r="AE375" s="890">
        <f t="shared" si="68"/>
        <v>387644</v>
      </c>
      <c r="AF375" s="890">
        <f t="shared" si="72"/>
        <v>96502</v>
      </c>
      <c r="AG375" s="895">
        <f t="shared" si="69"/>
        <v>-14.7</v>
      </c>
      <c r="AH375" s="890">
        <f t="shared" si="70"/>
        <v>323942</v>
      </c>
      <c r="AI375" s="895">
        <f t="shared" si="71"/>
        <v>-16.399999999999999</v>
      </c>
    </row>
    <row r="376" spans="1:35" s="846" customFormat="1" ht="19.5" hidden="1" customHeight="1">
      <c r="A376" s="897" t="s">
        <v>59</v>
      </c>
      <c r="B376" s="870">
        <v>35330</v>
      </c>
      <c r="C376" s="870">
        <v>223910</v>
      </c>
      <c r="D376" s="870">
        <v>25769</v>
      </c>
      <c r="E376" s="870">
        <v>155580</v>
      </c>
      <c r="F376" s="870">
        <v>60</v>
      </c>
      <c r="G376" s="870">
        <v>3587</v>
      </c>
      <c r="H376" s="870">
        <v>133</v>
      </c>
      <c r="I376" s="870">
        <v>5317</v>
      </c>
      <c r="J376" s="870">
        <v>7235</v>
      </c>
      <c r="K376" s="870">
        <v>29146</v>
      </c>
      <c r="L376" s="870">
        <v>7021</v>
      </c>
      <c r="M376" s="870">
        <v>29649</v>
      </c>
      <c r="N376" s="870">
        <v>0</v>
      </c>
      <c r="O376" s="870">
        <v>6</v>
      </c>
      <c r="P376" s="870">
        <v>86</v>
      </c>
      <c r="Q376" s="870">
        <v>1078</v>
      </c>
      <c r="R376" s="870">
        <v>3037</v>
      </c>
      <c r="S376" s="870">
        <v>8857</v>
      </c>
      <c r="T376" s="870">
        <v>2038</v>
      </c>
      <c r="U376" s="870">
        <v>4895</v>
      </c>
      <c r="V376" s="870">
        <v>205</v>
      </c>
      <c r="W376" s="870">
        <v>6281</v>
      </c>
      <c r="X376" s="870">
        <v>312</v>
      </c>
      <c r="Y376" s="870">
        <v>8082</v>
      </c>
      <c r="Z376" s="870">
        <v>425</v>
      </c>
      <c r="AA376" s="870">
        <v>462</v>
      </c>
      <c r="AB376" s="870">
        <v>57</v>
      </c>
      <c r="AC376" s="870">
        <v>528</v>
      </c>
      <c r="AD376" s="890">
        <f t="shared" si="67"/>
        <v>46292</v>
      </c>
      <c r="AE376" s="890">
        <f t="shared" si="68"/>
        <v>272249</v>
      </c>
      <c r="AF376" s="890">
        <f t="shared" si="72"/>
        <v>35416</v>
      </c>
      <c r="AG376" s="895">
        <f t="shared" si="69"/>
        <v>-23.5</v>
      </c>
      <c r="AH376" s="890">
        <f t="shared" si="70"/>
        <v>205129</v>
      </c>
      <c r="AI376" s="895">
        <f t="shared" si="71"/>
        <v>-24.7</v>
      </c>
    </row>
    <row r="377" spans="1:35" s="846" customFormat="1" ht="19.5" hidden="1" customHeight="1">
      <c r="A377" s="897" t="s">
        <v>58</v>
      </c>
      <c r="B377" s="870">
        <v>6827</v>
      </c>
      <c r="C377" s="870">
        <v>43767</v>
      </c>
      <c r="D377" s="870">
        <v>6896</v>
      </c>
      <c r="E377" s="870">
        <v>43050</v>
      </c>
      <c r="F377" s="870">
        <v>49</v>
      </c>
      <c r="G377" s="870">
        <v>819</v>
      </c>
      <c r="H377" s="870">
        <v>92</v>
      </c>
      <c r="I377" s="870">
        <v>2234</v>
      </c>
      <c r="J377" s="870">
        <v>21366</v>
      </c>
      <c r="K377" s="870">
        <v>68021</v>
      </c>
      <c r="L377" s="870">
        <v>16931</v>
      </c>
      <c r="M377" s="870">
        <v>49539</v>
      </c>
      <c r="N377" s="870">
        <v>21361</v>
      </c>
      <c r="O377" s="870">
        <v>45931</v>
      </c>
      <c r="P377" s="870">
        <v>14769</v>
      </c>
      <c r="Q377" s="870">
        <v>28627</v>
      </c>
      <c r="R377" s="870">
        <v>30205</v>
      </c>
      <c r="S377" s="870">
        <v>82639</v>
      </c>
      <c r="T377" s="870">
        <v>29168</v>
      </c>
      <c r="U377" s="870">
        <v>69065</v>
      </c>
      <c r="V377" s="870">
        <v>27</v>
      </c>
      <c r="W377" s="870">
        <v>709</v>
      </c>
      <c r="X377" s="870">
        <v>27</v>
      </c>
      <c r="Y377" s="870">
        <v>678</v>
      </c>
      <c r="Z377" s="870">
        <v>13</v>
      </c>
      <c r="AA377" s="870">
        <v>366</v>
      </c>
      <c r="AB377" s="870">
        <v>1</v>
      </c>
      <c r="AC377" s="870">
        <v>105</v>
      </c>
      <c r="AD377" s="890">
        <f t="shared" si="67"/>
        <v>79848</v>
      </c>
      <c r="AE377" s="890">
        <f t="shared" si="68"/>
        <v>242252</v>
      </c>
      <c r="AF377" s="890">
        <f t="shared" si="72"/>
        <v>67884</v>
      </c>
      <c r="AG377" s="895">
        <f t="shared" si="69"/>
        <v>-15</v>
      </c>
      <c r="AH377" s="890">
        <f t="shared" si="70"/>
        <v>193298</v>
      </c>
      <c r="AI377" s="895">
        <f t="shared" si="71"/>
        <v>-20.2</v>
      </c>
    </row>
    <row r="378" spans="1:35" s="846" customFormat="1" ht="19.5" hidden="1" customHeight="1">
      <c r="A378" s="897" t="s">
        <v>61</v>
      </c>
      <c r="B378" s="870">
        <v>12782</v>
      </c>
      <c r="C378" s="870">
        <v>83281</v>
      </c>
      <c r="D378" s="870">
        <v>11587</v>
      </c>
      <c r="E378" s="870">
        <v>74020</v>
      </c>
      <c r="F378" s="870">
        <v>8</v>
      </c>
      <c r="G378" s="870">
        <v>99</v>
      </c>
      <c r="H378" s="870">
        <v>5</v>
      </c>
      <c r="I378" s="870">
        <v>50</v>
      </c>
      <c r="J378" s="870">
        <v>35562</v>
      </c>
      <c r="K378" s="870">
        <v>103896</v>
      </c>
      <c r="L378" s="870">
        <v>36333</v>
      </c>
      <c r="M378" s="870">
        <v>98055</v>
      </c>
      <c r="N378" s="870">
        <v>2224</v>
      </c>
      <c r="O378" s="870">
        <v>10930</v>
      </c>
      <c r="P378" s="870">
        <v>2631</v>
      </c>
      <c r="Q378" s="870">
        <v>13459</v>
      </c>
      <c r="R378" s="870">
        <v>9784</v>
      </c>
      <c r="S378" s="870">
        <v>28698</v>
      </c>
      <c r="T378" s="870">
        <v>10395</v>
      </c>
      <c r="U378" s="870">
        <v>25649</v>
      </c>
      <c r="V378" s="870">
        <v>0</v>
      </c>
      <c r="W378" s="870">
        <v>0</v>
      </c>
      <c r="X378" s="870">
        <v>0</v>
      </c>
      <c r="Y378" s="870">
        <v>0</v>
      </c>
      <c r="Z378" s="870">
        <v>26</v>
      </c>
      <c r="AA378" s="870">
        <v>377</v>
      </c>
      <c r="AB378" s="870">
        <v>24</v>
      </c>
      <c r="AC378" s="870">
        <v>564</v>
      </c>
      <c r="AD378" s="890">
        <f t="shared" si="67"/>
        <v>60386</v>
      </c>
      <c r="AE378" s="890">
        <f t="shared" si="68"/>
        <v>227281</v>
      </c>
      <c r="AF378" s="890">
        <f t="shared" si="72"/>
        <v>60975</v>
      </c>
      <c r="AG378" s="895">
        <f t="shared" si="69"/>
        <v>1</v>
      </c>
      <c r="AH378" s="890">
        <f t="shared" si="70"/>
        <v>211797</v>
      </c>
      <c r="AI378" s="895">
        <f t="shared" si="71"/>
        <v>-6.8</v>
      </c>
    </row>
    <row r="379" spans="1:35" s="846" customFormat="1" ht="19.5" hidden="1" customHeight="1">
      <c r="A379" s="897" t="s">
        <v>60</v>
      </c>
      <c r="B379" s="870">
        <v>13225</v>
      </c>
      <c r="C379" s="870">
        <v>83227</v>
      </c>
      <c r="D379" s="870">
        <v>11983</v>
      </c>
      <c r="E379" s="870">
        <v>63144</v>
      </c>
      <c r="F379" s="870">
        <v>12</v>
      </c>
      <c r="G379" s="870">
        <v>339</v>
      </c>
      <c r="H379" s="870">
        <v>157</v>
      </c>
      <c r="I379" s="870">
        <v>982</v>
      </c>
      <c r="J379" s="870">
        <v>3039</v>
      </c>
      <c r="K379" s="870">
        <v>19676</v>
      </c>
      <c r="L379" s="870">
        <v>3065</v>
      </c>
      <c r="M379" s="870">
        <v>19559</v>
      </c>
      <c r="N379" s="870">
        <v>14</v>
      </c>
      <c r="O379" s="870">
        <v>59</v>
      </c>
      <c r="P379" s="870">
        <v>57</v>
      </c>
      <c r="Q379" s="870">
        <v>195</v>
      </c>
      <c r="R379" s="870">
        <v>24792</v>
      </c>
      <c r="S379" s="870">
        <v>70250</v>
      </c>
      <c r="T379" s="870">
        <v>11740</v>
      </c>
      <c r="U379" s="870">
        <v>27961</v>
      </c>
      <c r="V379" s="870">
        <v>5</v>
      </c>
      <c r="W379" s="870">
        <v>124</v>
      </c>
      <c r="X379" s="870">
        <v>2</v>
      </c>
      <c r="Y379" s="870">
        <v>56</v>
      </c>
      <c r="Z379" s="870">
        <v>621</v>
      </c>
      <c r="AA379" s="870">
        <v>4695</v>
      </c>
      <c r="AB379" s="870">
        <v>850</v>
      </c>
      <c r="AC379" s="870">
        <v>5189</v>
      </c>
      <c r="AD379" s="890">
        <f t="shared" si="67"/>
        <v>41708</v>
      </c>
      <c r="AE379" s="890">
        <f t="shared" si="68"/>
        <v>178370</v>
      </c>
      <c r="AF379" s="890">
        <f t="shared" si="72"/>
        <v>27854</v>
      </c>
      <c r="AG379" s="895">
        <f t="shared" si="69"/>
        <v>-33.200000000000003</v>
      </c>
      <c r="AH379" s="890">
        <f t="shared" si="70"/>
        <v>117086</v>
      </c>
      <c r="AI379" s="895">
        <f t="shared" si="71"/>
        <v>-34.4</v>
      </c>
    </row>
    <row r="380" spans="1:35" s="846" customFormat="1" ht="19.5" hidden="1" customHeight="1">
      <c r="A380" s="897" t="s">
        <v>65</v>
      </c>
      <c r="B380" s="870">
        <v>5447</v>
      </c>
      <c r="C380" s="870">
        <v>36555</v>
      </c>
      <c r="D380" s="870">
        <v>707</v>
      </c>
      <c r="E380" s="870">
        <v>5206</v>
      </c>
      <c r="F380" s="870">
        <v>0</v>
      </c>
      <c r="G380" s="870">
        <v>8</v>
      </c>
      <c r="H380" s="870">
        <v>1</v>
      </c>
      <c r="I380" s="870">
        <v>28</v>
      </c>
      <c r="J380" s="870">
        <v>46076</v>
      </c>
      <c r="K380" s="870">
        <v>128171</v>
      </c>
      <c r="L380" s="870">
        <v>41521</v>
      </c>
      <c r="M380" s="870">
        <v>112516</v>
      </c>
      <c r="N380" s="870">
        <v>1</v>
      </c>
      <c r="O380" s="870">
        <v>8</v>
      </c>
      <c r="P380" s="870">
        <v>20</v>
      </c>
      <c r="Q380" s="870">
        <v>44</v>
      </c>
      <c r="R380" s="870">
        <v>49</v>
      </c>
      <c r="S380" s="870">
        <v>417</v>
      </c>
      <c r="T380" s="870">
        <v>42</v>
      </c>
      <c r="U380" s="870">
        <v>440</v>
      </c>
      <c r="V380" s="870">
        <v>3</v>
      </c>
      <c r="W380" s="870">
        <v>132</v>
      </c>
      <c r="X380" s="870">
        <v>2</v>
      </c>
      <c r="Y380" s="870">
        <v>76</v>
      </c>
      <c r="Z380" s="870">
        <v>1</v>
      </c>
      <c r="AA380" s="870">
        <v>111</v>
      </c>
      <c r="AB380" s="870">
        <v>1</v>
      </c>
      <c r="AC380" s="870">
        <v>89</v>
      </c>
      <c r="AD380" s="890">
        <f t="shared" si="67"/>
        <v>51577</v>
      </c>
      <c r="AE380" s="890">
        <f t="shared" si="68"/>
        <v>165402</v>
      </c>
      <c r="AF380" s="890">
        <f t="shared" si="72"/>
        <v>42294</v>
      </c>
      <c r="AG380" s="895">
        <f t="shared" si="69"/>
        <v>-18</v>
      </c>
      <c r="AH380" s="890">
        <f t="shared" si="70"/>
        <v>118399</v>
      </c>
      <c r="AI380" s="895">
        <f t="shared" si="71"/>
        <v>-28.4</v>
      </c>
    </row>
    <row r="381" spans="1:35" s="846" customFormat="1" ht="19.5" hidden="1" customHeight="1">
      <c r="A381" s="897" t="s">
        <v>63</v>
      </c>
      <c r="B381" s="870">
        <v>1643</v>
      </c>
      <c r="C381" s="870">
        <v>12476</v>
      </c>
      <c r="D381" s="870">
        <v>1481</v>
      </c>
      <c r="E381" s="870">
        <v>11225</v>
      </c>
      <c r="F381" s="870">
        <v>27</v>
      </c>
      <c r="G381" s="870">
        <v>1940</v>
      </c>
      <c r="H381" s="870">
        <v>24</v>
      </c>
      <c r="I381" s="870">
        <v>418</v>
      </c>
      <c r="J381" s="870">
        <v>20860</v>
      </c>
      <c r="K381" s="870">
        <v>51467</v>
      </c>
      <c r="L381" s="870">
        <v>23283</v>
      </c>
      <c r="M381" s="870">
        <v>47913</v>
      </c>
      <c r="N381" s="870">
        <v>2</v>
      </c>
      <c r="O381" s="870">
        <v>10</v>
      </c>
      <c r="P381" s="870">
        <v>21</v>
      </c>
      <c r="Q381" s="870">
        <v>43</v>
      </c>
      <c r="R381" s="870">
        <v>12356</v>
      </c>
      <c r="S381" s="870">
        <v>33765</v>
      </c>
      <c r="T381" s="870">
        <v>11643</v>
      </c>
      <c r="U381" s="870">
        <v>26474</v>
      </c>
      <c r="V381" s="870">
        <v>0</v>
      </c>
      <c r="W381" s="870">
        <v>0</v>
      </c>
      <c r="X381" s="870">
        <v>0</v>
      </c>
      <c r="Y381" s="870">
        <v>0</v>
      </c>
      <c r="Z381" s="870">
        <v>2</v>
      </c>
      <c r="AA381" s="870">
        <v>31</v>
      </c>
      <c r="AB381" s="870">
        <v>0</v>
      </c>
      <c r="AC381" s="870">
        <v>16</v>
      </c>
      <c r="AD381" s="890">
        <f t="shared" si="67"/>
        <v>34890</v>
      </c>
      <c r="AE381" s="890">
        <f t="shared" si="68"/>
        <v>99689</v>
      </c>
      <c r="AF381" s="890">
        <f t="shared" si="72"/>
        <v>36452</v>
      </c>
      <c r="AG381" s="895">
        <f t="shared" si="69"/>
        <v>4.5</v>
      </c>
      <c r="AH381" s="890">
        <f t="shared" si="70"/>
        <v>86089</v>
      </c>
      <c r="AI381" s="895">
        <f t="shared" si="71"/>
        <v>-13.6</v>
      </c>
    </row>
    <row r="382" spans="1:35" s="846" customFormat="1" ht="19.5" hidden="1" customHeight="1">
      <c r="A382" s="897" t="s">
        <v>64</v>
      </c>
      <c r="B382" s="870">
        <v>2173</v>
      </c>
      <c r="C382" s="870">
        <v>15889</v>
      </c>
      <c r="D382" s="870">
        <v>1623</v>
      </c>
      <c r="E382" s="870">
        <v>11833</v>
      </c>
      <c r="F382" s="870">
        <v>11</v>
      </c>
      <c r="G382" s="870">
        <v>901</v>
      </c>
      <c r="H382" s="870">
        <v>16</v>
      </c>
      <c r="I382" s="870">
        <v>1626</v>
      </c>
      <c r="J382" s="870">
        <v>10270</v>
      </c>
      <c r="K382" s="870">
        <v>28491</v>
      </c>
      <c r="L382" s="870">
        <v>15475</v>
      </c>
      <c r="M382" s="870">
        <v>37796</v>
      </c>
      <c r="N382" s="870">
        <v>45</v>
      </c>
      <c r="O382" s="870">
        <v>89</v>
      </c>
      <c r="P382" s="870">
        <v>50</v>
      </c>
      <c r="Q382" s="870">
        <v>89</v>
      </c>
      <c r="R382" s="870">
        <v>14635</v>
      </c>
      <c r="S382" s="870">
        <v>39357</v>
      </c>
      <c r="T382" s="870">
        <v>9471</v>
      </c>
      <c r="U382" s="870">
        <v>21512</v>
      </c>
      <c r="V382" s="870">
        <v>216</v>
      </c>
      <c r="W382" s="870">
        <v>1136</v>
      </c>
      <c r="X382" s="870">
        <v>220</v>
      </c>
      <c r="Y382" s="870">
        <v>1197</v>
      </c>
      <c r="Z382" s="870">
        <v>29</v>
      </c>
      <c r="AA382" s="870">
        <v>299</v>
      </c>
      <c r="AB382" s="870">
        <v>0</v>
      </c>
      <c r="AC382" s="870">
        <v>45</v>
      </c>
      <c r="AD382" s="890">
        <f t="shared" si="67"/>
        <v>27379</v>
      </c>
      <c r="AE382" s="890">
        <f t="shared" si="68"/>
        <v>86162</v>
      </c>
      <c r="AF382" s="890">
        <f t="shared" si="72"/>
        <v>26855</v>
      </c>
      <c r="AG382" s="895">
        <f t="shared" si="69"/>
        <v>-1.9</v>
      </c>
      <c r="AH382" s="890">
        <f t="shared" si="70"/>
        <v>74098</v>
      </c>
      <c r="AI382" s="895">
        <f t="shared" si="71"/>
        <v>-14</v>
      </c>
    </row>
    <row r="383" spans="1:35" s="846" customFormat="1" ht="19.5" hidden="1" customHeight="1">
      <c r="A383" s="897" t="s">
        <v>62</v>
      </c>
      <c r="B383" s="870">
        <v>3086</v>
      </c>
      <c r="C383" s="870">
        <v>19144</v>
      </c>
      <c r="D383" s="870">
        <v>2312</v>
      </c>
      <c r="E383" s="870">
        <v>13980</v>
      </c>
      <c r="F383" s="870">
        <v>0</v>
      </c>
      <c r="G383" s="870">
        <v>0</v>
      </c>
      <c r="H383" s="870">
        <v>0</v>
      </c>
      <c r="I383" s="870">
        <v>0</v>
      </c>
      <c r="J383" s="870">
        <v>4559</v>
      </c>
      <c r="K383" s="870">
        <v>19901</v>
      </c>
      <c r="L383" s="870">
        <v>4225</v>
      </c>
      <c r="M383" s="870">
        <v>16640</v>
      </c>
      <c r="N383" s="870">
        <v>2038</v>
      </c>
      <c r="O383" s="870">
        <v>4401</v>
      </c>
      <c r="P383" s="870">
        <v>4005</v>
      </c>
      <c r="Q383" s="870">
        <v>7611</v>
      </c>
      <c r="R383" s="870">
        <v>13871</v>
      </c>
      <c r="S383" s="870">
        <v>39038</v>
      </c>
      <c r="T383" s="870">
        <v>9371</v>
      </c>
      <c r="U383" s="870">
        <v>21645</v>
      </c>
      <c r="V383" s="870">
        <v>0</v>
      </c>
      <c r="W383" s="870">
        <v>0</v>
      </c>
      <c r="X383" s="870">
        <v>0</v>
      </c>
      <c r="Y383" s="870">
        <v>0</v>
      </c>
      <c r="Z383" s="870">
        <v>15136</v>
      </c>
      <c r="AA383" s="870">
        <v>851</v>
      </c>
      <c r="AB383" s="870">
        <v>0</v>
      </c>
      <c r="AC383" s="870">
        <v>0</v>
      </c>
      <c r="AD383" s="890">
        <f t="shared" si="67"/>
        <v>38690</v>
      </c>
      <c r="AE383" s="890">
        <f t="shared" si="68"/>
        <v>83335</v>
      </c>
      <c r="AF383" s="890">
        <f t="shared" si="72"/>
        <v>19913</v>
      </c>
      <c r="AG383" s="895">
        <f t="shared" si="69"/>
        <v>-48.5</v>
      </c>
      <c r="AH383" s="890">
        <f t="shared" si="70"/>
        <v>59876</v>
      </c>
      <c r="AI383" s="895">
        <f t="shared" si="71"/>
        <v>-28.2</v>
      </c>
    </row>
    <row r="384" spans="1:35" s="846" customFormat="1" ht="19.5" hidden="1" customHeight="1">
      <c r="A384" s="897" t="s">
        <v>448</v>
      </c>
      <c r="B384" s="870">
        <v>1926</v>
      </c>
      <c r="C384" s="870">
        <v>27875</v>
      </c>
      <c r="D384" s="870">
        <v>6848</v>
      </c>
      <c r="E384" s="870">
        <v>89153</v>
      </c>
      <c r="F384" s="870">
        <v>42</v>
      </c>
      <c r="G384" s="870">
        <v>3071</v>
      </c>
      <c r="H384" s="870">
        <v>32</v>
      </c>
      <c r="I384" s="870">
        <v>2054</v>
      </c>
      <c r="J384" s="870">
        <v>8792</v>
      </c>
      <c r="K384" s="870">
        <v>49479</v>
      </c>
      <c r="L384" s="870">
        <v>7716</v>
      </c>
      <c r="M384" s="870">
        <v>56315</v>
      </c>
      <c r="N384" s="870">
        <v>17</v>
      </c>
      <c r="O384" s="870">
        <v>7</v>
      </c>
      <c r="P384" s="870">
        <v>11</v>
      </c>
      <c r="Q384" s="870">
        <v>42</v>
      </c>
      <c r="R384" s="870">
        <v>21</v>
      </c>
      <c r="S384" s="870">
        <v>245</v>
      </c>
      <c r="T384" s="870">
        <v>32</v>
      </c>
      <c r="U384" s="870">
        <v>242</v>
      </c>
      <c r="V384" s="870">
        <v>3</v>
      </c>
      <c r="W384" s="870">
        <v>123</v>
      </c>
      <c r="X384" s="870">
        <v>4</v>
      </c>
      <c r="Y384" s="870">
        <v>122</v>
      </c>
      <c r="Z384" s="870">
        <v>1</v>
      </c>
      <c r="AA384" s="870">
        <v>173</v>
      </c>
      <c r="AB384" s="870">
        <v>0</v>
      </c>
      <c r="AC384" s="870">
        <v>62</v>
      </c>
      <c r="AD384" s="890">
        <f t="shared" si="67"/>
        <v>10802</v>
      </c>
      <c r="AE384" s="890">
        <f t="shared" si="68"/>
        <v>80973</v>
      </c>
      <c r="AF384" s="890">
        <f t="shared" si="72"/>
        <v>14643</v>
      </c>
      <c r="AG384" s="895">
        <f t="shared" si="69"/>
        <v>35.6</v>
      </c>
      <c r="AH384" s="890">
        <f t="shared" si="70"/>
        <v>147990</v>
      </c>
      <c r="AI384" s="895">
        <f t="shared" si="71"/>
        <v>82.8</v>
      </c>
    </row>
    <row r="385" spans="1:35" s="846" customFormat="1" ht="19.5" hidden="1" customHeight="1">
      <c r="A385" s="897" t="s">
        <v>77</v>
      </c>
      <c r="B385" s="870">
        <v>928</v>
      </c>
      <c r="C385" s="870">
        <v>9867</v>
      </c>
      <c r="D385" s="870">
        <v>1127</v>
      </c>
      <c r="E385" s="870">
        <v>10086</v>
      </c>
      <c r="F385" s="870">
        <v>18</v>
      </c>
      <c r="G385" s="870">
        <v>46</v>
      </c>
      <c r="H385" s="870">
        <v>1</v>
      </c>
      <c r="I385" s="870">
        <v>72</v>
      </c>
      <c r="J385" s="870">
        <v>28977</v>
      </c>
      <c r="K385" s="870">
        <v>66240</v>
      </c>
      <c r="L385" s="870">
        <v>26281</v>
      </c>
      <c r="M385" s="870">
        <v>59884</v>
      </c>
      <c r="N385" s="870">
        <v>0</v>
      </c>
      <c r="O385" s="870">
        <v>0</v>
      </c>
      <c r="P385" s="870">
        <v>293</v>
      </c>
      <c r="Q385" s="870">
        <v>536</v>
      </c>
      <c r="R385" s="870">
        <v>0</v>
      </c>
      <c r="S385" s="870">
        <v>0</v>
      </c>
      <c r="T385" s="870">
        <v>1</v>
      </c>
      <c r="U385" s="870">
        <v>8</v>
      </c>
      <c r="V385" s="870">
        <v>1</v>
      </c>
      <c r="W385" s="870">
        <v>1</v>
      </c>
      <c r="X385" s="870">
        <v>1</v>
      </c>
      <c r="Y385" s="870">
        <v>4</v>
      </c>
      <c r="Z385" s="870">
        <v>2</v>
      </c>
      <c r="AA385" s="870">
        <v>28</v>
      </c>
      <c r="AB385" s="870">
        <v>2</v>
      </c>
      <c r="AC385" s="870">
        <v>22</v>
      </c>
      <c r="AD385" s="890">
        <f t="shared" si="67"/>
        <v>29926</v>
      </c>
      <c r="AE385" s="890">
        <f t="shared" si="68"/>
        <v>76182</v>
      </c>
      <c r="AF385" s="890">
        <f t="shared" si="72"/>
        <v>27706</v>
      </c>
      <c r="AG385" s="895">
        <f t="shared" si="69"/>
        <v>-7.4</v>
      </c>
      <c r="AH385" s="890">
        <f t="shared" si="70"/>
        <v>70612</v>
      </c>
      <c r="AI385" s="895">
        <f t="shared" si="71"/>
        <v>-7.3</v>
      </c>
    </row>
    <row r="386" spans="1:35" s="846" customFormat="1" ht="19.5" hidden="1" customHeight="1">
      <c r="A386" s="897" t="s">
        <v>75</v>
      </c>
      <c r="B386" s="870">
        <v>451</v>
      </c>
      <c r="C386" s="870">
        <v>4057</v>
      </c>
      <c r="D386" s="870">
        <v>1776</v>
      </c>
      <c r="E386" s="870">
        <v>13487</v>
      </c>
      <c r="F386" s="870">
        <v>1</v>
      </c>
      <c r="G386" s="870">
        <v>31</v>
      </c>
      <c r="H386" s="870">
        <v>1</v>
      </c>
      <c r="I386" s="870">
        <v>22</v>
      </c>
      <c r="J386" s="870">
        <v>18206</v>
      </c>
      <c r="K386" s="870">
        <v>47537</v>
      </c>
      <c r="L386" s="870">
        <v>23320</v>
      </c>
      <c r="M386" s="870">
        <v>54868</v>
      </c>
      <c r="N386" s="870">
        <v>0</v>
      </c>
      <c r="O386" s="870">
        <v>1</v>
      </c>
      <c r="P386" s="870">
        <v>0</v>
      </c>
      <c r="Q386" s="870">
        <v>0</v>
      </c>
      <c r="R386" s="870">
        <v>311</v>
      </c>
      <c r="S386" s="870">
        <v>820</v>
      </c>
      <c r="T386" s="870">
        <v>76</v>
      </c>
      <c r="U386" s="870">
        <v>193</v>
      </c>
      <c r="V386" s="870">
        <v>85</v>
      </c>
      <c r="W386" s="870">
        <v>1751</v>
      </c>
      <c r="X386" s="870">
        <v>20</v>
      </c>
      <c r="Y386" s="870">
        <v>299</v>
      </c>
      <c r="Z386" s="870">
        <v>134</v>
      </c>
      <c r="AA386" s="870">
        <v>372</v>
      </c>
      <c r="AB386" s="870">
        <v>80</v>
      </c>
      <c r="AC386" s="870">
        <v>373</v>
      </c>
      <c r="AD386" s="890">
        <f t="shared" si="67"/>
        <v>19188</v>
      </c>
      <c r="AE386" s="890">
        <f t="shared" si="68"/>
        <v>54569</v>
      </c>
      <c r="AF386" s="890">
        <f t="shared" si="72"/>
        <v>25273</v>
      </c>
      <c r="AG386" s="895">
        <f t="shared" si="69"/>
        <v>31.7</v>
      </c>
      <c r="AH386" s="890">
        <f t="shared" si="70"/>
        <v>69242</v>
      </c>
      <c r="AI386" s="895">
        <f t="shared" si="71"/>
        <v>26.9</v>
      </c>
    </row>
    <row r="387" spans="1:35" s="846" customFormat="1" ht="19.5" hidden="1" customHeight="1">
      <c r="A387" s="897" t="s">
        <v>449</v>
      </c>
      <c r="B387" s="870">
        <v>2664</v>
      </c>
      <c r="C387" s="870">
        <v>32355</v>
      </c>
      <c r="D387" s="870">
        <v>4527</v>
      </c>
      <c r="E387" s="870">
        <v>51961</v>
      </c>
      <c r="F387" s="870">
        <v>0</v>
      </c>
      <c r="G387" s="870">
        <v>0</v>
      </c>
      <c r="H387" s="870">
        <v>1</v>
      </c>
      <c r="I387" s="870">
        <v>10</v>
      </c>
      <c r="J387" s="870">
        <v>1771</v>
      </c>
      <c r="K387" s="870">
        <v>10091</v>
      </c>
      <c r="L387" s="870">
        <v>5638</v>
      </c>
      <c r="M387" s="870">
        <v>26442</v>
      </c>
      <c r="N387" s="870">
        <v>0</v>
      </c>
      <c r="O387" s="870">
        <v>0</v>
      </c>
      <c r="P387" s="870">
        <v>0</v>
      </c>
      <c r="Q387" s="870">
        <v>0</v>
      </c>
      <c r="R387" s="870">
        <v>0</v>
      </c>
      <c r="S387" s="870">
        <v>1</v>
      </c>
      <c r="T387" s="870">
        <v>0</v>
      </c>
      <c r="U387" s="870">
        <v>0</v>
      </c>
      <c r="V387" s="870">
        <v>0</v>
      </c>
      <c r="W387" s="870">
        <v>0</v>
      </c>
      <c r="X387" s="870">
        <v>0</v>
      </c>
      <c r="Y387" s="870">
        <v>1</v>
      </c>
      <c r="Z387" s="870">
        <v>0</v>
      </c>
      <c r="AA387" s="870">
        <v>15</v>
      </c>
      <c r="AB387" s="870">
        <v>0</v>
      </c>
      <c r="AC387" s="870">
        <v>49</v>
      </c>
      <c r="AD387" s="890">
        <f t="shared" si="67"/>
        <v>4435</v>
      </c>
      <c r="AE387" s="890">
        <f t="shared" si="68"/>
        <v>42462</v>
      </c>
      <c r="AF387" s="890">
        <f t="shared" si="72"/>
        <v>10166</v>
      </c>
      <c r="AG387" s="895">
        <f t="shared" si="69"/>
        <v>129.19999999999999</v>
      </c>
      <c r="AH387" s="890">
        <f t="shared" si="70"/>
        <v>78463</v>
      </c>
      <c r="AI387" s="895">
        <f t="shared" si="71"/>
        <v>84.8</v>
      </c>
    </row>
    <row r="388" spans="1:35" s="846" customFormat="1" ht="19.5" hidden="1" customHeight="1">
      <c r="A388" s="897" t="s">
        <v>68</v>
      </c>
      <c r="B388" s="870">
        <v>833</v>
      </c>
      <c r="C388" s="870">
        <v>11546</v>
      </c>
      <c r="D388" s="870">
        <v>814</v>
      </c>
      <c r="E388" s="870">
        <v>10056</v>
      </c>
      <c r="F388" s="870">
        <v>148</v>
      </c>
      <c r="G388" s="870">
        <v>1453</v>
      </c>
      <c r="H388" s="870">
        <v>276</v>
      </c>
      <c r="I388" s="870">
        <v>1516</v>
      </c>
      <c r="J388" s="870">
        <v>5591</v>
      </c>
      <c r="K388" s="870">
        <v>26809</v>
      </c>
      <c r="L388" s="870">
        <v>2022</v>
      </c>
      <c r="M388" s="870">
        <v>9811</v>
      </c>
      <c r="N388" s="870">
        <v>0</v>
      </c>
      <c r="O388" s="870">
        <v>0</v>
      </c>
      <c r="P388" s="870">
        <v>1</v>
      </c>
      <c r="Q388" s="870">
        <v>48</v>
      </c>
      <c r="R388" s="870">
        <v>7</v>
      </c>
      <c r="S388" s="870">
        <v>41</v>
      </c>
      <c r="T388" s="870">
        <v>5</v>
      </c>
      <c r="U388" s="870">
        <v>54</v>
      </c>
      <c r="V388" s="870">
        <v>0</v>
      </c>
      <c r="W388" s="870">
        <v>68</v>
      </c>
      <c r="X388" s="870">
        <v>0</v>
      </c>
      <c r="Y388" s="870">
        <v>34</v>
      </c>
      <c r="Z388" s="870">
        <v>54</v>
      </c>
      <c r="AA388" s="870">
        <v>6881</v>
      </c>
      <c r="AB388" s="870">
        <v>71</v>
      </c>
      <c r="AC388" s="870">
        <v>6483</v>
      </c>
      <c r="AD388" s="890">
        <f t="shared" si="67"/>
        <v>6633</v>
      </c>
      <c r="AE388" s="890">
        <f t="shared" si="68"/>
        <v>46798</v>
      </c>
      <c r="AF388" s="890">
        <f t="shared" si="72"/>
        <v>3189</v>
      </c>
      <c r="AG388" s="895">
        <f t="shared" si="69"/>
        <v>-51.9</v>
      </c>
      <c r="AH388" s="890">
        <f t="shared" si="70"/>
        <v>28002</v>
      </c>
      <c r="AI388" s="895">
        <f t="shared" si="71"/>
        <v>-40.200000000000003</v>
      </c>
    </row>
    <row r="389" spans="1:35" s="846" customFormat="1" ht="19.5" hidden="1" customHeight="1">
      <c r="A389" s="897" t="s">
        <v>66</v>
      </c>
      <c r="B389" s="870">
        <v>3184</v>
      </c>
      <c r="C389" s="870">
        <v>17989</v>
      </c>
      <c r="D389" s="870">
        <v>2359</v>
      </c>
      <c r="E389" s="870">
        <v>16076</v>
      </c>
      <c r="F389" s="870">
        <v>39</v>
      </c>
      <c r="G389" s="870">
        <v>717</v>
      </c>
      <c r="H389" s="870">
        <v>138</v>
      </c>
      <c r="I389" s="870">
        <v>1445</v>
      </c>
      <c r="J389" s="870">
        <v>3685</v>
      </c>
      <c r="K389" s="870">
        <v>15868</v>
      </c>
      <c r="L389" s="870">
        <v>2192</v>
      </c>
      <c r="M389" s="870">
        <v>12439</v>
      </c>
      <c r="N389" s="870">
        <v>76</v>
      </c>
      <c r="O389" s="870">
        <v>162</v>
      </c>
      <c r="P389" s="870">
        <v>97</v>
      </c>
      <c r="Q389" s="870">
        <v>134</v>
      </c>
      <c r="R389" s="870">
        <v>1716</v>
      </c>
      <c r="S389" s="870">
        <v>5115</v>
      </c>
      <c r="T389" s="870">
        <v>1371</v>
      </c>
      <c r="U389" s="870">
        <v>3493</v>
      </c>
      <c r="V389" s="870">
        <v>24</v>
      </c>
      <c r="W389" s="870">
        <v>490</v>
      </c>
      <c r="X389" s="870">
        <v>0</v>
      </c>
      <c r="Y389" s="870">
        <v>8</v>
      </c>
      <c r="Z389" s="870">
        <v>252</v>
      </c>
      <c r="AA389" s="870">
        <v>2560</v>
      </c>
      <c r="AB389" s="870">
        <v>368</v>
      </c>
      <c r="AC389" s="870">
        <v>1353</v>
      </c>
      <c r="AD389" s="890">
        <f t="shared" si="67"/>
        <v>8976</v>
      </c>
      <c r="AE389" s="890">
        <f t="shared" si="68"/>
        <v>42901</v>
      </c>
      <c r="AF389" s="890">
        <f t="shared" si="72"/>
        <v>6525</v>
      </c>
      <c r="AG389" s="895">
        <f t="shared" si="69"/>
        <v>-27.3</v>
      </c>
      <c r="AH389" s="890">
        <f t="shared" si="70"/>
        <v>34948</v>
      </c>
      <c r="AI389" s="895">
        <f t="shared" si="71"/>
        <v>-18.5</v>
      </c>
    </row>
    <row r="390" spans="1:35" s="846" customFormat="1" ht="19.5" hidden="1" customHeight="1">
      <c r="A390" s="897" t="s">
        <v>73</v>
      </c>
      <c r="B390" s="870">
        <v>793</v>
      </c>
      <c r="C390" s="870">
        <v>5411</v>
      </c>
      <c r="D390" s="870">
        <v>1499</v>
      </c>
      <c r="E390" s="870">
        <v>7942</v>
      </c>
      <c r="F390" s="870">
        <v>40</v>
      </c>
      <c r="G390" s="870">
        <v>433</v>
      </c>
      <c r="H390" s="870">
        <v>59</v>
      </c>
      <c r="I390" s="870">
        <v>397</v>
      </c>
      <c r="J390" s="870">
        <v>12836</v>
      </c>
      <c r="K390" s="870">
        <v>32789</v>
      </c>
      <c r="L390" s="870">
        <v>2356</v>
      </c>
      <c r="M390" s="870">
        <v>11414</v>
      </c>
      <c r="N390" s="870">
        <v>0</v>
      </c>
      <c r="O390" s="870">
        <v>0</v>
      </c>
      <c r="P390" s="870">
        <v>0</v>
      </c>
      <c r="Q390" s="870">
        <v>0</v>
      </c>
      <c r="R390" s="870">
        <v>1</v>
      </c>
      <c r="S390" s="870">
        <v>7</v>
      </c>
      <c r="T390" s="870">
        <v>1</v>
      </c>
      <c r="U390" s="870">
        <v>7</v>
      </c>
      <c r="V390" s="870">
        <v>20</v>
      </c>
      <c r="W390" s="870">
        <v>321</v>
      </c>
      <c r="X390" s="870">
        <v>19</v>
      </c>
      <c r="Y390" s="870">
        <v>250</v>
      </c>
      <c r="Z390" s="870">
        <v>20</v>
      </c>
      <c r="AA390" s="870">
        <v>334</v>
      </c>
      <c r="AB390" s="870">
        <v>23</v>
      </c>
      <c r="AC390" s="870">
        <v>416</v>
      </c>
      <c r="AD390" s="890">
        <f t="shared" si="67"/>
        <v>13710</v>
      </c>
      <c r="AE390" s="890">
        <f t="shared" si="68"/>
        <v>39295</v>
      </c>
      <c r="AF390" s="890">
        <f t="shared" si="72"/>
        <v>3957</v>
      </c>
      <c r="AG390" s="895">
        <f t="shared" si="69"/>
        <v>-71.099999999999994</v>
      </c>
      <c r="AH390" s="890">
        <f t="shared" si="70"/>
        <v>20426</v>
      </c>
      <c r="AI390" s="895">
        <f t="shared" si="71"/>
        <v>-48</v>
      </c>
    </row>
    <row r="391" spans="1:35" s="846" customFormat="1" ht="19.5" hidden="1" customHeight="1">
      <c r="A391" s="897" t="s">
        <v>71</v>
      </c>
      <c r="B391" s="870">
        <v>2444</v>
      </c>
      <c r="C391" s="870">
        <v>18970</v>
      </c>
      <c r="D391" s="870">
        <v>2303</v>
      </c>
      <c r="E391" s="870">
        <v>17112</v>
      </c>
      <c r="F391" s="870">
        <v>200</v>
      </c>
      <c r="G391" s="870">
        <v>2151</v>
      </c>
      <c r="H391" s="870">
        <v>156</v>
      </c>
      <c r="I391" s="870">
        <v>797</v>
      </c>
      <c r="J391" s="870">
        <v>4974</v>
      </c>
      <c r="K391" s="870">
        <v>14137</v>
      </c>
      <c r="L391" s="870">
        <v>651</v>
      </c>
      <c r="M391" s="870">
        <v>2692</v>
      </c>
      <c r="N391" s="870">
        <v>0</v>
      </c>
      <c r="O391" s="870">
        <v>0</v>
      </c>
      <c r="P391" s="870">
        <v>0</v>
      </c>
      <c r="Q391" s="870">
        <v>0</v>
      </c>
      <c r="R391" s="870">
        <v>17</v>
      </c>
      <c r="S391" s="870">
        <v>18</v>
      </c>
      <c r="T391" s="870">
        <v>1</v>
      </c>
      <c r="U391" s="870">
        <v>3</v>
      </c>
      <c r="V391" s="870">
        <v>0</v>
      </c>
      <c r="W391" s="870">
        <v>0</v>
      </c>
      <c r="X391" s="870">
        <v>0</v>
      </c>
      <c r="Y391" s="870">
        <v>0</v>
      </c>
      <c r="Z391" s="870">
        <v>259</v>
      </c>
      <c r="AA391" s="870">
        <v>3193</v>
      </c>
      <c r="AB391" s="870">
        <v>134</v>
      </c>
      <c r="AC391" s="870">
        <v>1069</v>
      </c>
      <c r="AD391" s="890">
        <f t="shared" si="67"/>
        <v>7894</v>
      </c>
      <c r="AE391" s="890">
        <f t="shared" si="68"/>
        <v>38469</v>
      </c>
      <c r="AF391" s="890">
        <f t="shared" si="72"/>
        <v>3245</v>
      </c>
      <c r="AG391" s="895">
        <f t="shared" si="69"/>
        <v>-58.9</v>
      </c>
      <c r="AH391" s="890">
        <f t="shared" si="70"/>
        <v>21673</v>
      </c>
      <c r="AI391" s="895">
        <f t="shared" si="71"/>
        <v>-43.7</v>
      </c>
    </row>
    <row r="392" spans="1:35" s="846" customFormat="1" ht="19.5" hidden="1" customHeight="1">
      <c r="A392" s="891" t="s">
        <v>70</v>
      </c>
      <c r="B392" s="870">
        <v>209</v>
      </c>
      <c r="C392" s="870">
        <v>742</v>
      </c>
      <c r="D392" s="870">
        <v>181</v>
      </c>
      <c r="E392" s="870">
        <v>877</v>
      </c>
      <c r="F392" s="870">
        <v>0</v>
      </c>
      <c r="G392" s="870">
        <v>8</v>
      </c>
      <c r="H392" s="870">
        <v>7</v>
      </c>
      <c r="I392" s="870">
        <v>147</v>
      </c>
      <c r="J392" s="870">
        <v>5661</v>
      </c>
      <c r="K392" s="870">
        <v>14165</v>
      </c>
      <c r="L392" s="870">
        <v>4788</v>
      </c>
      <c r="M392" s="870">
        <v>12648</v>
      </c>
      <c r="N392" s="870">
        <v>1</v>
      </c>
      <c r="O392" s="870">
        <v>2</v>
      </c>
      <c r="P392" s="870">
        <v>0</v>
      </c>
      <c r="Q392" s="870">
        <v>0</v>
      </c>
      <c r="R392" s="870">
        <v>8662</v>
      </c>
      <c r="S392" s="870">
        <v>24848</v>
      </c>
      <c r="T392" s="870">
        <v>4082</v>
      </c>
      <c r="U392" s="870">
        <v>9610</v>
      </c>
      <c r="V392" s="870">
        <v>0</v>
      </c>
      <c r="W392" s="870">
        <v>2</v>
      </c>
      <c r="X392" s="870">
        <v>10</v>
      </c>
      <c r="Y392" s="870">
        <v>179</v>
      </c>
      <c r="Z392" s="870">
        <v>20</v>
      </c>
      <c r="AA392" s="870">
        <v>69</v>
      </c>
      <c r="AB392" s="870">
        <v>0</v>
      </c>
      <c r="AC392" s="870">
        <v>3</v>
      </c>
      <c r="AD392" s="890">
        <f t="shared" si="67"/>
        <v>14553</v>
      </c>
      <c r="AE392" s="890">
        <f t="shared" si="68"/>
        <v>39836</v>
      </c>
      <c r="AF392" s="890">
        <f t="shared" si="72"/>
        <v>9068</v>
      </c>
      <c r="AG392" s="895">
        <f t="shared" si="69"/>
        <v>-37.700000000000003</v>
      </c>
      <c r="AH392" s="890">
        <f t="shared" si="70"/>
        <v>23464</v>
      </c>
      <c r="AI392" s="895">
        <f t="shared" si="71"/>
        <v>-41.1</v>
      </c>
    </row>
    <row r="393" spans="1:35" s="846" customFormat="1" ht="19.5" hidden="1" customHeight="1">
      <c r="A393" s="897" t="s">
        <v>74</v>
      </c>
      <c r="B393" s="870">
        <v>1713</v>
      </c>
      <c r="C393" s="870">
        <v>14101</v>
      </c>
      <c r="D393" s="870">
        <v>1239</v>
      </c>
      <c r="E393" s="870">
        <v>9850</v>
      </c>
      <c r="F393" s="870">
        <v>1</v>
      </c>
      <c r="G393" s="870">
        <v>115</v>
      </c>
      <c r="H393" s="870">
        <v>0</v>
      </c>
      <c r="I393" s="870">
        <v>100</v>
      </c>
      <c r="J393" s="870">
        <v>7328</v>
      </c>
      <c r="K393" s="870">
        <v>19477</v>
      </c>
      <c r="L393" s="870">
        <v>6721</v>
      </c>
      <c r="M393" s="870">
        <v>16543</v>
      </c>
      <c r="N393" s="870">
        <v>0</v>
      </c>
      <c r="O393" s="870">
        <v>0</v>
      </c>
      <c r="P393" s="870">
        <v>0</v>
      </c>
      <c r="Q393" s="870">
        <v>0</v>
      </c>
      <c r="R393" s="870">
        <v>0</v>
      </c>
      <c r="S393" s="870">
        <v>17</v>
      </c>
      <c r="T393" s="870">
        <v>0</v>
      </c>
      <c r="U393" s="870">
        <v>7</v>
      </c>
      <c r="V393" s="870">
        <v>0</v>
      </c>
      <c r="W393" s="870">
        <v>0</v>
      </c>
      <c r="X393" s="870">
        <v>0</v>
      </c>
      <c r="Y393" s="870">
        <v>0</v>
      </c>
      <c r="Z393" s="870">
        <v>645</v>
      </c>
      <c r="AA393" s="870">
        <v>1736</v>
      </c>
      <c r="AB393" s="870">
        <v>983</v>
      </c>
      <c r="AC393" s="870">
        <v>2726</v>
      </c>
      <c r="AD393" s="890">
        <f t="shared" si="67"/>
        <v>9687</v>
      </c>
      <c r="AE393" s="890">
        <f t="shared" si="68"/>
        <v>35446</v>
      </c>
      <c r="AF393" s="890">
        <f t="shared" si="72"/>
        <v>8943</v>
      </c>
      <c r="AG393" s="895">
        <f t="shared" si="69"/>
        <v>-7.7</v>
      </c>
      <c r="AH393" s="890">
        <f t="shared" si="70"/>
        <v>29226</v>
      </c>
      <c r="AI393" s="895">
        <f t="shared" si="71"/>
        <v>-17.5</v>
      </c>
    </row>
    <row r="394" spans="1:35" s="846" customFormat="1" ht="19.5" hidden="1" customHeight="1">
      <c r="A394" s="891" t="s">
        <v>88</v>
      </c>
      <c r="B394" s="870">
        <v>103</v>
      </c>
      <c r="C394" s="870">
        <v>86</v>
      </c>
      <c r="D394" s="870">
        <v>0</v>
      </c>
      <c r="E394" s="870">
        <v>8</v>
      </c>
      <c r="F394" s="870">
        <v>0</v>
      </c>
      <c r="G394" s="870">
        <v>0</v>
      </c>
      <c r="H394" s="870">
        <v>0</v>
      </c>
      <c r="I394" s="870">
        <v>0</v>
      </c>
      <c r="J394" s="870">
        <v>15219</v>
      </c>
      <c r="K394" s="870">
        <v>35025</v>
      </c>
      <c r="L394" s="870">
        <v>7108</v>
      </c>
      <c r="M394" s="870">
        <v>15019</v>
      </c>
      <c r="N394" s="870">
        <v>0</v>
      </c>
      <c r="O394" s="870">
        <v>0</v>
      </c>
      <c r="P394" s="870">
        <v>0</v>
      </c>
      <c r="Q394" s="870">
        <v>0</v>
      </c>
      <c r="R394" s="870">
        <v>225</v>
      </c>
      <c r="S394" s="870">
        <v>699</v>
      </c>
      <c r="T394" s="870">
        <v>0</v>
      </c>
      <c r="U394" s="870">
        <v>0</v>
      </c>
      <c r="V394" s="870">
        <v>0</v>
      </c>
      <c r="W394" s="870">
        <v>0</v>
      </c>
      <c r="X394" s="870">
        <v>0</v>
      </c>
      <c r="Y394" s="870">
        <v>0</v>
      </c>
      <c r="Z394" s="870">
        <v>0</v>
      </c>
      <c r="AA394" s="870">
        <v>0</v>
      </c>
      <c r="AB394" s="870">
        <v>0</v>
      </c>
      <c r="AC394" s="870">
        <v>0</v>
      </c>
      <c r="AD394" s="890">
        <f t="shared" si="67"/>
        <v>15547</v>
      </c>
      <c r="AE394" s="890">
        <f t="shared" si="68"/>
        <v>35810</v>
      </c>
      <c r="AF394" s="890">
        <f t="shared" si="72"/>
        <v>7108</v>
      </c>
      <c r="AG394" s="895">
        <f t="shared" si="69"/>
        <v>-54.3</v>
      </c>
      <c r="AH394" s="890">
        <f t="shared" si="70"/>
        <v>15027</v>
      </c>
      <c r="AI394" s="895">
        <f t="shared" si="71"/>
        <v>-58</v>
      </c>
    </row>
    <row r="395" spans="1:35" s="846" customFormat="1" ht="19.5" hidden="1" customHeight="1">
      <c r="A395" s="891" t="s">
        <v>67</v>
      </c>
      <c r="B395" s="870">
        <v>196</v>
      </c>
      <c r="C395" s="870">
        <v>295</v>
      </c>
      <c r="D395" s="870">
        <v>541</v>
      </c>
      <c r="E395" s="870">
        <v>545</v>
      </c>
      <c r="F395" s="870">
        <v>0</v>
      </c>
      <c r="G395" s="870">
        <v>2</v>
      </c>
      <c r="H395" s="870">
        <v>0</v>
      </c>
      <c r="I395" s="870">
        <v>1</v>
      </c>
      <c r="J395" s="870">
        <v>11794</v>
      </c>
      <c r="K395" s="870">
        <v>29486</v>
      </c>
      <c r="L395" s="870">
        <v>16355</v>
      </c>
      <c r="M395" s="870">
        <v>37069</v>
      </c>
      <c r="N395" s="870">
        <v>0</v>
      </c>
      <c r="O395" s="870">
        <v>0</v>
      </c>
      <c r="P395" s="870">
        <v>2</v>
      </c>
      <c r="Q395" s="870">
        <v>7</v>
      </c>
      <c r="R395" s="870">
        <v>6</v>
      </c>
      <c r="S395" s="870">
        <v>7</v>
      </c>
      <c r="T395" s="870">
        <v>0</v>
      </c>
      <c r="U395" s="870">
        <v>0</v>
      </c>
      <c r="V395" s="870">
        <v>0</v>
      </c>
      <c r="W395" s="870">
        <v>0</v>
      </c>
      <c r="X395" s="870">
        <v>0</v>
      </c>
      <c r="Y395" s="870">
        <v>0</v>
      </c>
      <c r="Z395" s="870">
        <v>0</v>
      </c>
      <c r="AA395" s="870">
        <v>0</v>
      </c>
      <c r="AB395" s="870">
        <v>0</v>
      </c>
      <c r="AC395" s="870">
        <v>0</v>
      </c>
      <c r="AD395" s="890">
        <f t="shared" si="67"/>
        <v>11996</v>
      </c>
      <c r="AE395" s="890">
        <f t="shared" si="68"/>
        <v>29790</v>
      </c>
      <c r="AF395" s="890">
        <f t="shared" si="72"/>
        <v>16898</v>
      </c>
      <c r="AG395" s="895">
        <f t="shared" si="69"/>
        <v>40.9</v>
      </c>
      <c r="AH395" s="890">
        <f t="shared" si="70"/>
        <v>37622</v>
      </c>
      <c r="AI395" s="895">
        <f t="shared" si="71"/>
        <v>26.3</v>
      </c>
    </row>
    <row r="396" spans="1:35" s="846" customFormat="1" ht="19.5" hidden="1" customHeight="1">
      <c r="A396" s="897" t="s">
        <v>72</v>
      </c>
      <c r="B396" s="870">
        <v>626</v>
      </c>
      <c r="C396" s="870">
        <v>4314</v>
      </c>
      <c r="D396" s="870">
        <v>620</v>
      </c>
      <c r="E396" s="870">
        <v>5543</v>
      </c>
      <c r="F396" s="870">
        <v>23</v>
      </c>
      <c r="G396" s="870">
        <v>98</v>
      </c>
      <c r="H396" s="870">
        <v>0</v>
      </c>
      <c r="I396" s="870">
        <v>15</v>
      </c>
      <c r="J396" s="870">
        <v>4855</v>
      </c>
      <c r="K396" s="870">
        <v>21797</v>
      </c>
      <c r="L396" s="870">
        <v>3964</v>
      </c>
      <c r="M396" s="870">
        <v>23379</v>
      </c>
      <c r="N396" s="870">
        <v>0</v>
      </c>
      <c r="O396" s="870">
        <v>0</v>
      </c>
      <c r="P396" s="870">
        <v>0</v>
      </c>
      <c r="Q396" s="870">
        <v>0</v>
      </c>
      <c r="R396" s="870">
        <v>2</v>
      </c>
      <c r="S396" s="870">
        <v>51</v>
      </c>
      <c r="T396" s="870">
        <v>2</v>
      </c>
      <c r="U396" s="870">
        <v>38</v>
      </c>
      <c r="V396" s="870">
        <v>0</v>
      </c>
      <c r="W396" s="870">
        <v>0</v>
      </c>
      <c r="X396" s="870">
        <v>0</v>
      </c>
      <c r="Y396" s="870">
        <v>0</v>
      </c>
      <c r="Z396" s="870">
        <v>27</v>
      </c>
      <c r="AA396" s="870">
        <v>1660</v>
      </c>
      <c r="AB396" s="870">
        <v>24</v>
      </c>
      <c r="AC396" s="870">
        <v>1579</v>
      </c>
      <c r="AD396" s="890">
        <f t="shared" si="67"/>
        <v>5533</v>
      </c>
      <c r="AE396" s="890">
        <f t="shared" si="68"/>
        <v>27920</v>
      </c>
      <c r="AF396" s="890">
        <f t="shared" si="72"/>
        <v>4610</v>
      </c>
      <c r="AG396" s="895">
        <f t="shared" si="69"/>
        <v>-16.7</v>
      </c>
      <c r="AH396" s="890">
        <f t="shared" si="70"/>
        <v>30554</v>
      </c>
      <c r="AI396" s="895">
        <f t="shared" si="71"/>
        <v>9.4</v>
      </c>
    </row>
    <row r="397" spans="1:35" s="846" customFormat="1" ht="19.5" hidden="1" customHeight="1">
      <c r="A397" s="897" t="s">
        <v>69</v>
      </c>
      <c r="B397" s="870">
        <v>472</v>
      </c>
      <c r="C397" s="870">
        <v>5169</v>
      </c>
      <c r="D397" s="870">
        <v>384</v>
      </c>
      <c r="E397" s="870">
        <v>4391</v>
      </c>
      <c r="F397" s="870">
        <v>96</v>
      </c>
      <c r="G397" s="870">
        <v>592</v>
      </c>
      <c r="H397" s="870">
        <v>11</v>
      </c>
      <c r="I397" s="870">
        <v>147</v>
      </c>
      <c r="J397" s="870">
        <v>5861</v>
      </c>
      <c r="K397" s="870">
        <v>17888</v>
      </c>
      <c r="L397" s="870">
        <v>499</v>
      </c>
      <c r="M397" s="870">
        <v>7450</v>
      </c>
      <c r="N397" s="870">
        <v>8</v>
      </c>
      <c r="O397" s="870">
        <v>2</v>
      </c>
      <c r="P397" s="870">
        <v>63</v>
      </c>
      <c r="Q397" s="870">
        <v>33</v>
      </c>
      <c r="R397" s="870">
        <v>0</v>
      </c>
      <c r="S397" s="870">
        <v>0</v>
      </c>
      <c r="T397" s="870">
        <v>0</v>
      </c>
      <c r="U397" s="870">
        <v>0</v>
      </c>
      <c r="V397" s="870">
        <v>0</v>
      </c>
      <c r="W397" s="870">
        <v>9</v>
      </c>
      <c r="X397" s="870">
        <v>0</v>
      </c>
      <c r="Y397" s="870">
        <v>15</v>
      </c>
      <c r="Z397" s="870">
        <v>906</v>
      </c>
      <c r="AA397" s="870">
        <v>7538</v>
      </c>
      <c r="AB397" s="870">
        <v>503</v>
      </c>
      <c r="AC397" s="870">
        <v>3484</v>
      </c>
      <c r="AD397" s="890">
        <f t="shared" si="67"/>
        <v>7343</v>
      </c>
      <c r="AE397" s="890">
        <f t="shared" si="68"/>
        <v>31198</v>
      </c>
      <c r="AF397" s="890">
        <f t="shared" si="72"/>
        <v>1460</v>
      </c>
      <c r="AG397" s="895">
        <f t="shared" si="69"/>
        <v>-80.099999999999994</v>
      </c>
      <c r="AH397" s="890">
        <f t="shared" si="70"/>
        <v>15520</v>
      </c>
      <c r="AI397" s="895">
        <f t="shared" si="71"/>
        <v>-50.3</v>
      </c>
    </row>
    <row r="398" spans="1:35" s="846" customFormat="1" ht="19.5" hidden="1" customHeight="1">
      <c r="A398" s="877" t="s">
        <v>560</v>
      </c>
      <c r="B398" s="892">
        <f t="shared" ref="B398:G398" si="73">B399-SUM(B368:B397)</f>
        <v>10324</v>
      </c>
      <c r="C398" s="892">
        <f t="shared" si="73"/>
        <v>92959</v>
      </c>
      <c r="D398" s="892">
        <f t="shared" si="73"/>
        <v>12061</v>
      </c>
      <c r="E398" s="892">
        <f t="shared" si="73"/>
        <v>95365</v>
      </c>
      <c r="F398" s="892">
        <f t="shared" si="73"/>
        <v>773</v>
      </c>
      <c r="G398" s="892">
        <f t="shared" si="73"/>
        <v>5898</v>
      </c>
      <c r="H398" s="892">
        <f t="shared" ref="H398:AC398" si="74">H399-SUM(H368:H397)</f>
        <v>349</v>
      </c>
      <c r="I398" s="892">
        <f t="shared" si="74"/>
        <v>5008</v>
      </c>
      <c r="J398" s="892">
        <f t="shared" si="74"/>
        <v>65421</v>
      </c>
      <c r="K398" s="892">
        <f t="shared" si="74"/>
        <v>193952</v>
      </c>
      <c r="L398" s="892">
        <f t="shared" si="74"/>
        <v>53947</v>
      </c>
      <c r="M398" s="892">
        <f t="shared" si="74"/>
        <v>161368</v>
      </c>
      <c r="N398" s="892">
        <f t="shared" si="74"/>
        <v>6051</v>
      </c>
      <c r="O398" s="892">
        <f t="shared" si="74"/>
        <v>14032</v>
      </c>
      <c r="P398" s="892">
        <f t="shared" si="74"/>
        <v>3556</v>
      </c>
      <c r="Q398" s="892">
        <f t="shared" si="74"/>
        <v>7335</v>
      </c>
      <c r="R398" s="892">
        <f t="shared" si="74"/>
        <v>13702</v>
      </c>
      <c r="S398" s="892">
        <f t="shared" si="74"/>
        <v>38493</v>
      </c>
      <c r="T398" s="892">
        <f t="shared" si="74"/>
        <v>19628</v>
      </c>
      <c r="U398" s="892">
        <f t="shared" si="74"/>
        <v>45356</v>
      </c>
      <c r="V398" s="892">
        <f t="shared" si="74"/>
        <v>50</v>
      </c>
      <c r="W398" s="892">
        <f t="shared" si="74"/>
        <v>655</v>
      </c>
      <c r="X398" s="892">
        <f t="shared" si="74"/>
        <v>32</v>
      </c>
      <c r="Y398" s="892">
        <f t="shared" si="74"/>
        <v>386</v>
      </c>
      <c r="Z398" s="892">
        <f t="shared" si="74"/>
        <v>563</v>
      </c>
      <c r="AA398" s="892">
        <f t="shared" si="74"/>
        <v>8715</v>
      </c>
      <c r="AB398" s="892">
        <f t="shared" si="74"/>
        <v>827</v>
      </c>
      <c r="AC398" s="892">
        <f t="shared" si="74"/>
        <v>10189</v>
      </c>
      <c r="AD398" s="892">
        <f>AD399-SUM(AD368:AD397)</f>
        <v>96884</v>
      </c>
      <c r="AE398" s="892">
        <f>AE399-SUM(AE368:AE397)</f>
        <v>354704</v>
      </c>
      <c r="AF398" s="892">
        <f>AF399-SUM(AF368:AF397)</f>
        <v>90400</v>
      </c>
      <c r="AG398" s="895">
        <f t="shared" si="69"/>
        <v>-6.7</v>
      </c>
      <c r="AH398" s="892">
        <f>AH399-SUM(AH368:AH397)</f>
        <v>325007</v>
      </c>
      <c r="AI398" s="896">
        <f t="shared" si="71"/>
        <v>-8.4</v>
      </c>
    </row>
    <row r="399" spans="1:35" s="846" customFormat="1" ht="19.5" hidden="1" customHeight="1">
      <c r="A399" s="1055" t="s">
        <v>79</v>
      </c>
      <c r="B399" s="886">
        <v>580546</v>
      </c>
      <c r="C399" s="886">
        <v>3896291</v>
      </c>
      <c r="D399" s="886">
        <v>566509</v>
      </c>
      <c r="E399" s="886">
        <v>3791966</v>
      </c>
      <c r="F399" s="886">
        <v>17336</v>
      </c>
      <c r="G399" s="888">
        <v>156266</v>
      </c>
      <c r="H399" s="886">
        <v>12096</v>
      </c>
      <c r="I399" s="886">
        <v>118212</v>
      </c>
      <c r="J399" s="886">
        <v>903491</v>
      </c>
      <c r="K399" s="886">
        <v>2949342</v>
      </c>
      <c r="L399" s="886">
        <v>1008699</v>
      </c>
      <c r="M399" s="886">
        <v>2922449</v>
      </c>
      <c r="N399" s="886">
        <v>299906</v>
      </c>
      <c r="O399" s="886">
        <v>651294</v>
      </c>
      <c r="P399" s="886">
        <v>267862</v>
      </c>
      <c r="Q399" s="886">
        <v>539266</v>
      </c>
      <c r="R399" s="886">
        <v>462653</v>
      </c>
      <c r="S399" s="886">
        <v>1268383</v>
      </c>
      <c r="T399" s="886">
        <v>507443</v>
      </c>
      <c r="U399" s="886">
        <v>1158499</v>
      </c>
      <c r="V399" s="886">
        <v>1801</v>
      </c>
      <c r="W399" s="886">
        <v>36769</v>
      </c>
      <c r="X399" s="886">
        <v>1694</v>
      </c>
      <c r="Y399" s="886">
        <v>39751</v>
      </c>
      <c r="Z399" s="886">
        <v>78607</v>
      </c>
      <c r="AA399" s="888">
        <v>232046</v>
      </c>
      <c r="AB399" s="886">
        <v>19294</v>
      </c>
      <c r="AC399" s="886">
        <v>196696</v>
      </c>
      <c r="AD399" s="893">
        <f>SUM(B399+F399+J399+N399+R399+V399+Z399)</f>
        <v>2344340</v>
      </c>
      <c r="AE399" s="893">
        <f>SUM(C399+G399+K399+O399+S399+W399+AA399)</f>
        <v>9190391</v>
      </c>
      <c r="AF399" s="893">
        <f>SUM(D399+H399+L399+P399+T399+X399+AB399)</f>
        <v>2383597</v>
      </c>
      <c r="AG399" s="906">
        <f t="shared" si="69"/>
        <v>1.7</v>
      </c>
      <c r="AH399" s="893">
        <f>SUM(E399+I399+M399+Q399+U399+Y399+AC399)</f>
        <v>8766839</v>
      </c>
      <c r="AI399" s="896">
        <f t="shared" si="71"/>
        <v>-4.5999999999999996</v>
      </c>
    </row>
    <row r="400" spans="1:35" hidden="1"/>
    <row r="401" spans="1:35" s="846" customFormat="1" ht="22.5" customHeight="1">
      <c r="A401" s="1095" t="s">
        <v>728</v>
      </c>
      <c r="B401" s="1095"/>
      <c r="C401" s="1095"/>
      <c r="D401" s="1095"/>
      <c r="E401" s="1095"/>
      <c r="F401" s="1095"/>
      <c r="G401" s="1095"/>
      <c r="H401" s="1095"/>
      <c r="I401" s="1095"/>
      <c r="J401" s="1095"/>
      <c r="K401" s="1095"/>
      <c r="L401" s="1095"/>
      <c r="M401" s="1095"/>
      <c r="N401" s="1095"/>
      <c r="O401" s="1095"/>
      <c r="P401" s="1095"/>
      <c r="Q401" s="1095"/>
      <c r="R401" s="1095"/>
      <c r="S401" s="1095"/>
      <c r="T401" s="1095"/>
      <c r="U401" s="1095"/>
      <c r="V401" s="1095"/>
      <c r="W401" s="1095"/>
      <c r="X401" s="1095"/>
      <c r="Y401" s="1095"/>
      <c r="Z401" s="1095"/>
      <c r="AA401" s="1095"/>
      <c r="AB401" s="1095"/>
      <c r="AC401" s="1095"/>
      <c r="AD401" s="1095"/>
      <c r="AE401" s="1095"/>
      <c r="AF401" s="1095"/>
      <c r="AG401" s="1095"/>
      <c r="AH401" s="1095"/>
      <c r="AI401" s="1095"/>
    </row>
    <row r="402" spans="1:35" s="846" customFormat="1" ht="16.5" customHeight="1">
      <c r="A402" s="871"/>
      <c r="B402" s="872"/>
      <c r="C402" s="872"/>
      <c r="D402" s="872"/>
      <c r="E402" s="872"/>
      <c r="F402" s="872"/>
      <c r="G402" s="871"/>
      <c r="H402" s="872"/>
      <c r="I402" s="872"/>
      <c r="J402" s="872"/>
      <c r="K402" s="872"/>
      <c r="L402" s="872"/>
      <c r="M402" s="872"/>
      <c r="N402" s="872"/>
      <c r="O402" s="872"/>
      <c r="P402" s="872"/>
      <c r="Q402" s="872"/>
      <c r="R402" s="873"/>
      <c r="S402" s="873"/>
      <c r="T402" s="872"/>
      <c r="U402" s="872"/>
      <c r="V402" s="872"/>
      <c r="W402" s="872"/>
      <c r="X402" s="872"/>
      <c r="Y402" s="872"/>
      <c r="Z402" s="872"/>
      <c r="AA402" s="872"/>
      <c r="AB402" s="872"/>
      <c r="AC402" s="872"/>
      <c r="AD402" s="872"/>
      <c r="AE402" s="872"/>
      <c r="AF402" s="872"/>
      <c r="AG402" s="872"/>
      <c r="AH402" s="872"/>
      <c r="AI402" s="872"/>
    </row>
    <row r="403" spans="1:35" s="846" customFormat="1" ht="16.5" customHeight="1">
      <c r="A403" s="850"/>
      <c r="B403" s="851"/>
      <c r="C403" s="851"/>
      <c r="D403" s="851"/>
      <c r="E403" s="851"/>
      <c r="F403" s="851"/>
      <c r="G403" s="850"/>
      <c r="H403" s="851"/>
      <c r="I403" s="851"/>
      <c r="J403" s="851"/>
      <c r="K403" s="851"/>
      <c r="L403" s="851"/>
      <c r="M403" s="851"/>
      <c r="N403" s="851"/>
      <c r="O403" s="851"/>
      <c r="P403" s="851"/>
      <c r="Q403" s="851"/>
      <c r="R403" s="852"/>
      <c r="S403" s="852"/>
      <c r="T403" s="851"/>
      <c r="U403" s="851"/>
      <c r="V403" s="851"/>
      <c r="W403" s="851"/>
      <c r="X403" s="851"/>
      <c r="Y403" s="851"/>
      <c r="Z403" s="851"/>
      <c r="AA403" s="851"/>
      <c r="AB403" s="851"/>
      <c r="AC403" s="851"/>
      <c r="AD403" s="851"/>
      <c r="AE403" s="851"/>
      <c r="AF403" s="851"/>
      <c r="AG403" s="851"/>
      <c r="AH403" s="851"/>
      <c r="AI403" s="853" t="s">
        <v>0</v>
      </c>
    </row>
    <row r="404" spans="1:35" s="846" customFormat="1" ht="21.75" customHeight="1">
      <c r="A404" s="1149" t="s">
        <v>43</v>
      </c>
      <c r="B404" s="1151" t="s">
        <v>733</v>
      </c>
      <c r="C404" s="1153"/>
      <c r="D404" s="1153"/>
      <c r="E404" s="1152"/>
      <c r="F404" s="1151" t="s">
        <v>734</v>
      </c>
      <c r="G404" s="1153"/>
      <c r="H404" s="1153"/>
      <c r="I404" s="1152"/>
      <c r="J404" s="1151" t="s">
        <v>735</v>
      </c>
      <c r="K404" s="1153"/>
      <c r="L404" s="1153"/>
      <c r="M404" s="1152"/>
      <c r="N404" s="1151" t="s">
        <v>736</v>
      </c>
      <c r="O404" s="1153"/>
      <c r="P404" s="1153"/>
      <c r="Q404" s="1152"/>
      <c r="R404" s="1151" t="s">
        <v>737</v>
      </c>
      <c r="S404" s="1153"/>
      <c r="T404" s="1153"/>
      <c r="U404" s="1152"/>
      <c r="V404" s="1151" t="s">
        <v>738</v>
      </c>
      <c r="W404" s="1153"/>
      <c r="X404" s="1153"/>
      <c r="Y404" s="1152"/>
      <c r="Z404" s="1151" t="s">
        <v>739</v>
      </c>
      <c r="AA404" s="1153"/>
      <c r="AB404" s="1153"/>
      <c r="AC404" s="1152"/>
      <c r="AD404" s="1151" t="s">
        <v>729</v>
      </c>
      <c r="AE404" s="1153"/>
      <c r="AF404" s="1153"/>
      <c r="AG404" s="1153"/>
      <c r="AH404" s="1153"/>
      <c r="AI404" s="1152"/>
    </row>
    <row r="405" spans="1:35" s="846" customFormat="1" ht="21" customHeight="1">
      <c r="A405" s="1154"/>
      <c r="B405" s="1151" t="s">
        <v>315</v>
      </c>
      <c r="C405" s="1152"/>
      <c r="D405" s="1151" t="s">
        <v>459</v>
      </c>
      <c r="E405" s="1152"/>
      <c r="F405" s="1151" t="s">
        <v>315</v>
      </c>
      <c r="G405" s="1152"/>
      <c r="H405" s="1151" t="s">
        <v>459</v>
      </c>
      <c r="I405" s="1152"/>
      <c r="J405" s="1151" t="s">
        <v>315</v>
      </c>
      <c r="K405" s="1152"/>
      <c r="L405" s="1151" t="s">
        <v>459</v>
      </c>
      <c r="M405" s="1152"/>
      <c r="N405" s="1151" t="s">
        <v>315</v>
      </c>
      <c r="O405" s="1152"/>
      <c r="P405" s="1151" t="s">
        <v>459</v>
      </c>
      <c r="Q405" s="1152"/>
      <c r="R405" s="1151" t="s">
        <v>315</v>
      </c>
      <c r="S405" s="1152"/>
      <c r="T405" s="1151" t="s">
        <v>459</v>
      </c>
      <c r="U405" s="1152"/>
      <c r="V405" s="1151" t="s">
        <v>315</v>
      </c>
      <c r="W405" s="1152"/>
      <c r="X405" s="1151" t="s">
        <v>459</v>
      </c>
      <c r="Y405" s="1152"/>
      <c r="Z405" s="1151" t="s">
        <v>315</v>
      </c>
      <c r="AA405" s="1152"/>
      <c r="AB405" s="1151" t="s">
        <v>459</v>
      </c>
      <c r="AC405" s="1152"/>
      <c r="AD405" s="1151" t="s">
        <v>315</v>
      </c>
      <c r="AE405" s="1152"/>
      <c r="AF405" s="1151" t="s">
        <v>459</v>
      </c>
      <c r="AG405" s="1153"/>
      <c r="AH405" s="1153"/>
      <c r="AI405" s="1152"/>
    </row>
    <row r="406" spans="1:35" s="846" customFormat="1" ht="16.5" customHeight="1">
      <c r="A406" s="1154"/>
      <c r="B406" s="1149" t="s">
        <v>44</v>
      </c>
      <c r="C406" s="1149" t="s">
        <v>45</v>
      </c>
      <c r="D406" s="1149" t="s">
        <v>46</v>
      </c>
      <c r="E406" s="1149" t="s">
        <v>45</v>
      </c>
      <c r="F406" s="1149" t="s">
        <v>47</v>
      </c>
      <c r="G406" s="1149" t="s">
        <v>45</v>
      </c>
      <c r="H406" s="1149" t="s">
        <v>46</v>
      </c>
      <c r="I406" s="1149" t="s">
        <v>45</v>
      </c>
      <c r="J406" s="1149" t="s">
        <v>44</v>
      </c>
      <c r="K406" s="1149" t="s">
        <v>45</v>
      </c>
      <c r="L406" s="1149" t="s">
        <v>46</v>
      </c>
      <c r="M406" s="1149" t="s">
        <v>45</v>
      </c>
      <c r="N406" s="1149" t="s">
        <v>44</v>
      </c>
      <c r="O406" s="1149" t="s">
        <v>45</v>
      </c>
      <c r="P406" s="1149" t="s">
        <v>46</v>
      </c>
      <c r="Q406" s="1149" t="s">
        <v>45</v>
      </c>
      <c r="R406" s="1149" t="s">
        <v>44</v>
      </c>
      <c r="S406" s="1149" t="s">
        <v>45</v>
      </c>
      <c r="T406" s="1149" t="s">
        <v>46</v>
      </c>
      <c r="U406" s="1149" t="s">
        <v>45</v>
      </c>
      <c r="V406" s="1149" t="s">
        <v>44</v>
      </c>
      <c r="W406" s="1149" t="s">
        <v>45</v>
      </c>
      <c r="X406" s="1149" t="s">
        <v>48</v>
      </c>
      <c r="Y406" s="1149" t="s">
        <v>45</v>
      </c>
      <c r="Z406" s="1149" t="s">
        <v>44</v>
      </c>
      <c r="AA406" s="1149" t="s">
        <v>45</v>
      </c>
      <c r="AB406" s="1149" t="s">
        <v>46</v>
      </c>
      <c r="AC406" s="1149" t="s">
        <v>45</v>
      </c>
      <c r="AD406" s="1149" t="s">
        <v>44</v>
      </c>
      <c r="AE406" s="1149" t="s">
        <v>45</v>
      </c>
      <c r="AF406" s="1147" t="s">
        <v>46</v>
      </c>
      <c r="AG406" s="874"/>
      <c r="AH406" s="1147" t="s">
        <v>45</v>
      </c>
      <c r="AI406" s="874"/>
    </row>
    <row r="407" spans="1:35" s="846" customFormat="1" ht="16.5" customHeight="1" thickBot="1">
      <c r="A407" s="1150"/>
      <c r="B407" s="1150"/>
      <c r="C407" s="1150"/>
      <c r="D407" s="1150"/>
      <c r="E407" s="1150"/>
      <c r="F407" s="1150"/>
      <c r="G407" s="1150"/>
      <c r="H407" s="1150"/>
      <c r="I407" s="1150"/>
      <c r="J407" s="1150"/>
      <c r="K407" s="1150"/>
      <c r="L407" s="1150"/>
      <c r="M407" s="1150"/>
      <c r="N407" s="1150"/>
      <c r="O407" s="1150"/>
      <c r="P407" s="1150"/>
      <c r="Q407" s="1150"/>
      <c r="R407" s="1150"/>
      <c r="S407" s="1150"/>
      <c r="T407" s="1150"/>
      <c r="U407" s="1150"/>
      <c r="V407" s="1150"/>
      <c r="W407" s="1150"/>
      <c r="X407" s="1150"/>
      <c r="Y407" s="1150"/>
      <c r="Z407" s="1150"/>
      <c r="AA407" s="1150"/>
      <c r="AB407" s="1150"/>
      <c r="AC407" s="1150"/>
      <c r="AD407" s="1150"/>
      <c r="AE407" s="1150"/>
      <c r="AF407" s="1148"/>
      <c r="AG407" s="875" t="s">
        <v>49</v>
      </c>
      <c r="AH407" s="1148"/>
      <c r="AI407" s="875" t="s">
        <v>49</v>
      </c>
    </row>
    <row r="408" spans="1:35" s="846" customFormat="1" ht="17.25" thickTop="1">
      <c r="A408" s="897" t="s">
        <v>50</v>
      </c>
      <c r="B408" s="870">
        <v>249614</v>
      </c>
      <c r="C408" s="870">
        <v>1667327</v>
      </c>
      <c r="D408" s="870">
        <v>295804</v>
      </c>
      <c r="E408" s="870">
        <v>1973461</v>
      </c>
      <c r="F408" s="870">
        <v>5638</v>
      </c>
      <c r="G408" s="870">
        <v>49639</v>
      </c>
      <c r="H408" s="870">
        <v>3218</v>
      </c>
      <c r="I408" s="870">
        <v>32952</v>
      </c>
      <c r="J408" s="870">
        <v>107807</v>
      </c>
      <c r="K408" s="870">
        <v>423937</v>
      </c>
      <c r="L408" s="870">
        <v>306432</v>
      </c>
      <c r="M408" s="870">
        <v>741877</v>
      </c>
      <c r="N408" s="870">
        <v>45059</v>
      </c>
      <c r="O408" s="870">
        <v>94272</v>
      </c>
      <c r="P408" s="870">
        <v>18022</v>
      </c>
      <c r="Q408" s="870">
        <v>34179</v>
      </c>
      <c r="R408" s="870">
        <v>122569</v>
      </c>
      <c r="S408" s="870">
        <v>320607</v>
      </c>
      <c r="T408" s="870">
        <v>149298</v>
      </c>
      <c r="U408" s="870">
        <v>337010</v>
      </c>
      <c r="V408" s="870">
        <v>253</v>
      </c>
      <c r="W408" s="870">
        <v>7137</v>
      </c>
      <c r="X408" s="870">
        <v>340</v>
      </c>
      <c r="Y408" s="870">
        <v>9374</v>
      </c>
      <c r="Z408" s="870">
        <v>2967</v>
      </c>
      <c r="AA408" s="870">
        <v>66360</v>
      </c>
      <c r="AB408" s="870">
        <v>8075</v>
      </c>
      <c r="AC408" s="870">
        <v>72669</v>
      </c>
      <c r="AD408" s="890">
        <f t="shared" ref="AD408:AF437" si="75">SUM(B408+F408+J408+N408+R408+V408+Z408)</f>
        <v>533907</v>
      </c>
      <c r="AE408" s="890">
        <f>SUM(C408+G408+K408+O408+S408+W408+AA408)</f>
        <v>2629279</v>
      </c>
      <c r="AF408" s="890">
        <f>SUM(D408+H408+L408+P408+T408+X408+AB408)</f>
        <v>781189</v>
      </c>
      <c r="AG408" s="895">
        <f>ROUND(((AF408/AD408-1)*100),1)</f>
        <v>46.3</v>
      </c>
      <c r="AH408" s="890">
        <f>SUM(E408+I408+M408+Q408+U408+Y408+AC408)</f>
        <v>3201522</v>
      </c>
      <c r="AI408" s="895">
        <f>ROUND(((AH408/AE408-1)*100),1)</f>
        <v>21.8</v>
      </c>
    </row>
    <row r="409" spans="1:35" s="846" customFormat="1">
      <c r="A409" s="897" t="s">
        <v>51</v>
      </c>
      <c r="B409" s="870">
        <v>57283</v>
      </c>
      <c r="C409" s="870">
        <v>446920</v>
      </c>
      <c r="D409" s="870">
        <v>57859</v>
      </c>
      <c r="E409" s="870">
        <v>462896</v>
      </c>
      <c r="F409" s="870">
        <v>798</v>
      </c>
      <c r="G409" s="870">
        <v>19909</v>
      </c>
      <c r="H409" s="870">
        <v>239</v>
      </c>
      <c r="I409" s="870">
        <v>7434</v>
      </c>
      <c r="J409" s="870">
        <v>203671</v>
      </c>
      <c r="K409" s="870">
        <v>568175</v>
      </c>
      <c r="L409" s="870">
        <v>207406</v>
      </c>
      <c r="M409" s="870">
        <v>547714</v>
      </c>
      <c r="N409" s="870">
        <v>83692</v>
      </c>
      <c r="O409" s="870">
        <v>184344</v>
      </c>
      <c r="P409" s="870">
        <v>99786</v>
      </c>
      <c r="Q409" s="870">
        <v>199737</v>
      </c>
      <c r="R409" s="870">
        <v>64679</v>
      </c>
      <c r="S409" s="870">
        <v>182138</v>
      </c>
      <c r="T409" s="870">
        <v>76759</v>
      </c>
      <c r="U409" s="870">
        <v>183758</v>
      </c>
      <c r="V409" s="870">
        <v>320</v>
      </c>
      <c r="W409" s="870">
        <v>5702</v>
      </c>
      <c r="X409" s="870">
        <v>282</v>
      </c>
      <c r="Y409" s="870">
        <v>4929</v>
      </c>
      <c r="Z409" s="870">
        <v>1365</v>
      </c>
      <c r="AA409" s="870">
        <v>12521</v>
      </c>
      <c r="AB409" s="870">
        <v>423</v>
      </c>
      <c r="AC409" s="870">
        <v>6589</v>
      </c>
      <c r="AD409" s="890">
        <f t="shared" si="75"/>
        <v>411808</v>
      </c>
      <c r="AE409" s="890">
        <f t="shared" si="75"/>
        <v>1419709</v>
      </c>
      <c r="AF409" s="890">
        <f>SUM(D409+H409+L409+P409+T409+X409+AB409)</f>
        <v>442754</v>
      </c>
      <c r="AG409" s="895">
        <f t="shared" ref="AG409:AG439" si="76">ROUND(((AF409/AD409-1)*100),1)</f>
        <v>7.5</v>
      </c>
      <c r="AH409" s="890">
        <f t="shared" ref="AH409:AH437" si="77">SUM(E409+I409+M409+Q409+U409+Y409+AC409)</f>
        <v>1413057</v>
      </c>
      <c r="AI409" s="895">
        <f t="shared" ref="AI409:AI439" si="78">ROUND(((AH409/AE409-1)*100),1)</f>
        <v>-0.5</v>
      </c>
    </row>
    <row r="410" spans="1:35" s="846" customFormat="1">
      <c r="A410" s="897" t="s">
        <v>53</v>
      </c>
      <c r="B410" s="870">
        <v>24985</v>
      </c>
      <c r="C410" s="870">
        <v>227416</v>
      </c>
      <c r="D410" s="870">
        <v>28013</v>
      </c>
      <c r="E410" s="870">
        <v>245611</v>
      </c>
      <c r="F410" s="870">
        <v>775</v>
      </c>
      <c r="G410" s="870">
        <v>9194</v>
      </c>
      <c r="H410" s="870">
        <v>352</v>
      </c>
      <c r="I410" s="870">
        <v>4566</v>
      </c>
      <c r="J410" s="870">
        <v>99568</v>
      </c>
      <c r="K410" s="870">
        <v>386314</v>
      </c>
      <c r="L410" s="870">
        <v>83715</v>
      </c>
      <c r="M410" s="870">
        <v>318048</v>
      </c>
      <c r="N410" s="870">
        <v>55819</v>
      </c>
      <c r="O410" s="870">
        <v>118529</v>
      </c>
      <c r="P410" s="870">
        <v>65715</v>
      </c>
      <c r="Q410" s="870">
        <v>128217</v>
      </c>
      <c r="R410" s="870">
        <v>8179</v>
      </c>
      <c r="S410" s="870">
        <v>20081</v>
      </c>
      <c r="T410" s="870">
        <v>52388</v>
      </c>
      <c r="U410" s="870">
        <v>107994</v>
      </c>
      <c r="V410" s="870">
        <v>16</v>
      </c>
      <c r="W410" s="870">
        <v>2104</v>
      </c>
      <c r="X410" s="870">
        <v>49</v>
      </c>
      <c r="Y410" s="870">
        <v>2505</v>
      </c>
      <c r="Z410" s="870">
        <v>3508</v>
      </c>
      <c r="AA410" s="870">
        <v>40578</v>
      </c>
      <c r="AB410" s="870">
        <v>3701</v>
      </c>
      <c r="AC410" s="870">
        <v>38643</v>
      </c>
      <c r="AD410" s="890">
        <f t="shared" si="75"/>
        <v>192850</v>
      </c>
      <c r="AE410" s="890">
        <f t="shared" si="75"/>
        <v>804216</v>
      </c>
      <c r="AF410" s="890">
        <f t="shared" si="75"/>
        <v>233933</v>
      </c>
      <c r="AG410" s="895">
        <f t="shared" si="76"/>
        <v>21.3</v>
      </c>
      <c r="AH410" s="890">
        <f t="shared" si="77"/>
        <v>845584</v>
      </c>
      <c r="AI410" s="895">
        <f t="shared" si="78"/>
        <v>5.0999999999999996</v>
      </c>
    </row>
    <row r="411" spans="1:35" s="846" customFormat="1">
      <c r="A411" s="897" t="s">
        <v>52</v>
      </c>
      <c r="B411" s="870">
        <v>8542</v>
      </c>
      <c r="C411" s="870">
        <v>56649</v>
      </c>
      <c r="D411" s="870">
        <v>8092</v>
      </c>
      <c r="E411" s="870">
        <v>49926</v>
      </c>
      <c r="F411" s="870">
        <v>1813</v>
      </c>
      <c r="G411" s="870">
        <v>21986</v>
      </c>
      <c r="H411" s="870">
        <v>1225</v>
      </c>
      <c r="I411" s="870">
        <v>16054</v>
      </c>
      <c r="J411" s="870">
        <v>58029</v>
      </c>
      <c r="K411" s="870">
        <v>167547</v>
      </c>
      <c r="L411" s="870">
        <v>44497</v>
      </c>
      <c r="M411" s="870">
        <v>123172</v>
      </c>
      <c r="N411" s="870">
        <v>63637</v>
      </c>
      <c r="O411" s="870">
        <v>139816</v>
      </c>
      <c r="P411" s="870">
        <v>64536</v>
      </c>
      <c r="Q411" s="870">
        <v>129790</v>
      </c>
      <c r="R411" s="870">
        <v>87861</v>
      </c>
      <c r="S411" s="870">
        <v>248884</v>
      </c>
      <c r="T411" s="870">
        <v>80305</v>
      </c>
      <c r="U411" s="870">
        <v>192948</v>
      </c>
      <c r="V411" s="870">
        <v>253</v>
      </c>
      <c r="W411" s="870">
        <v>356</v>
      </c>
      <c r="X411" s="870">
        <v>6</v>
      </c>
      <c r="Y411" s="870">
        <v>157</v>
      </c>
      <c r="Z411" s="870">
        <v>16885</v>
      </c>
      <c r="AA411" s="870">
        <v>9661</v>
      </c>
      <c r="AB411" s="870">
        <v>1700</v>
      </c>
      <c r="AC411" s="870">
        <v>5607</v>
      </c>
      <c r="AD411" s="890">
        <f t="shared" si="75"/>
        <v>237020</v>
      </c>
      <c r="AE411" s="890">
        <f t="shared" si="75"/>
        <v>644899</v>
      </c>
      <c r="AF411" s="890">
        <f t="shared" si="75"/>
        <v>200361</v>
      </c>
      <c r="AG411" s="895">
        <f t="shared" si="76"/>
        <v>-15.5</v>
      </c>
      <c r="AH411" s="890">
        <f t="shared" si="77"/>
        <v>517654</v>
      </c>
      <c r="AI411" s="895">
        <f t="shared" si="78"/>
        <v>-19.7</v>
      </c>
    </row>
    <row r="412" spans="1:35" s="846" customFormat="1">
      <c r="A412" s="897" t="s">
        <v>54</v>
      </c>
      <c r="B412" s="870">
        <v>25326</v>
      </c>
      <c r="C412" s="870">
        <v>190290</v>
      </c>
      <c r="D412" s="870">
        <v>21282</v>
      </c>
      <c r="E412" s="870">
        <v>152314</v>
      </c>
      <c r="F412" s="870">
        <v>7925</v>
      </c>
      <c r="G412" s="870">
        <v>42537</v>
      </c>
      <c r="H412" s="870">
        <v>6474</v>
      </c>
      <c r="I412" s="870">
        <v>38079</v>
      </c>
      <c r="J412" s="870">
        <v>60905</v>
      </c>
      <c r="K412" s="870">
        <v>253071</v>
      </c>
      <c r="L412" s="870">
        <v>61477</v>
      </c>
      <c r="M412" s="870">
        <v>265909</v>
      </c>
      <c r="N412" s="870">
        <v>7671</v>
      </c>
      <c r="O412" s="870">
        <v>16561</v>
      </c>
      <c r="P412" s="870">
        <v>6677</v>
      </c>
      <c r="Q412" s="870">
        <v>13395</v>
      </c>
      <c r="R412" s="870">
        <v>2412</v>
      </c>
      <c r="S412" s="870">
        <v>7303</v>
      </c>
      <c r="T412" s="870">
        <v>1684</v>
      </c>
      <c r="U412" s="870">
        <v>4207</v>
      </c>
      <c r="V412" s="870">
        <v>106</v>
      </c>
      <c r="W412" s="870">
        <v>1360</v>
      </c>
      <c r="X412" s="870">
        <v>120</v>
      </c>
      <c r="Y412" s="870">
        <v>2146</v>
      </c>
      <c r="Z412" s="870">
        <v>1963</v>
      </c>
      <c r="AA412" s="870">
        <v>51561</v>
      </c>
      <c r="AB412" s="870">
        <v>1373</v>
      </c>
      <c r="AC412" s="870">
        <v>31543</v>
      </c>
      <c r="AD412" s="890">
        <f t="shared" si="75"/>
        <v>106308</v>
      </c>
      <c r="AE412" s="890">
        <f t="shared" si="75"/>
        <v>562683</v>
      </c>
      <c r="AF412" s="890">
        <f t="shared" si="75"/>
        <v>99087</v>
      </c>
      <c r="AG412" s="895">
        <f t="shared" si="76"/>
        <v>-6.8</v>
      </c>
      <c r="AH412" s="890">
        <f t="shared" si="77"/>
        <v>507593</v>
      </c>
      <c r="AI412" s="895">
        <f t="shared" si="78"/>
        <v>-9.8000000000000007</v>
      </c>
    </row>
    <row r="413" spans="1:35" s="846" customFormat="1">
      <c r="A413" s="897" t="s">
        <v>56</v>
      </c>
      <c r="B413" s="870">
        <v>89055</v>
      </c>
      <c r="C413" s="870">
        <v>381704</v>
      </c>
      <c r="D413" s="870">
        <v>67625</v>
      </c>
      <c r="E413" s="870">
        <v>244152</v>
      </c>
      <c r="F413" s="870">
        <v>101</v>
      </c>
      <c r="G413" s="870">
        <v>2296</v>
      </c>
      <c r="H413" s="870">
        <v>119</v>
      </c>
      <c r="I413" s="870">
        <v>2433</v>
      </c>
      <c r="J413" s="870">
        <v>18445</v>
      </c>
      <c r="K413" s="870">
        <v>69572</v>
      </c>
      <c r="L413" s="870">
        <v>15660</v>
      </c>
      <c r="M413" s="870">
        <v>53178</v>
      </c>
      <c r="N413" s="870">
        <v>7847</v>
      </c>
      <c r="O413" s="870">
        <v>16580</v>
      </c>
      <c r="P413" s="870">
        <v>2778</v>
      </c>
      <c r="Q413" s="870">
        <v>5305</v>
      </c>
      <c r="R413" s="870">
        <v>14108</v>
      </c>
      <c r="S413" s="870">
        <v>38877</v>
      </c>
      <c r="T413" s="870">
        <v>15025</v>
      </c>
      <c r="U413" s="870">
        <v>36335</v>
      </c>
      <c r="V413" s="870">
        <v>12</v>
      </c>
      <c r="W413" s="870">
        <v>330</v>
      </c>
      <c r="X413" s="870">
        <v>33</v>
      </c>
      <c r="Y413" s="870">
        <v>618</v>
      </c>
      <c r="Z413" s="870">
        <v>33607</v>
      </c>
      <c r="AA413" s="870">
        <v>12962</v>
      </c>
      <c r="AB413" s="870">
        <v>715</v>
      </c>
      <c r="AC413" s="870">
        <v>7953</v>
      </c>
      <c r="AD413" s="890">
        <f t="shared" si="75"/>
        <v>163175</v>
      </c>
      <c r="AE413" s="890">
        <f t="shared" si="75"/>
        <v>522321</v>
      </c>
      <c r="AF413" s="890">
        <f t="shared" si="75"/>
        <v>101955</v>
      </c>
      <c r="AG413" s="895">
        <f t="shared" si="76"/>
        <v>-37.5</v>
      </c>
      <c r="AH413" s="890">
        <f t="shared" si="77"/>
        <v>349974</v>
      </c>
      <c r="AI413" s="895">
        <f t="shared" si="78"/>
        <v>-33</v>
      </c>
    </row>
    <row r="414" spans="1:35" s="846" customFormat="1">
      <c r="A414" s="897" t="s">
        <v>57</v>
      </c>
      <c r="B414" s="870">
        <v>37537</v>
      </c>
      <c r="C414" s="870">
        <v>307537</v>
      </c>
      <c r="D414" s="870">
        <v>25347</v>
      </c>
      <c r="E414" s="870">
        <v>236671</v>
      </c>
      <c r="F414" s="870">
        <v>24</v>
      </c>
      <c r="G414" s="870">
        <v>1032</v>
      </c>
      <c r="H414" s="870">
        <v>281</v>
      </c>
      <c r="I414" s="870">
        <v>4641</v>
      </c>
      <c r="J414" s="870">
        <v>14248</v>
      </c>
      <c r="K414" s="870">
        <v>80714</v>
      </c>
      <c r="L414" s="870">
        <v>10733</v>
      </c>
      <c r="M414" s="870">
        <v>62963</v>
      </c>
      <c r="N414" s="870">
        <v>2371</v>
      </c>
      <c r="O414" s="870">
        <v>5398</v>
      </c>
      <c r="P414" s="870">
        <v>2059</v>
      </c>
      <c r="Q414" s="870">
        <v>4138</v>
      </c>
      <c r="R414" s="870">
        <v>42047</v>
      </c>
      <c r="S414" s="870">
        <v>100561</v>
      </c>
      <c r="T414" s="870">
        <v>41202</v>
      </c>
      <c r="U414" s="870">
        <v>89486</v>
      </c>
      <c r="V414" s="870">
        <v>215</v>
      </c>
      <c r="W414" s="870">
        <v>8252</v>
      </c>
      <c r="X414" s="870">
        <v>195</v>
      </c>
      <c r="Y414" s="870">
        <v>11032</v>
      </c>
      <c r="Z414" s="870">
        <v>331</v>
      </c>
      <c r="AA414" s="870">
        <v>9420</v>
      </c>
      <c r="AB414" s="870">
        <v>411</v>
      </c>
      <c r="AC414" s="870">
        <v>10674</v>
      </c>
      <c r="AD414" s="890">
        <f t="shared" si="75"/>
        <v>96773</v>
      </c>
      <c r="AE414" s="890">
        <f t="shared" si="75"/>
        <v>512914</v>
      </c>
      <c r="AF414" s="890">
        <f t="shared" si="75"/>
        <v>80228</v>
      </c>
      <c r="AG414" s="895">
        <f t="shared" si="76"/>
        <v>-17.100000000000001</v>
      </c>
      <c r="AH414" s="890">
        <f t="shared" si="77"/>
        <v>419605</v>
      </c>
      <c r="AI414" s="895">
        <f t="shared" si="78"/>
        <v>-18.2</v>
      </c>
    </row>
    <row r="415" spans="1:35" s="846" customFormat="1">
      <c r="A415" s="897" t="s">
        <v>55</v>
      </c>
      <c r="B415" s="870">
        <v>25277</v>
      </c>
      <c r="C415" s="870">
        <v>155239</v>
      </c>
      <c r="D415" s="870">
        <v>24465</v>
      </c>
      <c r="E415" s="870">
        <v>145262</v>
      </c>
      <c r="F415" s="870">
        <v>515</v>
      </c>
      <c r="G415" s="870">
        <v>967</v>
      </c>
      <c r="H415" s="870">
        <v>91</v>
      </c>
      <c r="I415" s="870">
        <v>694</v>
      </c>
      <c r="J415" s="870">
        <v>47863</v>
      </c>
      <c r="K415" s="870">
        <v>144712</v>
      </c>
      <c r="L415" s="870">
        <v>36545</v>
      </c>
      <c r="M415" s="870">
        <v>113397</v>
      </c>
      <c r="N415" s="870">
        <v>26677</v>
      </c>
      <c r="O415" s="870">
        <v>56558</v>
      </c>
      <c r="P415" s="870">
        <v>20299</v>
      </c>
      <c r="Q415" s="870">
        <v>39857</v>
      </c>
      <c r="R415" s="870">
        <v>24827</v>
      </c>
      <c r="S415" s="870">
        <v>69899</v>
      </c>
      <c r="T415" s="870">
        <v>25835</v>
      </c>
      <c r="U415" s="870">
        <v>64120</v>
      </c>
      <c r="V415" s="870">
        <v>82</v>
      </c>
      <c r="W415" s="870">
        <v>2029</v>
      </c>
      <c r="X415" s="870">
        <v>91</v>
      </c>
      <c r="Y415" s="870">
        <v>2081</v>
      </c>
      <c r="Z415" s="870">
        <v>145</v>
      </c>
      <c r="AA415" s="870">
        <v>2081</v>
      </c>
      <c r="AB415" s="870">
        <v>241</v>
      </c>
      <c r="AC415" s="870">
        <v>1964</v>
      </c>
      <c r="AD415" s="890">
        <f t="shared" si="75"/>
        <v>125386</v>
      </c>
      <c r="AE415" s="890">
        <f t="shared" si="75"/>
        <v>431485</v>
      </c>
      <c r="AF415" s="890">
        <f t="shared" si="75"/>
        <v>107567</v>
      </c>
      <c r="AG415" s="895">
        <f t="shared" si="76"/>
        <v>-14.2</v>
      </c>
      <c r="AH415" s="890">
        <f t="shared" si="77"/>
        <v>367375</v>
      </c>
      <c r="AI415" s="895">
        <f t="shared" si="78"/>
        <v>-14.9</v>
      </c>
    </row>
    <row r="416" spans="1:35" s="846" customFormat="1">
      <c r="A416" s="897" t="s">
        <v>59</v>
      </c>
      <c r="B416" s="870">
        <v>38844</v>
      </c>
      <c r="C416" s="870">
        <v>245560</v>
      </c>
      <c r="D416" s="870">
        <v>29263</v>
      </c>
      <c r="E416" s="870">
        <v>179189</v>
      </c>
      <c r="F416" s="870">
        <v>80</v>
      </c>
      <c r="G416" s="870">
        <v>4373</v>
      </c>
      <c r="H416" s="870">
        <v>134</v>
      </c>
      <c r="I416" s="870">
        <v>5622</v>
      </c>
      <c r="J416" s="870">
        <v>7799</v>
      </c>
      <c r="K416" s="870">
        <v>32051</v>
      </c>
      <c r="L416" s="870">
        <v>7570</v>
      </c>
      <c r="M416" s="870">
        <v>31791</v>
      </c>
      <c r="N416" s="870">
        <v>7</v>
      </c>
      <c r="O416" s="870">
        <v>37</v>
      </c>
      <c r="P416" s="870">
        <v>86</v>
      </c>
      <c r="Q416" s="870">
        <v>1078</v>
      </c>
      <c r="R416" s="870">
        <v>3662</v>
      </c>
      <c r="S416" s="870">
        <v>10489</v>
      </c>
      <c r="T416" s="870">
        <v>2279</v>
      </c>
      <c r="U416" s="870">
        <v>5521</v>
      </c>
      <c r="V416" s="870">
        <v>219</v>
      </c>
      <c r="W416" s="870">
        <v>6683</v>
      </c>
      <c r="X416" s="870">
        <v>318</v>
      </c>
      <c r="Y416" s="870">
        <v>8344</v>
      </c>
      <c r="Z416" s="870">
        <v>425</v>
      </c>
      <c r="AA416" s="870">
        <v>478</v>
      </c>
      <c r="AB416" s="870">
        <v>58</v>
      </c>
      <c r="AC416" s="870">
        <v>596</v>
      </c>
      <c r="AD416" s="890">
        <f t="shared" si="75"/>
        <v>51036</v>
      </c>
      <c r="AE416" s="890">
        <f t="shared" si="75"/>
        <v>299671</v>
      </c>
      <c r="AF416" s="890">
        <f t="shared" si="75"/>
        <v>39708</v>
      </c>
      <c r="AG416" s="895">
        <f t="shared" si="76"/>
        <v>-22.2</v>
      </c>
      <c r="AH416" s="890">
        <f t="shared" si="77"/>
        <v>232141</v>
      </c>
      <c r="AI416" s="895">
        <f t="shared" si="78"/>
        <v>-22.5</v>
      </c>
    </row>
    <row r="417" spans="1:35" s="846" customFormat="1">
      <c r="A417" s="897" t="s">
        <v>58</v>
      </c>
      <c r="B417" s="870">
        <v>7514</v>
      </c>
      <c r="C417" s="870">
        <v>48238</v>
      </c>
      <c r="D417" s="870">
        <v>7289</v>
      </c>
      <c r="E417" s="870">
        <v>45779</v>
      </c>
      <c r="F417" s="870">
        <v>53</v>
      </c>
      <c r="G417" s="870">
        <v>893</v>
      </c>
      <c r="H417" s="870">
        <v>94</v>
      </c>
      <c r="I417" s="870">
        <v>2257</v>
      </c>
      <c r="J417" s="870">
        <v>23106</v>
      </c>
      <c r="K417" s="870">
        <v>73752</v>
      </c>
      <c r="L417" s="870">
        <v>18569</v>
      </c>
      <c r="M417" s="870">
        <v>54559</v>
      </c>
      <c r="N417" s="870">
        <v>22815</v>
      </c>
      <c r="O417" s="870">
        <v>49172</v>
      </c>
      <c r="P417" s="870">
        <v>15980</v>
      </c>
      <c r="Q417" s="870">
        <v>31013</v>
      </c>
      <c r="R417" s="870">
        <v>33116</v>
      </c>
      <c r="S417" s="870">
        <v>90297</v>
      </c>
      <c r="T417" s="870">
        <v>32455</v>
      </c>
      <c r="U417" s="870">
        <v>77608</v>
      </c>
      <c r="V417" s="870">
        <v>30</v>
      </c>
      <c r="W417" s="870">
        <v>793</v>
      </c>
      <c r="X417" s="870">
        <v>32</v>
      </c>
      <c r="Y417" s="870">
        <v>829</v>
      </c>
      <c r="Z417" s="870">
        <v>15</v>
      </c>
      <c r="AA417" s="870">
        <v>426</v>
      </c>
      <c r="AB417" s="870">
        <v>1</v>
      </c>
      <c r="AC417" s="870">
        <v>111</v>
      </c>
      <c r="AD417" s="890">
        <f t="shared" si="75"/>
        <v>86649</v>
      </c>
      <c r="AE417" s="890">
        <f t="shared" si="75"/>
        <v>263571</v>
      </c>
      <c r="AF417" s="890">
        <f t="shared" si="75"/>
        <v>74420</v>
      </c>
      <c r="AG417" s="895">
        <f t="shared" si="76"/>
        <v>-14.1</v>
      </c>
      <c r="AH417" s="890">
        <f t="shared" si="77"/>
        <v>212156</v>
      </c>
      <c r="AI417" s="895">
        <f t="shared" si="78"/>
        <v>-19.5</v>
      </c>
    </row>
    <row r="418" spans="1:35" s="846" customFormat="1">
      <c r="A418" s="897" t="s">
        <v>61</v>
      </c>
      <c r="B418" s="870">
        <v>13847</v>
      </c>
      <c r="C418" s="870">
        <v>89889</v>
      </c>
      <c r="D418" s="870">
        <v>12608</v>
      </c>
      <c r="E418" s="870">
        <v>81510</v>
      </c>
      <c r="F418" s="870">
        <v>8</v>
      </c>
      <c r="G418" s="870">
        <v>99</v>
      </c>
      <c r="H418" s="870">
        <v>7</v>
      </c>
      <c r="I418" s="870">
        <v>75</v>
      </c>
      <c r="J418" s="870">
        <v>38576</v>
      </c>
      <c r="K418" s="870">
        <v>112522</v>
      </c>
      <c r="L418" s="870">
        <v>40029</v>
      </c>
      <c r="M418" s="870">
        <v>107717</v>
      </c>
      <c r="N418" s="870">
        <v>2544</v>
      </c>
      <c r="O418" s="870">
        <v>12608</v>
      </c>
      <c r="P418" s="870">
        <v>2945</v>
      </c>
      <c r="Q418" s="870">
        <v>15215</v>
      </c>
      <c r="R418" s="870">
        <v>10729</v>
      </c>
      <c r="S418" s="870">
        <v>31338</v>
      </c>
      <c r="T418" s="870">
        <v>10964</v>
      </c>
      <c r="U418" s="870">
        <v>27265</v>
      </c>
      <c r="V418" s="870">
        <v>0</v>
      </c>
      <c r="W418" s="870">
        <v>0</v>
      </c>
      <c r="X418" s="870">
        <v>0</v>
      </c>
      <c r="Y418" s="870">
        <v>0</v>
      </c>
      <c r="Z418" s="870">
        <v>29</v>
      </c>
      <c r="AA418" s="870">
        <v>399</v>
      </c>
      <c r="AB418" s="870">
        <v>34</v>
      </c>
      <c r="AC418" s="870">
        <v>627</v>
      </c>
      <c r="AD418" s="890">
        <f t="shared" si="75"/>
        <v>65733</v>
      </c>
      <c r="AE418" s="890">
        <f t="shared" si="75"/>
        <v>246855</v>
      </c>
      <c r="AF418" s="890">
        <f t="shared" si="75"/>
        <v>66587</v>
      </c>
      <c r="AG418" s="895">
        <f t="shared" si="76"/>
        <v>1.3</v>
      </c>
      <c r="AH418" s="890">
        <f t="shared" si="77"/>
        <v>232409</v>
      </c>
      <c r="AI418" s="895">
        <f t="shared" si="78"/>
        <v>-5.9</v>
      </c>
    </row>
    <row r="419" spans="1:35" s="846" customFormat="1">
      <c r="A419" s="897" t="s">
        <v>60</v>
      </c>
      <c r="B419" s="870">
        <v>14504</v>
      </c>
      <c r="C419" s="870">
        <v>90681</v>
      </c>
      <c r="D419" s="870">
        <v>13262</v>
      </c>
      <c r="E419" s="870">
        <v>71708</v>
      </c>
      <c r="F419" s="870">
        <v>12</v>
      </c>
      <c r="G419" s="870">
        <v>394</v>
      </c>
      <c r="H419" s="870">
        <v>158</v>
      </c>
      <c r="I419" s="870">
        <v>1026</v>
      </c>
      <c r="J419" s="870">
        <v>3245</v>
      </c>
      <c r="K419" s="870">
        <v>21315</v>
      </c>
      <c r="L419" s="870">
        <v>3518</v>
      </c>
      <c r="M419" s="870">
        <v>22591</v>
      </c>
      <c r="N419" s="870">
        <v>16</v>
      </c>
      <c r="O419" s="870">
        <v>68</v>
      </c>
      <c r="P419" s="870">
        <v>57</v>
      </c>
      <c r="Q419" s="870">
        <v>195</v>
      </c>
      <c r="R419" s="870">
        <v>26288</v>
      </c>
      <c r="S419" s="870">
        <v>74012</v>
      </c>
      <c r="T419" s="870">
        <v>14407</v>
      </c>
      <c r="U419" s="870">
        <v>35055</v>
      </c>
      <c r="V419" s="870">
        <v>6</v>
      </c>
      <c r="W419" s="870">
        <v>133</v>
      </c>
      <c r="X419" s="870">
        <v>2</v>
      </c>
      <c r="Y419" s="870">
        <v>77</v>
      </c>
      <c r="Z419" s="870">
        <v>690</v>
      </c>
      <c r="AA419" s="870">
        <v>5076</v>
      </c>
      <c r="AB419" s="870">
        <v>863</v>
      </c>
      <c r="AC419" s="870">
        <v>5582</v>
      </c>
      <c r="AD419" s="890">
        <f t="shared" si="75"/>
        <v>44761</v>
      </c>
      <c r="AE419" s="890">
        <f t="shared" si="75"/>
        <v>191679</v>
      </c>
      <c r="AF419" s="890">
        <f t="shared" si="75"/>
        <v>32267</v>
      </c>
      <c r="AG419" s="895">
        <f t="shared" si="76"/>
        <v>-27.9</v>
      </c>
      <c r="AH419" s="890">
        <f t="shared" si="77"/>
        <v>136234</v>
      </c>
      <c r="AI419" s="895">
        <f t="shared" si="78"/>
        <v>-28.9</v>
      </c>
    </row>
    <row r="420" spans="1:35" s="846" customFormat="1">
      <c r="A420" s="897" t="s">
        <v>65</v>
      </c>
      <c r="B420" s="870">
        <v>5652</v>
      </c>
      <c r="C420" s="870">
        <v>37881</v>
      </c>
      <c r="D420" s="870">
        <v>739</v>
      </c>
      <c r="E420" s="870">
        <v>5582</v>
      </c>
      <c r="F420" s="870">
        <v>0</v>
      </c>
      <c r="G420" s="870">
        <v>8</v>
      </c>
      <c r="H420" s="870">
        <v>1</v>
      </c>
      <c r="I420" s="870">
        <v>47</v>
      </c>
      <c r="J420" s="870">
        <v>49077</v>
      </c>
      <c r="K420" s="870">
        <v>136615</v>
      </c>
      <c r="L420" s="870">
        <v>43445</v>
      </c>
      <c r="M420" s="870">
        <v>118084</v>
      </c>
      <c r="N420" s="870">
        <v>1</v>
      </c>
      <c r="O420" s="870">
        <v>8</v>
      </c>
      <c r="P420" s="870">
        <v>20</v>
      </c>
      <c r="Q420" s="870">
        <v>44</v>
      </c>
      <c r="R420" s="870">
        <v>55</v>
      </c>
      <c r="S420" s="870">
        <v>475</v>
      </c>
      <c r="T420" s="870">
        <v>50</v>
      </c>
      <c r="U420" s="870">
        <v>511</v>
      </c>
      <c r="V420" s="870">
        <v>3</v>
      </c>
      <c r="W420" s="870">
        <v>132</v>
      </c>
      <c r="X420" s="870">
        <v>2</v>
      </c>
      <c r="Y420" s="870">
        <v>77</v>
      </c>
      <c r="Z420" s="870">
        <v>1</v>
      </c>
      <c r="AA420" s="870">
        <v>112</v>
      </c>
      <c r="AB420" s="870">
        <v>1</v>
      </c>
      <c r="AC420" s="870">
        <v>89</v>
      </c>
      <c r="AD420" s="890">
        <f t="shared" si="75"/>
        <v>54789</v>
      </c>
      <c r="AE420" s="890">
        <f t="shared" si="75"/>
        <v>175231</v>
      </c>
      <c r="AF420" s="890">
        <f t="shared" si="75"/>
        <v>44258</v>
      </c>
      <c r="AG420" s="895">
        <f t="shared" si="76"/>
        <v>-19.2</v>
      </c>
      <c r="AH420" s="890">
        <f t="shared" si="77"/>
        <v>124434</v>
      </c>
      <c r="AI420" s="895">
        <f t="shared" si="78"/>
        <v>-29</v>
      </c>
    </row>
    <row r="421" spans="1:35" s="846" customFormat="1">
      <c r="A421" s="897" t="s">
        <v>63</v>
      </c>
      <c r="B421" s="870">
        <v>1740</v>
      </c>
      <c r="C421" s="870">
        <v>13240</v>
      </c>
      <c r="D421" s="870">
        <v>1607</v>
      </c>
      <c r="E421" s="870">
        <v>12297</v>
      </c>
      <c r="F421" s="870">
        <v>28</v>
      </c>
      <c r="G421" s="870">
        <v>1964</v>
      </c>
      <c r="H421" s="870">
        <v>29</v>
      </c>
      <c r="I421" s="870">
        <v>479</v>
      </c>
      <c r="J421" s="870">
        <v>23282</v>
      </c>
      <c r="K421" s="870">
        <v>56242</v>
      </c>
      <c r="L421" s="870">
        <v>24503</v>
      </c>
      <c r="M421" s="870">
        <v>50855</v>
      </c>
      <c r="N421" s="870">
        <v>2</v>
      </c>
      <c r="O421" s="870">
        <v>10</v>
      </c>
      <c r="P421" s="870">
        <v>21</v>
      </c>
      <c r="Q421" s="870">
        <v>43</v>
      </c>
      <c r="R421" s="870">
        <v>13106</v>
      </c>
      <c r="S421" s="870">
        <v>35717</v>
      </c>
      <c r="T421" s="870">
        <v>13094</v>
      </c>
      <c r="U421" s="870">
        <v>30270</v>
      </c>
      <c r="V421" s="870">
        <v>0</v>
      </c>
      <c r="W421" s="870">
        <v>0</v>
      </c>
      <c r="X421" s="870">
        <v>0</v>
      </c>
      <c r="Y421" s="870">
        <v>0</v>
      </c>
      <c r="Z421" s="870">
        <v>2</v>
      </c>
      <c r="AA421" s="870">
        <v>33</v>
      </c>
      <c r="AB421" s="870">
        <v>0</v>
      </c>
      <c r="AC421" s="870">
        <v>16</v>
      </c>
      <c r="AD421" s="890">
        <f t="shared" si="75"/>
        <v>38160</v>
      </c>
      <c r="AE421" s="890">
        <f t="shared" si="75"/>
        <v>107206</v>
      </c>
      <c r="AF421" s="890">
        <f t="shared" si="75"/>
        <v>39254</v>
      </c>
      <c r="AG421" s="895">
        <f t="shared" si="76"/>
        <v>2.9</v>
      </c>
      <c r="AH421" s="890">
        <f t="shared" si="77"/>
        <v>93960</v>
      </c>
      <c r="AI421" s="895">
        <f t="shared" si="78"/>
        <v>-12.4</v>
      </c>
    </row>
    <row r="422" spans="1:35" s="846" customFormat="1">
      <c r="A422" s="897" t="s">
        <v>64</v>
      </c>
      <c r="B422" s="870">
        <v>2357</v>
      </c>
      <c r="C422" s="870">
        <v>17200</v>
      </c>
      <c r="D422" s="870">
        <v>1879</v>
      </c>
      <c r="E422" s="870">
        <v>13976</v>
      </c>
      <c r="F422" s="870">
        <v>14</v>
      </c>
      <c r="G422" s="870">
        <v>1026</v>
      </c>
      <c r="H422" s="870">
        <v>18</v>
      </c>
      <c r="I422" s="870">
        <v>1744</v>
      </c>
      <c r="J422" s="870">
        <v>11188</v>
      </c>
      <c r="K422" s="870">
        <v>31246</v>
      </c>
      <c r="L422" s="870">
        <v>16181</v>
      </c>
      <c r="M422" s="870">
        <v>39861</v>
      </c>
      <c r="N422" s="870">
        <v>45</v>
      </c>
      <c r="O422" s="870">
        <v>89</v>
      </c>
      <c r="P422" s="870">
        <v>50</v>
      </c>
      <c r="Q422" s="870">
        <v>89</v>
      </c>
      <c r="R422" s="870">
        <v>17316</v>
      </c>
      <c r="S422" s="870">
        <v>44907</v>
      </c>
      <c r="T422" s="870">
        <v>10796</v>
      </c>
      <c r="U422" s="870">
        <v>25107</v>
      </c>
      <c r="V422" s="870">
        <v>216</v>
      </c>
      <c r="W422" s="870">
        <v>1136</v>
      </c>
      <c r="X422" s="870">
        <v>272</v>
      </c>
      <c r="Y422" s="870">
        <v>1480</v>
      </c>
      <c r="Z422" s="870">
        <v>29</v>
      </c>
      <c r="AA422" s="870">
        <v>300</v>
      </c>
      <c r="AB422" s="870">
        <v>0</v>
      </c>
      <c r="AC422" s="870">
        <v>52</v>
      </c>
      <c r="AD422" s="890">
        <f t="shared" si="75"/>
        <v>31165</v>
      </c>
      <c r="AE422" s="890">
        <f t="shared" si="75"/>
        <v>95904</v>
      </c>
      <c r="AF422" s="890">
        <f t="shared" si="75"/>
        <v>29196</v>
      </c>
      <c r="AG422" s="895">
        <f t="shared" si="76"/>
        <v>-6.3</v>
      </c>
      <c r="AH422" s="890">
        <f t="shared" si="77"/>
        <v>82309</v>
      </c>
      <c r="AI422" s="895">
        <f t="shared" si="78"/>
        <v>-14.2</v>
      </c>
    </row>
    <row r="423" spans="1:35" s="846" customFormat="1">
      <c r="A423" s="897" t="s">
        <v>62</v>
      </c>
      <c r="B423" s="870">
        <v>3466</v>
      </c>
      <c r="C423" s="870">
        <v>21395</v>
      </c>
      <c r="D423" s="870">
        <v>2540</v>
      </c>
      <c r="E423" s="870">
        <v>15564</v>
      </c>
      <c r="F423" s="870">
        <v>0</v>
      </c>
      <c r="G423" s="870">
        <v>0</v>
      </c>
      <c r="H423" s="870">
        <v>0</v>
      </c>
      <c r="I423" s="870">
        <v>0</v>
      </c>
      <c r="J423" s="870">
        <v>5100</v>
      </c>
      <c r="K423" s="870">
        <v>22056</v>
      </c>
      <c r="L423" s="870">
        <v>4568</v>
      </c>
      <c r="M423" s="870">
        <v>17968</v>
      </c>
      <c r="N423" s="870">
        <v>2634</v>
      </c>
      <c r="O423" s="870">
        <v>5730</v>
      </c>
      <c r="P423" s="870">
        <v>4180</v>
      </c>
      <c r="Q423" s="870">
        <v>7999</v>
      </c>
      <c r="R423" s="870">
        <v>14973</v>
      </c>
      <c r="S423" s="870">
        <v>41750</v>
      </c>
      <c r="T423" s="870">
        <v>9616</v>
      </c>
      <c r="U423" s="870">
        <v>22300</v>
      </c>
      <c r="V423" s="870">
        <v>0</v>
      </c>
      <c r="W423" s="870">
        <v>0</v>
      </c>
      <c r="X423" s="870">
        <v>0</v>
      </c>
      <c r="Y423" s="870">
        <v>0</v>
      </c>
      <c r="Z423" s="870">
        <v>15136</v>
      </c>
      <c r="AA423" s="870">
        <v>851</v>
      </c>
      <c r="AB423" s="870">
        <v>0</v>
      </c>
      <c r="AC423" s="870">
        <v>0</v>
      </c>
      <c r="AD423" s="890">
        <f t="shared" si="75"/>
        <v>41309</v>
      </c>
      <c r="AE423" s="890">
        <f t="shared" si="75"/>
        <v>91782</v>
      </c>
      <c r="AF423" s="890">
        <f t="shared" si="75"/>
        <v>20904</v>
      </c>
      <c r="AG423" s="895">
        <f t="shared" si="76"/>
        <v>-49.4</v>
      </c>
      <c r="AH423" s="890">
        <f t="shared" si="77"/>
        <v>63831</v>
      </c>
      <c r="AI423" s="895">
        <f t="shared" si="78"/>
        <v>-30.5</v>
      </c>
    </row>
    <row r="424" spans="1:35" s="846" customFormat="1">
      <c r="A424" s="897" t="s">
        <v>448</v>
      </c>
      <c r="B424" s="870">
        <v>2177</v>
      </c>
      <c r="C424" s="870">
        <v>31167</v>
      </c>
      <c r="D424" s="870">
        <v>7979</v>
      </c>
      <c r="E424" s="870">
        <v>104584</v>
      </c>
      <c r="F424" s="870">
        <v>47</v>
      </c>
      <c r="G424" s="870">
        <v>3408</v>
      </c>
      <c r="H424" s="870">
        <v>41</v>
      </c>
      <c r="I424" s="870">
        <v>2574</v>
      </c>
      <c r="J424" s="870">
        <v>9200</v>
      </c>
      <c r="K424" s="870">
        <v>52237</v>
      </c>
      <c r="L424" s="870">
        <v>8884</v>
      </c>
      <c r="M424" s="870">
        <v>64325</v>
      </c>
      <c r="N424" s="870">
        <v>18</v>
      </c>
      <c r="O424" s="870">
        <v>7</v>
      </c>
      <c r="P424" s="870">
        <v>12</v>
      </c>
      <c r="Q424" s="870">
        <v>48</v>
      </c>
      <c r="R424" s="870">
        <v>21</v>
      </c>
      <c r="S424" s="870">
        <v>263</v>
      </c>
      <c r="T424" s="870">
        <v>37</v>
      </c>
      <c r="U424" s="870">
        <v>263</v>
      </c>
      <c r="V424" s="870">
        <v>3</v>
      </c>
      <c r="W424" s="870">
        <v>134</v>
      </c>
      <c r="X424" s="870">
        <v>6</v>
      </c>
      <c r="Y424" s="870">
        <v>180</v>
      </c>
      <c r="Z424" s="870">
        <v>1</v>
      </c>
      <c r="AA424" s="870">
        <v>173</v>
      </c>
      <c r="AB424" s="870">
        <v>0</v>
      </c>
      <c r="AC424" s="870">
        <v>135</v>
      </c>
      <c r="AD424" s="890">
        <f t="shared" si="75"/>
        <v>11467</v>
      </c>
      <c r="AE424" s="890">
        <f t="shared" si="75"/>
        <v>87389</v>
      </c>
      <c r="AF424" s="890">
        <f t="shared" si="75"/>
        <v>16959</v>
      </c>
      <c r="AG424" s="895">
        <f t="shared" si="76"/>
        <v>47.9</v>
      </c>
      <c r="AH424" s="890">
        <f t="shared" si="77"/>
        <v>172109</v>
      </c>
      <c r="AI424" s="895">
        <f t="shared" si="78"/>
        <v>96.9</v>
      </c>
    </row>
    <row r="425" spans="1:35" s="846" customFormat="1">
      <c r="A425" s="897" t="s">
        <v>77</v>
      </c>
      <c r="B425" s="870">
        <v>975</v>
      </c>
      <c r="C425" s="870">
        <v>10362</v>
      </c>
      <c r="D425" s="870">
        <v>1149</v>
      </c>
      <c r="E425" s="870">
        <v>10305</v>
      </c>
      <c r="F425" s="870">
        <v>18</v>
      </c>
      <c r="G425" s="870">
        <v>47</v>
      </c>
      <c r="H425" s="870">
        <v>1</v>
      </c>
      <c r="I425" s="870">
        <v>72</v>
      </c>
      <c r="J425" s="870">
        <v>30174</v>
      </c>
      <c r="K425" s="870">
        <v>69128</v>
      </c>
      <c r="L425" s="870">
        <v>29274</v>
      </c>
      <c r="M425" s="870">
        <v>67381</v>
      </c>
      <c r="N425" s="870">
        <v>0</v>
      </c>
      <c r="O425" s="870">
        <v>0</v>
      </c>
      <c r="P425" s="870">
        <v>293</v>
      </c>
      <c r="Q425" s="870">
        <v>536</v>
      </c>
      <c r="R425" s="870">
        <v>0</v>
      </c>
      <c r="S425" s="870">
        <v>8</v>
      </c>
      <c r="T425" s="870">
        <v>1</v>
      </c>
      <c r="U425" s="870">
        <v>8</v>
      </c>
      <c r="V425" s="870">
        <v>1</v>
      </c>
      <c r="W425" s="870">
        <v>1</v>
      </c>
      <c r="X425" s="870">
        <v>7</v>
      </c>
      <c r="Y425" s="870">
        <v>10</v>
      </c>
      <c r="Z425" s="870">
        <v>2</v>
      </c>
      <c r="AA425" s="870">
        <v>28</v>
      </c>
      <c r="AB425" s="870">
        <v>2</v>
      </c>
      <c r="AC425" s="870">
        <v>22</v>
      </c>
      <c r="AD425" s="890">
        <f t="shared" si="75"/>
        <v>31170</v>
      </c>
      <c r="AE425" s="890">
        <f t="shared" si="75"/>
        <v>79574</v>
      </c>
      <c r="AF425" s="890">
        <f t="shared" si="75"/>
        <v>30727</v>
      </c>
      <c r="AG425" s="895">
        <f t="shared" si="76"/>
        <v>-1.4</v>
      </c>
      <c r="AH425" s="890">
        <f t="shared" si="77"/>
        <v>78334</v>
      </c>
      <c r="AI425" s="895">
        <f t="shared" si="78"/>
        <v>-1.6</v>
      </c>
    </row>
    <row r="426" spans="1:35" s="846" customFormat="1">
      <c r="A426" s="897" t="s">
        <v>75</v>
      </c>
      <c r="B426" s="870">
        <v>483</v>
      </c>
      <c r="C426" s="870">
        <v>4311</v>
      </c>
      <c r="D426" s="870">
        <v>1941</v>
      </c>
      <c r="E426" s="870">
        <v>15046</v>
      </c>
      <c r="F426" s="870">
        <v>1</v>
      </c>
      <c r="G426" s="870">
        <v>35</v>
      </c>
      <c r="H426" s="870">
        <v>2</v>
      </c>
      <c r="I426" s="870">
        <v>56</v>
      </c>
      <c r="J426" s="870">
        <v>19796</v>
      </c>
      <c r="K426" s="870">
        <v>51247</v>
      </c>
      <c r="L426" s="870">
        <v>25335</v>
      </c>
      <c r="M426" s="870">
        <v>60084</v>
      </c>
      <c r="N426" s="870">
        <v>0</v>
      </c>
      <c r="O426" s="870">
        <v>1</v>
      </c>
      <c r="P426" s="870">
        <v>0</v>
      </c>
      <c r="Q426" s="870">
        <v>0</v>
      </c>
      <c r="R426" s="870">
        <v>311</v>
      </c>
      <c r="S426" s="870">
        <v>820</v>
      </c>
      <c r="T426" s="870">
        <v>99</v>
      </c>
      <c r="U426" s="870">
        <v>261</v>
      </c>
      <c r="V426" s="870">
        <v>85</v>
      </c>
      <c r="W426" s="870">
        <v>1765</v>
      </c>
      <c r="X426" s="870">
        <v>25</v>
      </c>
      <c r="Y426" s="870">
        <v>381</v>
      </c>
      <c r="Z426" s="870">
        <v>134</v>
      </c>
      <c r="AA426" s="870">
        <v>372</v>
      </c>
      <c r="AB426" s="870">
        <v>80</v>
      </c>
      <c r="AC426" s="870">
        <v>374</v>
      </c>
      <c r="AD426" s="890">
        <f t="shared" si="75"/>
        <v>20810</v>
      </c>
      <c r="AE426" s="890">
        <f t="shared" si="75"/>
        <v>58551</v>
      </c>
      <c r="AF426" s="890">
        <f t="shared" si="75"/>
        <v>27482</v>
      </c>
      <c r="AG426" s="895">
        <f t="shared" si="76"/>
        <v>32.1</v>
      </c>
      <c r="AH426" s="890">
        <f t="shared" si="77"/>
        <v>76202</v>
      </c>
      <c r="AI426" s="895">
        <f t="shared" si="78"/>
        <v>30.1</v>
      </c>
    </row>
    <row r="427" spans="1:35" s="846" customFormat="1">
      <c r="A427" s="897" t="s">
        <v>449</v>
      </c>
      <c r="B427" s="870">
        <v>3164</v>
      </c>
      <c r="C427" s="870">
        <v>38395</v>
      </c>
      <c r="D427" s="870">
        <v>5122</v>
      </c>
      <c r="E427" s="870">
        <v>59275</v>
      </c>
      <c r="F427" s="870">
        <v>1</v>
      </c>
      <c r="G427" s="870">
        <v>0</v>
      </c>
      <c r="H427" s="870">
        <v>1</v>
      </c>
      <c r="I427" s="870">
        <v>25</v>
      </c>
      <c r="J427" s="870">
        <v>1984</v>
      </c>
      <c r="K427" s="870">
        <v>11502</v>
      </c>
      <c r="L427" s="870">
        <v>6326</v>
      </c>
      <c r="M427" s="870">
        <v>29688</v>
      </c>
      <c r="N427" s="870">
        <v>0</v>
      </c>
      <c r="O427" s="870">
        <v>0</v>
      </c>
      <c r="P427" s="870">
        <v>0</v>
      </c>
      <c r="Q427" s="870">
        <v>0</v>
      </c>
      <c r="R427" s="870">
        <v>0</v>
      </c>
      <c r="S427" s="870">
        <v>1</v>
      </c>
      <c r="T427" s="870">
        <v>0</v>
      </c>
      <c r="U427" s="870">
        <v>0</v>
      </c>
      <c r="V427" s="870">
        <v>0</v>
      </c>
      <c r="W427" s="870">
        <v>0</v>
      </c>
      <c r="X427" s="870">
        <v>0</v>
      </c>
      <c r="Y427" s="870">
        <v>1</v>
      </c>
      <c r="Z427" s="870">
        <v>0</v>
      </c>
      <c r="AA427" s="870">
        <v>16</v>
      </c>
      <c r="AB427" s="870">
        <v>1</v>
      </c>
      <c r="AC427" s="870">
        <v>106</v>
      </c>
      <c r="AD427" s="890">
        <f t="shared" si="75"/>
        <v>5149</v>
      </c>
      <c r="AE427" s="890">
        <f t="shared" si="75"/>
        <v>49914</v>
      </c>
      <c r="AF427" s="890">
        <f t="shared" si="75"/>
        <v>11450</v>
      </c>
      <c r="AG427" s="895">
        <f t="shared" si="76"/>
        <v>122.4</v>
      </c>
      <c r="AH427" s="890">
        <f t="shared" si="77"/>
        <v>89095</v>
      </c>
      <c r="AI427" s="895">
        <f t="shared" si="78"/>
        <v>78.5</v>
      </c>
    </row>
    <row r="428" spans="1:35" s="846" customFormat="1">
      <c r="A428" s="897" t="s">
        <v>68</v>
      </c>
      <c r="B428" s="870">
        <v>900</v>
      </c>
      <c r="C428" s="870">
        <v>12425</v>
      </c>
      <c r="D428" s="870">
        <v>829</v>
      </c>
      <c r="E428" s="870">
        <v>10666</v>
      </c>
      <c r="F428" s="870">
        <v>152</v>
      </c>
      <c r="G428" s="870">
        <v>1536</v>
      </c>
      <c r="H428" s="870">
        <v>280</v>
      </c>
      <c r="I428" s="870">
        <v>1602</v>
      </c>
      <c r="J428" s="870">
        <v>6112</v>
      </c>
      <c r="K428" s="870">
        <v>28669</v>
      </c>
      <c r="L428" s="870">
        <v>2102</v>
      </c>
      <c r="M428" s="870">
        <v>10276</v>
      </c>
      <c r="N428" s="870">
        <v>0</v>
      </c>
      <c r="O428" s="870">
        <v>0</v>
      </c>
      <c r="P428" s="870">
        <v>1</v>
      </c>
      <c r="Q428" s="870">
        <v>48</v>
      </c>
      <c r="R428" s="870">
        <v>7</v>
      </c>
      <c r="S428" s="870">
        <v>42</v>
      </c>
      <c r="T428" s="870">
        <v>5</v>
      </c>
      <c r="U428" s="870">
        <v>55</v>
      </c>
      <c r="V428" s="870">
        <v>0</v>
      </c>
      <c r="W428" s="870">
        <v>69</v>
      </c>
      <c r="X428" s="870">
        <v>0</v>
      </c>
      <c r="Y428" s="870">
        <v>43</v>
      </c>
      <c r="Z428" s="870">
        <v>55</v>
      </c>
      <c r="AA428" s="870">
        <v>7286</v>
      </c>
      <c r="AB428" s="870">
        <v>75</v>
      </c>
      <c r="AC428" s="870">
        <v>7256</v>
      </c>
      <c r="AD428" s="890">
        <f t="shared" si="75"/>
        <v>7226</v>
      </c>
      <c r="AE428" s="890">
        <f t="shared" si="75"/>
        <v>50027</v>
      </c>
      <c r="AF428" s="890">
        <f t="shared" si="75"/>
        <v>3292</v>
      </c>
      <c r="AG428" s="895">
        <f t="shared" si="76"/>
        <v>-54.4</v>
      </c>
      <c r="AH428" s="890">
        <f t="shared" si="77"/>
        <v>29946</v>
      </c>
      <c r="AI428" s="895">
        <f t="shared" si="78"/>
        <v>-40.1</v>
      </c>
    </row>
    <row r="429" spans="1:35" s="846" customFormat="1">
      <c r="A429" s="897" t="s">
        <v>66</v>
      </c>
      <c r="B429" s="870">
        <v>3549</v>
      </c>
      <c r="C429" s="870">
        <v>20418</v>
      </c>
      <c r="D429" s="870">
        <v>2642</v>
      </c>
      <c r="E429" s="870">
        <v>18126</v>
      </c>
      <c r="F429" s="870">
        <v>47</v>
      </c>
      <c r="G429" s="870">
        <v>805</v>
      </c>
      <c r="H429" s="870">
        <v>144</v>
      </c>
      <c r="I429" s="870">
        <v>1488</v>
      </c>
      <c r="J429" s="870">
        <v>3881</v>
      </c>
      <c r="K429" s="870">
        <v>16948</v>
      </c>
      <c r="L429" s="870">
        <v>2523</v>
      </c>
      <c r="M429" s="870">
        <v>14132</v>
      </c>
      <c r="N429" s="870">
        <v>76</v>
      </c>
      <c r="O429" s="870">
        <v>162</v>
      </c>
      <c r="P429" s="870">
        <v>97</v>
      </c>
      <c r="Q429" s="870">
        <v>134</v>
      </c>
      <c r="R429" s="870">
        <v>1776</v>
      </c>
      <c r="S429" s="870">
        <v>5285</v>
      </c>
      <c r="T429" s="870">
        <v>1472</v>
      </c>
      <c r="U429" s="870">
        <v>3786</v>
      </c>
      <c r="V429" s="870">
        <v>24</v>
      </c>
      <c r="W429" s="870">
        <v>492</v>
      </c>
      <c r="X429" s="870">
        <v>0</v>
      </c>
      <c r="Y429" s="870">
        <v>8</v>
      </c>
      <c r="Z429" s="870">
        <v>257</v>
      </c>
      <c r="AA429" s="870">
        <v>2639</v>
      </c>
      <c r="AB429" s="870">
        <v>368</v>
      </c>
      <c r="AC429" s="870">
        <v>1416</v>
      </c>
      <c r="AD429" s="890">
        <f t="shared" si="75"/>
        <v>9610</v>
      </c>
      <c r="AE429" s="890">
        <f t="shared" si="75"/>
        <v>46749</v>
      </c>
      <c r="AF429" s="890">
        <f t="shared" si="75"/>
        <v>7246</v>
      </c>
      <c r="AG429" s="895">
        <f t="shared" si="76"/>
        <v>-24.6</v>
      </c>
      <c r="AH429" s="890">
        <f t="shared" si="77"/>
        <v>39090</v>
      </c>
      <c r="AI429" s="895">
        <f t="shared" si="78"/>
        <v>-16.399999999999999</v>
      </c>
    </row>
    <row r="430" spans="1:35" s="846" customFormat="1">
      <c r="A430" s="897" t="s">
        <v>73</v>
      </c>
      <c r="B430" s="870">
        <v>903</v>
      </c>
      <c r="C430" s="870">
        <v>5991</v>
      </c>
      <c r="D430" s="870">
        <v>1502</v>
      </c>
      <c r="E430" s="870">
        <v>8049</v>
      </c>
      <c r="F430" s="870">
        <v>40</v>
      </c>
      <c r="G430" s="870">
        <v>454</v>
      </c>
      <c r="H430" s="870">
        <v>79</v>
      </c>
      <c r="I430" s="870">
        <v>475</v>
      </c>
      <c r="J430" s="870">
        <v>13233</v>
      </c>
      <c r="K430" s="870">
        <v>35059</v>
      </c>
      <c r="L430" s="870">
        <v>2607</v>
      </c>
      <c r="M430" s="870">
        <v>12441</v>
      </c>
      <c r="N430" s="870">
        <v>0</v>
      </c>
      <c r="O430" s="870">
        <v>0</v>
      </c>
      <c r="P430" s="870">
        <v>0</v>
      </c>
      <c r="Q430" s="870">
        <v>0</v>
      </c>
      <c r="R430" s="870">
        <v>1</v>
      </c>
      <c r="S430" s="870">
        <v>7</v>
      </c>
      <c r="T430" s="870">
        <v>1</v>
      </c>
      <c r="U430" s="870">
        <v>14</v>
      </c>
      <c r="V430" s="870">
        <v>20</v>
      </c>
      <c r="W430" s="870">
        <v>321</v>
      </c>
      <c r="X430" s="870">
        <v>26</v>
      </c>
      <c r="Y430" s="870">
        <v>359</v>
      </c>
      <c r="Z430" s="870">
        <v>20</v>
      </c>
      <c r="AA430" s="870">
        <v>339</v>
      </c>
      <c r="AB430" s="870">
        <v>23</v>
      </c>
      <c r="AC430" s="870">
        <v>423</v>
      </c>
      <c r="AD430" s="890">
        <f t="shared" si="75"/>
        <v>14217</v>
      </c>
      <c r="AE430" s="890">
        <f t="shared" si="75"/>
        <v>42171</v>
      </c>
      <c r="AF430" s="890">
        <f t="shared" si="75"/>
        <v>4238</v>
      </c>
      <c r="AG430" s="895">
        <f t="shared" si="76"/>
        <v>-70.2</v>
      </c>
      <c r="AH430" s="890">
        <f t="shared" si="77"/>
        <v>21761</v>
      </c>
      <c r="AI430" s="895">
        <f t="shared" si="78"/>
        <v>-48.4</v>
      </c>
    </row>
    <row r="431" spans="1:35" s="846" customFormat="1">
      <c r="A431" s="897" t="s">
        <v>71</v>
      </c>
      <c r="B431" s="870">
        <v>2626</v>
      </c>
      <c r="C431" s="870">
        <v>20322</v>
      </c>
      <c r="D431" s="870">
        <v>2543</v>
      </c>
      <c r="E431" s="870">
        <v>19164</v>
      </c>
      <c r="F431" s="870">
        <v>201</v>
      </c>
      <c r="G431" s="870">
        <v>2155</v>
      </c>
      <c r="H431" s="870">
        <v>173</v>
      </c>
      <c r="I431" s="870">
        <v>854</v>
      </c>
      <c r="J431" s="870">
        <v>5100</v>
      </c>
      <c r="K431" s="870">
        <v>14618</v>
      </c>
      <c r="L431" s="870">
        <v>675</v>
      </c>
      <c r="M431" s="870">
        <v>2985</v>
      </c>
      <c r="N431" s="870">
        <v>0</v>
      </c>
      <c r="O431" s="870">
        <v>0</v>
      </c>
      <c r="P431" s="870">
        <v>0</v>
      </c>
      <c r="Q431" s="870">
        <v>0</v>
      </c>
      <c r="R431" s="870">
        <v>17</v>
      </c>
      <c r="S431" s="870">
        <v>19</v>
      </c>
      <c r="T431" s="870">
        <v>1</v>
      </c>
      <c r="U431" s="870">
        <v>3</v>
      </c>
      <c r="V431" s="870">
        <v>0</v>
      </c>
      <c r="W431" s="870">
        <v>0</v>
      </c>
      <c r="X431" s="870">
        <v>0</v>
      </c>
      <c r="Y431" s="870">
        <v>0</v>
      </c>
      <c r="Z431" s="870">
        <v>300</v>
      </c>
      <c r="AA431" s="870">
        <v>3312</v>
      </c>
      <c r="AB431" s="870">
        <v>158</v>
      </c>
      <c r="AC431" s="870">
        <v>1138</v>
      </c>
      <c r="AD431" s="890">
        <f t="shared" si="75"/>
        <v>8244</v>
      </c>
      <c r="AE431" s="890">
        <f t="shared" si="75"/>
        <v>40426</v>
      </c>
      <c r="AF431" s="890">
        <f t="shared" si="75"/>
        <v>3550</v>
      </c>
      <c r="AG431" s="895">
        <f t="shared" si="76"/>
        <v>-56.9</v>
      </c>
      <c r="AH431" s="890">
        <f t="shared" si="77"/>
        <v>24144</v>
      </c>
      <c r="AI431" s="895">
        <f t="shared" si="78"/>
        <v>-40.299999999999997</v>
      </c>
    </row>
    <row r="432" spans="1:35" s="846" customFormat="1">
      <c r="A432" s="891" t="s">
        <v>70</v>
      </c>
      <c r="B432" s="870">
        <v>286</v>
      </c>
      <c r="C432" s="870">
        <v>1300</v>
      </c>
      <c r="D432" s="870">
        <v>201</v>
      </c>
      <c r="E432" s="870">
        <v>1046</v>
      </c>
      <c r="F432" s="870">
        <v>0</v>
      </c>
      <c r="G432" s="870">
        <v>9</v>
      </c>
      <c r="H432" s="870">
        <v>7</v>
      </c>
      <c r="I432" s="870">
        <v>147</v>
      </c>
      <c r="J432" s="870">
        <v>5674</v>
      </c>
      <c r="K432" s="870">
        <v>14252</v>
      </c>
      <c r="L432" s="870">
        <v>4860</v>
      </c>
      <c r="M432" s="870">
        <v>13336</v>
      </c>
      <c r="N432" s="870">
        <v>1</v>
      </c>
      <c r="O432" s="870">
        <v>2</v>
      </c>
      <c r="P432" s="870">
        <v>0</v>
      </c>
      <c r="Q432" s="870">
        <v>0</v>
      </c>
      <c r="R432" s="870">
        <v>8980</v>
      </c>
      <c r="S432" s="870">
        <v>25701</v>
      </c>
      <c r="T432" s="870">
        <v>4666</v>
      </c>
      <c r="U432" s="870">
        <v>11137</v>
      </c>
      <c r="V432" s="870">
        <v>0</v>
      </c>
      <c r="W432" s="870">
        <v>2</v>
      </c>
      <c r="X432" s="870">
        <v>10</v>
      </c>
      <c r="Y432" s="870">
        <v>179</v>
      </c>
      <c r="Z432" s="870">
        <v>20</v>
      </c>
      <c r="AA432" s="870">
        <v>69</v>
      </c>
      <c r="AB432" s="870">
        <v>0</v>
      </c>
      <c r="AC432" s="870">
        <v>3</v>
      </c>
      <c r="AD432" s="890">
        <f t="shared" si="75"/>
        <v>14961</v>
      </c>
      <c r="AE432" s="890">
        <f t="shared" si="75"/>
        <v>41335</v>
      </c>
      <c r="AF432" s="890">
        <f t="shared" si="75"/>
        <v>9744</v>
      </c>
      <c r="AG432" s="895">
        <f t="shared" si="76"/>
        <v>-34.9</v>
      </c>
      <c r="AH432" s="890">
        <f t="shared" si="77"/>
        <v>25848</v>
      </c>
      <c r="AI432" s="895">
        <f t="shared" si="78"/>
        <v>-37.5</v>
      </c>
    </row>
    <row r="433" spans="1:35" s="846" customFormat="1">
      <c r="A433" s="897" t="s">
        <v>74</v>
      </c>
      <c r="B433" s="870">
        <v>1837</v>
      </c>
      <c r="C433" s="870">
        <v>15115</v>
      </c>
      <c r="D433" s="870">
        <v>1302</v>
      </c>
      <c r="E433" s="870">
        <v>10412</v>
      </c>
      <c r="F433" s="870">
        <v>1</v>
      </c>
      <c r="G433" s="870">
        <v>115</v>
      </c>
      <c r="H433" s="870">
        <v>0</v>
      </c>
      <c r="I433" s="870">
        <v>104</v>
      </c>
      <c r="J433" s="870">
        <v>7859</v>
      </c>
      <c r="K433" s="870">
        <v>20935</v>
      </c>
      <c r="L433" s="870">
        <v>7219</v>
      </c>
      <c r="M433" s="870">
        <v>17760</v>
      </c>
      <c r="N433" s="870">
        <v>0</v>
      </c>
      <c r="O433" s="870">
        <v>0</v>
      </c>
      <c r="P433" s="870">
        <v>0</v>
      </c>
      <c r="Q433" s="870">
        <v>0</v>
      </c>
      <c r="R433" s="870">
        <v>0</v>
      </c>
      <c r="S433" s="870">
        <v>17</v>
      </c>
      <c r="T433" s="870">
        <v>0</v>
      </c>
      <c r="U433" s="870">
        <v>11</v>
      </c>
      <c r="V433" s="870">
        <v>0</v>
      </c>
      <c r="W433" s="870">
        <v>0</v>
      </c>
      <c r="X433" s="870">
        <v>0</v>
      </c>
      <c r="Y433" s="870">
        <v>1</v>
      </c>
      <c r="Z433" s="870">
        <v>687</v>
      </c>
      <c r="AA433" s="870">
        <v>1857</v>
      </c>
      <c r="AB433" s="870">
        <v>1337</v>
      </c>
      <c r="AC433" s="870">
        <v>3520</v>
      </c>
      <c r="AD433" s="890">
        <f t="shared" si="75"/>
        <v>10384</v>
      </c>
      <c r="AE433" s="890">
        <f t="shared" si="75"/>
        <v>38039</v>
      </c>
      <c r="AF433" s="890">
        <f t="shared" si="75"/>
        <v>9858</v>
      </c>
      <c r="AG433" s="895">
        <f t="shared" si="76"/>
        <v>-5.0999999999999996</v>
      </c>
      <c r="AH433" s="890">
        <f t="shared" si="77"/>
        <v>31808</v>
      </c>
      <c r="AI433" s="895">
        <f t="shared" si="78"/>
        <v>-16.399999999999999</v>
      </c>
    </row>
    <row r="434" spans="1:35" s="846" customFormat="1">
      <c r="A434" s="891" t="s">
        <v>88</v>
      </c>
      <c r="B434" s="870">
        <v>103</v>
      </c>
      <c r="C434" s="870">
        <v>86</v>
      </c>
      <c r="D434" s="870">
        <v>0</v>
      </c>
      <c r="E434" s="870">
        <v>8</v>
      </c>
      <c r="F434" s="870">
        <v>0</v>
      </c>
      <c r="G434" s="870">
        <v>0</v>
      </c>
      <c r="H434" s="870">
        <v>0</v>
      </c>
      <c r="I434" s="870">
        <v>0</v>
      </c>
      <c r="J434" s="870">
        <v>15220</v>
      </c>
      <c r="K434" s="870">
        <v>35030</v>
      </c>
      <c r="L434" s="870">
        <v>7709</v>
      </c>
      <c r="M434" s="870">
        <v>16390</v>
      </c>
      <c r="N434" s="870">
        <v>0</v>
      </c>
      <c r="O434" s="870">
        <v>0</v>
      </c>
      <c r="P434" s="870">
        <v>0</v>
      </c>
      <c r="Q434" s="870">
        <v>0</v>
      </c>
      <c r="R434" s="870">
        <v>225</v>
      </c>
      <c r="S434" s="870">
        <v>699</v>
      </c>
      <c r="T434" s="870">
        <v>0</v>
      </c>
      <c r="U434" s="870">
        <v>0</v>
      </c>
      <c r="V434" s="870">
        <v>0</v>
      </c>
      <c r="W434" s="870">
        <v>0</v>
      </c>
      <c r="X434" s="870">
        <v>0</v>
      </c>
      <c r="Y434" s="870">
        <v>0</v>
      </c>
      <c r="Z434" s="870">
        <v>0</v>
      </c>
      <c r="AA434" s="870">
        <v>0</v>
      </c>
      <c r="AB434" s="870">
        <v>0</v>
      </c>
      <c r="AC434" s="870">
        <v>0</v>
      </c>
      <c r="AD434" s="890">
        <f t="shared" si="75"/>
        <v>15548</v>
      </c>
      <c r="AE434" s="890">
        <f t="shared" si="75"/>
        <v>35815</v>
      </c>
      <c r="AF434" s="890">
        <f t="shared" si="75"/>
        <v>7709</v>
      </c>
      <c r="AG434" s="895">
        <f t="shared" si="76"/>
        <v>-50.4</v>
      </c>
      <c r="AH434" s="890">
        <f t="shared" si="77"/>
        <v>16398</v>
      </c>
      <c r="AI434" s="895">
        <f t="shared" si="78"/>
        <v>-54.2</v>
      </c>
    </row>
    <row r="435" spans="1:35" s="846" customFormat="1">
      <c r="A435" s="891" t="s">
        <v>67</v>
      </c>
      <c r="B435" s="870">
        <v>240</v>
      </c>
      <c r="C435" s="870">
        <v>337</v>
      </c>
      <c r="D435" s="870">
        <v>542</v>
      </c>
      <c r="E435" s="870">
        <v>549</v>
      </c>
      <c r="F435" s="870">
        <v>0</v>
      </c>
      <c r="G435" s="870">
        <v>3</v>
      </c>
      <c r="H435" s="870">
        <v>0</v>
      </c>
      <c r="I435" s="870">
        <v>1</v>
      </c>
      <c r="J435" s="870">
        <v>12593</v>
      </c>
      <c r="K435" s="870">
        <v>31343</v>
      </c>
      <c r="L435" s="870">
        <v>17300</v>
      </c>
      <c r="M435" s="870">
        <v>39417</v>
      </c>
      <c r="N435" s="870">
        <v>0</v>
      </c>
      <c r="O435" s="870">
        <v>0</v>
      </c>
      <c r="P435" s="870">
        <v>2</v>
      </c>
      <c r="Q435" s="870">
        <v>7</v>
      </c>
      <c r="R435" s="870">
        <v>6</v>
      </c>
      <c r="S435" s="870">
        <v>7</v>
      </c>
      <c r="T435" s="870">
        <v>0</v>
      </c>
      <c r="U435" s="870">
        <v>0</v>
      </c>
      <c r="V435" s="870">
        <v>0</v>
      </c>
      <c r="W435" s="870">
        <v>0</v>
      </c>
      <c r="X435" s="870">
        <v>0</v>
      </c>
      <c r="Y435" s="870">
        <v>0</v>
      </c>
      <c r="Z435" s="870">
        <v>0</v>
      </c>
      <c r="AA435" s="870">
        <v>0</v>
      </c>
      <c r="AB435" s="870">
        <v>0</v>
      </c>
      <c r="AC435" s="870">
        <v>0</v>
      </c>
      <c r="AD435" s="890">
        <f t="shared" si="75"/>
        <v>12839</v>
      </c>
      <c r="AE435" s="890">
        <f t="shared" si="75"/>
        <v>31690</v>
      </c>
      <c r="AF435" s="890">
        <f t="shared" si="75"/>
        <v>17844</v>
      </c>
      <c r="AG435" s="895">
        <f t="shared" si="76"/>
        <v>39</v>
      </c>
      <c r="AH435" s="890">
        <f t="shared" si="77"/>
        <v>39974</v>
      </c>
      <c r="AI435" s="895">
        <f t="shared" si="78"/>
        <v>26.1</v>
      </c>
    </row>
    <row r="436" spans="1:35" s="846" customFormat="1">
      <c r="A436" s="897" t="s">
        <v>72</v>
      </c>
      <c r="B436" s="870">
        <v>731</v>
      </c>
      <c r="C436" s="870">
        <v>4991</v>
      </c>
      <c r="D436" s="870">
        <v>675</v>
      </c>
      <c r="E436" s="870">
        <v>5965</v>
      </c>
      <c r="F436" s="870">
        <v>23</v>
      </c>
      <c r="G436" s="870">
        <v>98</v>
      </c>
      <c r="H436" s="870">
        <v>0</v>
      </c>
      <c r="I436" s="870">
        <v>15</v>
      </c>
      <c r="J436" s="870">
        <v>5296</v>
      </c>
      <c r="K436" s="870">
        <v>23813</v>
      </c>
      <c r="L436" s="870">
        <v>4363</v>
      </c>
      <c r="M436" s="870">
        <v>25708</v>
      </c>
      <c r="N436" s="870">
        <v>0</v>
      </c>
      <c r="O436" s="870">
        <v>0</v>
      </c>
      <c r="P436" s="870">
        <v>0</v>
      </c>
      <c r="Q436" s="870">
        <v>0</v>
      </c>
      <c r="R436" s="870">
        <v>2</v>
      </c>
      <c r="S436" s="870">
        <v>56</v>
      </c>
      <c r="T436" s="870">
        <v>2</v>
      </c>
      <c r="U436" s="870">
        <v>42</v>
      </c>
      <c r="V436" s="870">
        <v>0</v>
      </c>
      <c r="W436" s="870">
        <v>0</v>
      </c>
      <c r="X436" s="870">
        <v>0</v>
      </c>
      <c r="Y436" s="870">
        <v>0</v>
      </c>
      <c r="Z436" s="870">
        <v>40</v>
      </c>
      <c r="AA436" s="870">
        <v>2001</v>
      </c>
      <c r="AB436" s="870">
        <v>24</v>
      </c>
      <c r="AC436" s="870">
        <v>1647</v>
      </c>
      <c r="AD436" s="890">
        <f t="shared" si="75"/>
        <v>6092</v>
      </c>
      <c r="AE436" s="890">
        <f t="shared" si="75"/>
        <v>30959</v>
      </c>
      <c r="AF436" s="890">
        <f t="shared" si="75"/>
        <v>5064</v>
      </c>
      <c r="AG436" s="895">
        <f t="shared" si="76"/>
        <v>-16.899999999999999</v>
      </c>
      <c r="AH436" s="890">
        <f t="shared" si="77"/>
        <v>33377</v>
      </c>
      <c r="AI436" s="895">
        <f t="shared" si="78"/>
        <v>7.8</v>
      </c>
    </row>
    <row r="437" spans="1:35" s="846" customFormat="1">
      <c r="A437" s="897" t="s">
        <v>69</v>
      </c>
      <c r="B437" s="870">
        <v>500</v>
      </c>
      <c r="C437" s="870">
        <v>5554</v>
      </c>
      <c r="D437" s="870">
        <v>406</v>
      </c>
      <c r="E437" s="870">
        <v>4714</v>
      </c>
      <c r="F437" s="870">
        <v>98</v>
      </c>
      <c r="G437" s="870">
        <v>613</v>
      </c>
      <c r="H437" s="870">
        <v>11</v>
      </c>
      <c r="I437" s="870">
        <v>147</v>
      </c>
      <c r="J437" s="870">
        <v>5908</v>
      </c>
      <c r="K437" s="870">
        <v>18214</v>
      </c>
      <c r="L437" s="870">
        <v>543</v>
      </c>
      <c r="M437" s="870">
        <v>8197</v>
      </c>
      <c r="N437" s="870">
        <v>9</v>
      </c>
      <c r="O437" s="870">
        <v>3</v>
      </c>
      <c r="P437" s="870">
        <v>78</v>
      </c>
      <c r="Q437" s="870">
        <v>40</v>
      </c>
      <c r="R437" s="870">
        <v>0</v>
      </c>
      <c r="S437" s="870">
        <v>0</v>
      </c>
      <c r="T437" s="870">
        <v>0</v>
      </c>
      <c r="U437" s="870">
        <v>0</v>
      </c>
      <c r="V437" s="870">
        <v>0</v>
      </c>
      <c r="W437" s="870">
        <v>11</v>
      </c>
      <c r="X437" s="870">
        <v>0</v>
      </c>
      <c r="Y437" s="870">
        <v>15</v>
      </c>
      <c r="Z437" s="870">
        <v>965</v>
      </c>
      <c r="AA437" s="870">
        <v>8054</v>
      </c>
      <c r="AB437" s="870">
        <v>564</v>
      </c>
      <c r="AC437" s="870">
        <v>3930</v>
      </c>
      <c r="AD437" s="890">
        <f t="shared" si="75"/>
        <v>7480</v>
      </c>
      <c r="AE437" s="890">
        <f t="shared" si="75"/>
        <v>32449</v>
      </c>
      <c r="AF437" s="890">
        <f t="shared" si="75"/>
        <v>1602</v>
      </c>
      <c r="AG437" s="895">
        <f t="shared" si="76"/>
        <v>-78.599999999999994</v>
      </c>
      <c r="AH437" s="890">
        <f t="shared" si="77"/>
        <v>17043</v>
      </c>
      <c r="AI437" s="895">
        <f t="shared" si="78"/>
        <v>-47.5</v>
      </c>
    </row>
    <row r="438" spans="1:35" s="846" customFormat="1">
      <c r="A438" s="877" t="s">
        <v>730</v>
      </c>
      <c r="B438" s="892">
        <f t="shared" ref="B438:G438" si="79">B439-SUM(B408:B437)</f>
        <v>11379</v>
      </c>
      <c r="C438" s="892">
        <f t="shared" si="79"/>
        <v>101666</v>
      </c>
      <c r="D438" s="892">
        <f t="shared" si="79"/>
        <v>13569</v>
      </c>
      <c r="E438" s="892">
        <f t="shared" si="79"/>
        <v>108209</v>
      </c>
      <c r="F438" s="892">
        <f t="shared" si="79"/>
        <v>848</v>
      </c>
      <c r="G438" s="892">
        <f t="shared" si="79"/>
        <v>7140</v>
      </c>
      <c r="H438" s="892">
        <f t="shared" ref="H438:AC438" si="80">H439-SUM(H408:H437)</f>
        <v>350</v>
      </c>
      <c r="I438" s="892">
        <f t="shared" si="80"/>
        <v>5065</v>
      </c>
      <c r="J438" s="892">
        <f t="shared" si="80"/>
        <v>70670</v>
      </c>
      <c r="K438" s="892">
        <f t="shared" si="80"/>
        <v>210558</v>
      </c>
      <c r="L438" s="892">
        <f t="shared" si="80"/>
        <v>59045</v>
      </c>
      <c r="M438" s="892">
        <f t="shared" si="80"/>
        <v>178759</v>
      </c>
      <c r="N438" s="892">
        <f t="shared" si="80"/>
        <v>7024</v>
      </c>
      <c r="O438" s="892">
        <f t="shared" si="80"/>
        <v>16445</v>
      </c>
      <c r="P438" s="892">
        <f t="shared" si="80"/>
        <v>3746</v>
      </c>
      <c r="Q438" s="892">
        <f t="shared" si="80"/>
        <v>7719</v>
      </c>
      <c r="R438" s="892">
        <f t="shared" si="80"/>
        <v>14483</v>
      </c>
      <c r="S438" s="892">
        <f t="shared" si="80"/>
        <v>40487</v>
      </c>
      <c r="T438" s="892">
        <f t="shared" si="80"/>
        <v>20864</v>
      </c>
      <c r="U438" s="892">
        <f t="shared" si="80"/>
        <v>48531</v>
      </c>
      <c r="V438" s="892">
        <f t="shared" si="80"/>
        <v>49</v>
      </c>
      <c r="W438" s="892">
        <f t="shared" si="80"/>
        <v>659</v>
      </c>
      <c r="X438" s="892">
        <f t="shared" si="80"/>
        <v>33</v>
      </c>
      <c r="Y438" s="892">
        <f t="shared" si="80"/>
        <v>442</v>
      </c>
      <c r="Z438" s="892">
        <f t="shared" si="80"/>
        <v>602</v>
      </c>
      <c r="AA438" s="892">
        <f t="shared" si="80"/>
        <v>9502</v>
      </c>
      <c r="AB438" s="892">
        <f t="shared" si="80"/>
        <v>878</v>
      </c>
      <c r="AC438" s="892">
        <f t="shared" si="80"/>
        <v>10834</v>
      </c>
      <c r="AD438" s="892">
        <f>AD439-SUM(AD408:AD437)</f>
        <v>105055</v>
      </c>
      <c r="AE438" s="892">
        <f>AE439-SUM(AE408:AE437)</f>
        <v>386457</v>
      </c>
      <c r="AF438" s="892">
        <f>AF439-SUM(AF408:AF437)</f>
        <v>98485</v>
      </c>
      <c r="AG438" s="895">
        <f t="shared" si="76"/>
        <v>-6.3</v>
      </c>
      <c r="AH438" s="892">
        <f>AH439-SUM(AH408:AH437)</f>
        <v>359559</v>
      </c>
      <c r="AI438" s="896">
        <f t="shared" si="78"/>
        <v>-7</v>
      </c>
    </row>
    <row r="439" spans="1:35" s="846" customFormat="1">
      <c r="A439" s="1072" t="s">
        <v>79</v>
      </c>
      <c r="B439" s="886">
        <v>635396</v>
      </c>
      <c r="C439" s="886">
        <v>4269606</v>
      </c>
      <c r="D439" s="886">
        <v>638076</v>
      </c>
      <c r="E439" s="886">
        <v>4312016</v>
      </c>
      <c r="F439" s="886">
        <v>19261</v>
      </c>
      <c r="G439" s="888">
        <v>172735</v>
      </c>
      <c r="H439" s="886">
        <v>13529</v>
      </c>
      <c r="I439" s="886">
        <v>130728</v>
      </c>
      <c r="J439" s="886">
        <v>984609</v>
      </c>
      <c r="K439" s="886">
        <v>3213394</v>
      </c>
      <c r="L439" s="886">
        <v>1103613</v>
      </c>
      <c r="M439" s="886">
        <v>3230563</v>
      </c>
      <c r="N439" s="886">
        <v>327965</v>
      </c>
      <c r="O439" s="886">
        <v>716400</v>
      </c>
      <c r="P439" s="886">
        <v>307440</v>
      </c>
      <c r="Q439" s="886">
        <v>618826</v>
      </c>
      <c r="R439" s="886">
        <v>511756</v>
      </c>
      <c r="S439" s="886">
        <v>1390747</v>
      </c>
      <c r="T439" s="886">
        <v>563305</v>
      </c>
      <c r="U439" s="886">
        <v>1303606</v>
      </c>
      <c r="V439" s="886">
        <v>1913</v>
      </c>
      <c r="W439" s="886">
        <v>39601</v>
      </c>
      <c r="X439" s="886">
        <v>1849</v>
      </c>
      <c r="Y439" s="886">
        <v>45268</v>
      </c>
      <c r="Z439" s="886">
        <v>80181</v>
      </c>
      <c r="AA439" s="888">
        <v>248467</v>
      </c>
      <c r="AB439" s="886">
        <v>21106</v>
      </c>
      <c r="AC439" s="886">
        <v>213519</v>
      </c>
      <c r="AD439" s="893">
        <f>SUM(B439+F439+J439+N439+R439+V439+Z439)</f>
        <v>2561081</v>
      </c>
      <c r="AE439" s="893">
        <f>SUM(C439+G439+K439+O439+S439+W439+AA439)</f>
        <v>10050950</v>
      </c>
      <c r="AF439" s="893">
        <f>SUM(D439+H439+L439+P439+T439+X439+AB439)</f>
        <v>2648918</v>
      </c>
      <c r="AG439" s="906">
        <f t="shared" si="76"/>
        <v>3.4</v>
      </c>
      <c r="AH439" s="893">
        <f>SUM(E439+I439+M439+Q439+U439+Y439+AC439)</f>
        <v>9854526</v>
      </c>
      <c r="AI439" s="896">
        <f t="shared" si="78"/>
        <v>-2</v>
      </c>
    </row>
  </sheetData>
  <mergeCells count="638">
    <mergeCell ref="AH406:AH407"/>
    <mergeCell ref="X406:X407"/>
    <mergeCell ref="Y406:Y407"/>
    <mergeCell ref="Z406:Z407"/>
    <mergeCell ref="AA406:AA407"/>
    <mergeCell ref="AB406:AB407"/>
    <mergeCell ref="AC406:AC407"/>
    <mergeCell ref="AD406:AD407"/>
    <mergeCell ref="AE406:AE407"/>
    <mergeCell ref="AF406:AF407"/>
    <mergeCell ref="AD405:AE405"/>
    <mergeCell ref="AF405:AI405"/>
    <mergeCell ref="B406:B407"/>
    <mergeCell ref="C406:C407"/>
    <mergeCell ref="D406:D407"/>
    <mergeCell ref="E406:E407"/>
    <mergeCell ref="F406:F407"/>
    <mergeCell ref="G406:G407"/>
    <mergeCell ref="H406:H407"/>
    <mergeCell ref="I406:I407"/>
    <mergeCell ref="J406:J407"/>
    <mergeCell ref="K406:K407"/>
    <mergeCell ref="L406:L407"/>
    <mergeCell ref="M406:M407"/>
    <mergeCell ref="N406:N407"/>
    <mergeCell ref="O406:O407"/>
    <mergeCell ref="P406:P407"/>
    <mergeCell ref="Q406:Q407"/>
    <mergeCell ref="R406:R407"/>
    <mergeCell ref="S406:S407"/>
    <mergeCell ref="T406:T407"/>
    <mergeCell ref="U406:U407"/>
    <mergeCell ref="V406:V407"/>
    <mergeCell ref="W406:W407"/>
    <mergeCell ref="A401:AI401"/>
    <mergeCell ref="A404:A407"/>
    <mergeCell ref="B404:E404"/>
    <mergeCell ref="F404:I404"/>
    <mergeCell ref="J404:M404"/>
    <mergeCell ref="N404:Q404"/>
    <mergeCell ref="R404:U404"/>
    <mergeCell ref="V404:Y404"/>
    <mergeCell ref="Z404:AC404"/>
    <mergeCell ref="AD404:AI404"/>
    <mergeCell ref="B405:C405"/>
    <mergeCell ref="D405:E405"/>
    <mergeCell ref="F405:G405"/>
    <mergeCell ref="H405:I405"/>
    <mergeCell ref="J405:K405"/>
    <mergeCell ref="L405:M405"/>
    <mergeCell ref="N405:O405"/>
    <mergeCell ref="P405:Q405"/>
    <mergeCell ref="R405:S405"/>
    <mergeCell ref="T405:U405"/>
    <mergeCell ref="V405:W405"/>
    <mergeCell ref="X405:Y405"/>
    <mergeCell ref="Z405:AA405"/>
    <mergeCell ref="AB405:AC405"/>
    <mergeCell ref="AH366:AH367"/>
    <mergeCell ref="X366:X367"/>
    <mergeCell ref="Y366:Y367"/>
    <mergeCell ref="Z366:Z367"/>
    <mergeCell ref="AA366:AA367"/>
    <mergeCell ref="AB366:AB367"/>
    <mergeCell ref="AC366:AC367"/>
    <mergeCell ref="AD366:AD367"/>
    <mergeCell ref="AE366:AE367"/>
    <mergeCell ref="AF366:AF367"/>
    <mergeCell ref="AD365:AE365"/>
    <mergeCell ref="AF365:AI365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J366:J367"/>
    <mergeCell ref="K366:K367"/>
    <mergeCell ref="L366:L367"/>
    <mergeCell ref="M366:M367"/>
    <mergeCell ref="N366:N367"/>
    <mergeCell ref="O366:O367"/>
    <mergeCell ref="P366:P367"/>
    <mergeCell ref="Q366:Q367"/>
    <mergeCell ref="R366:R367"/>
    <mergeCell ref="S366:S367"/>
    <mergeCell ref="T366:T367"/>
    <mergeCell ref="U366:U367"/>
    <mergeCell ref="V366:V367"/>
    <mergeCell ref="W366:W367"/>
    <mergeCell ref="A361:AI361"/>
    <mergeCell ref="A364:A367"/>
    <mergeCell ref="B364:E364"/>
    <mergeCell ref="F364:I364"/>
    <mergeCell ref="J364:M364"/>
    <mergeCell ref="N364:Q364"/>
    <mergeCell ref="R364:U364"/>
    <mergeCell ref="V364:Y364"/>
    <mergeCell ref="Z364:AC364"/>
    <mergeCell ref="AD364:AI364"/>
    <mergeCell ref="B365:C365"/>
    <mergeCell ref="D365:E365"/>
    <mergeCell ref="F365:G365"/>
    <mergeCell ref="H365:I365"/>
    <mergeCell ref="J365:K365"/>
    <mergeCell ref="L365:M365"/>
    <mergeCell ref="N365:O365"/>
    <mergeCell ref="P365:Q365"/>
    <mergeCell ref="R365:S365"/>
    <mergeCell ref="T365:U365"/>
    <mergeCell ref="V365:W365"/>
    <mergeCell ref="X365:Y365"/>
    <mergeCell ref="Z365:AA365"/>
    <mergeCell ref="AB365:AC365"/>
    <mergeCell ref="AH326:AH327"/>
    <mergeCell ref="X326:X327"/>
    <mergeCell ref="Y326:Y327"/>
    <mergeCell ref="Z326:Z327"/>
    <mergeCell ref="AA326:AA327"/>
    <mergeCell ref="AB326:AB327"/>
    <mergeCell ref="AC326:AC327"/>
    <mergeCell ref="AD326:AD327"/>
    <mergeCell ref="AE326:AE327"/>
    <mergeCell ref="AF326:AF327"/>
    <mergeCell ref="AD325:AE325"/>
    <mergeCell ref="AF325:AI325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6:T327"/>
    <mergeCell ref="U326:U327"/>
    <mergeCell ref="V326:V327"/>
    <mergeCell ref="W326:W327"/>
    <mergeCell ref="A321:AI321"/>
    <mergeCell ref="A324:A327"/>
    <mergeCell ref="B324:E324"/>
    <mergeCell ref="F324:I324"/>
    <mergeCell ref="J324:M324"/>
    <mergeCell ref="N324:Q324"/>
    <mergeCell ref="R324:U324"/>
    <mergeCell ref="V324:Y324"/>
    <mergeCell ref="Z324:AC324"/>
    <mergeCell ref="AD324:AI324"/>
    <mergeCell ref="B325:C325"/>
    <mergeCell ref="D325:E325"/>
    <mergeCell ref="F325:G325"/>
    <mergeCell ref="H325:I325"/>
    <mergeCell ref="J325:K325"/>
    <mergeCell ref="L325:M325"/>
    <mergeCell ref="N325:O325"/>
    <mergeCell ref="P325:Q325"/>
    <mergeCell ref="R325:S325"/>
    <mergeCell ref="T325:U325"/>
    <mergeCell ref="V325:W325"/>
    <mergeCell ref="X325:Y325"/>
    <mergeCell ref="Z325:AA325"/>
    <mergeCell ref="AB325:AC325"/>
    <mergeCell ref="AH286:AH287"/>
    <mergeCell ref="X286:X287"/>
    <mergeCell ref="Y286:Y287"/>
    <mergeCell ref="Z286:Z287"/>
    <mergeCell ref="AA286:AA287"/>
    <mergeCell ref="AB286:AB287"/>
    <mergeCell ref="AC286:AC287"/>
    <mergeCell ref="AD286:AD287"/>
    <mergeCell ref="AE286:AE287"/>
    <mergeCell ref="AF286:AF287"/>
    <mergeCell ref="AD285:AE285"/>
    <mergeCell ref="AF285:AI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R286:R287"/>
    <mergeCell ref="S286:S287"/>
    <mergeCell ref="T286:T287"/>
    <mergeCell ref="U286:U287"/>
    <mergeCell ref="V286:V287"/>
    <mergeCell ref="W286:W287"/>
    <mergeCell ref="A281:AI281"/>
    <mergeCell ref="A284:A287"/>
    <mergeCell ref="B284:E284"/>
    <mergeCell ref="F284:I284"/>
    <mergeCell ref="J284:M284"/>
    <mergeCell ref="N284:Q284"/>
    <mergeCell ref="R284:U284"/>
    <mergeCell ref="V284:Y284"/>
    <mergeCell ref="Z284:AC284"/>
    <mergeCell ref="AD284:AI284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V285:W285"/>
    <mergeCell ref="X285:Y285"/>
    <mergeCell ref="Z285:AA285"/>
    <mergeCell ref="AB285:AC285"/>
    <mergeCell ref="AF126:AF127"/>
    <mergeCell ref="AH126:AH127"/>
    <mergeCell ref="W126:W127"/>
    <mergeCell ref="X126:X127"/>
    <mergeCell ref="Y126:Y127"/>
    <mergeCell ref="Z126:Z127"/>
    <mergeCell ref="AA126:AA127"/>
    <mergeCell ref="AB126:AB127"/>
    <mergeCell ref="AC126:AC127"/>
    <mergeCell ref="AD126:AD127"/>
    <mergeCell ref="AE126:AE127"/>
    <mergeCell ref="AB125:AC125"/>
    <mergeCell ref="AD125:AE125"/>
    <mergeCell ref="AF125:AI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A81:AI81"/>
    <mergeCell ref="A121:AI121"/>
    <mergeCell ref="A124:A127"/>
    <mergeCell ref="B124:E124"/>
    <mergeCell ref="F124:I124"/>
    <mergeCell ref="J124:M124"/>
    <mergeCell ref="N124:Q124"/>
    <mergeCell ref="R124:U124"/>
    <mergeCell ref="V124:Y124"/>
    <mergeCell ref="Z124:AC124"/>
    <mergeCell ref="AD124:AI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F46:AF47"/>
    <mergeCell ref="AH46:AH47"/>
    <mergeCell ref="AA46:AA47"/>
    <mergeCell ref="AB46:AB47"/>
    <mergeCell ref="AC46:AC47"/>
    <mergeCell ref="AD46:AD47"/>
    <mergeCell ref="AE46:AE47"/>
    <mergeCell ref="V46:V47"/>
    <mergeCell ref="W46:W47"/>
    <mergeCell ref="X46:X47"/>
    <mergeCell ref="Y46:Y47"/>
    <mergeCell ref="Z46:Z47"/>
    <mergeCell ref="T45:U45"/>
    <mergeCell ref="V45:W45"/>
    <mergeCell ref="G46:G47"/>
    <mergeCell ref="H46:H47"/>
    <mergeCell ref="I46:I47"/>
    <mergeCell ref="J46:J47"/>
    <mergeCell ref="K46:K47"/>
    <mergeCell ref="B46:B47"/>
    <mergeCell ref="C46:C47"/>
    <mergeCell ref="D46:D47"/>
    <mergeCell ref="E46:E47"/>
    <mergeCell ref="F46:F47"/>
    <mergeCell ref="Q46:Q47"/>
    <mergeCell ref="R46:R47"/>
    <mergeCell ref="S46:S47"/>
    <mergeCell ref="T46:T47"/>
    <mergeCell ref="U46:U47"/>
    <mergeCell ref="L46:L47"/>
    <mergeCell ref="M46:M47"/>
    <mergeCell ref="N46:N47"/>
    <mergeCell ref="O46:O47"/>
    <mergeCell ref="P46:P47"/>
    <mergeCell ref="A41:AI41"/>
    <mergeCell ref="A44:A47"/>
    <mergeCell ref="B44:E44"/>
    <mergeCell ref="F44:I44"/>
    <mergeCell ref="J44:M44"/>
    <mergeCell ref="N44:Q44"/>
    <mergeCell ref="R44:U44"/>
    <mergeCell ref="V44:Y44"/>
    <mergeCell ref="Z44:AC44"/>
    <mergeCell ref="AD44:AI44"/>
    <mergeCell ref="B45:C45"/>
    <mergeCell ref="D45:E45"/>
    <mergeCell ref="F45:G45"/>
    <mergeCell ref="H45:I45"/>
    <mergeCell ref="J45:K45"/>
    <mergeCell ref="L45:M45"/>
    <mergeCell ref="X45:Y45"/>
    <mergeCell ref="Z45:AA45"/>
    <mergeCell ref="AB45:AC45"/>
    <mergeCell ref="AD45:AE45"/>
    <mergeCell ref="AF45:AI45"/>
    <mergeCell ref="N45:O45"/>
    <mergeCell ref="P45:Q45"/>
    <mergeCell ref="R45:S45"/>
    <mergeCell ref="A1:AI1"/>
    <mergeCell ref="A4:A7"/>
    <mergeCell ref="B4:E4"/>
    <mergeCell ref="F4:I4"/>
    <mergeCell ref="J4:M4"/>
    <mergeCell ref="N4:Q4"/>
    <mergeCell ref="R4:U4"/>
    <mergeCell ref="V4:Y4"/>
    <mergeCell ref="Z4:AC4"/>
    <mergeCell ref="AD4:AI4"/>
    <mergeCell ref="B5:C5"/>
    <mergeCell ref="D5:E5"/>
    <mergeCell ref="F5:G5"/>
    <mergeCell ref="H5:I5"/>
    <mergeCell ref="J5:K5"/>
    <mergeCell ref="G6:G7"/>
    <mergeCell ref="N5:O5"/>
    <mergeCell ref="P5:Q5"/>
    <mergeCell ref="R5:S5"/>
    <mergeCell ref="T5:U5"/>
    <mergeCell ref="L5:M5"/>
    <mergeCell ref="B6:B7"/>
    <mergeCell ref="C6:C7"/>
    <mergeCell ref="D6:D7"/>
    <mergeCell ref="E6:E7"/>
    <mergeCell ref="F6:F7"/>
    <mergeCell ref="M6:M7"/>
    <mergeCell ref="Z5:AA5"/>
    <mergeCell ref="AB5:AC5"/>
    <mergeCell ref="AD5:AE5"/>
    <mergeCell ref="AF5:AI5"/>
    <mergeCell ref="V5:W5"/>
    <mergeCell ref="X5:Y5"/>
    <mergeCell ref="Y6:Y7"/>
    <mergeCell ref="N6:N7"/>
    <mergeCell ref="O6:O7"/>
    <mergeCell ref="P6:P7"/>
    <mergeCell ref="Q6:Q7"/>
    <mergeCell ref="R6:R7"/>
    <mergeCell ref="S6:S7"/>
    <mergeCell ref="T6:T7"/>
    <mergeCell ref="U6:U7"/>
    <mergeCell ref="H6:H7"/>
    <mergeCell ref="I6:I7"/>
    <mergeCell ref="J6:J7"/>
    <mergeCell ref="K6:K7"/>
    <mergeCell ref="L6:L7"/>
    <mergeCell ref="V6:V7"/>
    <mergeCell ref="W6:W7"/>
    <mergeCell ref="X6:X7"/>
    <mergeCell ref="AF6:AF7"/>
    <mergeCell ref="AH6:AH7"/>
    <mergeCell ref="Z6:Z7"/>
    <mergeCell ref="AA6:AA7"/>
    <mergeCell ref="AB6:AB7"/>
    <mergeCell ref="AC6:AC7"/>
    <mergeCell ref="AD6:AD7"/>
    <mergeCell ref="AE6:AE7"/>
    <mergeCell ref="A84:A87"/>
    <mergeCell ref="B84:E84"/>
    <mergeCell ref="F84:I84"/>
    <mergeCell ref="J84:M84"/>
    <mergeCell ref="N84:Q84"/>
    <mergeCell ref="R84:U84"/>
    <mergeCell ref="V84:Y84"/>
    <mergeCell ref="Z84:AC84"/>
    <mergeCell ref="AD84:AI84"/>
    <mergeCell ref="B85:C85"/>
    <mergeCell ref="D85:E85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AF85:AI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AC86:AC87"/>
    <mergeCell ref="AD86:AD87"/>
    <mergeCell ref="AE86:AE87"/>
    <mergeCell ref="AF86:AF87"/>
    <mergeCell ref="AH86:AH87"/>
    <mergeCell ref="A161:AI161"/>
    <mergeCell ref="A164:A167"/>
    <mergeCell ref="B164:E164"/>
    <mergeCell ref="F164:I164"/>
    <mergeCell ref="J164:M164"/>
    <mergeCell ref="N164:Q164"/>
    <mergeCell ref="R164:U164"/>
    <mergeCell ref="V164:Y164"/>
    <mergeCell ref="Z164:AC164"/>
    <mergeCell ref="AD164:AI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X165:Y165"/>
    <mergeCell ref="Z165:AA165"/>
    <mergeCell ref="AB165:AC165"/>
    <mergeCell ref="AD165:AE165"/>
    <mergeCell ref="AF165:AI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6:T167"/>
    <mergeCell ref="U166:U167"/>
    <mergeCell ref="V166:V167"/>
    <mergeCell ref="W166:W167"/>
    <mergeCell ref="AH166:AH167"/>
    <mergeCell ref="X166:X167"/>
    <mergeCell ref="Y166:Y167"/>
    <mergeCell ref="Z166:Z167"/>
    <mergeCell ref="AA166:AA167"/>
    <mergeCell ref="AB166:AB167"/>
    <mergeCell ref="AC166:AC167"/>
    <mergeCell ref="AD166:AD167"/>
    <mergeCell ref="AE166:AE167"/>
    <mergeCell ref="AF166:AF167"/>
    <mergeCell ref="A201:AI201"/>
    <mergeCell ref="A204:A207"/>
    <mergeCell ref="B205:C205"/>
    <mergeCell ref="D205:E205"/>
    <mergeCell ref="F205:G205"/>
    <mergeCell ref="H205:I205"/>
    <mergeCell ref="J205:K205"/>
    <mergeCell ref="L205:M205"/>
    <mergeCell ref="N205:O205"/>
    <mergeCell ref="P205:Q205"/>
    <mergeCell ref="R205:S205"/>
    <mergeCell ref="T205:U205"/>
    <mergeCell ref="V205:W205"/>
    <mergeCell ref="X205:Y205"/>
    <mergeCell ref="Z205:AA205"/>
    <mergeCell ref="AB205:AC205"/>
    <mergeCell ref="O206:O207"/>
    <mergeCell ref="P206:P207"/>
    <mergeCell ref="Q206:Q207"/>
    <mergeCell ref="R206:R207"/>
    <mergeCell ref="S206:S207"/>
    <mergeCell ref="T206:T207"/>
    <mergeCell ref="U206:U207"/>
    <mergeCell ref="V206:V207"/>
    <mergeCell ref="W206:W207"/>
    <mergeCell ref="F206:F207"/>
    <mergeCell ref="G206:G207"/>
    <mergeCell ref="H206:H207"/>
    <mergeCell ref="I206:I207"/>
    <mergeCell ref="J206:J207"/>
    <mergeCell ref="K206:K207"/>
    <mergeCell ref="L206:L207"/>
    <mergeCell ref="M206:M207"/>
    <mergeCell ref="N206:N207"/>
    <mergeCell ref="AH206:AH207"/>
    <mergeCell ref="B204:E204"/>
    <mergeCell ref="F204:I204"/>
    <mergeCell ref="J204:M204"/>
    <mergeCell ref="N204:Q204"/>
    <mergeCell ref="R204:U204"/>
    <mergeCell ref="V204:Y204"/>
    <mergeCell ref="Z204:AC204"/>
    <mergeCell ref="AD204:AI204"/>
    <mergeCell ref="X206:X207"/>
    <mergeCell ref="Y206:Y207"/>
    <mergeCell ref="Z206:Z207"/>
    <mergeCell ref="AA206:AA207"/>
    <mergeCell ref="AB206:AB207"/>
    <mergeCell ref="AC206:AC207"/>
    <mergeCell ref="AD206:AD207"/>
    <mergeCell ref="AE206:AE207"/>
    <mergeCell ref="AF206:AF207"/>
    <mergeCell ref="AD205:AE205"/>
    <mergeCell ref="AF205:AI205"/>
    <mergeCell ref="B206:B207"/>
    <mergeCell ref="C206:C207"/>
    <mergeCell ref="D206:D207"/>
    <mergeCell ref="E206:E207"/>
    <mergeCell ref="A241:AI241"/>
    <mergeCell ref="A244:A247"/>
    <mergeCell ref="B244:E244"/>
    <mergeCell ref="F244:I244"/>
    <mergeCell ref="J244:M244"/>
    <mergeCell ref="N244:Q244"/>
    <mergeCell ref="R244:U244"/>
    <mergeCell ref="V244:Y244"/>
    <mergeCell ref="Z244:AC244"/>
    <mergeCell ref="AD244:AI244"/>
    <mergeCell ref="B245:C245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T245:U245"/>
    <mergeCell ref="V245:W245"/>
    <mergeCell ref="X245:Y245"/>
    <mergeCell ref="Z245:AA245"/>
    <mergeCell ref="AB245:AC245"/>
    <mergeCell ref="AD245:AE245"/>
    <mergeCell ref="AF245:AI245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S246:S247"/>
    <mergeCell ref="T246:T247"/>
    <mergeCell ref="U246:U247"/>
    <mergeCell ref="V246:V247"/>
    <mergeCell ref="W246:W247"/>
    <mergeCell ref="AH246:AH247"/>
    <mergeCell ref="X246:X247"/>
    <mergeCell ref="Y246:Y247"/>
    <mergeCell ref="Z246:Z247"/>
    <mergeCell ref="AA246:AA247"/>
    <mergeCell ref="AB246:AB247"/>
    <mergeCell ref="AC246:AC247"/>
    <mergeCell ref="AD246:AD247"/>
    <mergeCell ref="AE246:AE247"/>
    <mergeCell ref="AF246:AF247"/>
  </mergeCells>
  <phoneticPr fontId="2" type="noConversion"/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99"/>
  <sheetViews>
    <sheetView topLeftCell="A361" workbookViewId="0">
      <selection activeCell="A361" sqref="A361:G361"/>
    </sheetView>
  </sheetViews>
  <sheetFormatPr defaultRowHeight="16.5"/>
  <cols>
    <col min="1" max="1" width="22.625" style="47" customWidth="1"/>
    <col min="2" max="4" width="12.625" style="48" customWidth="1"/>
    <col min="5" max="5" width="8.625" style="49" customWidth="1"/>
    <col min="6" max="6" width="12.625" style="48" customWidth="1"/>
    <col min="7" max="7" width="8.625" style="49" customWidth="1"/>
    <col min="8" max="16384" width="9" style="291"/>
  </cols>
  <sheetData>
    <row r="1" spans="1:7" ht="22.5" hidden="1">
      <c r="A1" s="1143" t="s">
        <v>460</v>
      </c>
      <c r="B1" s="1143"/>
      <c r="C1" s="1143"/>
      <c r="D1" s="1143"/>
      <c r="E1" s="1143"/>
      <c r="F1" s="1143"/>
      <c r="G1" s="1143"/>
    </row>
    <row r="2" spans="1:7" hidden="1"/>
    <row r="3" spans="1:7" hidden="1">
      <c r="F3" s="1144" t="s">
        <v>80</v>
      </c>
      <c r="G3" s="1144"/>
    </row>
    <row r="4" spans="1:7" ht="21.75" hidden="1" customHeight="1">
      <c r="A4" s="1115" t="s">
        <v>43</v>
      </c>
      <c r="B4" s="1115" t="s">
        <v>336</v>
      </c>
      <c r="C4" s="1115"/>
      <c r="D4" s="1115"/>
      <c r="E4" s="1115"/>
      <c r="F4" s="1115"/>
      <c r="G4" s="1115"/>
    </row>
    <row r="5" spans="1:7" ht="21" hidden="1" customHeight="1">
      <c r="A5" s="1115"/>
      <c r="B5" s="1115" t="s">
        <v>314</v>
      </c>
      <c r="C5" s="1115"/>
      <c r="D5" s="1115" t="s">
        <v>444</v>
      </c>
      <c r="E5" s="1115"/>
      <c r="F5" s="1115"/>
      <c r="G5" s="1115"/>
    </row>
    <row r="6" spans="1:7" hidden="1">
      <c r="A6" s="1115"/>
      <c r="B6" s="1115" t="s">
        <v>44</v>
      </c>
      <c r="C6" s="1115" t="s">
        <v>45</v>
      </c>
      <c r="D6" s="1146" t="s">
        <v>46</v>
      </c>
      <c r="E6" s="50"/>
      <c r="F6" s="1146" t="s">
        <v>45</v>
      </c>
      <c r="G6" s="50"/>
    </row>
    <row r="7" spans="1:7" ht="17.25" hidden="1" thickBot="1">
      <c r="A7" s="1145"/>
      <c r="B7" s="1145"/>
      <c r="C7" s="1145"/>
      <c r="D7" s="1145"/>
      <c r="E7" s="51" t="s">
        <v>49</v>
      </c>
      <c r="F7" s="1145"/>
      <c r="G7" s="51" t="s">
        <v>49</v>
      </c>
    </row>
    <row r="8" spans="1:7" ht="19.5" hidden="1" customHeight="1" thickTop="1">
      <c r="A8" s="33" t="s">
        <v>50</v>
      </c>
      <c r="B8" s="188">
        <f>국가별수입!AD48-국가별수입!AD8</f>
        <v>44286</v>
      </c>
      <c r="C8" s="188">
        <f>국가별수입!AE48-국가별수입!AE8</f>
        <v>154911</v>
      </c>
      <c r="D8" s="188">
        <f>국가별수입!AF48-국가별수입!AF8</f>
        <v>27074</v>
      </c>
      <c r="E8" s="41">
        <f>ROUND(((D8/B8-1)*100),1)</f>
        <v>-38.9</v>
      </c>
      <c r="F8" s="188">
        <f>국가별수입!AH48-국가별수입!AH8</f>
        <v>108687</v>
      </c>
      <c r="G8" s="41">
        <f>ROUND(((F8/C8-1)*100),1)</f>
        <v>-29.8</v>
      </c>
    </row>
    <row r="9" spans="1:7" ht="19.5" hidden="1" customHeight="1">
      <c r="A9" s="33" t="s">
        <v>53</v>
      </c>
      <c r="B9" s="188">
        <f>국가별수입!AD49-국가별수입!AD9</f>
        <v>29995</v>
      </c>
      <c r="C9" s="188">
        <f>국가별수입!AE49-국가별수입!AE9</f>
        <v>129450</v>
      </c>
      <c r="D9" s="188">
        <f>국가별수입!AF49-국가별수입!AF9</f>
        <v>34188</v>
      </c>
      <c r="E9" s="41">
        <f t="shared" ref="E9:E38" si="0">ROUND(((D9/B9-1)*100),1)</f>
        <v>14</v>
      </c>
      <c r="F9" s="188">
        <f>국가별수입!AH49-국가별수입!AH9</f>
        <v>120299</v>
      </c>
      <c r="G9" s="41">
        <f t="shared" ref="G9:G38" si="1">ROUND(((F9/C9-1)*100),1)</f>
        <v>-7.1</v>
      </c>
    </row>
    <row r="10" spans="1:7" ht="19.5" hidden="1" customHeight="1">
      <c r="A10" s="33" t="s">
        <v>54</v>
      </c>
      <c r="B10" s="188">
        <f>국가별수입!AD50-국가별수입!AD10</f>
        <v>12786</v>
      </c>
      <c r="C10" s="188">
        <f>국가별수입!AE50-국가별수입!AE10</f>
        <v>89753</v>
      </c>
      <c r="D10" s="188">
        <f>국가별수입!AF50-국가별수입!AF10</f>
        <v>18255</v>
      </c>
      <c r="E10" s="41">
        <f t="shared" si="0"/>
        <v>42.8</v>
      </c>
      <c r="F10" s="188">
        <f>국가별수입!AH50-국가별수입!AH10</f>
        <v>103257</v>
      </c>
      <c r="G10" s="41">
        <f t="shared" si="1"/>
        <v>15</v>
      </c>
    </row>
    <row r="11" spans="1:7" ht="19.5" hidden="1" customHeight="1">
      <c r="A11" s="33" t="s">
        <v>84</v>
      </c>
      <c r="B11" s="188">
        <f>국가별수입!AD51-국가별수입!AD11</f>
        <v>16327</v>
      </c>
      <c r="C11" s="188">
        <f>국가별수입!AE51-국가별수입!AE11</f>
        <v>94546</v>
      </c>
      <c r="D11" s="188">
        <f>국가별수입!AF51-국가별수입!AF11</f>
        <v>11146</v>
      </c>
      <c r="E11" s="41">
        <f t="shared" si="0"/>
        <v>-31.7</v>
      </c>
      <c r="F11" s="188">
        <f>국가별수입!AH51-국가별수입!AH11</f>
        <v>65306</v>
      </c>
      <c r="G11" s="41">
        <f t="shared" si="1"/>
        <v>-30.9</v>
      </c>
    </row>
    <row r="12" spans="1:7" ht="19.5" hidden="1" customHeight="1">
      <c r="A12" s="33" t="s">
        <v>52</v>
      </c>
      <c r="B12" s="188">
        <f>국가별수입!AD52-국가별수입!AD12</f>
        <v>25508</v>
      </c>
      <c r="C12" s="188">
        <f>국가별수입!AE52-국가별수입!AE12</f>
        <v>54658</v>
      </c>
      <c r="D12" s="188">
        <f>국가별수입!AF52-국가별수입!AF12</f>
        <v>41633</v>
      </c>
      <c r="E12" s="41">
        <f t="shared" si="0"/>
        <v>63.2</v>
      </c>
      <c r="F12" s="188">
        <f>국가별수입!AH52-국가별수입!AH12</f>
        <v>81809</v>
      </c>
      <c r="G12" s="41">
        <f t="shared" si="1"/>
        <v>49.7</v>
      </c>
    </row>
    <row r="13" spans="1:7" ht="19.5" hidden="1" customHeight="1">
      <c r="A13" s="33" t="s">
        <v>61</v>
      </c>
      <c r="B13" s="188">
        <f>국가별수입!AD53-국가별수입!AD13</f>
        <v>35738</v>
      </c>
      <c r="C13" s="188">
        <f>국가별수입!AE53-국가별수입!AE13</f>
        <v>92081</v>
      </c>
      <c r="D13" s="188">
        <f>국가별수입!AF53-국가별수입!AF13</f>
        <v>35962</v>
      </c>
      <c r="E13" s="41">
        <f t="shared" si="0"/>
        <v>0.6</v>
      </c>
      <c r="F13" s="188">
        <f>국가별수입!AH53-국가별수입!AH13</f>
        <v>81108</v>
      </c>
      <c r="G13" s="41">
        <f t="shared" si="1"/>
        <v>-11.9</v>
      </c>
    </row>
    <row r="14" spans="1:7" ht="19.5" hidden="1" customHeight="1">
      <c r="A14" s="33" t="s">
        <v>56</v>
      </c>
      <c r="B14" s="188">
        <f>국가별수입!AD54-국가별수입!AD14</f>
        <v>14468</v>
      </c>
      <c r="C14" s="188">
        <f>국가별수입!AE54-국가별수입!AE14</f>
        <v>37072</v>
      </c>
      <c r="D14" s="188">
        <f>국가별수입!AF54-국가별수입!AF14</f>
        <v>15497</v>
      </c>
      <c r="E14" s="41">
        <f t="shared" si="0"/>
        <v>7.1</v>
      </c>
      <c r="F14" s="188">
        <f>국가별수입!AH54-국가별수입!AH14</f>
        <v>39980</v>
      </c>
      <c r="G14" s="41">
        <f t="shared" si="1"/>
        <v>7.8</v>
      </c>
    </row>
    <row r="15" spans="1:7" ht="19.5" hidden="1" customHeight="1">
      <c r="A15" s="33" t="s">
        <v>85</v>
      </c>
      <c r="B15" s="188">
        <f>국가별수입!AD55-국가별수입!AD15</f>
        <v>3490</v>
      </c>
      <c r="C15" s="188">
        <f>국가별수입!AE55-국가별수입!AE15</f>
        <v>21508</v>
      </c>
      <c r="D15" s="188">
        <f>국가별수입!AF55-국가별수입!AF15</f>
        <v>4915</v>
      </c>
      <c r="E15" s="41">
        <f t="shared" si="0"/>
        <v>40.799999999999997</v>
      </c>
      <c r="F15" s="188">
        <f>국가별수입!AH55-국가별수입!AH15</f>
        <v>29508</v>
      </c>
      <c r="G15" s="41">
        <f t="shared" si="1"/>
        <v>37.200000000000003</v>
      </c>
    </row>
    <row r="16" spans="1:7" ht="19.5" hidden="1" customHeight="1">
      <c r="A16" s="33" t="s">
        <v>86</v>
      </c>
      <c r="B16" s="188">
        <f>국가별수입!AD56-국가별수입!AD16</f>
        <v>4666</v>
      </c>
      <c r="C16" s="188">
        <f>국가별수입!AE56-국가별수입!AE16</f>
        <v>10254</v>
      </c>
      <c r="D16" s="188">
        <f>국가별수입!AF56-국가별수입!AF16</f>
        <v>8160</v>
      </c>
      <c r="E16" s="41">
        <f t="shared" si="0"/>
        <v>74.900000000000006</v>
      </c>
      <c r="F16" s="188">
        <f>국가별수입!AH56-국가별수입!AH16</f>
        <v>17956</v>
      </c>
      <c r="G16" s="41">
        <f t="shared" si="1"/>
        <v>75.099999999999994</v>
      </c>
    </row>
    <row r="17" spans="1:7" ht="19.5" hidden="1" customHeight="1">
      <c r="A17" s="33" t="s">
        <v>64</v>
      </c>
      <c r="B17" s="188">
        <f>국가별수입!AD57-국가별수입!AD17</f>
        <v>11124</v>
      </c>
      <c r="C17" s="188">
        <f>국가별수입!AE57-국가별수입!AE17</f>
        <v>30476</v>
      </c>
      <c r="D17" s="188">
        <f>국가별수입!AF57-국가별수입!AF17</f>
        <v>11642</v>
      </c>
      <c r="E17" s="41">
        <f t="shared" si="0"/>
        <v>4.7</v>
      </c>
      <c r="F17" s="188">
        <f>국가별수입!AH57-국가별수입!AH17</f>
        <v>24416</v>
      </c>
      <c r="G17" s="41">
        <f t="shared" si="1"/>
        <v>-19.899999999999999</v>
      </c>
    </row>
    <row r="18" spans="1:7" ht="19.5" hidden="1" customHeight="1">
      <c r="A18" s="33" t="s">
        <v>68</v>
      </c>
      <c r="B18" s="188">
        <f>국가별수입!AD58-국가별수입!AD18</f>
        <v>4173</v>
      </c>
      <c r="C18" s="188">
        <f>국가별수입!AE58-국가별수입!AE18</f>
        <v>22353</v>
      </c>
      <c r="D18" s="188">
        <f>국가별수입!AF58-국가별수입!AF18</f>
        <v>2968</v>
      </c>
      <c r="E18" s="41">
        <f t="shared" si="0"/>
        <v>-28.9</v>
      </c>
      <c r="F18" s="188">
        <f>국가별수입!AH58-국가별수입!AH18</f>
        <v>22605</v>
      </c>
      <c r="G18" s="41">
        <f t="shared" si="1"/>
        <v>1.1000000000000001</v>
      </c>
    </row>
    <row r="19" spans="1:7" ht="19.5" hidden="1" customHeight="1">
      <c r="A19" s="33" t="s">
        <v>57</v>
      </c>
      <c r="B19" s="188">
        <f>국가별수입!AD59-국가별수입!AD19</f>
        <v>4420</v>
      </c>
      <c r="C19" s="188">
        <f>국가별수입!AE59-국가별수입!AE19</f>
        <v>20386</v>
      </c>
      <c r="D19" s="188">
        <f>국가별수입!AF59-국가별수입!AF19</f>
        <v>5362</v>
      </c>
      <c r="E19" s="41">
        <f t="shared" si="0"/>
        <v>21.3</v>
      </c>
      <c r="F19" s="188">
        <f>국가별수입!AH59-국가별수입!AH19</f>
        <v>24199</v>
      </c>
      <c r="G19" s="41">
        <f t="shared" si="1"/>
        <v>18.7</v>
      </c>
    </row>
    <row r="20" spans="1:7" ht="19.5" hidden="1" customHeight="1">
      <c r="A20" s="33" t="s">
        <v>58</v>
      </c>
      <c r="B20" s="188">
        <f>국가별수입!AD60-국가별수입!AD20</f>
        <v>2476</v>
      </c>
      <c r="C20" s="188">
        <f>국가별수입!AE60-국가별수입!AE20</f>
        <v>23460</v>
      </c>
      <c r="D20" s="188">
        <f>국가별수입!AF60-국가별수입!AF20</f>
        <v>2589</v>
      </c>
      <c r="E20" s="41">
        <f t="shared" si="0"/>
        <v>4.5999999999999996</v>
      </c>
      <c r="F20" s="188">
        <f>국가별수입!AH60-국가별수입!AH20</f>
        <v>16087</v>
      </c>
      <c r="G20" s="41">
        <f t="shared" si="1"/>
        <v>-31.4</v>
      </c>
    </row>
    <row r="21" spans="1:7" ht="19.5" hidden="1" customHeight="1">
      <c r="A21" s="33" t="s">
        <v>63</v>
      </c>
      <c r="B21" s="188">
        <f>국가별수입!AD61-국가별수입!AD21</f>
        <v>12420</v>
      </c>
      <c r="C21" s="188">
        <f>국가별수입!AE61-국가별수입!AE21</f>
        <v>31724</v>
      </c>
      <c r="D21" s="188">
        <f>국가별수입!AF61-국가별수입!AF21</f>
        <v>7344</v>
      </c>
      <c r="E21" s="41">
        <f t="shared" si="0"/>
        <v>-40.9</v>
      </c>
      <c r="F21" s="188">
        <f>국가별수입!AH61-국가별수입!AH21</f>
        <v>20554</v>
      </c>
      <c r="G21" s="41">
        <f t="shared" si="1"/>
        <v>-35.200000000000003</v>
      </c>
    </row>
    <row r="22" spans="1:7" ht="19.5" hidden="1" customHeight="1">
      <c r="A22" s="33" t="s">
        <v>55</v>
      </c>
      <c r="B22" s="188">
        <f>국가별수입!AD62-국가별수입!AD22</f>
        <v>10503</v>
      </c>
      <c r="C22" s="188">
        <f>국가별수입!AE62-국가별수입!AE22</f>
        <v>21063</v>
      </c>
      <c r="D22" s="188">
        <f>국가별수입!AF62-국가별수입!AF22</f>
        <v>11272</v>
      </c>
      <c r="E22" s="41">
        <f t="shared" si="0"/>
        <v>7.3</v>
      </c>
      <c r="F22" s="188">
        <f>국가별수입!AH62-국가별수입!AH22</f>
        <v>25731</v>
      </c>
      <c r="G22" s="41">
        <f t="shared" si="1"/>
        <v>22.2</v>
      </c>
    </row>
    <row r="23" spans="1:7" ht="19.5" hidden="1" customHeight="1">
      <c r="A23" s="33" t="s">
        <v>51</v>
      </c>
      <c r="B23" s="188">
        <f>국가별수입!AD63-국가별수입!AD23</f>
        <v>5775</v>
      </c>
      <c r="C23" s="188">
        <f>국가별수입!AE63-국가별수입!AE23</f>
        <v>15394</v>
      </c>
      <c r="D23" s="188">
        <f>국가별수입!AF63-국가별수입!AF23</f>
        <v>7385</v>
      </c>
      <c r="E23" s="41">
        <f t="shared" si="0"/>
        <v>27.9</v>
      </c>
      <c r="F23" s="188">
        <f>국가별수입!AH63-국가별수입!AH23</f>
        <v>20443</v>
      </c>
      <c r="G23" s="41">
        <f t="shared" si="1"/>
        <v>32.799999999999997</v>
      </c>
    </row>
    <row r="24" spans="1:7" ht="19.5" hidden="1" customHeight="1">
      <c r="A24" s="33" t="s">
        <v>72</v>
      </c>
      <c r="B24" s="188">
        <f>국가별수입!AD64-국가별수입!AD24</f>
        <v>6475</v>
      </c>
      <c r="C24" s="188">
        <f>국가별수입!AE64-국가별수입!AE24</f>
        <v>19418</v>
      </c>
      <c r="D24" s="188">
        <f>국가별수입!AF64-국가별수입!AF24</f>
        <v>3407</v>
      </c>
      <c r="E24" s="41">
        <f t="shared" si="0"/>
        <v>-47.4</v>
      </c>
      <c r="F24" s="188">
        <f>국가별수입!AH64-국가별수입!AH24</f>
        <v>12032</v>
      </c>
      <c r="G24" s="41">
        <f t="shared" si="1"/>
        <v>-38</v>
      </c>
    </row>
    <row r="25" spans="1:7" ht="19.5" hidden="1" customHeight="1">
      <c r="A25" s="33" t="s">
        <v>87</v>
      </c>
      <c r="B25" s="188">
        <f>국가별수입!AD65-국가별수입!AD25</f>
        <v>7694</v>
      </c>
      <c r="C25" s="188">
        <f>국가별수입!AE65-국가별수입!AE25</f>
        <v>17727</v>
      </c>
      <c r="D25" s="188">
        <f>국가별수입!AF65-국가별수입!AF25</f>
        <v>8018</v>
      </c>
      <c r="E25" s="41">
        <f t="shared" si="0"/>
        <v>4.2</v>
      </c>
      <c r="F25" s="188">
        <f>국가별수입!AH65-국가별수입!AH25</f>
        <v>16547</v>
      </c>
      <c r="G25" s="41">
        <f t="shared" si="1"/>
        <v>-6.7</v>
      </c>
    </row>
    <row r="26" spans="1:7" ht="19.5" hidden="1" customHeight="1">
      <c r="A26" s="33" t="s">
        <v>59</v>
      </c>
      <c r="B26" s="188">
        <f>국가별수입!AD66-국가별수입!AD26</f>
        <v>4302</v>
      </c>
      <c r="C26" s="188">
        <f>국가별수입!AE66-국가별수입!AE26</f>
        <v>15110</v>
      </c>
      <c r="D26" s="188">
        <f>국가별수입!AF66-국가별수입!AF26</f>
        <v>4933</v>
      </c>
      <c r="E26" s="41">
        <f t="shared" si="0"/>
        <v>14.7</v>
      </c>
      <c r="F26" s="188">
        <f>국가별수입!AH66-국가별수입!AH26</f>
        <v>15561</v>
      </c>
      <c r="G26" s="41">
        <f t="shared" si="1"/>
        <v>3</v>
      </c>
    </row>
    <row r="27" spans="1:7" ht="19.5" hidden="1" customHeight="1">
      <c r="A27" s="33" t="s">
        <v>90</v>
      </c>
      <c r="B27" s="188">
        <f>국가별수입!AD67-국가별수입!AD27</f>
        <v>3264</v>
      </c>
      <c r="C27" s="188">
        <f>국가별수입!AE67-국가별수입!AE27</f>
        <v>7087</v>
      </c>
      <c r="D27" s="188">
        <f>국가별수입!AF67-국가별수입!AF27</f>
        <v>2704</v>
      </c>
      <c r="E27" s="41">
        <f t="shared" si="0"/>
        <v>-17.2</v>
      </c>
      <c r="F27" s="188">
        <f>국가별수입!AH67-국가별수입!AH27</f>
        <v>5480</v>
      </c>
      <c r="G27" s="41">
        <f t="shared" si="1"/>
        <v>-22.7</v>
      </c>
    </row>
    <row r="28" spans="1:7" ht="19.5" hidden="1" customHeight="1">
      <c r="A28" s="33" t="s">
        <v>76</v>
      </c>
      <c r="B28" s="188">
        <f>국가별수입!AD68-국가별수입!AD28</f>
        <v>439</v>
      </c>
      <c r="C28" s="188">
        <f>국가별수입!AE68-국가별수입!AE28</f>
        <v>6793</v>
      </c>
      <c r="D28" s="188">
        <f>국가별수입!AF68-국가별수입!AF28</f>
        <v>606</v>
      </c>
      <c r="E28" s="41">
        <f t="shared" si="0"/>
        <v>38</v>
      </c>
      <c r="F28" s="188">
        <f>국가별수입!AH68-국가별수입!AH28</f>
        <v>8917</v>
      </c>
      <c r="G28" s="41">
        <f t="shared" si="1"/>
        <v>31.3</v>
      </c>
    </row>
    <row r="29" spans="1:7" s="173" customFormat="1" ht="19.5" hidden="1" customHeight="1">
      <c r="A29" s="33" t="s">
        <v>91</v>
      </c>
      <c r="B29" s="188">
        <f>국가별수입!AD69-국가별수입!AD29</f>
        <v>2572</v>
      </c>
      <c r="C29" s="188">
        <f>국가별수입!AE69-국가별수입!AE29</f>
        <v>5775</v>
      </c>
      <c r="D29" s="188">
        <f>국가별수입!AF69-국가별수입!AF29</f>
        <v>6396</v>
      </c>
      <c r="E29" s="41">
        <f t="shared" si="0"/>
        <v>148.69999999999999</v>
      </c>
      <c r="F29" s="188">
        <f>국가별수입!AH69-국가별수입!AH29</f>
        <v>12520</v>
      </c>
      <c r="G29" s="41">
        <f t="shared" si="1"/>
        <v>116.8</v>
      </c>
    </row>
    <row r="30" spans="1:7" ht="19.5" hidden="1" customHeight="1">
      <c r="A30" s="33" t="s">
        <v>308</v>
      </c>
      <c r="B30" s="188">
        <f>국가별수입!AD70-국가별수입!AD30</f>
        <v>248</v>
      </c>
      <c r="C30" s="188">
        <f>국가별수입!AE70-국가별수입!AE30</f>
        <v>3054</v>
      </c>
      <c r="D30" s="188">
        <f>국가별수입!AF70-국가별수입!AF30</f>
        <v>1066</v>
      </c>
      <c r="E30" s="41">
        <f t="shared" si="0"/>
        <v>329.8</v>
      </c>
      <c r="F30" s="188">
        <f>국가별수입!AH70-국가별수입!AH30</f>
        <v>15559</v>
      </c>
      <c r="G30" s="41">
        <f t="shared" si="1"/>
        <v>409.5</v>
      </c>
    </row>
    <row r="31" spans="1:7" ht="19.5" hidden="1" customHeight="1">
      <c r="A31" s="33" t="s">
        <v>71</v>
      </c>
      <c r="B31" s="188">
        <f>국가별수입!AD71-국가별수입!AD31</f>
        <v>1553</v>
      </c>
      <c r="C31" s="188">
        <f>국가별수입!AE71-국가별수입!AE31</f>
        <v>4994</v>
      </c>
      <c r="D31" s="188">
        <f>국가별수입!AF71-국가별수입!AF31</f>
        <v>1250</v>
      </c>
      <c r="E31" s="41">
        <f t="shared" si="0"/>
        <v>-19.5</v>
      </c>
      <c r="F31" s="188">
        <f>국가별수입!AH71-국가별수입!AH31</f>
        <v>5595</v>
      </c>
      <c r="G31" s="41">
        <f t="shared" si="1"/>
        <v>12</v>
      </c>
    </row>
    <row r="32" spans="1:7" ht="19.5" hidden="1" customHeight="1">
      <c r="A32" s="33" t="s">
        <v>88</v>
      </c>
      <c r="B32" s="188">
        <f>국가별수입!AD72-국가별수입!AD32</f>
        <v>2857</v>
      </c>
      <c r="C32" s="188">
        <f>국가별수입!AE72-국가별수입!AE32</f>
        <v>11275</v>
      </c>
      <c r="D32" s="188">
        <f>국가별수입!AF72-국가별수입!AF32</f>
        <v>1740</v>
      </c>
      <c r="E32" s="41">
        <f t="shared" si="0"/>
        <v>-39.1</v>
      </c>
      <c r="F32" s="188">
        <f>국가별수입!AH72-국가별수입!AH32</f>
        <v>6583</v>
      </c>
      <c r="G32" s="41">
        <f t="shared" si="1"/>
        <v>-41.6</v>
      </c>
    </row>
    <row r="33" spans="1:7" ht="19.5" hidden="1" customHeight="1">
      <c r="A33" s="33" t="s">
        <v>65</v>
      </c>
      <c r="B33" s="188">
        <f>국가별수입!AD73-국가별수입!AD33</f>
        <v>1440</v>
      </c>
      <c r="C33" s="188">
        <f>국가별수입!AE73-국가별수입!AE33</f>
        <v>4350</v>
      </c>
      <c r="D33" s="188">
        <f>국가별수입!AF73-국가별수입!AF33</f>
        <v>4704</v>
      </c>
      <c r="E33" s="41">
        <f t="shared" si="0"/>
        <v>226.7</v>
      </c>
      <c r="F33" s="188">
        <f>국가별수입!AH73-국가별수입!AH33</f>
        <v>9390</v>
      </c>
      <c r="G33" s="41">
        <f t="shared" si="1"/>
        <v>115.9</v>
      </c>
    </row>
    <row r="34" spans="1:7" ht="19.5" hidden="1" customHeight="1">
      <c r="A34" s="33" t="s">
        <v>66</v>
      </c>
      <c r="B34" s="188">
        <f>국가별수입!AD74-국가별수입!AD34</f>
        <v>1329</v>
      </c>
      <c r="C34" s="188">
        <f>국가별수입!AE74-국가별수입!AE34</f>
        <v>6109</v>
      </c>
      <c r="D34" s="188">
        <f>국가별수입!AF74-국가별수입!AF34</f>
        <v>1487</v>
      </c>
      <c r="E34" s="41">
        <f t="shared" si="0"/>
        <v>11.9</v>
      </c>
      <c r="F34" s="188">
        <f>국가별수입!AH74-국가별수입!AH34</f>
        <v>7082</v>
      </c>
      <c r="G34" s="41">
        <f t="shared" si="1"/>
        <v>15.9</v>
      </c>
    </row>
    <row r="35" spans="1:7" ht="19.5" hidden="1" customHeight="1">
      <c r="A35" s="33" t="s">
        <v>89</v>
      </c>
      <c r="B35" s="188">
        <f>국가별수입!AD75-국가별수입!AD35</f>
        <v>490</v>
      </c>
      <c r="C35" s="188">
        <f>국가별수입!AE75-국가별수입!AE35</f>
        <v>1219</v>
      </c>
      <c r="D35" s="188">
        <f>국가별수입!AF75-국가별수입!AF35</f>
        <v>1269</v>
      </c>
      <c r="E35" s="41">
        <f t="shared" si="0"/>
        <v>159</v>
      </c>
      <c r="F35" s="188">
        <f>국가별수입!AH75-국가별수입!AH35</f>
        <v>2097</v>
      </c>
      <c r="G35" s="41">
        <f t="shared" si="1"/>
        <v>72</v>
      </c>
    </row>
    <row r="36" spans="1:7" ht="19.5" hidden="1" customHeight="1">
      <c r="A36" s="33" t="s">
        <v>309</v>
      </c>
      <c r="B36" s="188">
        <f>국가별수입!AD76-국가별수입!AD36</f>
        <v>542</v>
      </c>
      <c r="C36" s="188">
        <f>국가별수입!AE76-국가별수입!AE36</f>
        <v>7019</v>
      </c>
      <c r="D36" s="188">
        <f>국가별수입!AF76-국가별수입!AF36</f>
        <v>421</v>
      </c>
      <c r="E36" s="41">
        <f t="shared" si="0"/>
        <v>-22.3</v>
      </c>
      <c r="F36" s="188">
        <f>국가별수입!AH76-국가별수입!AH36</f>
        <v>5454</v>
      </c>
      <c r="G36" s="41">
        <f t="shared" si="1"/>
        <v>-22.3</v>
      </c>
    </row>
    <row r="37" spans="1:7" ht="19.5" hidden="1" customHeight="1">
      <c r="A37" s="33" t="s">
        <v>92</v>
      </c>
      <c r="B37" s="188">
        <f>국가별수입!AD77-국가별수입!AD37</f>
        <v>1260</v>
      </c>
      <c r="C37" s="188">
        <f>국가별수입!AE77-국가별수입!AE37</f>
        <v>5184</v>
      </c>
      <c r="D37" s="188">
        <f>국가별수입!AF77-국가별수입!AF37</f>
        <v>1653</v>
      </c>
      <c r="E37" s="41">
        <f t="shared" si="0"/>
        <v>31.2</v>
      </c>
      <c r="F37" s="188">
        <f>국가별수입!AH77-국가별수입!AH37</f>
        <v>5434</v>
      </c>
      <c r="G37" s="41">
        <f t="shared" si="1"/>
        <v>4.8</v>
      </c>
    </row>
    <row r="38" spans="1:7" ht="19.5" hidden="1" customHeight="1">
      <c r="A38" s="56" t="s">
        <v>24</v>
      </c>
      <c r="B38" s="37">
        <f t="shared" ref="B38:D38" si="2">B39-SUM(B8:B37)</f>
        <v>22901</v>
      </c>
      <c r="C38" s="37">
        <f t="shared" si="2"/>
        <v>91865</v>
      </c>
      <c r="D38" s="37">
        <f t="shared" si="2"/>
        <v>25942</v>
      </c>
      <c r="E38" s="42">
        <f t="shared" si="0"/>
        <v>13.3</v>
      </c>
      <c r="F38" s="37">
        <f>F39-SUM(F8:F37)</f>
        <v>121214</v>
      </c>
      <c r="G38" s="42">
        <f t="shared" si="1"/>
        <v>31.9</v>
      </c>
    </row>
    <row r="39" spans="1:7" ht="19.5" hidden="1" customHeight="1">
      <c r="A39" s="59" t="s">
        <v>79</v>
      </c>
      <c r="B39" s="410">
        <f>국가별수입!AD79-국가별수입!AD39</f>
        <v>295521</v>
      </c>
      <c r="C39" s="410">
        <f>국가별수입!AE79-국가별수입!AE39</f>
        <v>1056068</v>
      </c>
      <c r="D39" s="410">
        <f>국가별수입!AF79-국가별수입!AF39</f>
        <v>310988</v>
      </c>
      <c r="E39" s="226">
        <f t="shared" ref="E39" si="3">ROUND(((D39/B39-1)*100),1)</f>
        <v>5.2</v>
      </c>
      <c r="F39" s="324">
        <f>국가별수입!AH79-국가별수입!AH39</f>
        <v>1051410</v>
      </c>
      <c r="G39" s="226">
        <f t="shared" ref="G39" si="4">ROUND(((F39/C39-1)*100),1)</f>
        <v>-0.4</v>
      </c>
    </row>
    <row r="40" spans="1:7" hidden="1"/>
    <row r="41" spans="1:7" ht="22.5" hidden="1">
      <c r="A41" s="1143" t="s">
        <v>526</v>
      </c>
      <c r="B41" s="1143"/>
      <c r="C41" s="1143"/>
      <c r="D41" s="1143"/>
      <c r="E41" s="1143"/>
      <c r="F41" s="1143"/>
      <c r="G41" s="1143"/>
    </row>
    <row r="42" spans="1:7" hidden="1"/>
    <row r="43" spans="1:7" hidden="1">
      <c r="F43" s="1144" t="s">
        <v>80</v>
      </c>
      <c r="G43" s="1144"/>
    </row>
    <row r="44" spans="1:7" ht="21.75" hidden="1" customHeight="1">
      <c r="A44" s="1115" t="s">
        <v>43</v>
      </c>
      <c r="B44" s="1115" t="s">
        <v>527</v>
      </c>
      <c r="C44" s="1115"/>
      <c r="D44" s="1115"/>
      <c r="E44" s="1115"/>
      <c r="F44" s="1115"/>
      <c r="G44" s="1115"/>
    </row>
    <row r="45" spans="1:7" ht="21" hidden="1" customHeight="1">
      <c r="A45" s="1115"/>
      <c r="B45" s="1115" t="s">
        <v>314</v>
      </c>
      <c r="C45" s="1115"/>
      <c r="D45" s="1115" t="s">
        <v>444</v>
      </c>
      <c r="E45" s="1115"/>
      <c r="F45" s="1115"/>
      <c r="G45" s="1115"/>
    </row>
    <row r="46" spans="1:7" ht="16.5" hidden="1" customHeight="1">
      <c r="A46" s="1115"/>
      <c r="B46" s="1115" t="s">
        <v>44</v>
      </c>
      <c r="C46" s="1115" t="s">
        <v>45</v>
      </c>
      <c r="D46" s="1146" t="s">
        <v>46</v>
      </c>
      <c r="E46" s="50"/>
      <c r="F46" s="1146" t="s">
        <v>45</v>
      </c>
      <c r="G46" s="50"/>
    </row>
    <row r="47" spans="1:7" ht="16.5" hidden="1" customHeight="1" thickBot="1">
      <c r="A47" s="1145"/>
      <c r="B47" s="1145"/>
      <c r="C47" s="1145"/>
      <c r="D47" s="1145"/>
      <c r="E47" s="51" t="s">
        <v>49</v>
      </c>
      <c r="F47" s="1145"/>
      <c r="G47" s="51" t="s">
        <v>49</v>
      </c>
    </row>
    <row r="48" spans="1:7" ht="19.5" hidden="1" customHeight="1" thickTop="1">
      <c r="A48" s="33" t="s">
        <v>50</v>
      </c>
      <c r="B48" s="188">
        <f>국가별수입!AD88-국가별수입!AD48</f>
        <v>59629</v>
      </c>
      <c r="C48" s="188">
        <f>국가별수입!AE88-국가별수입!AE48</f>
        <v>212050</v>
      </c>
      <c r="D48" s="188">
        <f>국가별수입!AF88-국가별수입!AF48</f>
        <v>53722</v>
      </c>
      <c r="E48" s="41">
        <f>ROUND(((D48/B48-1)*100),1)</f>
        <v>-9.9</v>
      </c>
      <c r="F48" s="188">
        <f>국가별수입!AH88-국가별수입!AH48</f>
        <v>206376</v>
      </c>
      <c r="G48" s="41">
        <f>ROUND(((F48/C48-1)*100),1)</f>
        <v>-2.7</v>
      </c>
    </row>
    <row r="49" spans="1:7" ht="19.5" hidden="1" customHeight="1">
      <c r="A49" s="33" t="s">
        <v>53</v>
      </c>
      <c r="B49" s="188">
        <f>국가별수입!AD89-국가별수입!AD49</f>
        <v>30450</v>
      </c>
      <c r="C49" s="188">
        <f>국가별수입!AE89-국가별수입!AE49</f>
        <v>127203</v>
      </c>
      <c r="D49" s="188">
        <f>국가별수입!AF89-국가별수입!AF49</f>
        <v>35032</v>
      </c>
      <c r="E49" s="41">
        <f t="shared" ref="E49:E79" si="5">ROUND(((D49/B49-1)*100),1)</f>
        <v>15</v>
      </c>
      <c r="F49" s="188">
        <f>국가별수입!AH89-국가별수입!AH49</f>
        <v>133614</v>
      </c>
      <c r="G49" s="41">
        <f t="shared" ref="G49:G79" si="6">ROUND(((F49/C49-1)*100),1)</f>
        <v>5</v>
      </c>
    </row>
    <row r="50" spans="1:7" ht="19.5" hidden="1" customHeight="1">
      <c r="A50" s="33" t="s">
        <v>54</v>
      </c>
      <c r="B50" s="188">
        <f>국가별수입!AD90-국가별수입!AD50</f>
        <v>15400</v>
      </c>
      <c r="C50" s="188">
        <f>국가별수입!AE90-국가별수입!AE50</f>
        <v>99903</v>
      </c>
      <c r="D50" s="188">
        <f>국가별수입!AF90-국가별수입!AF50</f>
        <v>18722</v>
      </c>
      <c r="E50" s="41">
        <f t="shared" si="5"/>
        <v>21.6</v>
      </c>
      <c r="F50" s="188">
        <f>국가별수입!AH90-국가별수입!AH50</f>
        <v>115680</v>
      </c>
      <c r="G50" s="41">
        <f t="shared" si="6"/>
        <v>15.8</v>
      </c>
    </row>
    <row r="51" spans="1:7" ht="19.5" hidden="1" customHeight="1">
      <c r="A51" s="33" t="s">
        <v>84</v>
      </c>
      <c r="B51" s="188">
        <f>국가별수입!AD91-국가별수입!AD51</f>
        <v>21813</v>
      </c>
      <c r="C51" s="188">
        <f>국가별수입!AE91-국가별수입!AE51</f>
        <v>131989</v>
      </c>
      <c r="D51" s="188">
        <f>국가별수입!AF91-국가별수입!AF51</f>
        <v>19243</v>
      </c>
      <c r="E51" s="41">
        <f t="shared" si="5"/>
        <v>-11.8</v>
      </c>
      <c r="F51" s="188">
        <f>국가별수입!AH91-국가별수입!AH51</f>
        <v>109200</v>
      </c>
      <c r="G51" s="41">
        <f t="shared" si="6"/>
        <v>-17.3</v>
      </c>
    </row>
    <row r="52" spans="1:7" ht="19.5" hidden="1" customHeight="1">
      <c r="A52" s="33" t="s">
        <v>52</v>
      </c>
      <c r="B52" s="188">
        <f>국가별수입!AD92-국가별수입!AD52</f>
        <v>36826</v>
      </c>
      <c r="C52" s="188">
        <f>국가별수입!AE92-국가별수입!AE52</f>
        <v>78022</v>
      </c>
      <c r="D52" s="188">
        <f>국가별수입!AF92-국가별수입!AF52</f>
        <v>50730</v>
      </c>
      <c r="E52" s="41">
        <f t="shared" si="5"/>
        <v>37.799999999999997</v>
      </c>
      <c r="F52" s="188">
        <f>국가별수입!AH92-국가별수입!AH52</f>
        <v>95821</v>
      </c>
      <c r="G52" s="41">
        <f t="shared" si="6"/>
        <v>22.8</v>
      </c>
    </row>
    <row r="53" spans="1:7" ht="19.5" hidden="1" customHeight="1">
      <c r="A53" s="33" t="s">
        <v>61</v>
      </c>
      <c r="B53" s="188">
        <f>국가별수입!AD93-국가별수입!AD53</f>
        <v>32614</v>
      </c>
      <c r="C53" s="188">
        <f>국가별수입!AE93-국가별수입!AE53</f>
        <v>87762</v>
      </c>
      <c r="D53" s="188">
        <f>국가별수입!AF93-국가별수입!AF53</f>
        <v>38667</v>
      </c>
      <c r="E53" s="41">
        <f t="shared" si="5"/>
        <v>18.600000000000001</v>
      </c>
      <c r="F53" s="188">
        <f>국가별수입!AH93-국가별수입!AH53</f>
        <v>91560</v>
      </c>
      <c r="G53" s="41">
        <f t="shared" si="6"/>
        <v>4.3</v>
      </c>
    </row>
    <row r="54" spans="1:7" ht="19.5" hidden="1" customHeight="1">
      <c r="A54" s="33" t="s">
        <v>56</v>
      </c>
      <c r="B54" s="188">
        <f>국가별수입!AD94-국가별수입!AD54</f>
        <v>20320</v>
      </c>
      <c r="C54" s="188">
        <f>국가별수입!AE94-국가별수입!AE54</f>
        <v>53041</v>
      </c>
      <c r="D54" s="188">
        <f>국가별수입!AF94-국가별수입!AF54</f>
        <v>17224</v>
      </c>
      <c r="E54" s="41">
        <f t="shared" si="5"/>
        <v>-15.2</v>
      </c>
      <c r="F54" s="188">
        <f>국가별수입!AH94-국가별수입!AH54</f>
        <v>46751</v>
      </c>
      <c r="G54" s="41">
        <f t="shared" si="6"/>
        <v>-11.9</v>
      </c>
    </row>
    <row r="55" spans="1:7" ht="19.5" hidden="1" customHeight="1">
      <c r="A55" s="33" t="s">
        <v>85</v>
      </c>
      <c r="B55" s="188">
        <f>국가별수입!AD95-국가별수입!AD55</f>
        <v>7128</v>
      </c>
      <c r="C55" s="188">
        <f>국가별수입!AE95-국가별수입!AE55</f>
        <v>44729</v>
      </c>
      <c r="D55" s="188">
        <f>국가별수입!AF95-국가별수입!AF55</f>
        <v>5712</v>
      </c>
      <c r="E55" s="41">
        <f t="shared" si="5"/>
        <v>-19.899999999999999</v>
      </c>
      <c r="F55" s="188">
        <f>국가별수입!AH95-국가별수입!AH55</f>
        <v>33090</v>
      </c>
      <c r="G55" s="41">
        <f t="shared" si="6"/>
        <v>-26</v>
      </c>
    </row>
    <row r="56" spans="1:7" ht="19.5" hidden="1" customHeight="1">
      <c r="A56" s="33" t="s">
        <v>86</v>
      </c>
      <c r="B56" s="188">
        <f>국가별수입!AD96-국가별수입!AD56</f>
        <v>8939</v>
      </c>
      <c r="C56" s="188">
        <f>국가별수입!AE96-국가별수입!AE56</f>
        <v>21609</v>
      </c>
      <c r="D56" s="188">
        <f>국가별수입!AF96-국가별수입!AF56</f>
        <v>12879</v>
      </c>
      <c r="E56" s="41">
        <f t="shared" si="5"/>
        <v>44.1</v>
      </c>
      <c r="F56" s="188">
        <f>국가별수입!AH96-국가별수입!AH56</f>
        <v>27443</v>
      </c>
      <c r="G56" s="41">
        <f t="shared" si="6"/>
        <v>27</v>
      </c>
    </row>
    <row r="57" spans="1:7" ht="19.5" hidden="1" customHeight="1">
      <c r="A57" s="33" t="s">
        <v>64</v>
      </c>
      <c r="B57" s="188">
        <f>국가별수입!AD97-국가별수입!AD57</f>
        <v>12092</v>
      </c>
      <c r="C57" s="188">
        <f>국가별수입!AE97-국가별수입!AE57</f>
        <v>30656</v>
      </c>
      <c r="D57" s="188">
        <f>국가별수입!AF97-국가별수입!AF57</f>
        <v>12898</v>
      </c>
      <c r="E57" s="41">
        <f t="shared" si="5"/>
        <v>6.7</v>
      </c>
      <c r="F57" s="188">
        <f>국가별수입!AH97-국가별수입!AH57</f>
        <v>25316</v>
      </c>
      <c r="G57" s="41">
        <f t="shared" si="6"/>
        <v>-17.399999999999999</v>
      </c>
    </row>
    <row r="58" spans="1:7" ht="19.5" hidden="1" customHeight="1">
      <c r="A58" s="33" t="s">
        <v>68</v>
      </c>
      <c r="B58" s="188">
        <f>국가별수입!AD98-국가별수입!AD58</f>
        <v>2928</v>
      </c>
      <c r="C58" s="188">
        <f>국가별수입!AE98-국가별수입!AE58</f>
        <v>22791</v>
      </c>
      <c r="D58" s="188">
        <f>국가별수입!AF98-국가별수입!AF58</f>
        <v>3669</v>
      </c>
      <c r="E58" s="41">
        <f t="shared" si="5"/>
        <v>25.3</v>
      </c>
      <c r="F58" s="188">
        <f>국가별수입!AH98-국가별수입!AH58</f>
        <v>26914</v>
      </c>
      <c r="G58" s="41">
        <f t="shared" si="6"/>
        <v>18.100000000000001</v>
      </c>
    </row>
    <row r="59" spans="1:7" ht="19.5" hidden="1" customHeight="1">
      <c r="A59" s="33" t="s">
        <v>57</v>
      </c>
      <c r="B59" s="188">
        <f>국가별수입!AD99-국가별수입!AD59</f>
        <v>5100</v>
      </c>
      <c r="C59" s="188">
        <f>국가별수입!AE99-국가별수입!AE59</f>
        <v>24575</v>
      </c>
      <c r="D59" s="188">
        <f>국가별수입!AF99-국가별수입!AF59</f>
        <v>5632</v>
      </c>
      <c r="E59" s="41">
        <f t="shared" si="5"/>
        <v>10.4</v>
      </c>
      <c r="F59" s="188">
        <f>국가별수입!AH99-국가별수입!AH59</f>
        <v>25783</v>
      </c>
      <c r="G59" s="41">
        <f t="shared" si="6"/>
        <v>4.9000000000000004</v>
      </c>
    </row>
    <row r="60" spans="1:7" ht="19.5" hidden="1" customHeight="1">
      <c r="A60" s="33" t="s">
        <v>58</v>
      </c>
      <c r="B60" s="188">
        <f>국가별수입!AD100-국가별수입!AD60</f>
        <v>2147</v>
      </c>
      <c r="C60" s="188">
        <f>국가별수입!AE100-국가별수입!AE60</f>
        <v>18573</v>
      </c>
      <c r="D60" s="188">
        <f>국가별수입!AF100-국가별수입!AF60</f>
        <v>2891</v>
      </c>
      <c r="E60" s="41">
        <f t="shared" si="5"/>
        <v>34.700000000000003</v>
      </c>
      <c r="F60" s="188">
        <f>국가별수입!AH100-국가별수입!AH60</f>
        <v>32158</v>
      </c>
      <c r="G60" s="41">
        <f t="shared" si="6"/>
        <v>73.099999999999994</v>
      </c>
    </row>
    <row r="61" spans="1:7" ht="19.5" hidden="1" customHeight="1">
      <c r="A61" s="33" t="s">
        <v>63</v>
      </c>
      <c r="B61" s="188">
        <f>국가별수입!AD101-국가별수입!AD61</f>
        <v>11322</v>
      </c>
      <c r="C61" s="188">
        <f>국가별수입!AE101-국가별수입!AE61</f>
        <v>28526</v>
      </c>
      <c r="D61" s="188">
        <f>국가별수입!AF101-국가별수입!AF61</f>
        <v>6483</v>
      </c>
      <c r="E61" s="41">
        <f t="shared" si="5"/>
        <v>-42.7</v>
      </c>
      <c r="F61" s="188">
        <f>국가별수입!AH101-국가별수입!AH61</f>
        <v>16237</v>
      </c>
      <c r="G61" s="41">
        <f t="shared" si="6"/>
        <v>-43.1</v>
      </c>
    </row>
    <row r="62" spans="1:7" ht="19.5" hidden="1" customHeight="1">
      <c r="A62" s="33" t="s">
        <v>55</v>
      </c>
      <c r="B62" s="188">
        <f>국가별수입!AD102-국가별수입!AD62</f>
        <v>10284</v>
      </c>
      <c r="C62" s="188">
        <f>국가별수입!AE102-국가별수입!AE62</f>
        <v>23836</v>
      </c>
      <c r="D62" s="188">
        <f>국가별수입!AF102-국가별수입!AF62</f>
        <v>9761</v>
      </c>
      <c r="E62" s="41">
        <f t="shared" si="5"/>
        <v>-5.0999999999999996</v>
      </c>
      <c r="F62" s="188">
        <f>국가별수입!AH102-국가별수입!AH62</f>
        <v>25085</v>
      </c>
      <c r="G62" s="41">
        <f t="shared" si="6"/>
        <v>5.2</v>
      </c>
    </row>
    <row r="63" spans="1:7" ht="19.5" hidden="1" customHeight="1">
      <c r="A63" s="33" t="s">
        <v>51</v>
      </c>
      <c r="B63" s="188">
        <f>국가별수입!AD103-국가별수입!AD63</f>
        <v>10167</v>
      </c>
      <c r="C63" s="188">
        <f>국가별수입!AE103-국가별수입!AE63</f>
        <v>24467</v>
      </c>
      <c r="D63" s="188">
        <f>국가별수입!AF103-국가별수입!AF63</f>
        <v>7519</v>
      </c>
      <c r="E63" s="41">
        <f t="shared" si="5"/>
        <v>-26</v>
      </c>
      <c r="F63" s="188">
        <f>국가별수입!AH103-국가별수입!AH63</f>
        <v>24387</v>
      </c>
      <c r="G63" s="41">
        <f t="shared" si="6"/>
        <v>-0.3</v>
      </c>
    </row>
    <row r="64" spans="1:7" ht="19.5" hidden="1" customHeight="1">
      <c r="A64" s="33" t="s">
        <v>72</v>
      </c>
      <c r="B64" s="188">
        <f>국가별수입!AD104-국가별수입!AD64</f>
        <v>7995</v>
      </c>
      <c r="C64" s="188">
        <f>국가별수입!AE104-국가별수입!AE64</f>
        <v>22181</v>
      </c>
      <c r="D64" s="188">
        <f>국가별수입!AF104-국가별수입!AF64</f>
        <v>2619</v>
      </c>
      <c r="E64" s="41">
        <f t="shared" si="5"/>
        <v>-67.2</v>
      </c>
      <c r="F64" s="188">
        <f>국가별수입!AH104-국가별수입!AH64</f>
        <v>10224</v>
      </c>
      <c r="G64" s="41">
        <f t="shared" si="6"/>
        <v>-53.9</v>
      </c>
    </row>
    <row r="65" spans="1:7" ht="19.5" hidden="1" customHeight="1">
      <c r="A65" s="33" t="s">
        <v>87</v>
      </c>
      <c r="B65" s="188">
        <f>국가별수입!AD105-국가별수입!AD65</f>
        <v>7608</v>
      </c>
      <c r="C65" s="188">
        <f>국가별수입!AE105-국가별수입!AE65</f>
        <v>16749</v>
      </c>
      <c r="D65" s="188">
        <f>국가별수입!AF105-국가별수입!AF65</f>
        <v>4095</v>
      </c>
      <c r="E65" s="41">
        <f t="shared" si="5"/>
        <v>-46.2</v>
      </c>
      <c r="F65" s="188">
        <f>국가별수입!AH105-국가별수입!AH65</f>
        <v>8386</v>
      </c>
      <c r="G65" s="41">
        <f t="shared" si="6"/>
        <v>-49.9</v>
      </c>
    </row>
    <row r="66" spans="1:7" ht="19.5" hidden="1" customHeight="1">
      <c r="A66" s="33" t="s">
        <v>59</v>
      </c>
      <c r="B66" s="188">
        <f>국가별수입!AD106-국가별수입!AD66</f>
        <v>6413</v>
      </c>
      <c r="C66" s="188">
        <f>국가별수입!AE106-국가별수입!AE66</f>
        <v>28548</v>
      </c>
      <c r="D66" s="188">
        <f>국가별수입!AF106-국가별수입!AF66</f>
        <v>4634</v>
      </c>
      <c r="E66" s="41">
        <f t="shared" si="5"/>
        <v>-27.7</v>
      </c>
      <c r="F66" s="188">
        <f>국가별수입!AH106-국가별수입!AH66</f>
        <v>14617</v>
      </c>
      <c r="G66" s="41">
        <f t="shared" si="6"/>
        <v>-48.8</v>
      </c>
    </row>
    <row r="67" spans="1:7" ht="19.5" hidden="1" customHeight="1">
      <c r="A67" s="33" t="s">
        <v>90</v>
      </c>
      <c r="B67" s="188">
        <f>국가별수입!AD107-국가별수입!AD67</f>
        <v>5229</v>
      </c>
      <c r="C67" s="188">
        <f>국가별수입!AE107-국가별수입!AE67</f>
        <v>11501</v>
      </c>
      <c r="D67" s="188">
        <f>국가별수입!AF107-국가별수입!AF67</f>
        <v>2218</v>
      </c>
      <c r="E67" s="41">
        <f t="shared" si="5"/>
        <v>-57.6</v>
      </c>
      <c r="F67" s="188">
        <f>국가별수입!AH107-국가별수입!AH67</f>
        <v>4803</v>
      </c>
      <c r="G67" s="41">
        <f t="shared" si="6"/>
        <v>-58.2</v>
      </c>
    </row>
    <row r="68" spans="1:7" ht="19.5" hidden="1" customHeight="1">
      <c r="A68" s="33" t="s">
        <v>76</v>
      </c>
      <c r="B68" s="188">
        <f>국가별수입!AD108-국가별수입!AD68</f>
        <v>570</v>
      </c>
      <c r="C68" s="188">
        <f>국가별수입!AE108-국가별수입!AE68</f>
        <v>9359</v>
      </c>
      <c r="D68" s="188">
        <f>국가별수입!AF108-국가별수입!AF68</f>
        <v>879</v>
      </c>
      <c r="E68" s="41">
        <f t="shared" si="5"/>
        <v>54.2</v>
      </c>
      <c r="F68" s="188">
        <f>국가별수입!AH108-국가별수입!AH68</f>
        <v>12968</v>
      </c>
      <c r="G68" s="41">
        <f t="shared" si="6"/>
        <v>38.6</v>
      </c>
    </row>
    <row r="69" spans="1:7" ht="19.5" hidden="1" customHeight="1">
      <c r="A69" s="33" t="s">
        <v>91</v>
      </c>
      <c r="B69" s="188">
        <f>국가별수입!AD109-국가별수입!AD69</f>
        <v>2234</v>
      </c>
      <c r="C69" s="188">
        <f>국가별수입!AE109-국가별수입!AE69</f>
        <v>5042</v>
      </c>
      <c r="D69" s="188">
        <f>국가별수입!AF109-국가별수입!AF69</f>
        <v>4805</v>
      </c>
      <c r="E69" s="41">
        <f t="shared" si="5"/>
        <v>115.1</v>
      </c>
      <c r="F69" s="188">
        <f>국가별수입!AH109-국가별수입!AH69</f>
        <v>9548</v>
      </c>
      <c r="G69" s="41">
        <f t="shared" si="6"/>
        <v>89.4</v>
      </c>
    </row>
    <row r="70" spans="1:7" ht="19.5" hidden="1" customHeight="1">
      <c r="A70" s="33" t="s">
        <v>308</v>
      </c>
      <c r="B70" s="188">
        <f>국가별수입!AD110-국가별수입!AD70</f>
        <v>1060</v>
      </c>
      <c r="C70" s="188">
        <f>국가별수입!AE110-국가별수입!AE70</f>
        <v>12482</v>
      </c>
      <c r="D70" s="188">
        <f>국가별수입!AF110-국가별수입!AF70</f>
        <v>884</v>
      </c>
      <c r="E70" s="41">
        <f t="shared" si="5"/>
        <v>-16.600000000000001</v>
      </c>
      <c r="F70" s="188">
        <f>국가별수입!AH110-국가별수입!AH70</f>
        <v>12027</v>
      </c>
      <c r="G70" s="41">
        <f t="shared" si="6"/>
        <v>-3.6</v>
      </c>
    </row>
    <row r="71" spans="1:7" ht="19.5" hidden="1" customHeight="1">
      <c r="A71" s="33" t="s">
        <v>71</v>
      </c>
      <c r="B71" s="188">
        <f>국가별수입!AD111-국가별수입!AD71</f>
        <v>2707</v>
      </c>
      <c r="C71" s="188">
        <f>국가별수입!AE111-국가별수입!AE71</f>
        <v>8725</v>
      </c>
      <c r="D71" s="188">
        <f>국가별수입!AF111-국가별수입!AF71</f>
        <v>2431</v>
      </c>
      <c r="E71" s="41">
        <f t="shared" si="5"/>
        <v>-10.199999999999999</v>
      </c>
      <c r="F71" s="188">
        <f>국가별수입!AH111-국가별수입!AH71</f>
        <v>8148</v>
      </c>
      <c r="G71" s="41">
        <f t="shared" si="6"/>
        <v>-6.6</v>
      </c>
    </row>
    <row r="72" spans="1:7" ht="19.5" hidden="1" customHeight="1">
      <c r="A72" s="33" t="s">
        <v>88</v>
      </c>
      <c r="B72" s="188">
        <f>국가별수입!AD112-국가별수입!AD72</f>
        <v>2653</v>
      </c>
      <c r="C72" s="188">
        <f>국가별수입!AE112-국가별수입!AE72</f>
        <v>8206</v>
      </c>
      <c r="D72" s="188">
        <f>국가별수입!AF112-국가별수입!AF72</f>
        <v>2431</v>
      </c>
      <c r="E72" s="41">
        <f t="shared" si="5"/>
        <v>-8.4</v>
      </c>
      <c r="F72" s="188">
        <f>국가별수입!AH112-국가별수입!AH72</f>
        <v>8448</v>
      </c>
      <c r="G72" s="41">
        <f t="shared" si="6"/>
        <v>2.9</v>
      </c>
    </row>
    <row r="73" spans="1:7" ht="19.5" hidden="1" customHeight="1">
      <c r="A73" s="33" t="s">
        <v>65</v>
      </c>
      <c r="B73" s="188">
        <f>국가별수입!AD113-국가별수입!AD73</f>
        <v>1719</v>
      </c>
      <c r="C73" s="188">
        <f>국가별수입!AE113-국가별수입!AE73</f>
        <v>3919</v>
      </c>
      <c r="D73" s="188">
        <f>국가별수입!AF113-국가별수입!AF73</f>
        <v>4944</v>
      </c>
      <c r="E73" s="41">
        <f t="shared" si="5"/>
        <v>187.6</v>
      </c>
      <c r="F73" s="188">
        <f>국가별수입!AH113-국가별수입!AH73</f>
        <v>9918</v>
      </c>
      <c r="G73" s="41">
        <f t="shared" si="6"/>
        <v>153.1</v>
      </c>
    </row>
    <row r="74" spans="1:7" ht="19.5" hidden="1" customHeight="1">
      <c r="A74" s="33" t="s">
        <v>66</v>
      </c>
      <c r="B74" s="188">
        <f>국가별수입!AD114-국가별수입!AD74</f>
        <v>1840</v>
      </c>
      <c r="C74" s="188">
        <f>국가별수입!AE114-국가별수입!AE74</f>
        <v>6960</v>
      </c>
      <c r="D74" s="188">
        <f>국가별수입!AF114-국가별수입!AF74</f>
        <v>2271</v>
      </c>
      <c r="E74" s="41">
        <f t="shared" si="5"/>
        <v>23.4</v>
      </c>
      <c r="F74" s="188">
        <f>국가별수입!AH114-국가별수입!AH74</f>
        <v>9685</v>
      </c>
      <c r="G74" s="41">
        <f t="shared" si="6"/>
        <v>39.200000000000003</v>
      </c>
    </row>
    <row r="75" spans="1:7" ht="19.5" hidden="1" customHeight="1">
      <c r="A75" s="33" t="s">
        <v>89</v>
      </c>
      <c r="B75" s="188">
        <f>국가별수입!AD115-국가별수입!AD75</f>
        <v>1162</v>
      </c>
      <c r="C75" s="188">
        <f>국가별수입!AE115-국가별수입!AE75</f>
        <v>4994</v>
      </c>
      <c r="D75" s="188">
        <f>국가별수입!AF115-국가별수입!AF75</f>
        <v>2735</v>
      </c>
      <c r="E75" s="41">
        <f t="shared" si="5"/>
        <v>135.4</v>
      </c>
      <c r="F75" s="188">
        <f>국가별수입!AH115-국가별수입!AH75</f>
        <v>4654</v>
      </c>
      <c r="G75" s="41">
        <f t="shared" si="6"/>
        <v>-6.8</v>
      </c>
    </row>
    <row r="76" spans="1:7" ht="19.5" hidden="1" customHeight="1">
      <c r="A76" s="33" t="s">
        <v>309</v>
      </c>
      <c r="B76" s="188">
        <f>국가별수입!AD116-국가별수입!AD76</f>
        <v>386</v>
      </c>
      <c r="C76" s="188">
        <f>국가별수입!AE116-국가별수입!AE76</f>
        <v>5261</v>
      </c>
      <c r="D76" s="188">
        <f>국가별수입!AF116-국가별수입!AF76</f>
        <v>311</v>
      </c>
      <c r="E76" s="41">
        <f t="shared" si="5"/>
        <v>-19.399999999999999</v>
      </c>
      <c r="F76" s="188">
        <f>국가별수입!AH116-국가별수입!AH76</f>
        <v>4246</v>
      </c>
      <c r="G76" s="41">
        <f t="shared" si="6"/>
        <v>-19.3</v>
      </c>
    </row>
    <row r="77" spans="1:7" ht="19.5" hidden="1" customHeight="1">
      <c r="A77" s="33" t="s">
        <v>92</v>
      </c>
      <c r="B77" s="188">
        <f>국가별수입!AD117-국가별수입!AD77</f>
        <v>1685</v>
      </c>
      <c r="C77" s="188">
        <f>국가별수입!AE117-국가별수입!AE77</f>
        <v>5541</v>
      </c>
      <c r="D77" s="188">
        <f>국가별수입!AF117-국가별수입!AF77</f>
        <v>2299</v>
      </c>
      <c r="E77" s="41">
        <f t="shared" si="5"/>
        <v>36.4</v>
      </c>
      <c r="F77" s="188">
        <f>국가별수입!AH117-국가별수입!AH77</f>
        <v>6202</v>
      </c>
      <c r="G77" s="41">
        <f t="shared" si="6"/>
        <v>11.9</v>
      </c>
    </row>
    <row r="78" spans="1:7" ht="19.5" hidden="1" customHeight="1">
      <c r="A78" s="56" t="s">
        <v>24</v>
      </c>
      <c r="B78" s="37">
        <f t="shared" ref="B78:D78" si="7">B79-SUM(B48:B77)</f>
        <v>29197</v>
      </c>
      <c r="C78" s="37">
        <f t="shared" si="7"/>
        <v>110965</v>
      </c>
      <c r="D78" s="37">
        <f t="shared" si="7"/>
        <v>24343</v>
      </c>
      <c r="E78" s="42">
        <f t="shared" si="5"/>
        <v>-16.600000000000001</v>
      </c>
      <c r="F78" s="37">
        <f>F79-SUM(F48:F77)</f>
        <v>95269</v>
      </c>
      <c r="G78" s="42">
        <f t="shared" si="6"/>
        <v>-14.1</v>
      </c>
    </row>
    <row r="79" spans="1:7" ht="19.5" hidden="1" customHeight="1">
      <c r="A79" s="59" t="s">
        <v>79</v>
      </c>
      <c r="B79" s="410">
        <f>국가별수입!AD119-국가별수입!AD79</f>
        <v>359617</v>
      </c>
      <c r="C79" s="410">
        <f>국가별수입!AE119-국가별수입!AE79</f>
        <v>1290165</v>
      </c>
      <c r="D79" s="410">
        <f>국가별수입!AF119-국가별수입!AF79</f>
        <v>362683</v>
      </c>
      <c r="E79" s="226">
        <f t="shared" si="5"/>
        <v>0.9</v>
      </c>
      <c r="F79" s="324">
        <f>국가별수입!AH119-국가별수입!AH79</f>
        <v>1254558</v>
      </c>
      <c r="G79" s="226">
        <f t="shared" si="6"/>
        <v>-2.8</v>
      </c>
    </row>
    <row r="80" spans="1:7" hidden="1"/>
    <row r="81" spans="1:7" ht="22.5" hidden="1">
      <c r="A81" s="1143" t="s">
        <v>551</v>
      </c>
      <c r="B81" s="1143"/>
      <c r="C81" s="1143"/>
      <c r="D81" s="1143"/>
      <c r="E81" s="1143"/>
      <c r="F81" s="1143"/>
      <c r="G81" s="1143"/>
    </row>
    <row r="82" spans="1:7" hidden="1"/>
    <row r="83" spans="1:7" hidden="1">
      <c r="F83" s="1144" t="s">
        <v>80</v>
      </c>
      <c r="G83" s="1144"/>
    </row>
    <row r="84" spans="1:7" ht="21.75" hidden="1" customHeight="1">
      <c r="A84" s="1115" t="s">
        <v>43</v>
      </c>
      <c r="B84" s="1115" t="s">
        <v>566</v>
      </c>
      <c r="C84" s="1115"/>
      <c r="D84" s="1115"/>
      <c r="E84" s="1115"/>
      <c r="F84" s="1115"/>
      <c r="G84" s="1115"/>
    </row>
    <row r="85" spans="1:7" ht="21" hidden="1" customHeight="1">
      <c r="A85" s="1115"/>
      <c r="B85" s="1115" t="s">
        <v>314</v>
      </c>
      <c r="C85" s="1115"/>
      <c r="D85" s="1115" t="s">
        <v>444</v>
      </c>
      <c r="E85" s="1115"/>
      <c r="F85" s="1115"/>
      <c r="G85" s="1115"/>
    </row>
    <row r="86" spans="1:7" ht="16.5" hidden="1" customHeight="1">
      <c r="A86" s="1115"/>
      <c r="B86" s="1115" t="s">
        <v>44</v>
      </c>
      <c r="C86" s="1115" t="s">
        <v>45</v>
      </c>
      <c r="D86" s="1146" t="s">
        <v>46</v>
      </c>
      <c r="E86" s="50"/>
      <c r="F86" s="1146" t="s">
        <v>45</v>
      </c>
      <c r="G86" s="50"/>
    </row>
    <row r="87" spans="1:7" ht="16.5" hidden="1" customHeight="1" thickBot="1">
      <c r="A87" s="1145"/>
      <c r="B87" s="1145"/>
      <c r="C87" s="1145"/>
      <c r="D87" s="1145"/>
      <c r="E87" s="51" t="s">
        <v>49</v>
      </c>
      <c r="F87" s="1145"/>
      <c r="G87" s="51" t="s">
        <v>49</v>
      </c>
    </row>
    <row r="88" spans="1:7" ht="19.5" hidden="1" customHeight="1" thickTop="1">
      <c r="A88" s="33" t="s">
        <v>50</v>
      </c>
      <c r="B88" s="188">
        <f>국가별수입!AD128-국가별수입!AD88</f>
        <v>63750</v>
      </c>
      <c r="C88" s="188">
        <f>국가별수입!AE128-국가별수입!AE88</f>
        <v>226062</v>
      </c>
      <c r="D88" s="188">
        <f>국가별수입!AF128-국가별수입!AF88</f>
        <v>54342</v>
      </c>
      <c r="E88" s="41">
        <f>ROUND(((D88/B88-1)*100),1)</f>
        <v>-14.8</v>
      </c>
      <c r="F88" s="188">
        <f>국가별수입!AH128-국가별수입!AH88</f>
        <v>191368</v>
      </c>
      <c r="G88" s="41">
        <f>ROUND(((F88/C88-1)*100),1)</f>
        <v>-15.3</v>
      </c>
    </row>
    <row r="89" spans="1:7" ht="19.5" hidden="1" customHeight="1">
      <c r="A89" s="33" t="s">
        <v>53</v>
      </c>
      <c r="B89" s="188">
        <f>국가별수입!AD129-국가별수입!AD89</f>
        <v>34208</v>
      </c>
      <c r="C89" s="188">
        <f>국가별수입!AE129-국가별수입!AE89</f>
        <v>132227</v>
      </c>
      <c r="D89" s="188">
        <f>국가별수입!AF129-국가별수입!AF89</f>
        <v>35202</v>
      </c>
      <c r="E89" s="41">
        <f t="shared" ref="E89:E119" si="8">ROUND(((D89/B89-1)*100),1)</f>
        <v>2.9</v>
      </c>
      <c r="F89" s="188">
        <f>국가별수입!AH129-국가별수입!AH89</f>
        <v>122982</v>
      </c>
      <c r="G89" s="41">
        <f t="shared" ref="G89:G119" si="9">ROUND(((F89/C89-1)*100),1)</f>
        <v>-7</v>
      </c>
    </row>
    <row r="90" spans="1:7" ht="19.5" hidden="1" customHeight="1">
      <c r="A90" s="33" t="s">
        <v>54</v>
      </c>
      <c r="B90" s="188">
        <f>국가별수입!AD130-국가별수입!AD90</f>
        <v>18888</v>
      </c>
      <c r="C90" s="188">
        <f>국가별수입!AE130-국가별수입!AE90</f>
        <v>118201</v>
      </c>
      <c r="D90" s="188">
        <f>국가별수입!AF130-국가별수입!AF90</f>
        <v>19065</v>
      </c>
      <c r="E90" s="41">
        <f t="shared" si="8"/>
        <v>0.9</v>
      </c>
      <c r="F90" s="188">
        <f>국가별수입!AH130-국가별수입!AH90</f>
        <v>115978</v>
      </c>
      <c r="G90" s="41">
        <f t="shared" si="9"/>
        <v>-1.9</v>
      </c>
    </row>
    <row r="91" spans="1:7" ht="19.5" hidden="1" customHeight="1">
      <c r="A91" s="33" t="s">
        <v>84</v>
      </c>
      <c r="B91" s="188">
        <f>국가별수입!AD131-국가별수입!AD91</f>
        <v>24771</v>
      </c>
      <c r="C91" s="188">
        <f>국가별수입!AE131-국가별수입!AE91</f>
        <v>151166</v>
      </c>
      <c r="D91" s="188">
        <f>국가별수입!AF131-국가별수입!AF91</f>
        <v>13351</v>
      </c>
      <c r="E91" s="41">
        <f t="shared" si="8"/>
        <v>-46.1</v>
      </c>
      <c r="F91" s="188">
        <f>국가별수입!AH131-국가별수입!AH91</f>
        <v>71663</v>
      </c>
      <c r="G91" s="41">
        <f t="shared" si="9"/>
        <v>-52.6</v>
      </c>
    </row>
    <row r="92" spans="1:7" ht="19.5" hidden="1" customHeight="1">
      <c r="A92" s="33" t="s">
        <v>52</v>
      </c>
      <c r="B92" s="188">
        <f>국가별수입!AD132-국가별수입!AD92</f>
        <v>39451</v>
      </c>
      <c r="C92" s="188">
        <f>국가별수입!AE132-국가별수입!AE92</f>
        <v>83400</v>
      </c>
      <c r="D92" s="188">
        <f>국가별수입!AF132-국가별수입!AF92</f>
        <v>42522</v>
      </c>
      <c r="E92" s="41">
        <f t="shared" si="8"/>
        <v>7.8</v>
      </c>
      <c r="F92" s="188">
        <f>국가별수입!AH132-국가별수입!AH92</f>
        <v>72974</v>
      </c>
      <c r="G92" s="41">
        <f t="shared" si="9"/>
        <v>-12.5</v>
      </c>
    </row>
    <row r="93" spans="1:7" ht="19.5" hidden="1" customHeight="1">
      <c r="A93" s="33" t="s">
        <v>61</v>
      </c>
      <c r="B93" s="188">
        <f>국가별수입!AD133-국가별수입!AD93</f>
        <v>37044</v>
      </c>
      <c r="C93" s="188">
        <f>국가별수입!AE133-국가별수입!AE93</f>
        <v>96069</v>
      </c>
      <c r="D93" s="188">
        <f>국가별수입!AF133-국가별수입!AF93</f>
        <v>47941</v>
      </c>
      <c r="E93" s="41">
        <f t="shared" si="8"/>
        <v>29.4</v>
      </c>
      <c r="F93" s="188">
        <f>국가별수입!AH133-국가별수입!AH93</f>
        <v>98469</v>
      </c>
      <c r="G93" s="41">
        <f t="shared" si="9"/>
        <v>2.5</v>
      </c>
    </row>
    <row r="94" spans="1:7" ht="19.5" hidden="1" customHeight="1">
      <c r="A94" s="33" t="s">
        <v>56</v>
      </c>
      <c r="B94" s="188">
        <f>국가별수입!AD134-국가별수입!AD94</f>
        <v>16070</v>
      </c>
      <c r="C94" s="188">
        <f>국가별수입!AE134-국가별수입!AE94</f>
        <v>46622</v>
      </c>
      <c r="D94" s="188">
        <f>국가별수입!AF134-국가별수입!AF94</f>
        <v>12085</v>
      </c>
      <c r="E94" s="41">
        <f t="shared" si="8"/>
        <v>-24.8</v>
      </c>
      <c r="F94" s="188">
        <f>국가별수입!AH134-국가별수입!AH94</f>
        <v>30592</v>
      </c>
      <c r="G94" s="41">
        <f t="shared" si="9"/>
        <v>-34.4</v>
      </c>
    </row>
    <row r="95" spans="1:7" ht="19.5" hidden="1" customHeight="1">
      <c r="A95" s="33" t="s">
        <v>85</v>
      </c>
      <c r="B95" s="188">
        <f>국가별수입!AD135-국가별수입!AD95</f>
        <v>5255</v>
      </c>
      <c r="C95" s="188">
        <f>국가별수입!AE135-국가별수입!AE95</f>
        <v>35060</v>
      </c>
      <c r="D95" s="188">
        <f>국가별수입!AF135-국가별수입!AF95</f>
        <v>8281</v>
      </c>
      <c r="E95" s="41">
        <f t="shared" si="8"/>
        <v>57.6</v>
      </c>
      <c r="F95" s="188">
        <f>국가별수입!AH135-국가별수입!AH95</f>
        <v>43985</v>
      </c>
      <c r="G95" s="41">
        <f t="shared" si="9"/>
        <v>25.5</v>
      </c>
    </row>
    <row r="96" spans="1:7" ht="19.5" hidden="1" customHeight="1">
      <c r="A96" s="33" t="s">
        <v>86</v>
      </c>
      <c r="B96" s="188">
        <f>국가별수입!AD136-국가별수입!AD96</f>
        <v>13605</v>
      </c>
      <c r="C96" s="188">
        <f>국가별수입!AE136-국가별수입!AE96</f>
        <v>30775</v>
      </c>
      <c r="D96" s="188">
        <f>국가별수입!AF136-국가별수입!AF96</f>
        <v>7427</v>
      </c>
      <c r="E96" s="41">
        <f t="shared" si="8"/>
        <v>-45.4</v>
      </c>
      <c r="F96" s="188">
        <f>국가별수입!AH136-국가별수입!AH96</f>
        <v>16255</v>
      </c>
      <c r="G96" s="41">
        <f t="shared" si="9"/>
        <v>-47.2</v>
      </c>
    </row>
    <row r="97" spans="1:7" ht="19.5" hidden="1" customHeight="1">
      <c r="A97" s="33" t="s">
        <v>64</v>
      </c>
      <c r="B97" s="188">
        <f>국가별수입!AD137-국가별수입!AD97</f>
        <v>16603</v>
      </c>
      <c r="C97" s="188">
        <f>국가별수입!AE137-국가별수입!AE97</f>
        <v>38615</v>
      </c>
      <c r="D97" s="188">
        <f>국가별수입!AF137-국가별수입!AF97</f>
        <v>10507</v>
      </c>
      <c r="E97" s="41">
        <f t="shared" si="8"/>
        <v>-36.700000000000003</v>
      </c>
      <c r="F97" s="188">
        <f>국가별수입!AH137-국가별수입!AH97</f>
        <v>20159</v>
      </c>
      <c r="G97" s="41">
        <f t="shared" si="9"/>
        <v>-47.8</v>
      </c>
    </row>
    <row r="98" spans="1:7" ht="19.5" hidden="1" customHeight="1">
      <c r="A98" s="33" t="s">
        <v>68</v>
      </c>
      <c r="B98" s="188">
        <f>국가별수입!AD138-국가별수입!AD98</f>
        <v>5611</v>
      </c>
      <c r="C98" s="188">
        <f>국가별수입!AE138-국가별수입!AE98</f>
        <v>32177</v>
      </c>
      <c r="D98" s="188">
        <f>국가별수입!AF138-국가별수입!AF98</f>
        <v>2305</v>
      </c>
      <c r="E98" s="41">
        <f t="shared" si="8"/>
        <v>-58.9</v>
      </c>
      <c r="F98" s="188">
        <f>국가별수입!AH138-국가별수입!AH98</f>
        <v>17683</v>
      </c>
      <c r="G98" s="41">
        <f t="shared" si="9"/>
        <v>-45</v>
      </c>
    </row>
    <row r="99" spans="1:7" ht="19.5" hidden="1" customHeight="1">
      <c r="A99" s="33" t="s">
        <v>57</v>
      </c>
      <c r="B99" s="188">
        <f>국가별수입!AD139-국가별수입!AD99</f>
        <v>6472</v>
      </c>
      <c r="C99" s="188">
        <f>국가별수입!AE139-국가별수입!AE99</f>
        <v>28955</v>
      </c>
      <c r="D99" s="188">
        <f>국가별수입!AF139-국가별수입!AF99</f>
        <v>7356</v>
      </c>
      <c r="E99" s="41">
        <f t="shared" si="8"/>
        <v>13.7</v>
      </c>
      <c r="F99" s="188">
        <f>국가별수입!AH139-국가별수입!AH99</f>
        <v>27448</v>
      </c>
      <c r="G99" s="41">
        <f t="shared" si="9"/>
        <v>-5.2</v>
      </c>
    </row>
    <row r="100" spans="1:7" ht="19.5" hidden="1" customHeight="1">
      <c r="A100" s="33" t="s">
        <v>58</v>
      </c>
      <c r="B100" s="188">
        <f>국가별수입!AD140-국가별수입!AD100</f>
        <v>2119</v>
      </c>
      <c r="C100" s="188">
        <f>국가별수입!AE140-국가별수입!AE100</f>
        <v>21251</v>
      </c>
      <c r="D100" s="188">
        <f>국가별수입!AF140-국가별수입!AF100</f>
        <v>3939</v>
      </c>
      <c r="E100" s="41">
        <f t="shared" si="8"/>
        <v>85.9</v>
      </c>
      <c r="F100" s="188">
        <f>국가별수입!AH140-국가별수입!AH100</f>
        <v>26767</v>
      </c>
      <c r="G100" s="41">
        <f t="shared" si="9"/>
        <v>26</v>
      </c>
    </row>
    <row r="101" spans="1:7" ht="19.5" hidden="1" customHeight="1">
      <c r="A101" s="33" t="s">
        <v>63</v>
      </c>
      <c r="B101" s="188">
        <f>국가별수입!AD141-국가별수입!AD101</f>
        <v>7840</v>
      </c>
      <c r="C101" s="188">
        <f>국가별수입!AE141-국가별수입!AE101</f>
        <v>22097</v>
      </c>
      <c r="D101" s="188">
        <f>국가별수입!AF141-국가별수입!AF101</f>
        <v>8673</v>
      </c>
      <c r="E101" s="41">
        <f t="shared" si="8"/>
        <v>10.6</v>
      </c>
      <c r="F101" s="188">
        <f>국가별수입!AH141-국가별수입!AH101</f>
        <v>19930</v>
      </c>
      <c r="G101" s="41">
        <f t="shared" si="9"/>
        <v>-9.8000000000000007</v>
      </c>
    </row>
    <row r="102" spans="1:7" ht="19.5" hidden="1" customHeight="1">
      <c r="A102" s="33" t="s">
        <v>55</v>
      </c>
      <c r="B102" s="188">
        <f>국가별수입!AD142-국가별수입!AD102</f>
        <v>11184</v>
      </c>
      <c r="C102" s="188">
        <f>국가별수입!AE142-국가별수입!AE102</f>
        <v>23408</v>
      </c>
      <c r="D102" s="188">
        <f>국가별수입!AF142-국가별수입!AF102</f>
        <v>13251</v>
      </c>
      <c r="E102" s="41">
        <f t="shared" si="8"/>
        <v>18.5</v>
      </c>
      <c r="F102" s="188">
        <f>국가별수입!AH142-국가별수입!AH102</f>
        <v>27635</v>
      </c>
      <c r="G102" s="41">
        <f t="shared" si="9"/>
        <v>18.100000000000001</v>
      </c>
    </row>
    <row r="103" spans="1:7" ht="19.5" hidden="1" customHeight="1">
      <c r="A103" s="33" t="s">
        <v>51</v>
      </c>
      <c r="B103" s="188">
        <f>국가별수입!AD143-국가별수입!AD103</f>
        <v>7830</v>
      </c>
      <c r="C103" s="188">
        <f>국가별수입!AE143-국가별수입!AE103</f>
        <v>22426</v>
      </c>
      <c r="D103" s="188">
        <f>국가별수입!AF143-국가별수입!AF103</f>
        <v>6668</v>
      </c>
      <c r="E103" s="41">
        <f t="shared" si="8"/>
        <v>-14.8</v>
      </c>
      <c r="F103" s="188">
        <f>국가별수입!AH143-국가별수입!AH103</f>
        <v>20878</v>
      </c>
      <c r="G103" s="41">
        <f t="shared" si="9"/>
        <v>-6.9</v>
      </c>
    </row>
    <row r="104" spans="1:7" ht="19.5" hidden="1" customHeight="1">
      <c r="A104" s="33" t="s">
        <v>72</v>
      </c>
      <c r="B104" s="188">
        <f>국가별수입!AD144-국가별수입!AD104</f>
        <v>9622</v>
      </c>
      <c r="C104" s="188">
        <f>국가별수입!AE144-국가별수입!AE104</f>
        <v>27492</v>
      </c>
      <c r="D104" s="188">
        <f>국가별수입!AF144-국가별수입!AF104</f>
        <v>2184</v>
      </c>
      <c r="E104" s="41">
        <f t="shared" si="8"/>
        <v>-77.3</v>
      </c>
      <c r="F104" s="188">
        <f>국가별수입!AH144-국가별수입!AH104</f>
        <v>10742</v>
      </c>
      <c r="G104" s="41">
        <f t="shared" si="9"/>
        <v>-60.9</v>
      </c>
    </row>
    <row r="105" spans="1:7" ht="19.5" hidden="1" customHeight="1">
      <c r="A105" s="33" t="s">
        <v>87</v>
      </c>
      <c r="B105" s="188">
        <f>국가별수입!AD145-국가별수입!AD105</f>
        <v>7865</v>
      </c>
      <c r="C105" s="188">
        <f>국가별수입!AE145-국가별수입!AE105</f>
        <v>18228</v>
      </c>
      <c r="D105" s="188">
        <f>국가별수입!AF145-국가별수입!AF105</f>
        <v>7730</v>
      </c>
      <c r="E105" s="41">
        <f t="shared" si="8"/>
        <v>-1.7</v>
      </c>
      <c r="F105" s="188">
        <f>국가별수입!AH145-국가별수입!AH105</f>
        <v>14900</v>
      </c>
      <c r="G105" s="41">
        <f t="shared" si="9"/>
        <v>-18.3</v>
      </c>
    </row>
    <row r="106" spans="1:7" ht="19.5" hidden="1" customHeight="1">
      <c r="A106" s="33" t="s">
        <v>59</v>
      </c>
      <c r="B106" s="188">
        <f>국가별수입!AD146-국가별수입!AD106</f>
        <v>4279</v>
      </c>
      <c r="C106" s="188">
        <f>국가별수입!AE146-국가별수입!AE106</f>
        <v>14050</v>
      </c>
      <c r="D106" s="188">
        <f>국가별수입!AF146-국가별수입!AF106</f>
        <v>2182</v>
      </c>
      <c r="E106" s="41">
        <f t="shared" si="8"/>
        <v>-49</v>
      </c>
      <c r="F106" s="188">
        <f>국가별수입!AH146-국가별수입!AH106</f>
        <v>7556</v>
      </c>
      <c r="G106" s="41">
        <f t="shared" si="9"/>
        <v>-46.2</v>
      </c>
    </row>
    <row r="107" spans="1:7" ht="19.5" hidden="1" customHeight="1">
      <c r="A107" s="33" t="s">
        <v>90</v>
      </c>
      <c r="B107" s="188">
        <f>국가별수입!AD147-국가별수입!AD107</f>
        <v>5230</v>
      </c>
      <c r="C107" s="188">
        <f>국가별수입!AE147-국가별수입!AE107</f>
        <v>11132</v>
      </c>
      <c r="D107" s="188">
        <f>국가별수입!AF147-국가별수입!AF107</f>
        <v>4691</v>
      </c>
      <c r="E107" s="41">
        <f t="shared" si="8"/>
        <v>-10.3</v>
      </c>
      <c r="F107" s="188">
        <f>국가별수입!AH147-국가별수입!AH107</f>
        <v>8759</v>
      </c>
      <c r="G107" s="41">
        <f t="shared" si="9"/>
        <v>-21.3</v>
      </c>
    </row>
    <row r="108" spans="1:7" ht="19.5" hidden="1" customHeight="1">
      <c r="A108" s="33" t="s">
        <v>76</v>
      </c>
      <c r="B108" s="188">
        <f>국가별수입!AD148-국가별수입!AD108</f>
        <v>777</v>
      </c>
      <c r="C108" s="188">
        <f>국가별수입!AE148-국가별수입!AE108</f>
        <v>10551</v>
      </c>
      <c r="D108" s="188">
        <f>국가별수입!AF148-국가별수입!AF108</f>
        <v>1135</v>
      </c>
      <c r="E108" s="41">
        <f t="shared" si="8"/>
        <v>46.1</v>
      </c>
      <c r="F108" s="188">
        <f>국가별수입!AH148-국가별수입!AH108</f>
        <v>13980</v>
      </c>
      <c r="G108" s="41">
        <f t="shared" si="9"/>
        <v>32.5</v>
      </c>
    </row>
    <row r="109" spans="1:7" ht="19.5" hidden="1" customHeight="1">
      <c r="A109" s="33" t="s">
        <v>91</v>
      </c>
      <c r="B109" s="188">
        <f>국가별수입!AD149-국가별수입!AD109</f>
        <v>2911</v>
      </c>
      <c r="C109" s="188">
        <f>국가별수입!AE149-국가별수입!AE109</f>
        <v>6380</v>
      </c>
      <c r="D109" s="188">
        <f>국가별수입!AF149-국가별수입!AF109</f>
        <v>6727</v>
      </c>
      <c r="E109" s="41">
        <f t="shared" si="8"/>
        <v>131.1</v>
      </c>
      <c r="F109" s="188">
        <f>국가별수입!AH149-국가별수입!AH109</f>
        <v>12710</v>
      </c>
      <c r="G109" s="41">
        <f t="shared" si="9"/>
        <v>99.2</v>
      </c>
    </row>
    <row r="110" spans="1:7" ht="19.5" hidden="1" customHeight="1">
      <c r="A110" s="33" t="s">
        <v>308</v>
      </c>
      <c r="B110" s="188">
        <f>국가별수입!AD150-국가별수입!AD110</f>
        <v>466</v>
      </c>
      <c r="C110" s="188">
        <f>국가별수입!AE150-국가별수입!AE110</f>
        <v>5682</v>
      </c>
      <c r="D110" s="188">
        <f>국가별수입!AF150-국가별수입!AF110</f>
        <v>294</v>
      </c>
      <c r="E110" s="41">
        <f t="shared" si="8"/>
        <v>-36.9</v>
      </c>
      <c r="F110" s="188">
        <f>국가별수입!AH150-국가별수입!AH110</f>
        <v>3733</v>
      </c>
      <c r="G110" s="41">
        <f t="shared" si="9"/>
        <v>-34.299999999999997</v>
      </c>
    </row>
    <row r="111" spans="1:7" ht="19.5" hidden="1" customHeight="1">
      <c r="A111" s="33" t="s">
        <v>71</v>
      </c>
      <c r="B111" s="188">
        <f>국가별수입!AD151-국가별수입!AD111</f>
        <v>2021</v>
      </c>
      <c r="C111" s="188">
        <f>국가별수입!AE151-국가별수입!AE111</f>
        <v>8013</v>
      </c>
      <c r="D111" s="188">
        <f>국가별수입!AF151-국가별수입!AF111</f>
        <v>2674</v>
      </c>
      <c r="E111" s="41">
        <f t="shared" si="8"/>
        <v>32.299999999999997</v>
      </c>
      <c r="F111" s="188">
        <f>국가별수입!AH151-국가별수입!AH111</f>
        <v>6611</v>
      </c>
      <c r="G111" s="41">
        <f t="shared" si="9"/>
        <v>-17.5</v>
      </c>
    </row>
    <row r="112" spans="1:7" ht="19.5" hidden="1" customHeight="1">
      <c r="A112" s="33" t="s">
        <v>88</v>
      </c>
      <c r="B112" s="188">
        <f>국가별수입!AD152-국가별수입!AD112</f>
        <v>1981</v>
      </c>
      <c r="C112" s="188">
        <f>국가별수입!AE152-국가별수입!AE112</f>
        <v>6398</v>
      </c>
      <c r="D112" s="188">
        <f>국가별수입!AF152-국가별수입!AF112</f>
        <v>1594</v>
      </c>
      <c r="E112" s="41">
        <f t="shared" si="8"/>
        <v>-19.5</v>
      </c>
      <c r="F112" s="188">
        <f>국가별수입!AH152-국가별수입!AH112</f>
        <v>4544</v>
      </c>
      <c r="G112" s="41">
        <f t="shared" si="9"/>
        <v>-29</v>
      </c>
    </row>
    <row r="113" spans="1:7" ht="19.5" hidden="1" customHeight="1">
      <c r="A113" s="33" t="s">
        <v>65</v>
      </c>
      <c r="B113" s="188">
        <f>국가별수입!AD153-국가별수입!AD113</f>
        <v>3102</v>
      </c>
      <c r="C113" s="188">
        <f>국가별수입!AE153-국가별수입!AE113</f>
        <v>6425</v>
      </c>
      <c r="D113" s="188">
        <f>국가별수입!AF153-국가별수입!AF113</f>
        <v>2905</v>
      </c>
      <c r="E113" s="41">
        <f t="shared" si="8"/>
        <v>-6.4</v>
      </c>
      <c r="F113" s="188">
        <f>국가별수입!AH153-국가별수입!AH113</f>
        <v>6788</v>
      </c>
      <c r="G113" s="41">
        <f t="shared" si="9"/>
        <v>5.6</v>
      </c>
    </row>
    <row r="114" spans="1:7" ht="19.5" hidden="1" customHeight="1">
      <c r="A114" s="33" t="s">
        <v>66</v>
      </c>
      <c r="B114" s="188">
        <f>국가별수입!AD154-국가별수입!AD114</f>
        <v>1925</v>
      </c>
      <c r="C114" s="188">
        <f>국가별수입!AE154-국가별수입!AE114</f>
        <v>6846</v>
      </c>
      <c r="D114" s="188">
        <f>국가별수입!AF154-국가별수입!AF114</f>
        <v>1902</v>
      </c>
      <c r="E114" s="41">
        <f t="shared" si="8"/>
        <v>-1.2</v>
      </c>
      <c r="F114" s="188">
        <f>국가별수입!AH154-국가별수입!AH114</f>
        <v>8208</v>
      </c>
      <c r="G114" s="41">
        <f t="shared" si="9"/>
        <v>19.899999999999999</v>
      </c>
    </row>
    <row r="115" spans="1:7" ht="19.5" hidden="1" customHeight="1">
      <c r="A115" s="33" t="s">
        <v>89</v>
      </c>
      <c r="B115" s="188">
        <f>국가별수입!AD155-국가별수입!AD115</f>
        <v>1253</v>
      </c>
      <c r="C115" s="188">
        <f>국가별수입!AE155-국가별수입!AE115</f>
        <v>4237</v>
      </c>
      <c r="D115" s="188">
        <f>국가별수입!AF155-국가별수입!AF115</f>
        <v>2694</v>
      </c>
      <c r="E115" s="41">
        <f t="shared" si="8"/>
        <v>115</v>
      </c>
      <c r="F115" s="188">
        <f>국가별수입!AH155-국가별수입!AH115</f>
        <v>3281</v>
      </c>
      <c r="G115" s="41">
        <f t="shared" si="9"/>
        <v>-22.6</v>
      </c>
    </row>
    <row r="116" spans="1:7" ht="19.5" hidden="1" customHeight="1">
      <c r="A116" s="33" t="s">
        <v>309</v>
      </c>
      <c r="B116" s="188">
        <f>국가별수입!AD156-국가별수입!AD116</f>
        <v>423</v>
      </c>
      <c r="C116" s="188">
        <f>국가별수입!AE156-국가별수입!AE116</f>
        <v>6174</v>
      </c>
      <c r="D116" s="188">
        <f>국가별수입!AF156-국가별수입!AF116</f>
        <v>495</v>
      </c>
      <c r="E116" s="41">
        <f t="shared" si="8"/>
        <v>17</v>
      </c>
      <c r="F116" s="188">
        <f>국가별수입!AH156-국가별수입!AH116</f>
        <v>6324</v>
      </c>
      <c r="G116" s="41">
        <f t="shared" si="9"/>
        <v>2.4</v>
      </c>
    </row>
    <row r="117" spans="1:7" ht="19.5" hidden="1" customHeight="1">
      <c r="A117" s="33" t="s">
        <v>92</v>
      </c>
      <c r="B117" s="188">
        <f>국가별수입!AD157-국가별수입!AD117</f>
        <v>1897</v>
      </c>
      <c r="C117" s="188">
        <f>국가별수입!AE157-국가별수입!AE117</f>
        <v>5382</v>
      </c>
      <c r="D117" s="188">
        <f>국가별수입!AF157-국가별수입!AF117</f>
        <v>1370</v>
      </c>
      <c r="E117" s="41">
        <f t="shared" si="8"/>
        <v>-27.8</v>
      </c>
      <c r="F117" s="188">
        <f>국가별수입!AH157-국가별수입!AH117</f>
        <v>2870</v>
      </c>
      <c r="G117" s="41">
        <f t="shared" si="9"/>
        <v>-46.7</v>
      </c>
    </row>
    <row r="118" spans="1:7" ht="19.5" hidden="1" customHeight="1">
      <c r="A118" s="56" t="s">
        <v>24</v>
      </c>
      <c r="B118" s="37">
        <f t="shared" ref="B118:D118" si="10">B119-SUM(B88:B117)</f>
        <v>30705</v>
      </c>
      <c r="C118" s="37">
        <f t="shared" si="10"/>
        <v>107264</v>
      </c>
      <c r="D118" s="37">
        <f t="shared" si="10"/>
        <v>25066</v>
      </c>
      <c r="E118" s="42">
        <f t="shared" si="8"/>
        <v>-18.399999999999999</v>
      </c>
      <c r="F118" s="37">
        <f>F119-SUM(F88:F117)</f>
        <v>81813</v>
      </c>
      <c r="G118" s="42">
        <f t="shared" si="9"/>
        <v>-23.7</v>
      </c>
    </row>
    <row r="119" spans="1:7" ht="19.5" hidden="1" customHeight="1">
      <c r="A119" s="59" t="s">
        <v>79</v>
      </c>
      <c r="B119" s="410">
        <f>국가별수입!AD159-국가별수입!AD119</f>
        <v>385158</v>
      </c>
      <c r="C119" s="410">
        <f>국가별수입!AE159-국가별수입!AE119</f>
        <v>1352765</v>
      </c>
      <c r="D119" s="410">
        <f>국가별수입!AF159-국가별수입!AF119</f>
        <v>356558</v>
      </c>
      <c r="E119" s="226">
        <f t="shared" si="8"/>
        <v>-7.4</v>
      </c>
      <c r="F119" s="324">
        <f>국가별수입!AH159-국가별수입!AH119</f>
        <v>1117585</v>
      </c>
      <c r="G119" s="226">
        <f t="shared" si="9"/>
        <v>-17.399999999999999</v>
      </c>
    </row>
    <row r="120" spans="1:7" hidden="1"/>
    <row r="121" spans="1:7" ht="22.5" hidden="1">
      <c r="A121" s="1143" t="s">
        <v>564</v>
      </c>
      <c r="B121" s="1143"/>
      <c r="C121" s="1143"/>
      <c r="D121" s="1143"/>
      <c r="E121" s="1143"/>
      <c r="F121" s="1143"/>
      <c r="G121" s="1143"/>
    </row>
    <row r="122" spans="1:7" hidden="1"/>
    <row r="123" spans="1:7" hidden="1">
      <c r="F123" s="1144" t="s">
        <v>80</v>
      </c>
      <c r="G123" s="1144"/>
    </row>
    <row r="124" spans="1:7" ht="21.75" hidden="1" customHeight="1">
      <c r="A124" s="1115" t="s">
        <v>43</v>
      </c>
      <c r="B124" s="1115" t="s">
        <v>565</v>
      </c>
      <c r="C124" s="1115"/>
      <c r="D124" s="1115"/>
      <c r="E124" s="1115"/>
      <c r="F124" s="1115"/>
      <c r="G124" s="1115"/>
    </row>
    <row r="125" spans="1:7" ht="21" hidden="1" customHeight="1">
      <c r="A125" s="1115"/>
      <c r="B125" s="1115" t="s">
        <v>314</v>
      </c>
      <c r="C125" s="1115"/>
      <c r="D125" s="1115" t="s">
        <v>444</v>
      </c>
      <c r="E125" s="1115"/>
      <c r="F125" s="1115"/>
      <c r="G125" s="1115"/>
    </row>
    <row r="126" spans="1:7" ht="16.5" hidden="1" customHeight="1">
      <c r="A126" s="1115"/>
      <c r="B126" s="1115" t="s">
        <v>44</v>
      </c>
      <c r="C126" s="1115" t="s">
        <v>45</v>
      </c>
      <c r="D126" s="1146" t="s">
        <v>46</v>
      </c>
      <c r="E126" s="50"/>
      <c r="F126" s="1146" t="s">
        <v>45</v>
      </c>
      <c r="G126" s="50"/>
    </row>
    <row r="127" spans="1:7" ht="16.5" hidden="1" customHeight="1" thickBot="1">
      <c r="A127" s="1145"/>
      <c r="B127" s="1145"/>
      <c r="C127" s="1145"/>
      <c r="D127" s="1145"/>
      <c r="E127" s="51" t="s">
        <v>49</v>
      </c>
      <c r="F127" s="1145"/>
      <c r="G127" s="51" t="s">
        <v>49</v>
      </c>
    </row>
    <row r="128" spans="1:7" ht="19.5" hidden="1" customHeight="1" thickTop="1">
      <c r="A128" s="33" t="s">
        <v>50</v>
      </c>
      <c r="B128" s="188">
        <f>국가별수입!AD168-국가별수입!AD128</f>
        <v>53553</v>
      </c>
      <c r="C128" s="188">
        <f>국가별수입!AE168-국가별수입!AE128</f>
        <v>203230</v>
      </c>
      <c r="D128" s="188">
        <f>국가별수입!AF168-국가별수입!AF128</f>
        <v>50420</v>
      </c>
      <c r="E128" s="41">
        <f>ROUND(((D128/B128-1)*100),1)</f>
        <v>-5.9</v>
      </c>
      <c r="F128" s="188">
        <f>국가별수입!AH168-국가별수입!AH128</f>
        <v>171524</v>
      </c>
      <c r="G128" s="41">
        <f>ROUND(((F128/C128-1)*100),1)</f>
        <v>-15.6</v>
      </c>
    </row>
    <row r="129" spans="1:7" ht="19.5" hidden="1" customHeight="1">
      <c r="A129" s="33" t="s">
        <v>53</v>
      </c>
      <c r="B129" s="188">
        <f>국가별수입!AD169-국가별수입!AD129</f>
        <v>31544</v>
      </c>
      <c r="C129" s="188">
        <f>국가별수입!AE169-국가별수입!AE129</f>
        <v>121983</v>
      </c>
      <c r="D129" s="188">
        <f>국가별수입!AF169-국가별수입!AF129</f>
        <v>33685</v>
      </c>
      <c r="E129" s="41">
        <f t="shared" ref="E129:E159" si="11">ROUND(((D129/B129-1)*100),1)</f>
        <v>6.8</v>
      </c>
      <c r="F129" s="188">
        <f>국가별수입!AH169-국가별수입!AH129</f>
        <v>111482</v>
      </c>
      <c r="G129" s="41">
        <f t="shared" ref="G129:G159" si="12">ROUND(((F129/C129-1)*100),1)</f>
        <v>-8.6</v>
      </c>
    </row>
    <row r="130" spans="1:7" ht="19.5" hidden="1" customHeight="1">
      <c r="A130" s="33" t="s">
        <v>54</v>
      </c>
      <c r="B130" s="188">
        <f>국가별수입!AD170-국가별수입!AD130</f>
        <v>12609</v>
      </c>
      <c r="C130" s="188">
        <f>국가별수입!AE170-국가별수입!AE130</f>
        <v>90972</v>
      </c>
      <c r="D130" s="188">
        <f>국가별수입!AF170-국가별수입!AF130</f>
        <v>16005</v>
      </c>
      <c r="E130" s="41">
        <f t="shared" si="11"/>
        <v>26.9</v>
      </c>
      <c r="F130" s="188">
        <f>국가별수입!AH170-국가별수입!AH130</f>
        <v>88485</v>
      </c>
      <c r="G130" s="41">
        <f t="shared" si="12"/>
        <v>-2.7</v>
      </c>
    </row>
    <row r="131" spans="1:7" ht="19.5" hidden="1" customHeight="1">
      <c r="A131" s="33" t="s">
        <v>84</v>
      </c>
      <c r="B131" s="188">
        <f>국가별수입!AD171-국가별수입!AD131</f>
        <v>16649</v>
      </c>
      <c r="C131" s="188">
        <f>국가별수입!AE171-국가별수입!AE131</f>
        <v>101281</v>
      </c>
      <c r="D131" s="188">
        <f>국가별수입!AF171-국가별수입!AF131</f>
        <v>15758</v>
      </c>
      <c r="E131" s="41">
        <f t="shared" si="11"/>
        <v>-5.4</v>
      </c>
      <c r="F131" s="188">
        <f>국가별수입!AH171-국가별수입!AH131</f>
        <v>74730</v>
      </c>
      <c r="G131" s="41">
        <f t="shared" si="12"/>
        <v>-26.2</v>
      </c>
    </row>
    <row r="132" spans="1:7" ht="19.5" hidden="1" customHeight="1">
      <c r="A132" s="33" t="s">
        <v>52</v>
      </c>
      <c r="B132" s="188">
        <f>국가별수입!AD172-국가별수입!AD132</f>
        <v>44444</v>
      </c>
      <c r="C132" s="188">
        <f>국가별수입!AE172-국가별수입!AE132</f>
        <v>92437</v>
      </c>
      <c r="D132" s="188">
        <f>국가별수입!AF172-국가별수입!AF132</f>
        <v>38054</v>
      </c>
      <c r="E132" s="41">
        <f t="shared" si="11"/>
        <v>-14.4</v>
      </c>
      <c r="F132" s="188">
        <f>국가별수입!AH172-국가별수입!AH132</f>
        <v>63887</v>
      </c>
      <c r="G132" s="41">
        <f t="shared" si="12"/>
        <v>-30.9</v>
      </c>
    </row>
    <row r="133" spans="1:7" ht="19.5" hidden="1" customHeight="1">
      <c r="A133" s="33" t="s">
        <v>61</v>
      </c>
      <c r="B133" s="188">
        <f>국가별수입!AD173-국가별수입!AD133</f>
        <v>29949</v>
      </c>
      <c r="C133" s="188">
        <f>국가별수입!AE173-국가별수입!AE133</f>
        <v>81152</v>
      </c>
      <c r="D133" s="188">
        <f>국가별수입!AF173-국가별수입!AF133</f>
        <v>38642</v>
      </c>
      <c r="E133" s="41">
        <f t="shared" si="11"/>
        <v>29</v>
      </c>
      <c r="F133" s="188">
        <f>국가별수입!AH173-국가별수입!AH133</f>
        <v>77983</v>
      </c>
      <c r="G133" s="41">
        <f t="shared" si="12"/>
        <v>-3.9</v>
      </c>
    </row>
    <row r="134" spans="1:7" ht="19.5" hidden="1" customHeight="1">
      <c r="A134" s="33" t="s">
        <v>56</v>
      </c>
      <c r="B134" s="188">
        <f>국가별수입!AD174-국가별수입!AD134</f>
        <v>20444</v>
      </c>
      <c r="C134" s="188">
        <f>국가별수입!AE174-국가별수입!AE134</f>
        <v>53090</v>
      </c>
      <c r="D134" s="188">
        <f>국가별수입!AF174-국가별수입!AF134</f>
        <v>12264</v>
      </c>
      <c r="E134" s="41">
        <f t="shared" si="11"/>
        <v>-40</v>
      </c>
      <c r="F134" s="188">
        <f>국가별수입!AH174-국가별수입!AH134</f>
        <v>28484</v>
      </c>
      <c r="G134" s="41">
        <f t="shared" si="12"/>
        <v>-46.3</v>
      </c>
    </row>
    <row r="135" spans="1:7" ht="19.5" hidden="1" customHeight="1">
      <c r="A135" s="33" t="s">
        <v>85</v>
      </c>
      <c r="B135" s="188">
        <f>국가별수입!AD175-국가별수입!AD135</f>
        <v>4761</v>
      </c>
      <c r="C135" s="188">
        <f>국가별수입!AE175-국가별수입!AE135</f>
        <v>30357</v>
      </c>
      <c r="D135" s="188">
        <f>국가별수입!AF175-국가별수입!AF135</f>
        <v>5693</v>
      </c>
      <c r="E135" s="41">
        <f t="shared" si="11"/>
        <v>19.600000000000001</v>
      </c>
      <c r="F135" s="188">
        <f>국가별수입!AH175-국가별수입!AH135</f>
        <v>28700</v>
      </c>
      <c r="G135" s="41">
        <f t="shared" si="12"/>
        <v>-5.5</v>
      </c>
    </row>
    <row r="136" spans="1:7" ht="19.5" hidden="1" customHeight="1">
      <c r="A136" s="33" t="s">
        <v>86</v>
      </c>
      <c r="B136" s="188">
        <f>국가별수입!AD176-국가별수입!AD136</f>
        <v>22792</v>
      </c>
      <c r="C136" s="188">
        <f>국가별수입!AE176-국가별수입!AE136</f>
        <v>48115</v>
      </c>
      <c r="D136" s="188">
        <f>국가별수입!AF176-국가별수입!AF136</f>
        <v>11325</v>
      </c>
      <c r="E136" s="41">
        <f t="shared" si="11"/>
        <v>-50.3</v>
      </c>
      <c r="F136" s="188">
        <f>국가별수입!AH176-국가별수입!AH136</f>
        <v>22629</v>
      </c>
      <c r="G136" s="41">
        <f t="shared" si="12"/>
        <v>-53</v>
      </c>
    </row>
    <row r="137" spans="1:7" ht="19.5" hidden="1" customHeight="1">
      <c r="A137" s="33" t="s">
        <v>64</v>
      </c>
      <c r="B137" s="188">
        <f>국가별수입!AD177-국가별수입!AD137</f>
        <v>14881</v>
      </c>
      <c r="C137" s="188">
        <f>국가별수입!AE177-국가별수입!AE137</f>
        <v>36240</v>
      </c>
      <c r="D137" s="188">
        <f>국가별수입!AF177-국가별수입!AF137</f>
        <v>11990</v>
      </c>
      <c r="E137" s="41">
        <f t="shared" si="11"/>
        <v>-19.399999999999999</v>
      </c>
      <c r="F137" s="188">
        <f>국가별수입!AH177-국가별수입!AH137</f>
        <v>21147</v>
      </c>
      <c r="G137" s="41">
        <f t="shared" si="12"/>
        <v>-41.6</v>
      </c>
    </row>
    <row r="138" spans="1:7" ht="19.5" hidden="1" customHeight="1">
      <c r="A138" s="33" t="s">
        <v>68</v>
      </c>
      <c r="B138" s="188">
        <f>국가별수입!AD178-국가별수입!AD138</f>
        <v>3631</v>
      </c>
      <c r="C138" s="188">
        <f>국가별수입!AE178-국가별수입!AE138</f>
        <v>25053</v>
      </c>
      <c r="D138" s="188">
        <f>국가별수입!AF178-국가별수입!AF138</f>
        <v>3190</v>
      </c>
      <c r="E138" s="41">
        <f t="shared" si="11"/>
        <v>-12.1</v>
      </c>
      <c r="F138" s="188">
        <f>국가별수입!AH178-국가별수입!AH138</f>
        <v>22473</v>
      </c>
      <c r="G138" s="41">
        <f t="shared" si="12"/>
        <v>-10.3</v>
      </c>
    </row>
    <row r="139" spans="1:7" ht="19.5" hidden="1" customHeight="1">
      <c r="A139" s="33" t="s">
        <v>57</v>
      </c>
      <c r="B139" s="188">
        <f>국가별수입!AD179-국가별수입!AD139</f>
        <v>5659</v>
      </c>
      <c r="C139" s="188">
        <f>국가별수입!AE179-국가별수입!AE139</f>
        <v>28791</v>
      </c>
      <c r="D139" s="188">
        <f>국가별수입!AF179-국가별수입!AF139</f>
        <v>4218</v>
      </c>
      <c r="E139" s="41">
        <f t="shared" si="11"/>
        <v>-25.5</v>
      </c>
      <c r="F139" s="188">
        <f>국가별수입!AH179-국가별수입!AH139</f>
        <v>18413</v>
      </c>
      <c r="G139" s="41">
        <f t="shared" si="12"/>
        <v>-36</v>
      </c>
    </row>
    <row r="140" spans="1:7" ht="19.5" hidden="1" customHeight="1">
      <c r="A140" s="33" t="s">
        <v>58</v>
      </c>
      <c r="B140" s="188">
        <f>국가별수입!AD180-국가별수입!AD140</f>
        <v>2053</v>
      </c>
      <c r="C140" s="188">
        <f>국가별수입!AE180-국가별수입!AE140</f>
        <v>15077</v>
      </c>
      <c r="D140" s="188">
        <f>국가별수입!AF180-국가별수입!AF140</f>
        <v>3091</v>
      </c>
      <c r="E140" s="41">
        <f t="shared" si="11"/>
        <v>50.6</v>
      </c>
      <c r="F140" s="188">
        <f>국가별수입!AH180-국가별수입!AH140</f>
        <v>23176</v>
      </c>
      <c r="G140" s="41">
        <f t="shared" si="12"/>
        <v>53.7</v>
      </c>
    </row>
    <row r="141" spans="1:7" ht="19.5" hidden="1" customHeight="1">
      <c r="A141" s="33" t="s">
        <v>63</v>
      </c>
      <c r="B141" s="188">
        <f>국가별수입!AD181-국가별수입!AD141</f>
        <v>10078</v>
      </c>
      <c r="C141" s="188">
        <f>국가별수입!AE181-국가별수입!AE141</f>
        <v>28198</v>
      </c>
      <c r="D141" s="188">
        <f>국가별수입!AF181-국가별수입!AF141</f>
        <v>4656</v>
      </c>
      <c r="E141" s="41">
        <f t="shared" si="11"/>
        <v>-53.8</v>
      </c>
      <c r="F141" s="188">
        <f>국가별수입!AH181-국가별수입!AH141</f>
        <v>8446</v>
      </c>
      <c r="G141" s="41">
        <f t="shared" si="12"/>
        <v>-70</v>
      </c>
    </row>
    <row r="142" spans="1:7" ht="19.5" hidden="1" customHeight="1">
      <c r="A142" s="33" t="s">
        <v>55</v>
      </c>
      <c r="B142" s="188">
        <f>국가별수입!AD182-국가별수입!AD142</f>
        <v>10775</v>
      </c>
      <c r="C142" s="188">
        <f>국가별수입!AE182-국가별수입!AE142</f>
        <v>22330</v>
      </c>
      <c r="D142" s="188">
        <f>국가별수입!AF182-국가별수입!AF142</f>
        <v>8415</v>
      </c>
      <c r="E142" s="41">
        <f t="shared" si="11"/>
        <v>-21.9</v>
      </c>
      <c r="F142" s="188">
        <f>국가별수입!AH182-국가별수입!AH142</f>
        <v>18743</v>
      </c>
      <c r="G142" s="41">
        <f t="shared" si="12"/>
        <v>-16.100000000000001</v>
      </c>
    </row>
    <row r="143" spans="1:7" ht="19.5" hidden="1" customHeight="1">
      <c r="A143" s="33" t="s">
        <v>51</v>
      </c>
      <c r="B143" s="188">
        <f>국가별수입!AD183-국가별수입!AD143</f>
        <v>9264</v>
      </c>
      <c r="C143" s="188">
        <f>국가별수입!AE183-국가별수입!AE143</f>
        <v>22774</v>
      </c>
      <c r="D143" s="188">
        <f>국가별수입!AF183-국가별수입!AF143</f>
        <v>6364</v>
      </c>
      <c r="E143" s="41">
        <f t="shared" si="11"/>
        <v>-31.3</v>
      </c>
      <c r="F143" s="188">
        <f>국가별수입!AH183-국가별수입!AH143</f>
        <v>19433</v>
      </c>
      <c r="G143" s="41">
        <f t="shared" si="12"/>
        <v>-14.7</v>
      </c>
    </row>
    <row r="144" spans="1:7" ht="19.5" hidden="1" customHeight="1">
      <c r="A144" s="33" t="s">
        <v>72</v>
      </c>
      <c r="B144" s="188">
        <f>국가별수입!AD184-국가별수입!AD144</f>
        <v>5676</v>
      </c>
      <c r="C144" s="188">
        <f>국가별수입!AE184-국가별수입!AE144</f>
        <v>20360</v>
      </c>
      <c r="D144" s="188">
        <f>국가별수입!AF184-국가별수입!AF144</f>
        <v>4292</v>
      </c>
      <c r="E144" s="41">
        <f t="shared" si="11"/>
        <v>-24.4</v>
      </c>
      <c r="F144" s="188">
        <f>국가별수입!AH184-국가별수입!AH144</f>
        <v>14265</v>
      </c>
      <c r="G144" s="41">
        <f t="shared" si="12"/>
        <v>-29.9</v>
      </c>
    </row>
    <row r="145" spans="1:7" ht="19.5" hidden="1" customHeight="1">
      <c r="A145" s="33" t="s">
        <v>87</v>
      </c>
      <c r="B145" s="188">
        <f>국가별수입!AD185-국가별수입!AD145</f>
        <v>10662</v>
      </c>
      <c r="C145" s="188">
        <f>국가별수입!AE185-국가별수입!AE145</f>
        <v>21581</v>
      </c>
      <c r="D145" s="188">
        <f>국가별수입!AF185-국가별수입!AF145</f>
        <v>5274</v>
      </c>
      <c r="E145" s="41">
        <f t="shared" si="11"/>
        <v>-50.5</v>
      </c>
      <c r="F145" s="188">
        <f>국가별수입!AH185-국가별수입!AH145</f>
        <v>10279</v>
      </c>
      <c r="G145" s="41">
        <f t="shared" si="12"/>
        <v>-52.4</v>
      </c>
    </row>
    <row r="146" spans="1:7" ht="19.5" hidden="1" customHeight="1">
      <c r="A146" s="33" t="s">
        <v>59</v>
      </c>
      <c r="B146" s="188">
        <f>국가별수입!AD186-국가별수입!AD146</f>
        <v>5195</v>
      </c>
      <c r="C146" s="188">
        <f>국가별수입!AE186-국가별수입!AE146</f>
        <v>22925</v>
      </c>
      <c r="D146" s="188">
        <f>국가별수입!AF186-국가별수입!AF146</f>
        <v>1466</v>
      </c>
      <c r="E146" s="41">
        <f t="shared" si="11"/>
        <v>-71.8</v>
      </c>
      <c r="F146" s="188">
        <f>국가별수입!AH186-국가별수입!AH146</f>
        <v>7227</v>
      </c>
      <c r="G146" s="41">
        <f t="shared" si="12"/>
        <v>-68.5</v>
      </c>
    </row>
    <row r="147" spans="1:7" ht="19.5" hidden="1" customHeight="1">
      <c r="A147" s="33" t="s">
        <v>90</v>
      </c>
      <c r="B147" s="188">
        <f>국가별수입!AD187-국가별수입!AD147</f>
        <v>7067</v>
      </c>
      <c r="C147" s="188">
        <f>국가별수입!AE187-국가별수입!AE147</f>
        <v>14601</v>
      </c>
      <c r="D147" s="188">
        <f>국가별수입!AF187-국가별수입!AF147</f>
        <v>5417</v>
      </c>
      <c r="E147" s="41">
        <f t="shared" si="11"/>
        <v>-23.3</v>
      </c>
      <c r="F147" s="188">
        <f>국가별수입!AH187-국가별수입!AH147</f>
        <v>9778</v>
      </c>
      <c r="G147" s="41">
        <f t="shared" si="12"/>
        <v>-33</v>
      </c>
    </row>
    <row r="148" spans="1:7" ht="19.5" hidden="1" customHeight="1">
      <c r="A148" s="33" t="s">
        <v>76</v>
      </c>
      <c r="B148" s="188">
        <f>국가별수입!AD188-국가별수입!AD148</f>
        <v>1080</v>
      </c>
      <c r="C148" s="188">
        <f>국가별수입!AE188-국가별수입!AE148</f>
        <v>13972</v>
      </c>
      <c r="D148" s="188">
        <f>국가별수입!AF188-국가별수입!AF148</f>
        <v>668</v>
      </c>
      <c r="E148" s="41">
        <f t="shared" si="11"/>
        <v>-38.1</v>
      </c>
      <c r="F148" s="188">
        <f>국가별수입!AH188-국가별수입!AH148</f>
        <v>9282</v>
      </c>
      <c r="G148" s="41">
        <f t="shared" si="12"/>
        <v>-33.6</v>
      </c>
    </row>
    <row r="149" spans="1:7" ht="19.5" hidden="1" customHeight="1">
      <c r="A149" s="33" t="s">
        <v>91</v>
      </c>
      <c r="B149" s="188">
        <f>국가별수입!AD189-국가별수입!AD149</f>
        <v>7833</v>
      </c>
      <c r="C149" s="188">
        <f>국가별수입!AE189-국가별수입!AE149</f>
        <v>15890</v>
      </c>
      <c r="D149" s="188">
        <f>국가별수입!AF189-국가별수입!AF149</f>
        <v>4855</v>
      </c>
      <c r="E149" s="41">
        <f t="shared" si="11"/>
        <v>-38</v>
      </c>
      <c r="F149" s="188">
        <f>국가별수입!AH189-국가별수입!AH149</f>
        <v>8620</v>
      </c>
      <c r="G149" s="41">
        <f t="shared" si="12"/>
        <v>-45.8</v>
      </c>
    </row>
    <row r="150" spans="1:7" ht="19.5" hidden="1" customHeight="1">
      <c r="A150" s="33" t="s">
        <v>308</v>
      </c>
      <c r="B150" s="188">
        <f>국가별수입!AD190-국가별수입!AD150</f>
        <v>1014</v>
      </c>
      <c r="C150" s="188">
        <f>국가별수입!AE190-국가별수입!AE150</f>
        <v>13021</v>
      </c>
      <c r="D150" s="188">
        <f>국가별수입!AF190-국가별수입!AF150</f>
        <v>190</v>
      </c>
      <c r="E150" s="41">
        <f t="shared" si="11"/>
        <v>-81.3</v>
      </c>
      <c r="F150" s="188">
        <f>국가별수입!AH190-국가별수입!AH150</f>
        <v>2346</v>
      </c>
      <c r="G150" s="41">
        <f t="shared" si="12"/>
        <v>-82</v>
      </c>
    </row>
    <row r="151" spans="1:7" ht="19.5" hidden="1" customHeight="1">
      <c r="A151" s="33" t="s">
        <v>71</v>
      </c>
      <c r="B151" s="188">
        <f>국가별수입!AD191-국가별수입!AD151</f>
        <v>2915</v>
      </c>
      <c r="C151" s="188">
        <f>국가별수입!AE191-국가별수입!AE151</f>
        <v>9809</v>
      </c>
      <c r="D151" s="188">
        <f>국가별수입!AF191-국가별수입!AF151</f>
        <v>4999</v>
      </c>
      <c r="E151" s="41">
        <f t="shared" si="11"/>
        <v>71.5</v>
      </c>
      <c r="F151" s="188">
        <f>국가별수입!AH191-국가별수입!AH151</f>
        <v>11285</v>
      </c>
      <c r="G151" s="41">
        <f t="shared" si="12"/>
        <v>15</v>
      </c>
    </row>
    <row r="152" spans="1:7" ht="19.5" hidden="1" customHeight="1">
      <c r="A152" s="33" t="s">
        <v>88</v>
      </c>
      <c r="B152" s="188">
        <f>국가별수입!AD192-국가별수입!AD152</f>
        <v>1257</v>
      </c>
      <c r="C152" s="188">
        <f>국가별수입!AE192-국가별수입!AE152</f>
        <v>5108</v>
      </c>
      <c r="D152" s="188">
        <f>국가별수입!AF192-국가별수입!AF152</f>
        <v>1783</v>
      </c>
      <c r="E152" s="41">
        <f t="shared" si="11"/>
        <v>41.8</v>
      </c>
      <c r="F152" s="188">
        <f>국가별수입!AH192-국가별수입!AH152</f>
        <v>4720</v>
      </c>
      <c r="G152" s="41">
        <f t="shared" si="12"/>
        <v>-7.6</v>
      </c>
    </row>
    <row r="153" spans="1:7" ht="19.5" hidden="1" customHeight="1">
      <c r="A153" s="33" t="s">
        <v>65</v>
      </c>
      <c r="B153" s="188">
        <f>국가별수입!AD193-국가별수입!AD153</f>
        <v>3297</v>
      </c>
      <c r="C153" s="188">
        <f>국가별수입!AE193-국가별수입!AE153</f>
        <v>7989</v>
      </c>
      <c r="D153" s="188">
        <f>국가별수입!AF193-국가별수입!AF153</f>
        <v>6101</v>
      </c>
      <c r="E153" s="41">
        <f t="shared" si="11"/>
        <v>85</v>
      </c>
      <c r="F153" s="188">
        <f>국가별수입!AH193-국가별수입!AH153</f>
        <v>11377</v>
      </c>
      <c r="G153" s="41">
        <f t="shared" si="12"/>
        <v>42.4</v>
      </c>
    </row>
    <row r="154" spans="1:7" ht="19.5" hidden="1" customHeight="1">
      <c r="A154" s="33" t="s">
        <v>66</v>
      </c>
      <c r="B154" s="188">
        <f>국가별수입!AD194-국가별수입!AD154</f>
        <v>1358</v>
      </c>
      <c r="C154" s="188">
        <f>국가별수입!AE194-국가별수입!AE154</f>
        <v>5520</v>
      </c>
      <c r="D154" s="188">
        <f>국가별수입!AF194-국가별수입!AF154</f>
        <v>753</v>
      </c>
      <c r="E154" s="41">
        <f t="shared" si="11"/>
        <v>-44.6</v>
      </c>
      <c r="F154" s="188">
        <f>국가별수입!AH194-국가별수입!AH154</f>
        <v>3718</v>
      </c>
      <c r="G154" s="41">
        <f t="shared" si="12"/>
        <v>-32.6</v>
      </c>
    </row>
    <row r="155" spans="1:7" ht="19.5" hidden="1" customHeight="1">
      <c r="A155" s="33" t="s">
        <v>89</v>
      </c>
      <c r="B155" s="188">
        <f>국가별수입!AD195-국가별수입!AD155</f>
        <v>1607</v>
      </c>
      <c r="C155" s="188">
        <f>국가별수입!AE195-국가별수입!AE155</f>
        <v>6023</v>
      </c>
      <c r="D155" s="188">
        <f>국가별수입!AF195-국가별수입!AF155</f>
        <v>224</v>
      </c>
      <c r="E155" s="41">
        <f t="shared" si="11"/>
        <v>-86.1</v>
      </c>
      <c r="F155" s="188">
        <f>국가별수입!AH195-국가별수입!AH155</f>
        <v>564</v>
      </c>
      <c r="G155" s="41">
        <f t="shared" si="12"/>
        <v>-90.6</v>
      </c>
    </row>
    <row r="156" spans="1:7" ht="19.5" hidden="1" customHeight="1">
      <c r="A156" s="33" t="s">
        <v>309</v>
      </c>
      <c r="B156" s="188">
        <f>국가별수입!AD196-국가별수입!AD156</f>
        <v>482</v>
      </c>
      <c r="C156" s="188">
        <f>국가별수입!AE196-국가별수입!AE156</f>
        <v>6463</v>
      </c>
      <c r="D156" s="188">
        <f>국가별수입!AF196-국가별수입!AF156</f>
        <v>353</v>
      </c>
      <c r="E156" s="41">
        <f t="shared" si="11"/>
        <v>-26.8</v>
      </c>
      <c r="F156" s="188">
        <f>국가별수입!AH196-국가별수입!AH156</f>
        <v>4407</v>
      </c>
      <c r="G156" s="41">
        <f t="shared" si="12"/>
        <v>-31.8</v>
      </c>
    </row>
    <row r="157" spans="1:7" ht="19.5" hidden="1" customHeight="1">
      <c r="A157" s="33" t="s">
        <v>92</v>
      </c>
      <c r="B157" s="188">
        <f>국가별수입!AD197-국가별수입!AD157</f>
        <v>1679</v>
      </c>
      <c r="C157" s="188">
        <f>국가별수입!AE197-국가별수입!AE157</f>
        <v>5823</v>
      </c>
      <c r="D157" s="188">
        <f>국가별수입!AF197-국가별수입!AF157</f>
        <v>1439</v>
      </c>
      <c r="E157" s="41">
        <f t="shared" si="11"/>
        <v>-14.3</v>
      </c>
      <c r="F157" s="188">
        <f>국가별수입!AH197-국가별수입!AH157</f>
        <v>3456</v>
      </c>
      <c r="G157" s="41">
        <f t="shared" si="12"/>
        <v>-40.6</v>
      </c>
    </row>
    <row r="158" spans="1:7" ht="19.5" hidden="1" customHeight="1">
      <c r="A158" s="56" t="s">
        <v>24</v>
      </c>
      <c r="B158" s="37">
        <f t="shared" ref="B158:D158" si="13">B159-SUM(B128:B157)</f>
        <v>27749</v>
      </c>
      <c r="C158" s="37">
        <f t="shared" si="13"/>
        <v>103061</v>
      </c>
      <c r="D158" s="37">
        <f t="shared" si="13"/>
        <v>21103</v>
      </c>
      <c r="E158" s="42">
        <f t="shared" si="11"/>
        <v>-24</v>
      </c>
      <c r="F158" s="37">
        <f>F159-SUM(F128:F157)</f>
        <v>69790</v>
      </c>
      <c r="G158" s="42">
        <f t="shared" si="12"/>
        <v>-32.299999999999997</v>
      </c>
    </row>
    <row r="159" spans="1:7" ht="19.5" hidden="1" customHeight="1">
      <c r="A159" s="59" t="s">
        <v>79</v>
      </c>
      <c r="B159" s="410">
        <f>국가별수입!AD199-국가별수입!AD159</f>
        <v>371957</v>
      </c>
      <c r="C159" s="410">
        <f>국가별수입!AE199-국가별수입!AE159</f>
        <v>1273226</v>
      </c>
      <c r="D159" s="410">
        <f>국가별수입!AF199-국가별수입!AF159</f>
        <v>322687</v>
      </c>
      <c r="E159" s="226">
        <f t="shared" si="11"/>
        <v>-13.2</v>
      </c>
      <c r="F159" s="324">
        <f>국가별수입!AH199-국가별수입!AH159</f>
        <v>970849</v>
      </c>
      <c r="G159" s="226">
        <f t="shared" si="12"/>
        <v>-23.7</v>
      </c>
    </row>
    <row r="160" spans="1:7" hidden="1"/>
    <row r="161" spans="1:7" ht="22.5" hidden="1">
      <c r="A161" s="1143" t="s">
        <v>603</v>
      </c>
      <c r="B161" s="1143"/>
      <c r="C161" s="1143"/>
      <c r="D161" s="1143"/>
      <c r="E161" s="1143"/>
      <c r="F161" s="1143"/>
      <c r="G161" s="1143"/>
    </row>
    <row r="162" spans="1:7" hidden="1">
      <c r="A162" s="898"/>
      <c r="B162" s="899"/>
      <c r="C162" s="899"/>
      <c r="D162" s="899"/>
      <c r="E162" s="900"/>
      <c r="F162" s="899"/>
      <c r="G162" s="900"/>
    </row>
    <row r="163" spans="1:7" hidden="1">
      <c r="A163" s="898"/>
      <c r="B163" s="899"/>
      <c r="C163" s="899"/>
      <c r="D163" s="899"/>
      <c r="E163" s="900"/>
      <c r="F163" s="1144" t="s">
        <v>80</v>
      </c>
      <c r="G163" s="1144"/>
    </row>
    <row r="164" spans="1:7" ht="21.75" hidden="1" customHeight="1">
      <c r="A164" s="1115" t="s">
        <v>43</v>
      </c>
      <c r="B164" s="1115" t="s">
        <v>602</v>
      </c>
      <c r="C164" s="1115"/>
      <c r="D164" s="1115"/>
      <c r="E164" s="1115"/>
      <c r="F164" s="1115"/>
      <c r="G164" s="1115"/>
    </row>
    <row r="165" spans="1:7" ht="21" hidden="1" customHeight="1">
      <c r="A165" s="1115"/>
      <c r="B165" s="1115" t="s">
        <v>314</v>
      </c>
      <c r="C165" s="1115"/>
      <c r="D165" s="1115" t="s">
        <v>444</v>
      </c>
      <c r="E165" s="1115"/>
      <c r="F165" s="1115"/>
      <c r="G165" s="1115"/>
    </row>
    <row r="166" spans="1:7" ht="16.5" hidden="1" customHeight="1">
      <c r="A166" s="1115"/>
      <c r="B166" s="1115" t="s">
        <v>44</v>
      </c>
      <c r="C166" s="1115" t="s">
        <v>45</v>
      </c>
      <c r="D166" s="1146" t="s">
        <v>46</v>
      </c>
      <c r="E166" s="901"/>
      <c r="F166" s="1146" t="s">
        <v>45</v>
      </c>
      <c r="G166" s="901"/>
    </row>
    <row r="167" spans="1:7" ht="16.5" hidden="1" customHeight="1" thickBot="1">
      <c r="A167" s="1145"/>
      <c r="B167" s="1145"/>
      <c r="C167" s="1145"/>
      <c r="D167" s="1145"/>
      <c r="E167" s="902" t="s">
        <v>49</v>
      </c>
      <c r="F167" s="1145"/>
      <c r="G167" s="902" t="s">
        <v>49</v>
      </c>
    </row>
    <row r="168" spans="1:7" ht="19.5" hidden="1" customHeight="1" thickTop="1">
      <c r="A168" s="891" t="s">
        <v>50</v>
      </c>
      <c r="B168" s="905">
        <f>국가별수입!AD208-국가별수입!AD168</f>
        <v>48590</v>
      </c>
      <c r="C168" s="905">
        <f>국가별수입!AE208-국가별수입!AE168</f>
        <v>184984</v>
      </c>
      <c r="D168" s="905">
        <f>국가별수입!AF208-국가별수입!AF168</f>
        <v>45746</v>
      </c>
      <c r="E168" s="895">
        <f>ROUND(((D168/B168-1)*100),1)</f>
        <v>-5.9</v>
      </c>
      <c r="F168" s="905">
        <f>국가별수입!AH208-국가별수입!AH168</f>
        <v>168700</v>
      </c>
      <c r="G168" s="895">
        <f>ROUND(((F168/C168-1)*100),1)</f>
        <v>-8.8000000000000007</v>
      </c>
    </row>
    <row r="169" spans="1:7" ht="19.5" hidden="1" customHeight="1">
      <c r="A169" s="891" t="s">
        <v>53</v>
      </c>
      <c r="B169" s="905">
        <f>국가별수입!AD209-국가별수입!AD169</f>
        <v>25832</v>
      </c>
      <c r="C169" s="905">
        <f>국가별수입!AE209-국가별수입!AE169</f>
        <v>97937</v>
      </c>
      <c r="D169" s="905">
        <f>국가별수입!AF209-국가별수입!AF169</f>
        <v>33024</v>
      </c>
      <c r="E169" s="895">
        <f t="shared" ref="E169:E199" si="14">ROUND(((D169/B169-1)*100),1)</f>
        <v>27.8</v>
      </c>
      <c r="F169" s="905">
        <f>국가별수입!AH209-국가별수입!AH169</f>
        <v>113621</v>
      </c>
      <c r="G169" s="895">
        <f t="shared" ref="G169:G199" si="15">ROUND(((F169/C169-1)*100),1)</f>
        <v>16</v>
      </c>
    </row>
    <row r="170" spans="1:7" ht="19.5" hidden="1" customHeight="1">
      <c r="A170" s="891" t="s">
        <v>54</v>
      </c>
      <c r="B170" s="905">
        <f>국가별수입!AD210-국가별수입!AD170</f>
        <v>13569</v>
      </c>
      <c r="C170" s="905">
        <f>국가별수입!AE210-국가별수입!AE170</f>
        <v>98317</v>
      </c>
      <c r="D170" s="905">
        <f>국가별수입!AF210-국가별수입!AF170</f>
        <v>19802</v>
      </c>
      <c r="E170" s="895">
        <f t="shared" si="14"/>
        <v>45.9</v>
      </c>
      <c r="F170" s="905">
        <f>국가별수입!AH210-국가별수입!AH170</f>
        <v>109971</v>
      </c>
      <c r="G170" s="895">
        <f t="shared" si="15"/>
        <v>11.9</v>
      </c>
    </row>
    <row r="171" spans="1:7" ht="19.5" hidden="1" customHeight="1">
      <c r="A171" s="891" t="s">
        <v>84</v>
      </c>
      <c r="B171" s="905">
        <f>국가별수입!AD211-국가별수입!AD171</f>
        <v>15298</v>
      </c>
      <c r="C171" s="905">
        <f>국가별수입!AE211-국가별수입!AE171</f>
        <v>90271</v>
      </c>
      <c r="D171" s="905">
        <f>국가별수입!AF211-국가별수입!AF171</f>
        <v>12288</v>
      </c>
      <c r="E171" s="895">
        <f t="shared" si="14"/>
        <v>-19.7</v>
      </c>
      <c r="F171" s="905">
        <f>국가별수입!AH211-국가별수입!AH171</f>
        <v>58588</v>
      </c>
      <c r="G171" s="895">
        <f t="shared" si="15"/>
        <v>-35.1</v>
      </c>
    </row>
    <row r="172" spans="1:7" ht="19.5" hidden="1" customHeight="1">
      <c r="A172" s="891" t="s">
        <v>52</v>
      </c>
      <c r="B172" s="905">
        <f>국가별수입!AD212-국가별수입!AD172</f>
        <v>43230</v>
      </c>
      <c r="C172" s="905">
        <f>국가별수입!AE212-국가별수입!AE172</f>
        <v>85746</v>
      </c>
      <c r="D172" s="905">
        <f>국가별수입!AF212-국가별수입!AF172</f>
        <v>42212</v>
      </c>
      <c r="E172" s="895">
        <f t="shared" si="14"/>
        <v>-2.4</v>
      </c>
      <c r="F172" s="905">
        <f>국가별수입!AH212-국가별수입!AH172</f>
        <v>68357</v>
      </c>
      <c r="G172" s="895">
        <f t="shared" si="15"/>
        <v>-20.3</v>
      </c>
    </row>
    <row r="173" spans="1:7" ht="19.5" hidden="1" customHeight="1">
      <c r="A173" s="891" t="s">
        <v>61</v>
      </c>
      <c r="B173" s="905">
        <f>국가별수입!AD213-국가별수입!AD173</f>
        <v>29513</v>
      </c>
      <c r="C173" s="905">
        <f>국가별수입!AE213-국가별수입!AE173</f>
        <v>74640</v>
      </c>
      <c r="D173" s="905">
        <f>국가별수입!AF213-국가별수입!AF173</f>
        <v>48393</v>
      </c>
      <c r="E173" s="895">
        <f t="shared" si="14"/>
        <v>64</v>
      </c>
      <c r="F173" s="905">
        <f>국가별수입!AH213-국가별수입!AH173</f>
        <v>99386</v>
      </c>
      <c r="G173" s="895">
        <f t="shared" si="15"/>
        <v>33.200000000000003</v>
      </c>
    </row>
    <row r="174" spans="1:7" ht="19.5" hidden="1" customHeight="1">
      <c r="A174" s="891" t="s">
        <v>56</v>
      </c>
      <c r="B174" s="905">
        <f>국가별수입!AD214-국가별수입!AD174</f>
        <v>14332</v>
      </c>
      <c r="C174" s="905">
        <f>국가별수입!AE214-국가별수입!AE174</f>
        <v>36733</v>
      </c>
      <c r="D174" s="905">
        <f>국가별수입!AF214-국가별수입!AF174</f>
        <v>10586</v>
      </c>
      <c r="E174" s="895">
        <f t="shared" si="14"/>
        <v>-26.1</v>
      </c>
      <c r="F174" s="905">
        <f>국가별수입!AH214-국가별수입!AH174</f>
        <v>25973</v>
      </c>
      <c r="G174" s="895">
        <f t="shared" si="15"/>
        <v>-29.3</v>
      </c>
    </row>
    <row r="175" spans="1:7" ht="19.5" hidden="1" customHeight="1">
      <c r="A175" s="891" t="s">
        <v>85</v>
      </c>
      <c r="B175" s="326">
        <f>국가별수입!AD215-국가별수입!AD175</f>
        <v>6120</v>
      </c>
      <c r="C175" s="905">
        <f>국가별수입!AE215-국가별수입!AE175</f>
        <v>37027</v>
      </c>
      <c r="D175" s="326">
        <f>국가별수입!AF215-국가별수입!AF175</f>
        <v>5503</v>
      </c>
      <c r="E175" s="895">
        <f t="shared" si="14"/>
        <v>-10.1</v>
      </c>
      <c r="F175" s="905">
        <f>국가별수입!AH215-국가별수입!AH175</f>
        <v>29123</v>
      </c>
      <c r="G175" s="895">
        <f t="shared" si="15"/>
        <v>-21.3</v>
      </c>
    </row>
    <row r="176" spans="1:7" ht="19.5" hidden="1" customHeight="1">
      <c r="A176" s="891" t="s">
        <v>86</v>
      </c>
      <c r="B176" s="905">
        <f>국가별수입!AD216-국가별수입!AD176</f>
        <v>21303</v>
      </c>
      <c r="C176" s="905">
        <f>국가별수입!AE216-국가별수입!AE176</f>
        <v>46013</v>
      </c>
      <c r="D176" s="326">
        <f>국가별수입!AF216-국가별수입!AF176</f>
        <v>9528</v>
      </c>
      <c r="E176" s="895">
        <f t="shared" si="14"/>
        <v>-55.3</v>
      </c>
      <c r="F176" s="905">
        <f>국가별수입!AH216-국가별수입!AH176</f>
        <v>19888</v>
      </c>
      <c r="G176" s="895">
        <f t="shared" si="15"/>
        <v>-56.8</v>
      </c>
    </row>
    <row r="177" spans="1:7" ht="19.5" hidden="1" customHeight="1">
      <c r="A177" s="891" t="s">
        <v>64</v>
      </c>
      <c r="B177" s="905">
        <f>국가별수입!AD217-국가별수입!AD177</f>
        <v>12984</v>
      </c>
      <c r="C177" s="905">
        <f>국가별수입!AE217-국가별수입!AE177</f>
        <v>32329</v>
      </c>
      <c r="D177" s="326">
        <f>국가별수입!AF217-국가별수입!AF177</f>
        <v>9874</v>
      </c>
      <c r="E177" s="895">
        <f t="shared" si="14"/>
        <v>-24</v>
      </c>
      <c r="F177" s="905">
        <f>국가별수입!AH217-국가별수입!AH177</f>
        <v>16304</v>
      </c>
      <c r="G177" s="895">
        <f t="shared" si="15"/>
        <v>-49.6</v>
      </c>
    </row>
    <row r="178" spans="1:7" ht="19.5" hidden="1" customHeight="1">
      <c r="A178" s="891" t="s">
        <v>68</v>
      </c>
      <c r="B178" s="326">
        <f>국가별수입!AD218-국가별수입!AD178</f>
        <v>6003</v>
      </c>
      <c r="C178" s="905">
        <f>국가별수입!AE218-국가별수입!AE178</f>
        <v>30608</v>
      </c>
      <c r="D178" s="326">
        <f>국가별수입!AF218-국가별수입!AF178</f>
        <v>2631</v>
      </c>
      <c r="E178" s="895">
        <f t="shared" si="14"/>
        <v>-56.2</v>
      </c>
      <c r="F178" s="905">
        <f>국가별수입!AH218-국가별수입!AH178</f>
        <v>21764</v>
      </c>
      <c r="G178" s="895">
        <f t="shared" si="15"/>
        <v>-28.9</v>
      </c>
    </row>
    <row r="179" spans="1:7" ht="19.5" hidden="1" customHeight="1">
      <c r="A179" s="891" t="s">
        <v>57</v>
      </c>
      <c r="B179" s="326">
        <f>국가별수입!AD219-국가별수입!AD179</f>
        <v>5099</v>
      </c>
      <c r="C179" s="905">
        <f>국가별수입!AE219-국가별수입!AE179</f>
        <v>24384</v>
      </c>
      <c r="D179" s="326">
        <f>국가별수입!AF219-국가별수입!AF179</f>
        <v>5192</v>
      </c>
      <c r="E179" s="895">
        <f t="shared" si="14"/>
        <v>1.8</v>
      </c>
      <c r="F179" s="905">
        <f>국가별수입!AH219-국가별수입!AH179</f>
        <v>23723</v>
      </c>
      <c r="G179" s="895">
        <f t="shared" si="15"/>
        <v>-2.7</v>
      </c>
    </row>
    <row r="180" spans="1:7" ht="19.5" hidden="1" customHeight="1">
      <c r="A180" s="891" t="s">
        <v>58</v>
      </c>
      <c r="B180" s="326">
        <f>국가별수입!AD220-국가별수입!AD180</f>
        <v>2586</v>
      </c>
      <c r="C180" s="905">
        <f>국가별수입!AE220-국가별수입!AE180</f>
        <v>27291</v>
      </c>
      <c r="D180" s="326">
        <f>국가별수입!AF220-국가별수입!AF180</f>
        <v>2230</v>
      </c>
      <c r="E180" s="895">
        <f t="shared" si="14"/>
        <v>-13.8</v>
      </c>
      <c r="F180" s="905">
        <f>국가별수입!AH220-국가별수입!AH180</f>
        <v>14534</v>
      </c>
      <c r="G180" s="895">
        <f t="shared" si="15"/>
        <v>-46.7</v>
      </c>
    </row>
    <row r="181" spans="1:7" ht="19.5" hidden="1" customHeight="1">
      <c r="A181" s="891" t="s">
        <v>63</v>
      </c>
      <c r="B181" s="326">
        <f>국가별수입!AD221-국가별수입!AD181</f>
        <v>3698</v>
      </c>
      <c r="C181" s="905">
        <f>국가별수입!AE221-국가별수입!AE181</f>
        <v>15696</v>
      </c>
      <c r="D181" s="326">
        <f>국가별수입!AF221-국가별수입!AF181</f>
        <v>9018</v>
      </c>
      <c r="E181" s="895">
        <f t="shared" si="14"/>
        <v>143.9</v>
      </c>
      <c r="F181" s="905">
        <f>국가별수입!AH221-국가별수입!AH181</f>
        <v>15777</v>
      </c>
      <c r="G181" s="895">
        <f t="shared" si="15"/>
        <v>0.5</v>
      </c>
    </row>
    <row r="182" spans="1:7" ht="19.5" hidden="1" customHeight="1">
      <c r="A182" s="891" t="s">
        <v>55</v>
      </c>
      <c r="B182" s="326">
        <f>국가별수입!AD222-국가별수입!AD182</f>
        <v>11635</v>
      </c>
      <c r="C182" s="905">
        <f>국가별수입!AE222-국가별수입!AE182</f>
        <v>21857</v>
      </c>
      <c r="D182" s="326">
        <f>국가별수입!AF222-국가별수입!AF182</f>
        <v>11723</v>
      </c>
      <c r="E182" s="895">
        <f t="shared" si="14"/>
        <v>0.8</v>
      </c>
      <c r="F182" s="905">
        <f>국가별수입!AH222-국가별수입!AH182</f>
        <v>22871</v>
      </c>
      <c r="G182" s="895">
        <f t="shared" si="15"/>
        <v>4.5999999999999996</v>
      </c>
    </row>
    <row r="183" spans="1:7" ht="19.5" hidden="1" customHeight="1">
      <c r="A183" s="891" t="s">
        <v>51</v>
      </c>
      <c r="B183" s="326">
        <f>국가별수입!AD223-국가별수입!AD183</f>
        <v>7305</v>
      </c>
      <c r="C183" s="905">
        <f>국가별수입!AE223-국가별수입!AE183</f>
        <v>20483</v>
      </c>
      <c r="D183" s="326">
        <f>국가별수입!AF223-국가별수입!AF183</f>
        <v>7826</v>
      </c>
      <c r="E183" s="895">
        <f t="shared" si="14"/>
        <v>7.1</v>
      </c>
      <c r="F183" s="905">
        <f>국가별수입!AH223-국가별수입!AH183</f>
        <v>22375</v>
      </c>
      <c r="G183" s="895">
        <f t="shared" si="15"/>
        <v>9.1999999999999993</v>
      </c>
    </row>
    <row r="184" spans="1:7" ht="19.5" hidden="1" customHeight="1">
      <c r="A184" s="891" t="s">
        <v>72</v>
      </c>
      <c r="B184" s="326">
        <f>국가별수입!AD224-국가별수입!AD184</f>
        <v>6986</v>
      </c>
      <c r="C184" s="905">
        <f>국가별수입!AE224-국가별수입!AE184</f>
        <v>20382</v>
      </c>
      <c r="D184" s="326">
        <f>국가별수입!AF224-국가별수입!AF184</f>
        <v>4753</v>
      </c>
      <c r="E184" s="895">
        <f t="shared" si="14"/>
        <v>-32</v>
      </c>
      <c r="F184" s="905">
        <f>국가별수입!AH224-국가별수입!AH184</f>
        <v>16397</v>
      </c>
      <c r="G184" s="895">
        <f t="shared" si="15"/>
        <v>-19.600000000000001</v>
      </c>
    </row>
    <row r="185" spans="1:7" ht="19.5" hidden="1" customHeight="1">
      <c r="A185" s="891" t="s">
        <v>87</v>
      </c>
      <c r="B185" s="326">
        <f>국가별수입!AD225-국가별수입!AD185</f>
        <v>7086</v>
      </c>
      <c r="C185" s="905">
        <f>국가별수입!AE225-국가별수입!AE185</f>
        <v>13530</v>
      </c>
      <c r="D185" s="326">
        <f>국가별수입!AF225-국가별수입!AF185</f>
        <v>5530</v>
      </c>
      <c r="E185" s="895">
        <f t="shared" si="14"/>
        <v>-22</v>
      </c>
      <c r="F185" s="905">
        <f>국가별수입!AH225-국가별수입!AH185</f>
        <v>9593</v>
      </c>
      <c r="G185" s="895">
        <f t="shared" si="15"/>
        <v>-29.1</v>
      </c>
    </row>
    <row r="186" spans="1:7" ht="19.5" hidden="1" customHeight="1">
      <c r="A186" s="891" t="s">
        <v>59</v>
      </c>
      <c r="B186" s="326">
        <f>국가별수입!AD226-국가별수입!AD186</f>
        <v>3649</v>
      </c>
      <c r="C186" s="905">
        <f>국가별수입!AE226-국가별수입!AE186</f>
        <v>10635</v>
      </c>
      <c r="D186" s="326">
        <f>국가별수입!AF226-국가별수입!AF186</f>
        <v>2629</v>
      </c>
      <c r="E186" s="895">
        <f t="shared" si="14"/>
        <v>-28</v>
      </c>
      <c r="F186" s="905">
        <f>국가별수입!AH226-국가별수입!AH186</f>
        <v>11052</v>
      </c>
      <c r="G186" s="895">
        <f t="shared" si="15"/>
        <v>3.9</v>
      </c>
    </row>
    <row r="187" spans="1:7" ht="19.5" hidden="1" customHeight="1">
      <c r="A187" s="891" t="s">
        <v>90</v>
      </c>
      <c r="B187" s="326">
        <f>국가별수입!AD227-국가별수입!AD187</f>
        <v>13564</v>
      </c>
      <c r="C187" s="905">
        <f>국가별수입!AE227-국가별수입!AE187</f>
        <v>28738</v>
      </c>
      <c r="D187" s="326">
        <f>국가별수입!AF227-국가별수입!AF187</f>
        <v>5977</v>
      </c>
      <c r="E187" s="895">
        <f t="shared" si="14"/>
        <v>-55.9</v>
      </c>
      <c r="F187" s="905">
        <f>국가별수입!AH227-국가별수입!AH187</f>
        <v>9667</v>
      </c>
      <c r="G187" s="895">
        <f t="shared" si="15"/>
        <v>-66.400000000000006</v>
      </c>
    </row>
    <row r="188" spans="1:7" ht="19.5" hidden="1" customHeight="1">
      <c r="A188" s="891" t="s">
        <v>76</v>
      </c>
      <c r="B188" s="326">
        <f>국가별수입!AD228-국가별수입!AD188</f>
        <v>770</v>
      </c>
      <c r="C188" s="905">
        <f>국가별수입!AE228-국가별수입!AE188</f>
        <v>10009</v>
      </c>
      <c r="D188" s="326">
        <f>국가별수입!AF228-국가별수입!AF188</f>
        <v>522</v>
      </c>
      <c r="E188" s="895">
        <f t="shared" si="14"/>
        <v>-32.200000000000003</v>
      </c>
      <c r="F188" s="905">
        <f>국가별수입!AH228-국가별수입!AH188</f>
        <v>7197</v>
      </c>
      <c r="G188" s="895">
        <f t="shared" si="15"/>
        <v>-28.1</v>
      </c>
    </row>
    <row r="189" spans="1:7" ht="19.5" hidden="1" customHeight="1">
      <c r="A189" s="891" t="s">
        <v>91</v>
      </c>
      <c r="B189" s="326">
        <f>국가별수입!AD229-국가별수입!AD189</f>
        <v>5260</v>
      </c>
      <c r="C189" s="905">
        <f>국가별수입!AE229-국가별수입!AE189</f>
        <v>12744</v>
      </c>
      <c r="D189" s="326">
        <f>국가별수입!AF229-국가별수입!AF189</f>
        <v>3697</v>
      </c>
      <c r="E189" s="895">
        <f t="shared" si="14"/>
        <v>-29.7</v>
      </c>
      <c r="F189" s="905">
        <f>국가별수입!AH229-국가별수입!AH189</f>
        <v>6511</v>
      </c>
      <c r="G189" s="895">
        <f t="shared" si="15"/>
        <v>-48.9</v>
      </c>
    </row>
    <row r="190" spans="1:7" ht="19.5" hidden="1" customHeight="1">
      <c r="A190" s="891" t="s">
        <v>308</v>
      </c>
      <c r="B190" s="326">
        <f>국가별수입!AD230-국가별수입!AD190</f>
        <v>580</v>
      </c>
      <c r="C190" s="905">
        <f>국가별수입!AE230-국가별수입!AE190</f>
        <v>7415</v>
      </c>
      <c r="D190" s="326">
        <f>국가별수입!AF230-국가별수입!AF190</f>
        <v>460</v>
      </c>
      <c r="E190" s="895">
        <f t="shared" si="14"/>
        <v>-20.7</v>
      </c>
      <c r="F190" s="905">
        <f>국가별수입!AH230-국가별수입!AH190</f>
        <v>5671</v>
      </c>
      <c r="G190" s="895">
        <f t="shared" si="15"/>
        <v>-23.5</v>
      </c>
    </row>
    <row r="191" spans="1:7" ht="19.5" hidden="1" customHeight="1">
      <c r="A191" s="891" t="s">
        <v>71</v>
      </c>
      <c r="B191" s="326">
        <f>국가별수입!AD231-국가별수입!AD191</f>
        <v>2860</v>
      </c>
      <c r="C191" s="905">
        <f>국가별수입!AE231-국가별수입!AE191</f>
        <v>9459</v>
      </c>
      <c r="D191" s="326">
        <f>국가별수입!AF231-국가별수입!AF191</f>
        <v>4045</v>
      </c>
      <c r="E191" s="895">
        <f t="shared" si="14"/>
        <v>41.4</v>
      </c>
      <c r="F191" s="905">
        <f>국가별수입!AH231-국가별수입!AH191</f>
        <v>10118</v>
      </c>
      <c r="G191" s="895">
        <f t="shared" si="15"/>
        <v>7</v>
      </c>
    </row>
    <row r="192" spans="1:7" ht="19.5" hidden="1" customHeight="1">
      <c r="A192" s="891" t="s">
        <v>88</v>
      </c>
      <c r="B192" s="326">
        <f>국가별수입!AD232-국가별수입!AD192</f>
        <v>1733</v>
      </c>
      <c r="C192" s="905">
        <f>국가별수입!AE232-국가별수입!AE192</f>
        <v>7479</v>
      </c>
      <c r="D192" s="905">
        <f>국가별수입!AF232-국가별수입!AF192</f>
        <v>1325</v>
      </c>
      <c r="E192" s="895">
        <f t="shared" si="14"/>
        <v>-23.5</v>
      </c>
      <c r="F192" s="905">
        <f>국가별수입!AH232-국가별수입!AH192</f>
        <v>2858</v>
      </c>
      <c r="G192" s="895">
        <f t="shared" si="15"/>
        <v>-61.8</v>
      </c>
    </row>
    <row r="193" spans="1:7" ht="19.5" hidden="1" customHeight="1">
      <c r="A193" s="891" t="s">
        <v>65</v>
      </c>
      <c r="B193" s="326">
        <f>국가별수입!AD233-국가별수입!AD193</f>
        <v>2584</v>
      </c>
      <c r="C193" s="905">
        <f>국가별수입!AE233-국가별수입!AE193</f>
        <v>7026</v>
      </c>
      <c r="D193" s="905">
        <f>국가별수입!AF233-국가별수입!AF193</f>
        <v>6990</v>
      </c>
      <c r="E193" s="895">
        <f t="shared" si="14"/>
        <v>170.5</v>
      </c>
      <c r="F193" s="905">
        <f>국가별수입!AH233-국가별수입!AH193</f>
        <v>15902</v>
      </c>
      <c r="G193" s="895">
        <f t="shared" si="15"/>
        <v>126.3</v>
      </c>
    </row>
    <row r="194" spans="1:7" ht="19.5" hidden="1" customHeight="1">
      <c r="A194" s="891" t="s">
        <v>66</v>
      </c>
      <c r="B194" s="326">
        <f>국가별수입!AD234-국가별수입!AD194</f>
        <v>1317</v>
      </c>
      <c r="C194" s="905">
        <f>국가별수입!AE234-국가별수입!AE194</f>
        <v>4748</v>
      </c>
      <c r="D194" s="905">
        <f>국가별수입!AF234-국가별수입!AF194</f>
        <v>904</v>
      </c>
      <c r="E194" s="895">
        <f t="shared" si="14"/>
        <v>-31.4</v>
      </c>
      <c r="F194" s="905">
        <f>국가별수입!AH234-국가별수입!AH194</f>
        <v>4618</v>
      </c>
      <c r="G194" s="895">
        <f t="shared" si="15"/>
        <v>-2.7</v>
      </c>
    </row>
    <row r="195" spans="1:7" ht="19.5" hidden="1" customHeight="1">
      <c r="A195" s="891" t="s">
        <v>89</v>
      </c>
      <c r="B195" s="326">
        <f>국가별수입!AD235-국가별수입!AD195</f>
        <v>943</v>
      </c>
      <c r="C195" s="905">
        <f>국가별수입!AE235-국가별수입!AE195</f>
        <v>3959</v>
      </c>
      <c r="D195" s="905">
        <f>국가별수입!AF235-국가별수입!AF195</f>
        <v>1123</v>
      </c>
      <c r="E195" s="895">
        <f t="shared" si="14"/>
        <v>19.100000000000001</v>
      </c>
      <c r="F195" s="905">
        <f>국가별수입!AH235-국가별수입!AH195</f>
        <v>1657</v>
      </c>
      <c r="G195" s="895">
        <f t="shared" si="15"/>
        <v>-58.1</v>
      </c>
    </row>
    <row r="196" spans="1:7" ht="19.5" hidden="1" customHeight="1">
      <c r="A196" s="891" t="s">
        <v>309</v>
      </c>
      <c r="B196" s="326">
        <f>국가별수입!AD236-국가별수입!AD196</f>
        <v>484</v>
      </c>
      <c r="C196" s="905">
        <f>국가별수입!AE236-국가별수입!AE196</f>
        <v>6638</v>
      </c>
      <c r="D196" s="905">
        <f>국가별수입!AF236-국가별수입!AF196</f>
        <v>121</v>
      </c>
      <c r="E196" s="895">
        <f t="shared" si="14"/>
        <v>-75</v>
      </c>
      <c r="F196" s="905">
        <f>국가별수입!AH236-국가별수입!AH196</f>
        <v>1724</v>
      </c>
      <c r="G196" s="895">
        <f t="shared" si="15"/>
        <v>-74</v>
      </c>
    </row>
    <row r="197" spans="1:7" ht="19.5" hidden="1" customHeight="1">
      <c r="A197" s="891" t="s">
        <v>92</v>
      </c>
      <c r="B197" s="905">
        <f>국가별수입!AD237-국가별수입!AD197</f>
        <v>1401</v>
      </c>
      <c r="C197" s="905">
        <f>국가별수입!AE237-국가별수입!AE197</f>
        <v>5380</v>
      </c>
      <c r="D197" s="905">
        <f>국가별수입!AF237-국가별수입!AF197</f>
        <v>1943</v>
      </c>
      <c r="E197" s="895">
        <f t="shared" si="14"/>
        <v>38.700000000000003</v>
      </c>
      <c r="F197" s="905">
        <f>국가별수입!AH237-국가별수입!AH197</f>
        <v>4561</v>
      </c>
      <c r="G197" s="895">
        <f t="shared" si="15"/>
        <v>-15.2</v>
      </c>
    </row>
    <row r="198" spans="1:7" ht="19.5" hidden="1" customHeight="1">
      <c r="A198" s="903" t="s">
        <v>24</v>
      </c>
      <c r="B198" s="892">
        <f t="shared" ref="B198:D198" si="16">B199-SUM(B168:B197)</f>
        <v>23806</v>
      </c>
      <c r="C198" s="892">
        <f t="shared" si="16"/>
        <v>89173</v>
      </c>
      <c r="D198" s="892">
        <f t="shared" si="16"/>
        <v>20623</v>
      </c>
      <c r="E198" s="896">
        <f t="shared" si="14"/>
        <v>-13.4</v>
      </c>
      <c r="F198" s="892">
        <f>F199-SUM(F168:F197)</f>
        <v>77130</v>
      </c>
      <c r="G198" s="896">
        <f t="shared" si="15"/>
        <v>-13.5</v>
      </c>
    </row>
    <row r="199" spans="1:7" ht="19.5" hidden="1" customHeight="1">
      <c r="A199" s="904" t="s">
        <v>79</v>
      </c>
      <c r="B199" s="908">
        <f>국가별수입!AD239-국가별수입!AD199</f>
        <v>340120</v>
      </c>
      <c r="C199" s="908">
        <f>국가별수입!AE239-국가별수입!AE199</f>
        <v>1161631</v>
      </c>
      <c r="D199" s="908">
        <f>국가별수입!AF239-국가별수입!AF199</f>
        <v>336218</v>
      </c>
      <c r="E199" s="906">
        <f t="shared" si="14"/>
        <v>-1.1000000000000001</v>
      </c>
      <c r="F199" s="907">
        <f>국가별수입!AH239-국가별수입!AH199</f>
        <v>1015611</v>
      </c>
      <c r="G199" s="906">
        <f t="shared" si="15"/>
        <v>-12.6</v>
      </c>
    </row>
    <row r="200" spans="1:7" hidden="1"/>
    <row r="201" spans="1:7" s="846" customFormat="1" ht="22.5" hidden="1">
      <c r="A201" s="1143" t="s">
        <v>619</v>
      </c>
      <c r="B201" s="1143"/>
      <c r="C201" s="1143"/>
      <c r="D201" s="1143"/>
      <c r="E201" s="1143"/>
      <c r="F201" s="1143"/>
      <c r="G201" s="1143"/>
    </row>
    <row r="202" spans="1:7" s="846" customFormat="1" hidden="1">
      <c r="A202" s="898"/>
      <c r="B202" s="899"/>
      <c r="C202" s="899"/>
      <c r="D202" s="899"/>
      <c r="E202" s="900"/>
      <c r="F202" s="899"/>
      <c r="G202" s="900"/>
    </row>
    <row r="203" spans="1:7" s="846" customFormat="1" hidden="1">
      <c r="A203" s="898"/>
      <c r="B203" s="899"/>
      <c r="C203" s="899"/>
      <c r="D203" s="899"/>
      <c r="E203" s="900"/>
      <c r="F203" s="1144" t="s">
        <v>80</v>
      </c>
      <c r="G203" s="1144"/>
    </row>
    <row r="204" spans="1:7" s="846" customFormat="1" ht="21.75" hidden="1" customHeight="1">
      <c r="A204" s="1115" t="s">
        <v>43</v>
      </c>
      <c r="B204" s="1115" t="s">
        <v>609</v>
      </c>
      <c r="C204" s="1115"/>
      <c r="D204" s="1115"/>
      <c r="E204" s="1115"/>
      <c r="F204" s="1115"/>
      <c r="G204" s="1115"/>
    </row>
    <row r="205" spans="1:7" s="846" customFormat="1" ht="21" hidden="1" customHeight="1">
      <c r="A205" s="1115"/>
      <c r="B205" s="1115" t="s">
        <v>314</v>
      </c>
      <c r="C205" s="1115"/>
      <c r="D205" s="1115" t="s">
        <v>444</v>
      </c>
      <c r="E205" s="1115"/>
      <c r="F205" s="1115"/>
      <c r="G205" s="1115"/>
    </row>
    <row r="206" spans="1:7" s="846" customFormat="1" ht="16.5" hidden="1" customHeight="1">
      <c r="A206" s="1115"/>
      <c r="B206" s="1115" t="s">
        <v>44</v>
      </c>
      <c r="C206" s="1115" t="s">
        <v>45</v>
      </c>
      <c r="D206" s="1146" t="s">
        <v>46</v>
      </c>
      <c r="E206" s="901"/>
      <c r="F206" s="1146" t="s">
        <v>45</v>
      </c>
      <c r="G206" s="901"/>
    </row>
    <row r="207" spans="1:7" s="846" customFormat="1" ht="16.5" hidden="1" customHeight="1" thickBot="1">
      <c r="A207" s="1145"/>
      <c r="B207" s="1145"/>
      <c r="C207" s="1145"/>
      <c r="D207" s="1145"/>
      <c r="E207" s="902" t="s">
        <v>49</v>
      </c>
      <c r="F207" s="1145"/>
      <c r="G207" s="902" t="s">
        <v>49</v>
      </c>
    </row>
    <row r="208" spans="1:7" s="846" customFormat="1" ht="19.5" hidden="1" customHeight="1" thickTop="1">
      <c r="A208" s="891" t="s">
        <v>50</v>
      </c>
      <c r="B208" s="905">
        <f>국가별수입!AD248-국가별수입!AD208</f>
        <v>52379</v>
      </c>
      <c r="C208" s="905">
        <f>국가별수입!AE248-국가별수입!AE208</f>
        <v>201608</v>
      </c>
      <c r="D208" s="905">
        <f>국가별수입!AF248-국가별수입!AF208</f>
        <v>45625</v>
      </c>
      <c r="E208" s="895">
        <f>ROUND(((D208/B208-1)*100),1)</f>
        <v>-12.9</v>
      </c>
      <c r="F208" s="905">
        <f>국가별수입!AH248-국가별수입!AH208</f>
        <v>167936</v>
      </c>
      <c r="G208" s="895">
        <f>ROUND(((F208/C208-1)*100),1)</f>
        <v>-16.7</v>
      </c>
    </row>
    <row r="209" spans="1:7" s="846" customFormat="1" ht="19.5" hidden="1" customHeight="1">
      <c r="A209" s="891" t="s">
        <v>53</v>
      </c>
      <c r="B209" s="905">
        <f>국가별수입!AD249-국가별수입!AD209</f>
        <v>32477</v>
      </c>
      <c r="C209" s="905">
        <f>국가별수입!AE249-국가별수입!AE209</f>
        <v>106383</v>
      </c>
      <c r="D209" s="905">
        <f>국가별수입!AF249-국가별수입!AF209</f>
        <v>34483</v>
      </c>
      <c r="E209" s="895">
        <f t="shared" ref="E209:E239" si="17">ROUND(((D209/B209-1)*100),1)</f>
        <v>6.2</v>
      </c>
      <c r="F209" s="905">
        <f>국가별수입!AH249-국가별수입!AH209</f>
        <v>105834</v>
      </c>
      <c r="G209" s="895">
        <f t="shared" ref="G209:G239" si="18">ROUND(((F209/C209-1)*100),1)</f>
        <v>-0.5</v>
      </c>
    </row>
    <row r="210" spans="1:7" s="846" customFormat="1" ht="19.5" hidden="1" customHeight="1">
      <c r="A210" s="891" t="s">
        <v>54</v>
      </c>
      <c r="B210" s="905">
        <f>국가별수입!AD250-국가별수입!AD210</f>
        <v>13356</v>
      </c>
      <c r="C210" s="905">
        <f>국가별수입!AE250-국가별수입!AE210</f>
        <v>106455</v>
      </c>
      <c r="D210" s="905">
        <f>국가별수입!AF250-국가별수입!AF210</f>
        <v>18130</v>
      </c>
      <c r="E210" s="895">
        <f t="shared" si="17"/>
        <v>35.700000000000003</v>
      </c>
      <c r="F210" s="905">
        <f>국가별수입!AH250-국가별수입!AH210</f>
        <v>105888</v>
      </c>
      <c r="G210" s="895">
        <f t="shared" si="18"/>
        <v>-0.5</v>
      </c>
    </row>
    <row r="211" spans="1:7" s="846" customFormat="1" ht="19.5" hidden="1" customHeight="1">
      <c r="A211" s="891" t="s">
        <v>84</v>
      </c>
      <c r="B211" s="905">
        <f>국가별수입!AD251-국가별수입!AD211</f>
        <v>13520</v>
      </c>
      <c r="C211" s="905">
        <f>국가별수입!AE251-국가별수입!AE211</f>
        <v>77861</v>
      </c>
      <c r="D211" s="905">
        <f>국가별수입!AF251-국가별수입!AF211</f>
        <v>10856</v>
      </c>
      <c r="E211" s="895">
        <f t="shared" si="17"/>
        <v>-19.7</v>
      </c>
      <c r="F211" s="905">
        <f>국가별수입!AH251-국가별수입!AH211</f>
        <v>60054</v>
      </c>
      <c r="G211" s="895">
        <f t="shared" si="18"/>
        <v>-22.9</v>
      </c>
    </row>
    <row r="212" spans="1:7" s="846" customFormat="1" ht="19.5" hidden="1" customHeight="1">
      <c r="A212" s="891" t="s">
        <v>52</v>
      </c>
      <c r="B212" s="905">
        <f>국가별수입!AD252-국가별수입!AD212</f>
        <v>47450</v>
      </c>
      <c r="C212" s="905">
        <f>국가별수입!AE252-국가별수입!AE212</f>
        <v>93895</v>
      </c>
      <c r="D212" s="905">
        <f>국가별수입!AF252-국가별수입!AF212</f>
        <v>36195</v>
      </c>
      <c r="E212" s="895">
        <f t="shared" si="17"/>
        <v>-23.7</v>
      </c>
      <c r="F212" s="905">
        <f>국가별수입!AH252-국가별수입!AH212</f>
        <v>63599</v>
      </c>
      <c r="G212" s="895">
        <f t="shared" si="18"/>
        <v>-32.299999999999997</v>
      </c>
    </row>
    <row r="213" spans="1:7" s="846" customFormat="1" ht="19.5" hidden="1" customHeight="1">
      <c r="A213" s="891" t="s">
        <v>61</v>
      </c>
      <c r="B213" s="905">
        <f>국가별수입!AD253-국가별수입!AD213</f>
        <v>29896</v>
      </c>
      <c r="C213" s="905">
        <f>국가별수입!AE253-국가별수입!AE213</f>
        <v>87016</v>
      </c>
      <c r="D213" s="905">
        <f>국가별수입!AF253-국가별수입!AF213</f>
        <v>33395</v>
      </c>
      <c r="E213" s="895">
        <f t="shared" si="17"/>
        <v>11.7</v>
      </c>
      <c r="F213" s="905">
        <f>국가별수입!AH253-국가별수입!AH213</f>
        <v>70795</v>
      </c>
      <c r="G213" s="895">
        <f t="shared" si="18"/>
        <v>-18.600000000000001</v>
      </c>
    </row>
    <row r="214" spans="1:7" s="846" customFormat="1" ht="19.5" hidden="1" customHeight="1">
      <c r="A214" s="891" t="s">
        <v>56</v>
      </c>
      <c r="B214" s="905">
        <f>국가별수입!AD254-국가별수입!AD214</f>
        <v>14338</v>
      </c>
      <c r="C214" s="905">
        <f>국가별수입!AE254-국가별수입!AE214</f>
        <v>41627</v>
      </c>
      <c r="D214" s="905">
        <f>국가별수입!AF254-국가별수입!AF214</f>
        <v>13652</v>
      </c>
      <c r="E214" s="895">
        <f t="shared" si="17"/>
        <v>-4.8</v>
      </c>
      <c r="F214" s="905">
        <f>국가별수입!AH254-국가별수입!AH214</f>
        <v>33032</v>
      </c>
      <c r="G214" s="895">
        <f t="shared" si="18"/>
        <v>-20.6</v>
      </c>
    </row>
    <row r="215" spans="1:7" s="846" customFormat="1" ht="19.5" hidden="1" customHeight="1">
      <c r="A215" s="891" t="s">
        <v>85</v>
      </c>
      <c r="B215" s="326">
        <f>국가별수입!AD255-국가별수입!AD215</f>
        <v>6290</v>
      </c>
      <c r="C215" s="905">
        <f>국가별수입!AE255-국가별수입!AE215</f>
        <v>37902</v>
      </c>
      <c r="D215" s="326">
        <f>국가별수입!AF255-국가별수입!AF215</f>
        <v>6116</v>
      </c>
      <c r="E215" s="895">
        <f t="shared" si="17"/>
        <v>-2.8</v>
      </c>
      <c r="F215" s="905">
        <f>국가별수입!AH255-국가별수입!AH215</f>
        <v>35626</v>
      </c>
      <c r="G215" s="895">
        <f t="shared" si="18"/>
        <v>-6</v>
      </c>
    </row>
    <row r="216" spans="1:7" s="846" customFormat="1" ht="19.5" hidden="1" customHeight="1">
      <c r="A216" s="891" t="s">
        <v>86</v>
      </c>
      <c r="B216" s="905">
        <f>국가별수입!AD256-국가별수입!AD216</f>
        <v>16129</v>
      </c>
      <c r="C216" s="905">
        <f>국가별수입!AE256-국가별수입!AE216</f>
        <v>35668</v>
      </c>
      <c r="D216" s="326">
        <f>국가별수입!AF256-국가별수입!AF216</f>
        <v>14826</v>
      </c>
      <c r="E216" s="895">
        <f t="shared" si="17"/>
        <v>-8.1</v>
      </c>
      <c r="F216" s="905">
        <f>국가별수입!AH256-국가별수입!AH216</f>
        <v>27830</v>
      </c>
      <c r="G216" s="895">
        <f t="shared" si="18"/>
        <v>-22</v>
      </c>
    </row>
    <row r="217" spans="1:7" s="846" customFormat="1" ht="19.5" hidden="1" customHeight="1">
      <c r="A217" s="891" t="s">
        <v>64</v>
      </c>
      <c r="B217" s="905">
        <f>국가별수입!AD257-국가별수입!AD217</f>
        <v>12724</v>
      </c>
      <c r="C217" s="905">
        <f>국가별수입!AE257-국가별수입!AE217</f>
        <v>27739</v>
      </c>
      <c r="D217" s="326">
        <f>국가별수입!AF257-국가별수입!AF217</f>
        <v>12745</v>
      </c>
      <c r="E217" s="895">
        <f t="shared" si="17"/>
        <v>0.2</v>
      </c>
      <c r="F217" s="905">
        <f>국가별수입!AH257-국가별수입!AH217</f>
        <v>22589</v>
      </c>
      <c r="G217" s="895">
        <f t="shared" si="18"/>
        <v>-18.600000000000001</v>
      </c>
    </row>
    <row r="218" spans="1:7" s="846" customFormat="1" ht="19.5" hidden="1" customHeight="1">
      <c r="A218" s="891" t="s">
        <v>68</v>
      </c>
      <c r="B218" s="326">
        <f>국가별수입!AD258-국가별수입!AD218</f>
        <v>5503</v>
      </c>
      <c r="C218" s="905">
        <f>국가별수입!AE258-국가별수입!AE218</f>
        <v>32218</v>
      </c>
      <c r="D218" s="326">
        <f>국가별수입!AF258-국가별수입!AF218</f>
        <v>2998</v>
      </c>
      <c r="E218" s="895">
        <f t="shared" si="17"/>
        <v>-45.5</v>
      </c>
      <c r="F218" s="905">
        <f>국가별수입!AH258-국가별수입!AH218</f>
        <v>21838</v>
      </c>
      <c r="G218" s="895">
        <f t="shared" si="18"/>
        <v>-32.200000000000003</v>
      </c>
    </row>
    <row r="219" spans="1:7" s="846" customFormat="1" ht="19.5" hidden="1" customHeight="1">
      <c r="A219" s="891" t="s">
        <v>57</v>
      </c>
      <c r="B219" s="326">
        <f>국가별수입!AD259-국가별수입!AD219</f>
        <v>4812</v>
      </c>
      <c r="C219" s="905">
        <f>국가별수입!AE259-국가별수입!AE219</f>
        <v>23007</v>
      </c>
      <c r="D219" s="326">
        <f>국가별수입!AF259-국가별수입!AF219</f>
        <v>6093</v>
      </c>
      <c r="E219" s="895">
        <f t="shared" si="17"/>
        <v>26.6</v>
      </c>
      <c r="F219" s="905">
        <f>국가별수입!AH259-국가별수입!AH219</f>
        <v>25938</v>
      </c>
      <c r="G219" s="895">
        <f t="shared" si="18"/>
        <v>12.7</v>
      </c>
    </row>
    <row r="220" spans="1:7" s="846" customFormat="1" ht="19.5" hidden="1" customHeight="1">
      <c r="A220" s="891" t="s">
        <v>58</v>
      </c>
      <c r="B220" s="326">
        <f>국가별수입!AD260-국가별수입!AD220</f>
        <v>2344</v>
      </c>
      <c r="C220" s="905">
        <f>국가별수입!AE260-국가별수입!AE220</f>
        <v>24339</v>
      </c>
      <c r="D220" s="326">
        <f>국가별수입!AF260-국가별수입!AF220</f>
        <v>2353</v>
      </c>
      <c r="E220" s="895">
        <f t="shared" si="17"/>
        <v>0.4</v>
      </c>
      <c r="F220" s="905">
        <f>국가별수입!AH260-국가별수입!AH220</f>
        <v>20791</v>
      </c>
      <c r="G220" s="895">
        <f t="shared" si="18"/>
        <v>-14.6</v>
      </c>
    </row>
    <row r="221" spans="1:7" s="846" customFormat="1" ht="19.5" hidden="1" customHeight="1">
      <c r="A221" s="891" t="s">
        <v>63</v>
      </c>
      <c r="B221" s="326">
        <f>국가별수입!AD261-국가별수입!AD221</f>
        <v>4751</v>
      </c>
      <c r="C221" s="905">
        <f>국가별수입!AE261-국가별수입!AE221</f>
        <v>15707</v>
      </c>
      <c r="D221" s="326">
        <f>국가별수입!AF261-국가별수입!AF221</f>
        <v>5950</v>
      </c>
      <c r="E221" s="895">
        <f t="shared" si="17"/>
        <v>25.2</v>
      </c>
      <c r="F221" s="905">
        <f>국가별수입!AH261-국가별수입!AH221</f>
        <v>11306</v>
      </c>
      <c r="G221" s="895">
        <f t="shared" si="18"/>
        <v>-28</v>
      </c>
    </row>
    <row r="222" spans="1:7" s="846" customFormat="1" ht="19.5" hidden="1" customHeight="1">
      <c r="A222" s="891" t="s">
        <v>55</v>
      </c>
      <c r="B222" s="326">
        <f>국가별수입!AD262-국가별수입!AD222</f>
        <v>9738</v>
      </c>
      <c r="C222" s="905">
        <f>국가별수입!AE262-국가별수입!AE222</f>
        <v>21033</v>
      </c>
      <c r="D222" s="326">
        <f>국가별수입!AF262-국가별수입!AF222</f>
        <v>9591</v>
      </c>
      <c r="E222" s="895">
        <f t="shared" si="17"/>
        <v>-1.5</v>
      </c>
      <c r="F222" s="905">
        <f>국가별수입!AH262-국가별수입!AH222</f>
        <v>25083</v>
      </c>
      <c r="G222" s="895">
        <f t="shared" si="18"/>
        <v>19.3</v>
      </c>
    </row>
    <row r="223" spans="1:7" s="846" customFormat="1" ht="19.5" hidden="1" customHeight="1">
      <c r="A223" s="891" t="s">
        <v>51</v>
      </c>
      <c r="B223" s="326">
        <f>국가별수입!AD263-국가별수입!AD223</f>
        <v>7432</v>
      </c>
      <c r="C223" s="905">
        <f>국가별수입!AE263-국가별수입!AE223</f>
        <v>21404</v>
      </c>
      <c r="D223" s="326">
        <f>국가별수입!AF263-국가별수입!AF223</f>
        <v>6282</v>
      </c>
      <c r="E223" s="895">
        <f t="shared" si="17"/>
        <v>-15.5</v>
      </c>
      <c r="F223" s="905">
        <f>국가별수입!AH263-국가별수입!AH223</f>
        <v>20935</v>
      </c>
      <c r="G223" s="895">
        <f t="shared" si="18"/>
        <v>-2.2000000000000002</v>
      </c>
    </row>
    <row r="224" spans="1:7" s="846" customFormat="1" ht="19.5" hidden="1" customHeight="1">
      <c r="A224" s="891" t="s">
        <v>72</v>
      </c>
      <c r="B224" s="326">
        <f>국가별수입!AD264-국가별수입!AD224</f>
        <v>2491</v>
      </c>
      <c r="C224" s="905">
        <f>국가별수입!AE264-국가별수입!AE224</f>
        <v>13039</v>
      </c>
      <c r="D224" s="326">
        <f>국가별수입!AF264-국가별수입!AF224</f>
        <v>8030</v>
      </c>
      <c r="E224" s="895">
        <f t="shared" si="17"/>
        <v>222.4</v>
      </c>
      <c r="F224" s="905">
        <f>국가별수입!AH264-국가별수입!AH224</f>
        <v>17976</v>
      </c>
      <c r="G224" s="895">
        <f t="shared" si="18"/>
        <v>37.9</v>
      </c>
    </row>
    <row r="225" spans="1:7" s="846" customFormat="1" ht="19.5" hidden="1" customHeight="1">
      <c r="A225" s="891" t="s">
        <v>87</v>
      </c>
      <c r="B225" s="326">
        <f>국가별수입!AD265-국가별수입!AD225</f>
        <v>8685</v>
      </c>
      <c r="C225" s="905">
        <f>국가별수입!AE265-국가별수입!AE225</f>
        <v>16310</v>
      </c>
      <c r="D225" s="326">
        <f>국가별수입!AF265-국가별수입!AF225</f>
        <v>5131</v>
      </c>
      <c r="E225" s="895">
        <f t="shared" si="17"/>
        <v>-40.9</v>
      </c>
      <c r="F225" s="905">
        <f>국가별수입!AH265-국가별수입!AH225</f>
        <v>9298</v>
      </c>
      <c r="G225" s="895">
        <f t="shared" si="18"/>
        <v>-43</v>
      </c>
    </row>
    <row r="226" spans="1:7" s="846" customFormat="1" ht="19.5" hidden="1" customHeight="1">
      <c r="A226" s="891" t="s">
        <v>59</v>
      </c>
      <c r="B226" s="326">
        <f>국가별수입!AD266-국가별수입!AD226</f>
        <v>4588</v>
      </c>
      <c r="C226" s="905">
        <f>국가별수입!AE266-국가별수입!AE226</f>
        <v>16169</v>
      </c>
      <c r="D226" s="326">
        <f>국가별수입!AF266-국가별수입!AF226</f>
        <v>5941</v>
      </c>
      <c r="E226" s="895">
        <f t="shared" si="17"/>
        <v>29.5</v>
      </c>
      <c r="F226" s="905">
        <f>국가별수입!AH266-국가별수입!AH226</f>
        <v>23754</v>
      </c>
      <c r="G226" s="895">
        <f t="shared" si="18"/>
        <v>46.9</v>
      </c>
    </row>
    <row r="227" spans="1:7" s="846" customFormat="1" ht="19.5" hidden="1" customHeight="1">
      <c r="A227" s="891" t="s">
        <v>90</v>
      </c>
      <c r="B227" s="326">
        <f>국가별수입!AD267-국가별수입!AD227</f>
        <v>6340</v>
      </c>
      <c r="C227" s="905">
        <f>국가별수입!AE267-국가별수입!AE227</f>
        <v>12620</v>
      </c>
      <c r="D227" s="326">
        <f>국가별수입!AF267-국가별수입!AF227</f>
        <v>5443</v>
      </c>
      <c r="E227" s="895">
        <f t="shared" si="17"/>
        <v>-14.1</v>
      </c>
      <c r="F227" s="905">
        <f>국가별수입!AH267-국가별수입!AH227</f>
        <v>8896</v>
      </c>
      <c r="G227" s="895">
        <f t="shared" si="18"/>
        <v>-29.5</v>
      </c>
    </row>
    <row r="228" spans="1:7" s="846" customFormat="1" ht="19.5" hidden="1" customHeight="1">
      <c r="A228" s="891" t="s">
        <v>76</v>
      </c>
      <c r="B228" s="326">
        <f>국가별수입!AD268-국가별수입!AD228</f>
        <v>1693</v>
      </c>
      <c r="C228" s="905">
        <f>국가별수입!AE268-국가별수입!AE228</f>
        <v>16938</v>
      </c>
      <c r="D228" s="326">
        <f>국가별수입!AF268-국가별수입!AF228</f>
        <v>924</v>
      </c>
      <c r="E228" s="895">
        <f t="shared" si="17"/>
        <v>-45.4</v>
      </c>
      <c r="F228" s="905">
        <f>국가별수입!AH268-국가별수입!AH228</f>
        <v>11763</v>
      </c>
      <c r="G228" s="895">
        <f t="shared" si="18"/>
        <v>-30.6</v>
      </c>
    </row>
    <row r="229" spans="1:7" s="846" customFormat="1" ht="19.5" hidden="1" customHeight="1">
      <c r="A229" s="891" t="s">
        <v>91</v>
      </c>
      <c r="B229" s="326">
        <f>국가별수입!AD269-국가별수입!AD229</f>
        <v>6941</v>
      </c>
      <c r="C229" s="905">
        <f>국가별수입!AE269-국가별수입!AE229</f>
        <v>14813</v>
      </c>
      <c r="D229" s="326">
        <f>국가별수입!AF269-국가별수입!AF229</f>
        <v>6324</v>
      </c>
      <c r="E229" s="895">
        <f t="shared" si="17"/>
        <v>-8.9</v>
      </c>
      <c r="F229" s="905">
        <f>국가별수입!AH269-국가별수입!AH229</f>
        <v>10852</v>
      </c>
      <c r="G229" s="895">
        <f t="shared" si="18"/>
        <v>-26.7</v>
      </c>
    </row>
    <row r="230" spans="1:7" s="846" customFormat="1" ht="19.5" hidden="1" customHeight="1">
      <c r="A230" s="891" t="s">
        <v>308</v>
      </c>
      <c r="B230" s="326">
        <f>국가별수입!AD270-국가별수입!AD230</f>
        <v>182</v>
      </c>
      <c r="C230" s="905">
        <f>국가별수입!AE270-국가별수입!AE230</f>
        <v>2368</v>
      </c>
      <c r="D230" s="326">
        <f>국가별수입!AF270-국가별수입!AF230</f>
        <v>24</v>
      </c>
      <c r="E230" s="895">
        <f t="shared" si="17"/>
        <v>-86.8</v>
      </c>
      <c r="F230" s="905">
        <f>국가별수입!AH270-국가별수입!AH230</f>
        <v>350</v>
      </c>
      <c r="G230" s="895">
        <f t="shared" si="18"/>
        <v>-85.2</v>
      </c>
    </row>
    <row r="231" spans="1:7" s="846" customFormat="1" ht="19.5" hidden="1" customHeight="1">
      <c r="A231" s="891" t="s">
        <v>71</v>
      </c>
      <c r="B231" s="326">
        <f>국가별수입!AD271-국가별수입!AD231</f>
        <v>3186</v>
      </c>
      <c r="C231" s="905">
        <f>국가별수입!AE271-국가별수입!AE231</f>
        <v>9616</v>
      </c>
      <c r="D231" s="326">
        <f>국가별수입!AF271-국가별수입!AF231</f>
        <v>2318</v>
      </c>
      <c r="E231" s="895">
        <f t="shared" si="17"/>
        <v>-27.2</v>
      </c>
      <c r="F231" s="905">
        <f>국가별수입!AH271-국가별수입!AH231</f>
        <v>6511</v>
      </c>
      <c r="G231" s="895">
        <f t="shared" si="18"/>
        <v>-32.299999999999997</v>
      </c>
    </row>
    <row r="232" spans="1:7" s="846" customFormat="1" ht="19.5" hidden="1" customHeight="1">
      <c r="A232" s="891" t="s">
        <v>88</v>
      </c>
      <c r="B232" s="326">
        <f>국가별수입!AD272-국가별수입!AD232</f>
        <v>2557</v>
      </c>
      <c r="C232" s="905">
        <f>국가별수입!AE272-국가별수입!AE232</f>
        <v>8501</v>
      </c>
      <c r="D232" s="905">
        <f>국가별수입!AF272-국가별수입!AF232</f>
        <v>1295</v>
      </c>
      <c r="E232" s="895">
        <f t="shared" si="17"/>
        <v>-49.4</v>
      </c>
      <c r="F232" s="905">
        <f>국가별수입!AH272-국가별수입!AH232</f>
        <v>3588</v>
      </c>
      <c r="G232" s="895">
        <f t="shared" si="18"/>
        <v>-57.8</v>
      </c>
    </row>
    <row r="233" spans="1:7" s="846" customFormat="1" ht="19.5" hidden="1" customHeight="1">
      <c r="A233" s="891" t="s">
        <v>65</v>
      </c>
      <c r="B233" s="326">
        <f>국가별수입!AD273-국가별수입!AD233</f>
        <v>3132</v>
      </c>
      <c r="C233" s="905">
        <f>국가별수입!AE273-국가별수입!AE233</f>
        <v>8810</v>
      </c>
      <c r="D233" s="905">
        <f>국가별수입!AF273-국가별수입!AF233</f>
        <v>8285</v>
      </c>
      <c r="E233" s="895">
        <f t="shared" si="17"/>
        <v>164.5</v>
      </c>
      <c r="F233" s="905">
        <f>국가별수입!AH273-국가별수입!AH233</f>
        <v>21336</v>
      </c>
      <c r="G233" s="895">
        <f t="shared" si="18"/>
        <v>142.19999999999999</v>
      </c>
    </row>
    <row r="234" spans="1:7" s="846" customFormat="1" ht="19.5" hidden="1" customHeight="1">
      <c r="A234" s="891" t="s">
        <v>66</v>
      </c>
      <c r="B234" s="326">
        <f>국가별수입!AD274-국가별수입!AD234</f>
        <v>1869</v>
      </c>
      <c r="C234" s="905">
        <f>국가별수입!AE274-국가별수입!AE234</f>
        <v>8192</v>
      </c>
      <c r="D234" s="905">
        <f>국가별수입!AF274-국가별수입!AF234</f>
        <v>1364</v>
      </c>
      <c r="E234" s="895">
        <f t="shared" si="17"/>
        <v>-27</v>
      </c>
      <c r="F234" s="905">
        <f>국가별수입!AH274-국가별수입!AH234</f>
        <v>7622</v>
      </c>
      <c r="G234" s="895">
        <f t="shared" si="18"/>
        <v>-7</v>
      </c>
    </row>
    <row r="235" spans="1:7" s="846" customFormat="1" ht="19.5" hidden="1" customHeight="1">
      <c r="A235" s="891" t="s">
        <v>89</v>
      </c>
      <c r="B235" s="326">
        <f>국가별수입!AD275-국가별수입!AD235</f>
        <v>626</v>
      </c>
      <c r="C235" s="905">
        <f>국가별수입!AE275-국가별수입!AE235</f>
        <v>2848</v>
      </c>
      <c r="D235" s="905">
        <f>국가별수입!AF275-국가별수입!AF235</f>
        <v>2588</v>
      </c>
      <c r="E235" s="895">
        <f t="shared" si="17"/>
        <v>313.39999999999998</v>
      </c>
      <c r="F235" s="905">
        <f>국가별수입!AH275-국가별수입!AH235</f>
        <v>3759</v>
      </c>
      <c r="G235" s="895">
        <f t="shared" si="18"/>
        <v>32</v>
      </c>
    </row>
    <row r="236" spans="1:7" s="846" customFormat="1" ht="19.5" hidden="1" customHeight="1">
      <c r="A236" s="891" t="s">
        <v>309</v>
      </c>
      <c r="B236" s="326">
        <f>국가별수입!AD276-국가별수입!AD236</f>
        <v>278</v>
      </c>
      <c r="C236" s="905">
        <f>국가별수입!AE276-국가별수입!AE236</f>
        <v>4321</v>
      </c>
      <c r="D236" s="905">
        <f>국가별수입!AF276-국가별수입!AF236</f>
        <v>416</v>
      </c>
      <c r="E236" s="895">
        <f t="shared" si="17"/>
        <v>49.6</v>
      </c>
      <c r="F236" s="905">
        <f>국가별수입!AH276-국가별수입!AH236</f>
        <v>5543</v>
      </c>
      <c r="G236" s="895">
        <f t="shared" si="18"/>
        <v>28.3</v>
      </c>
    </row>
    <row r="237" spans="1:7" s="846" customFormat="1" ht="19.5" hidden="1" customHeight="1">
      <c r="A237" s="891" t="s">
        <v>92</v>
      </c>
      <c r="B237" s="905">
        <f>국가별수입!AD277-국가별수입!AD237</f>
        <v>1799</v>
      </c>
      <c r="C237" s="905">
        <f>국가별수입!AE277-국가별수입!AE237</f>
        <v>7470</v>
      </c>
      <c r="D237" s="905">
        <f>국가별수입!AF277-국가별수입!AF237</f>
        <v>1268</v>
      </c>
      <c r="E237" s="895">
        <f t="shared" si="17"/>
        <v>-29.5</v>
      </c>
      <c r="F237" s="905">
        <f>국가별수입!AH277-국가별수입!AH237</f>
        <v>3187</v>
      </c>
      <c r="G237" s="895">
        <f t="shared" si="18"/>
        <v>-57.3</v>
      </c>
    </row>
    <row r="238" spans="1:7" s="846" customFormat="1" ht="19.5" hidden="1" customHeight="1">
      <c r="A238" s="903" t="s">
        <v>24</v>
      </c>
      <c r="B238" s="892">
        <f t="shared" ref="B238:D238" si="19">B239-SUM(B208:B237)</f>
        <v>27696</v>
      </c>
      <c r="C238" s="892">
        <f t="shared" si="19"/>
        <v>108766</v>
      </c>
      <c r="D238" s="892">
        <f t="shared" si="19"/>
        <v>27752</v>
      </c>
      <c r="E238" s="896">
        <f t="shared" si="17"/>
        <v>0.2</v>
      </c>
      <c r="F238" s="892">
        <f>F239-SUM(F208:F237)</f>
        <v>81236</v>
      </c>
      <c r="G238" s="896">
        <f t="shared" si="18"/>
        <v>-25.3</v>
      </c>
    </row>
    <row r="239" spans="1:7" s="846" customFormat="1" ht="19.5" hidden="1" customHeight="1">
      <c r="A239" s="904" t="s">
        <v>79</v>
      </c>
      <c r="B239" s="908">
        <f>국가별수입!AD279-국가별수입!AD239</f>
        <v>345202</v>
      </c>
      <c r="C239" s="908">
        <f>국가별수입!AE279-국가별수입!AE239</f>
        <v>1204643</v>
      </c>
      <c r="D239" s="908">
        <f>국가별수입!AF279-국가별수입!AF239</f>
        <v>336393</v>
      </c>
      <c r="E239" s="906">
        <f t="shared" si="17"/>
        <v>-2.6</v>
      </c>
      <c r="F239" s="907">
        <f>국가별수입!AH279-국가별수입!AH239</f>
        <v>1034745</v>
      </c>
      <c r="G239" s="906">
        <f t="shared" si="18"/>
        <v>-14.1</v>
      </c>
    </row>
    <row r="240" spans="1:7" hidden="1"/>
    <row r="241" spans="1:7" s="846" customFormat="1" ht="22.5" hidden="1">
      <c r="A241" s="1143" t="s">
        <v>644</v>
      </c>
      <c r="B241" s="1143"/>
      <c r="C241" s="1143"/>
      <c r="D241" s="1143"/>
      <c r="E241" s="1143"/>
      <c r="F241" s="1143"/>
      <c r="G241" s="1143"/>
    </row>
    <row r="242" spans="1:7" s="846" customFormat="1" hidden="1">
      <c r="A242" s="898"/>
      <c r="B242" s="899"/>
      <c r="C242" s="899"/>
      <c r="D242" s="899"/>
      <c r="E242" s="900"/>
      <c r="F242" s="899"/>
      <c r="G242" s="900"/>
    </row>
    <row r="243" spans="1:7" s="846" customFormat="1" hidden="1">
      <c r="A243" s="898"/>
      <c r="B243" s="899"/>
      <c r="C243" s="899"/>
      <c r="D243" s="899"/>
      <c r="E243" s="900"/>
      <c r="F243" s="1144" t="s">
        <v>80</v>
      </c>
      <c r="G243" s="1144"/>
    </row>
    <row r="244" spans="1:7" s="846" customFormat="1" ht="21.75" hidden="1" customHeight="1">
      <c r="A244" s="1115" t="s">
        <v>43</v>
      </c>
      <c r="B244" s="1115" t="s">
        <v>633</v>
      </c>
      <c r="C244" s="1115"/>
      <c r="D244" s="1115"/>
      <c r="E244" s="1115"/>
      <c r="F244" s="1115"/>
      <c r="G244" s="1115"/>
    </row>
    <row r="245" spans="1:7" s="846" customFormat="1" ht="21" hidden="1" customHeight="1">
      <c r="A245" s="1115"/>
      <c r="B245" s="1115" t="s">
        <v>314</v>
      </c>
      <c r="C245" s="1115"/>
      <c r="D245" s="1115" t="s">
        <v>444</v>
      </c>
      <c r="E245" s="1115"/>
      <c r="F245" s="1115"/>
      <c r="G245" s="1115"/>
    </row>
    <row r="246" spans="1:7" s="846" customFormat="1" ht="16.5" hidden="1" customHeight="1">
      <c r="A246" s="1115"/>
      <c r="B246" s="1115" t="s">
        <v>44</v>
      </c>
      <c r="C246" s="1115" t="s">
        <v>45</v>
      </c>
      <c r="D246" s="1146" t="s">
        <v>46</v>
      </c>
      <c r="E246" s="901"/>
      <c r="F246" s="1146" t="s">
        <v>45</v>
      </c>
      <c r="G246" s="901"/>
    </row>
    <row r="247" spans="1:7" s="846" customFormat="1" ht="16.5" hidden="1" customHeight="1" thickBot="1">
      <c r="A247" s="1145"/>
      <c r="B247" s="1145"/>
      <c r="C247" s="1145"/>
      <c r="D247" s="1145"/>
      <c r="E247" s="902" t="s">
        <v>49</v>
      </c>
      <c r="F247" s="1145"/>
      <c r="G247" s="902" t="s">
        <v>49</v>
      </c>
    </row>
    <row r="248" spans="1:7" s="846" customFormat="1" ht="19.5" hidden="1" customHeight="1" thickTop="1">
      <c r="A248" s="891" t="s">
        <v>50</v>
      </c>
      <c r="B248" s="905">
        <f>국가별수입!AD288-국가별수입!AD248</f>
        <v>48845</v>
      </c>
      <c r="C248" s="905">
        <f>국가별수입!AE288-국가별수입!AE248</f>
        <v>184206</v>
      </c>
      <c r="D248" s="905">
        <f>국가별수입!AF288-국가별수입!AF248</f>
        <v>37194</v>
      </c>
      <c r="E248" s="895">
        <f>ROUND(((D248/B248-1)*100),1)</f>
        <v>-23.9</v>
      </c>
      <c r="F248" s="905">
        <f>국가별수입!AH288-국가별수입!AH248</f>
        <v>148820</v>
      </c>
      <c r="G248" s="895">
        <f>ROUND(((F248/C248-1)*100),1)</f>
        <v>-19.2</v>
      </c>
    </row>
    <row r="249" spans="1:7" s="846" customFormat="1" ht="19.5" hidden="1" customHeight="1">
      <c r="A249" s="891" t="s">
        <v>53</v>
      </c>
      <c r="B249" s="905">
        <f>국가별수입!AD289-국가별수입!AD249</f>
        <v>28901</v>
      </c>
      <c r="C249" s="905">
        <f>국가별수입!AE289-국가별수입!AE249</f>
        <v>103326</v>
      </c>
      <c r="D249" s="905">
        <f>국가별수입!AF289-국가별수입!AF249</f>
        <v>30412</v>
      </c>
      <c r="E249" s="895">
        <f t="shared" ref="E249:E279" si="20">ROUND(((D249/B249-1)*100),1)</f>
        <v>5.2</v>
      </c>
      <c r="F249" s="905">
        <f>국가별수입!AH289-국가별수입!AH249</f>
        <v>106150</v>
      </c>
      <c r="G249" s="895">
        <f t="shared" ref="G249:G279" si="21">ROUND(((F249/C249-1)*100),1)</f>
        <v>2.7</v>
      </c>
    </row>
    <row r="250" spans="1:7" s="846" customFormat="1" ht="19.5" hidden="1" customHeight="1">
      <c r="A250" s="891" t="s">
        <v>54</v>
      </c>
      <c r="B250" s="905">
        <f>국가별수입!AD290-국가별수입!AD250</f>
        <v>13834</v>
      </c>
      <c r="C250" s="905">
        <f>국가별수입!AE290-국가별수입!AE250</f>
        <v>105432</v>
      </c>
      <c r="D250" s="905">
        <f>국가별수입!AF290-국가별수입!AF250</f>
        <v>15976</v>
      </c>
      <c r="E250" s="895">
        <f t="shared" si="20"/>
        <v>15.5</v>
      </c>
      <c r="F250" s="905">
        <f>국가별수입!AH290-국가별수입!AH250</f>
        <v>95713</v>
      </c>
      <c r="G250" s="895">
        <f t="shared" si="21"/>
        <v>-9.1999999999999993</v>
      </c>
    </row>
    <row r="251" spans="1:7" s="846" customFormat="1" ht="19.5" hidden="1" customHeight="1">
      <c r="A251" s="891" t="s">
        <v>84</v>
      </c>
      <c r="B251" s="905">
        <f>국가별수입!AD291-국가별수입!AD251</f>
        <v>11666</v>
      </c>
      <c r="C251" s="905">
        <f>국가별수입!AE291-국가별수입!AE251</f>
        <v>67851</v>
      </c>
      <c r="D251" s="905">
        <f>국가별수입!AF291-국가별수입!AF251</f>
        <v>12765</v>
      </c>
      <c r="E251" s="895">
        <f t="shared" si="20"/>
        <v>9.4</v>
      </c>
      <c r="F251" s="905">
        <f>국가별수입!AH291-국가별수입!AH251</f>
        <v>75375</v>
      </c>
      <c r="G251" s="895">
        <f t="shared" si="21"/>
        <v>11.1</v>
      </c>
    </row>
    <row r="252" spans="1:7" s="846" customFormat="1" ht="19.5" hidden="1" customHeight="1">
      <c r="A252" s="891" t="s">
        <v>52</v>
      </c>
      <c r="B252" s="905">
        <f>국가별수입!AD292-국가별수입!AD252</f>
        <v>44993</v>
      </c>
      <c r="C252" s="905">
        <f>국가별수입!AE292-국가별수입!AE252</f>
        <v>89132</v>
      </c>
      <c r="D252" s="905">
        <f>국가별수입!AF292-국가별수입!AF252</f>
        <v>37082</v>
      </c>
      <c r="E252" s="895">
        <f t="shared" si="20"/>
        <v>-17.600000000000001</v>
      </c>
      <c r="F252" s="905">
        <f>국가별수입!AH292-국가별수입!AH252</f>
        <v>66775</v>
      </c>
      <c r="G252" s="895">
        <f t="shared" si="21"/>
        <v>-25.1</v>
      </c>
    </row>
    <row r="253" spans="1:7" s="846" customFormat="1" ht="19.5" hidden="1" customHeight="1">
      <c r="A253" s="891" t="s">
        <v>61</v>
      </c>
      <c r="B253" s="905">
        <f>국가별수입!AD293-국가별수입!AD253</f>
        <v>31210</v>
      </c>
      <c r="C253" s="905">
        <f>국가별수입!AE293-국가별수입!AE253</f>
        <v>86846</v>
      </c>
      <c r="D253" s="905">
        <f>국가별수입!AF293-국가별수입!AF253</f>
        <v>34524</v>
      </c>
      <c r="E253" s="895">
        <f t="shared" si="20"/>
        <v>10.6</v>
      </c>
      <c r="F253" s="905">
        <f>국가별수입!AH293-국가별수입!AH253</f>
        <v>86010</v>
      </c>
      <c r="G253" s="895">
        <f t="shared" si="21"/>
        <v>-1</v>
      </c>
    </row>
    <row r="254" spans="1:7" s="846" customFormat="1" ht="19.5" hidden="1" customHeight="1">
      <c r="A254" s="891" t="s">
        <v>56</v>
      </c>
      <c r="B254" s="905">
        <f>국가별수입!AD294-국가별수입!AD254</f>
        <v>16786</v>
      </c>
      <c r="C254" s="905">
        <f>국가별수입!AE294-국가별수입!AE254</f>
        <v>41318</v>
      </c>
      <c r="D254" s="905">
        <f>국가별수입!AF294-국가별수입!AF254</f>
        <v>13985</v>
      </c>
      <c r="E254" s="895">
        <f t="shared" si="20"/>
        <v>-16.7</v>
      </c>
      <c r="F254" s="905">
        <f>국가별수입!AH294-국가별수입!AH254</f>
        <v>37218</v>
      </c>
      <c r="G254" s="895">
        <f t="shared" si="21"/>
        <v>-9.9</v>
      </c>
    </row>
    <row r="255" spans="1:7" s="846" customFormat="1" ht="19.5" hidden="1" customHeight="1">
      <c r="A255" s="891" t="s">
        <v>85</v>
      </c>
      <c r="B255" s="326">
        <f>국가별수입!AD295-국가별수입!AD255</f>
        <v>6231</v>
      </c>
      <c r="C255" s="905">
        <f>국가별수입!AE295-국가별수입!AE255</f>
        <v>37285</v>
      </c>
      <c r="D255" s="326">
        <f>국가별수입!AF295-국가별수입!AF255</f>
        <v>5768</v>
      </c>
      <c r="E255" s="895">
        <f t="shared" si="20"/>
        <v>-7.4</v>
      </c>
      <c r="F255" s="905">
        <f>국가별수입!AH295-국가별수입!AH255</f>
        <v>34059</v>
      </c>
      <c r="G255" s="895">
        <f t="shared" si="21"/>
        <v>-8.6999999999999993</v>
      </c>
    </row>
    <row r="256" spans="1:7" s="846" customFormat="1" ht="19.5" hidden="1" customHeight="1">
      <c r="A256" s="891" t="s">
        <v>86</v>
      </c>
      <c r="B256" s="905">
        <f>국가별수입!AD296-국가별수입!AD256</f>
        <v>19107</v>
      </c>
      <c r="C256" s="905">
        <f>국가별수입!AE296-국가별수입!AE256</f>
        <v>38481</v>
      </c>
      <c r="D256" s="326">
        <f>국가별수입!AF296-국가별수입!AF256</f>
        <v>8293</v>
      </c>
      <c r="E256" s="895">
        <f t="shared" si="20"/>
        <v>-56.6</v>
      </c>
      <c r="F256" s="905">
        <f>국가별수입!AH296-국가별수입!AH256</f>
        <v>15821</v>
      </c>
      <c r="G256" s="895">
        <f t="shared" si="21"/>
        <v>-58.9</v>
      </c>
    </row>
    <row r="257" spans="1:7" s="846" customFormat="1" ht="19.5" hidden="1" customHeight="1">
      <c r="A257" s="891" t="s">
        <v>64</v>
      </c>
      <c r="B257" s="905">
        <f>국가별수입!AD297-국가별수입!AD257</f>
        <v>13206</v>
      </c>
      <c r="C257" s="905">
        <f>국가별수입!AE297-국가별수입!AE257</f>
        <v>27620</v>
      </c>
      <c r="D257" s="326">
        <f>국가별수입!AF297-국가별수입!AF257</f>
        <v>11368</v>
      </c>
      <c r="E257" s="895">
        <f t="shared" si="20"/>
        <v>-13.9</v>
      </c>
      <c r="F257" s="905">
        <f>국가별수입!AH297-국가별수입!AH257</f>
        <v>23454</v>
      </c>
      <c r="G257" s="895">
        <f t="shared" si="21"/>
        <v>-15.1</v>
      </c>
    </row>
    <row r="258" spans="1:7" s="846" customFormat="1" ht="19.5" hidden="1" customHeight="1">
      <c r="A258" s="891" t="s">
        <v>68</v>
      </c>
      <c r="B258" s="326">
        <f>국가별수입!AD298-국가별수입!AD258</f>
        <v>8258</v>
      </c>
      <c r="C258" s="905">
        <f>국가별수입!AE298-국가별수입!AE258</f>
        <v>35973</v>
      </c>
      <c r="D258" s="326">
        <f>국가별수입!AF298-국가별수입!AF258</f>
        <v>2305</v>
      </c>
      <c r="E258" s="895">
        <f t="shared" si="20"/>
        <v>-72.099999999999994</v>
      </c>
      <c r="F258" s="905">
        <f>국가별수입!AH298-국가별수입!AH258</f>
        <v>15909</v>
      </c>
      <c r="G258" s="895">
        <f t="shared" si="21"/>
        <v>-55.8</v>
      </c>
    </row>
    <row r="259" spans="1:7" s="846" customFormat="1" ht="19.5" hidden="1" customHeight="1">
      <c r="A259" s="891" t="s">
        <v>57</v>
      </c>
      <c r="B259" s="326">
        <f>국가별수입!AD299-국가별수입!AD259</f>
        <v>6228</v>
      </c>
      <c r="C259" s="905">
        <f>국가별수입!AE299-국가별수입!AE259</f>
        <v>26451</v>
      </c>
      <c r="D259" s="326">
        <f>국가별수입!AF299-국가별수입!AF259</f>
        <v>5480</v>
      </c>
      <c r="E259" s="895">
        <f t="shared" si="20"/>
        <v>-12</v>
      </c>
      <c r="F259" s="905">
        <f>국가별수입!AH299-국가별수입!AH259</f>
        <v>24778</v>
      </c>
      <c r="G259" s="895">
        <f t="shared" si="21"/>
        <v>-6.3</v>
      </c>
    </row>
    <row r="260" spans="1:7" s="846" customFormat="1" ht="19.5" hidden="1" customHeight="1">
      <c r="A260" s="891" t="s">
        <v>58</v>
      </c>
      <c r="B260" s="326">
        <f>국가별수입!AD300-국가별수입!AD260</f>
        <v>2631</v>
      </c>
      <c r="C260" s="905">
        <f>국가별수입!AE300-국가별수입!AE260</f>
        <v>23281</v>
      </c>
      <c r="D260" s="326">
        <f>국가별수입!AF300-국가별수입!AF260</f>
        <v>2499</v>
      </c>
      <c r="E260" s="895">
        <f t="shared" si="20"/>
        <v>-5</v>
      </c>
      <c r="F260" s="905">
        <f>국가별수입!AH300-국가별수입!AH260</f>
        <v>19126</v>
      </c>
      <c r="G260" s="895">
        <f t="shared" si="21"/>
        <v>-17.8</v>
      </c>
    </row>
    <row r="261" spans="1:7" s="846" customFormat="1" ht="19.5" hidden="1" customHeight="1">
      <c r="A261" s="891" t="s">
        <v>63</v>
      </c>
      <c r="B261" s="326">
        <f>국가별수입!AD301-국가별수입!AD261</f>
        <v>5421</v>
      </c>
      <c r="C261" s="905">
        <f>국가별수입!AE301-국가별수입!AE261</f>
        <v>16572</v>
      </c>
      <c r="D261" s="326">
        <f>국가별수입!AF301-국가별수입!AF261</f>
        <v>6017</v>
      </c>
      <c r="E261" s="895">
        <f t="shared" si="20"/>
        <v>11</v>
      </c>
      <c r="F261" s="905">
        <f>국가별수입!AH301-국가별수입!AH261</f>
        <v>14087</v>
      </c>
      <c r="G261" s="895">
        <f t="shared" si="21"/>
        <v>-15</v>
      </c>
    </row>
    <row r="262" spans="1:7" s="846" customFormat="1" ht="19.5" hidden="1" customHeight="1">
      <c r="A262" s="891" t="s">
        <v>55</v>
      </c>
      <c r="B262" s="326">
        <f>국가별수입!AD302-국가별수입!AD262</f>
        <v>9135</v>
      </c>
      <c r="C262" s="905">
        <f>국가별수입!AE302-국가별수입!AE262</f>
        <v>20473</v>
      </c>
      <c r="D262" s="326">
        <f>국가별수입!AF302-국가별수입!AF262</f>
        <v>11618</v>
      </c>
      <c r="E262" s="895">
        <f t="shared" si="20"/>
        <v>27.2</v>
      </c>
      <c r="F262" s="905">
        <f>국가별수입!AH302-국가별수입!AH262</f>
        <v>23369</v>
      </c>
      <c r="G262" s="895">
        <f t="shared" si="21"/>
        <v>14.1</v>
      </c>
    </row>
    <row r="263" spans="1:7" s="846" customFormat="1" ht="19.5" hidden="1" customHeight="1">
      <c r="A263" s="891" t="s">
        <v>51</v>
      </c>
      <c r="B263" s="326">
        <f>국가별수입!AD303-국가별수입!AD263</f>
        <v>7073</v>
      </c>
      <c r="C263" s="905">
        <f>국가별수입!AE303-국가별수입!AE263</f>
        <v>21194</v>
      </c>
      <c r="D263" s="326">
        <f>국가별수입!AF303-국가별수입!AF263</f>
        <v>7321</v>
      </c>
      <c r="E263" s="895">
        <f t="shared" si="20"/>
        <v>3.5</v>
      </c>
      <c r="F263" s="905">
        <f>국가별수입!AH303-국가별수입!AH263</f>
        <v>24046</v>
      </c>
      <c r="G263" s="895">
        <f t="shared" si="21"/>
        <v>13.5</v>
      </c>
    </row>
    <row r="264" spans="1:7" s="846" customFormat="1" ht="19.5" hidden="1" customHeight="1">
      <c r="A264" s="891" t="s">
        <v>72</v>
      </c>
      <c r="B264" s="326">
        <f>국가별수입!AD304-국가별수입!AD264</f>
        <v>4900</v>
      </c>
      <c r="C264" s="905">
        <f>국가별수입!AE304-국가별수입!AE264</f>
        <v>16251</v>
      </c>
      <c r="D264" s="326">
        <f>국가별수입!AF304-국가별수입!AF264</f>
        <v>3590</v>
      </c>
      <c r="E264" s="895">
        <f t="shared" si="20"/>
        <v>-26.7</v>
      </c>
      <c r="F264" s="905">
        <f>국가별수입!AH304-국가별수입!AH264</f>
        <v>12551</v>
      </c>
      <c r="G264" s="895">
        <f t="shared" si="21"/>
        <v>-22.8</v>
      </c>
    </row>
    <row r="265" spans="1:7" s="846" customFormat="1" ht="19.5" hidden="1" customHeight="1">
      <c r="A265" s="891" t="s">
        <v>87</v>
      </c>
      <c r="B265" s="326">
        <f>국가별수입!AD305-국가별수입!AD265</f>
        <v>9580</v>
      </c>
      <c r="C265" s="905">
        <f>국가별수입!AE305-국가별수입!AE265</f>
        <v>18509</v>
      </c>
      <c r="D265" s="326">
        <f>국가별수입!AF305-국가별수입!AF265</f>
        <v>4280</v>
      </c>
      <c r="E265" s="895">
        <f t="shared" si="20"/>
        <v>-55.3</v>
      </c>
      <c r="F265" s="905">
        <f>국가별수입!AH305-국가별수입!AH265</f>
        <v>8548</v>
      </c>
      <c r="G265" s="895">
        <f t="shared" si="21"/>
        <v>-53.8</v>
      </c>
    </row>
    <row r="266" spans="1:7" s="846" customFormat="1" ht="19.5" hidden="1" customHeight="1">
      <c r="A266" s="891" t="s">
        <v>59</v>
      </c>
      <c r="B266" s="326">
        <f>국가별수입!AD306-국가별수입!AD266</f>
        <v>4697</v>
      </c>
      <c r="C266" s="905">
        <f>국가별수입!AE306-국가별수입!AE266</f>
        <v>17432</v>
      </c>
      <c r="D266" s="326">
        <f>국가별수입!AF306-국가별수입!AF266</f>
        <v>3428</v>
      </c>
      <c r="E266" s="895">
        <f t="shared" si="20"/>
        <v>-27</v>
      </c>
      <c r="F266" s="905">
        <f>국가별수입!AH306-국가별수입!AH266</f>
        <v>13571</v>
      </c>
      <c r="G266" s="895">
        <f t="shared" si="21"/>
        <v>-22.1</v>
      </c>
    </row>
    <row r="267" spans="1:7" s="846" customFormat="1" ht="19.5" hidden="1" customHeight="1">
      <c r="A267" s="891" t="s">
        <v>90</v>
      </c>
      <c r="B267" s="326">
        <f>국가별수입!AD307-국가별수입!AD267</f>
        <v>4077</v>
      </c>
      <c r="C267" s="905">
        <f>국가별수입!AE307-국가별수입!AE267</f>
        <v>8159</v>
      </c>
      <c r="D267" s="326">
        <f>국가별수입!AF307-국가별수입!AF267</f>
        <v>9362</v>
      </c>
      <c r="E267" s="895">
        <f t="shared" si="20"/>
        <v>129.6</v>
      </c>
      <c r="F267" s="905">
        <f>국가별수입!AH307-국가별수입!AH267</f>
        <v>16387</v>
      </c>
      <c r="G267" s="895">
        <f t="shared" si="21"/>
        <v>100.8</v>
      </c>
    </row>
    <row r="268" spans="1:7" s="846" customFormat="1" ht="19.5" hidden="1" customHeight="1">
      <c r="A268" s="891" t="s">
        <v>76</v>
      </c>
      <c r="B268" s="326">
        <f>국가별수입!AD308-국가별수입!AD268</f>
        <v>1049</v>
      </c>
      <c r="C268" s="905">
        <f>국가별수입!AE308-국가별수입!AE268</f>
        <v>15470</v>
      </c>
      <c r="D268" s="326">
        <f>국가별수입!AF308-국가별수입!AF268</f>
        <v>1095</v>
      </c>
      <c r="E268" s="895">
        <f t="shared" si="20"/>
        <v>4.4000000000000004</v>
      </c>
      <c r="F268" s="905">
        <f>국가별수입!AH308-국가별수입!AH268</f>
        <v>12498</v>
      </c>
      <c r="G268" s="895">
        <f t="shared" si="21"/>
        <v>-19.2</v>
      </c>
    </row>
    <row r="269" spans="1:7" s="846" customFormat="1" ht="19.5" hidden="1" customHeight="1">
      <c r="A269" s="891" t="s">
        <v>91</v>
      </c>
      <c r="B269" s="326">
        <f>국가별수입!AD309-국가별수입!AD269</f>
        <v>2934</v>
      </c>
      <c r="C269" s="905">
        <f>국가별수입!AE309-국가별수입!AE269</f>
        <v>6154</v>
      </c>
      <c r="D269" s="326">
        <f>국가별수입!AF309-국가별수입!AF269</f>
        <v>3153</v>
      </c>
      <c r="E269" s="895">
        <f t="shared" si="20"/>
        <v>7.5</v>
      </c>
      <c r="F269" s="905">
        <f>국가별수입!AH309-국가별수입!AH269</f>
        <v>5682</v>
      </c>
      <c r="G269" s="895">
        <f t="shared" si="21"/>
        <v>-7.7</v>
      </c>
    </row>
    <row r="270" spans="1:7" s="846" customFormat="1" ht="19.5" hidden="1" customHeight="1">
      <c r="A270" s="891" t="s">
        <v>308</v>
      </c>
      <c r="B270" s="326">
        <f>국가별수입!AD310-국가별수입!AD270</f>
        <v>722</v>
      </c>
      <c r="C270" s="905">
        <f>국가별수입!AE310-국가별수입!AE270</f>
        <v>8851</v>
      </c>
      <c r="D270" s="326">
        <f>국가별수입!AF310-국가별수입!AF270</f>
        <v>18</v>
      </c>
      <c r="E270" s="895">
        <f t="shared" si="20"/>
        <v>-97.5</v>
      </c>
      <c r="F270" s="905">
        <f>국가별수입!AH310-국가별수입!AH270</f>
        <v>262</v>
      </c>
      <c r="G270" s="895">
        <f t="shared" si="21"/>
        <v>-97</v>
      </c>
    </row>
    <row r="271" spans="1:7" s="846" customFormat="1" ht="19.5" hidden="1" customHeight="1">
      <c r="A271" s="891" t="s">
        <v>71</v>
      </c>
      <c r="B271" s="326">
        <f>국가별수입!AD311-국가별수입!AD271</f>
        <v>2206</v>
      </c>
      <c r="C271" s="905">
        <f>국가별수입!AE311-국가별수입!AE271</f>
        <v>8764</v>
      </c>
      <c r="D271" s="326">
        <f>국가별수입!AF311-국가별수입!AF271</f>
        <v>1206</v>
      </c>
      <c r="E271" s="895">
        <f t="shared" si="20"/>
        <v>-45.3</v>
      </c>
      <c r="F271" s="905">
        <f>국가별수입!AH311-국가별수입!AH271</f>
        <v>5163</v>
      </c>
      <c r="G271" s="895">
        <f t="shared" si="21"/>
        <v>-41.1</v>
      </c>
    </row>
    <row r="272" spans="1:7" s="846" customFormat="1" ht="19.5" hidden="1" customHeight="1">
      <c r="A272" s="891" t="s">
        <v>88</v>
      </c>
      <c r="B272" s="326">
        <f>국가별수입!AD312-국가별수입!AD272</f>
        <v>1453</v>
      </c>
      <c r="C272" s="905">
        <f>국가별수입!AE312-국가별수입!AE272</f>
        <v>6227</v>
      </c>
      <c r="D272" s="905">
        <f>국가별수입!AF312-국가별수입!AF272</f>
        <v>1934</v>
      </c>
      <c r="E272" s="895">
        <f t="shared" si="20"/>
        <v>33.1</v>
      </c>
      <c r="F272" s="905">
        <f>국가별수입!AH312-국가별수입!AH272</f>
        <v>6209</v>
      </c>
      <c r="G272" s="895">
        <f t="shared" si="21"/>
        <v>-0.3</v>
      </c>
    </row>
    <row r="273" spans="1:7" s="846" customFormat="1" ht="19.5" hidden="1" customHeight="1">
      <c r="A273" s="891" t="s">
        <v>65</v>
      </c>
      <c r="B273" s="326">
        <f>국가별수입!AD313-국가별수입!AD273</f>
        <v>4055</v>
      </c>
      <c r="C273" s="905">
        <f>국가별수입!AE313-국가별수입!AE273</f>
        <v>10641</v>
      </c>
      <c r="D273" s="905">
        <f>국가별수입!AF313-국가별수입!AF273</f>
        <v>5810</v>
      </c>
      <c r="E273" s="895">
        <f t="shared" si="20"/>
        <v>43.3</v>
      </c>
      <c r="F273" s="905">
        <f>국가별수입!AH313-국가별수입!AH273</f>
        <v>17779</v>
      </c>
      <c r="G273" s="895">
        <f t="shared" si="21"/>
        <v>67.099999999999994</v>
      </c>
    </row>
    <row r="274" spans="1:7" s="846" customFormat="1" ht="19.5" hidden="1" customHeight="1">
      <c r="A274" s="891" t="s">
        <v>66</v>
      </c>
      <c r="B274" s="326">
        <f>국가별수입!AD314-국가별수입!AD274</f>
        <v>1686</v>
      </c>
      <c r="C274" s="905">
        <f>국가별수입!AE314-국가별수입!AE274</f>
        <v>7153</v>
      </c>
      <c r="D274" s="905">
        <f>국가별수입!AF314-국가별수입!AF274</f>
        <v>900</v>
      </c>
      <c r="E274" s="895">
        <f t="shared" si="20"/>
        <v>-46.6</v>
      </c>
      <c r="F274" s="905">
        <f>국가별수입!AH314-국가별수입!AH274</f>
        <v>5311</v>
      </c>
      <c r="G274" s="895">
        <f t="shared" si="21"/>
        <v>-25.8</v>
      </c>
    </row>
    <row r="275" spans="1:7" s="846" customFormat="1" ht="19.5" hidden="1" customHeight="1">
      <c r="A275" s="891" t="s">
        <v>89</v>
      </c>
      <c r="B275" s="326">
        <f>국가별수입!AD315-국가별수입!AD275</f>
        <v>1082</v>
      </c>
      <c r="C275" s="905">
        <f>국가별수입!AE315-국가별수입!AE275</f>
        <v>5319</v>
      </c>
      <c r="D275" s="905">
        <f>국가별수입!AF315-국가별수입!AF275</f>
        <v>1858</v>
      </c>
      <c r="E275" s="895">
        <f t="shared" si="20"/>
        <v>71.7</v>
      </c>
      <c r="F275" s="905">
        <f>국가별수입!AH315-국가별수입!AH275</f>
        <v>2859</v>
      </c>
      <c r="G275" s="895">
        <f t="shared" si="21"/>
        <v>-46.2</v>
      </c>
    </row>
    <row r="276" spans="1:7" s="846" customFormat="1" ht="19.5" hidden="1" customHeight="1">
      <c r="A276" s="891" t="s">
        <v>309</v>
      </c>
      <c r="B276" s="326">
        <f>국가별수입!AD316-국가별수입!AD276</f>
        <v>353</v>
      </c>
      <c r="C276" s="905">
        <f>국가별수입!AE316-국가별수입!AE276</f>
        <v>6149</v>
      </c>
      <c r="D276" s="905">
        <f>국가별수입!AF316-국가별수입!AF276</f>
        <v>276</v>
      </c>
      <c r="E276" s="895">
        <f t="shared" si="20"/>
        <v>-21.8</v>
      </c>
      <c r="F276" s="905">
        <f>국가별수입!AH316-국가별수입!AH276</f>
        <v>4113</v>
      </c>
      <c r="G276" s="895">
        <f t="shared" si="21"/>
        <v>-33.1</v>
      </c>
    </row>
    <row r="277" spans="1:7" s="846" customFormat="1" ht="19.5" hidden="1" customHeight="1">
      <c r="A277" s="891" t="s">
        <v>92</v>
      </c>
      <c r="B277" s="905">
        <f>국가별수입!AD317-국가별수입!AD277</f>
        <v>1311</v>
      </c>
      <c r="C277" s="905">
        <f>국가별수입!AE317-국가별수입!AE277</f>
        <v>4168</v>
      </c>
      <c r="D277" s="905">
        <f>국가별수입!AF317-국가별수입!AF277</f>
        <v>2113</v>
      </c>
      <c r="E277" s="895">
        <f t="shared" si="20"/>
        <v>61.2</v>
      </c>
      <c r="F277" s="905">
        <f>국가별수입!AH317-국가별수입!AH277</f>
        <v>4469</v>
      </c>
      <c r="G277" s="895">
        <f t="shared" si="21"/>
        <v>7.2</v>
      </c>
    </row>
    <row r="278" spans="1:7" s="846" customFormat="1" ht="19.5" hidden="1" customHeight="1">
      <c r="A278" s="903" t="s">
        <v>24</v>
      </c>
      <c r="B278" s="892">
        <f t="shared" ref="B278:D278" si="22">B279-SUM(B248:B277)</f>
        <v>24720</v>
      </c>
      <c r="C278" s="892">
        <f t="shared" si="22"/>
        <v>85281</v>
      </c>
      <c r="D278" s="892">
        <f t="shared" si="22"/>
        <v>23723</v>
      </c>
      <c r="E278" s="896">
        <f t="shared" si="20"/>
        <v>-4</v>
      </c>
      <c r="F278" s="892">
        <f>F279-SUM(F248:F277)</f>
        <v>88114</v>
      </c>
      <c r="G278" s="896">
        <f t="shared" si="21"/>
        <v>3.3</v>
      </c>
    </row>
    <row r="279" spans="1:7" s="846" customFormat="1" ht="19.5" hidden="1" customHeight="1">
      <c r="A279" s="904" t="s">
        <v>79</v>
      </c>
      <c r="B279" s="908">
        <f>국가별수입!AD319-국가별수입!AD279</f>
        <v>338350</v>
      </c>
      <c r="C279" s="908">
        <f>국가별수입!AE319-국가별수입!AE279</f>
        <v>1149969</v>
      </c>
      <c r="D279" s="908">
        <f>국가별수입!AF319-국가별수입!AF279</f>
        <v>305353</v>
      </c>
      <c r="E279" s="906">
        <f t="shared" si="20"/>
        <v>-9.8000000000000007</v>
      </c>
      <c r="F279" s="907">
        <f>국가별수입!AH319-국가별수입!AH279</f>
        <v>1014226</v>
      </c>
      <c r="G279" s="906">
        <f t="shared" si="21"/>
        <v>-11.8</v>
      </c>
    </row>
    <row r="280" spans="1:7" hidden="1"/>
    <row r="281" spans="1:7" s="846" customFormat="1" ht="22.5" hidden="1">
      <c r="A281" s="1143" t="s">
        <v>668</v>
      </c>
      <c r="B281" s="1143"/>
      <c r="C281" s="1143"/>
      <c r="D281" s="1143"/>
      <c r="E281" s="1143"/>
      <c r="F281" s="1143"/>
      <c r="G281" s="1143"/>
    </row>
    <row r="282" spans="1:7" s="846" customFormat="1" hidden="1">
      <c r="A282" s="898"/>
      <c r="B282" s="899"/>
      <c r="C282" s="899"/>
      <c r="D282" s="899"/>
      <c r="E282" s="900"/>
      <c r="F282" s="899"/>
      <c r="G282" s="900"/>
    </row>
    <row r="283" spans="1:7" s="846" customFormat="1" hidden="1">
      <c r="A283" s="898"/>
      <c r="B283" s="899"/>
      <c r="C283" s="899"/>
      <c r="D283" s="899"/>
      <c r="E283" s="900"/>
      <c r="F283" s="1144" t="s">
        <v>80</v>
      </c>
      <c r="G283" s="1144"/>
    </row>
    <row r="284" spans="1:7" s="846" customFormat="1" ht="21.75" hidden="1" customHeight="1">
      <c r="A284" s="1115" t="s">
        <v>43</v>
      </c>
      <c r="B284" s="1115" t="s">
        <v>665</v>
      </c>
      <c r="C284" s="1115"/>
      <c r="D284" s="1115"/>
      <c r="E284" s="1115"/>
      <c r="F284" s="1115"/>
      <c r="G284" s="1115"/>
    </row>
    <row r="285" spans="1:7" s="846" customFormat="1" ht="21" hidden="1" customHeight="1">
      <c r="A285" s="1115"/>
      <c r="B285" s="1115" t="s">
        <v>314</v>
      </c>
      <c r="C285" s="1115"/>
      <c r="D285" s="1115" t="s">
        <v>444</v>
      </c>
      <c r="E285" s="1115"/>
      <c r="F285" s="1115"/>
      <c r="G285" s="1115"/>
    </row>
    <row r="286" spans="1:7" s="846" customFormat="1" ht="16.5" hidden="1" customHeight="1">
      <c r="A286" s="1115"/>
      <c r="B286" s="1115" t="s">
        <v>44</v>
      </c>
      <c r="C286" s="1115" t="s">
        <v>45</v>
      </c>
      <c r="D286" s="1146" t="s">
        <v>46</v>
      </c>
      <c r="E286" s="901"/>
      <c r="F286" s="1146" t="s">
        <v>45</v>
      </c>
      <c r="G286" s="901"/>
    </row>
    <row r="287" spans="1:7" s="846" customFormat="1" ht="16.5" hidden="1" customHeight="1" thickBot="1">
      <c r="A287" s="1145"/>
      <c r="B287" s="1145"/>
      <c r="C287" s="1145"/>
      <c r="D287" s="1145"/>
      <c r="E287" s="902" t="s">
        <v>49</v>
      </c>
      <c r="F287" s="1145"/>
      <c r="G287" s="902" t="s">
        <v>49</v>
      </c>
    </row>
    <row r="288" spans="1:7" s="846" customFormat="1" ht="19.5" hidden="1" customHeight="1" thickTop="1">
      <c r="A288" s="891" t="s">
        <v>50</v>
      </c>
      <c r="B288" s="905">
        <f>국가별수입!AD328-국가별수입!AD288</f>
        <v>41242</v>
      </c>
      <c r="C288" s="905">
        <f>국가별수입!AE328-국가별수입!AE288</f>
        <v>156492</v>
      </c>
      <c r="D288" s="905">
        <f>국가별수입!AF328-국가별수입!AF288</f>
        <v>45760</v>
      </c>
      <c r="E288" s="895">
        <f>ROUND(((D288/B288-1)*100),1)</f>
        <v>11</v>
      </c>
      <c r="F288" s="905">
        <f>국가별수입!AH328-국가별수입!AH288</f>
        <v>175320</v>
      </c>
      <c r="G288" s="895">
        <f>ROUND(((F288/C288-1)*100),1)</f>
        <v>12</v>
      </c>
    </row>
    <row r="289" spans="1:7" s="846" customFormat="1" ht="19.5" hidden="1" customHeight="1">
      <c r="A289" s="891" t="s">
        <v>53</v>
      </c>
      <c r="B289" s="905">
        <f>국가별수입!AD329-국가별수입!AD289</f>
        <v>32872</v>
      </c>
      <c r="C289" s="905">
        <f>국가별수입!AE329-국가별수입!AE289</f>
        <v>114882</v>
      </c>
      <c r="D289" s="905">
        <f>국가별수입!AF329-국가별수입!AF289</f>
        <v>34850</v>
      </c>
      <c r="E289" s="895">
        <f t="shared" ref="E289:E319" si="23">ROUND(((D289/B289-1)*100),1)</f>
        <v>6</v>
      </c>
      <c r="F289" s="905">
        <f>국가별수입!AH329-국가별수입!AH289</f>
        <v>108901</v>
      </c>
      <c r="G289" s="895">
        <f t="shared" ref="G289:G319" si="24">ROUND(((F289/C289-1)*100),1)</f>
        <v>-5.2</v>
      </c>
    </row>
    <row r="290" spans="1:7" s="846" customFormat="1" ht="19.5" hidden="1" customHeight="1">
      <c r="A290" s="891" t="s">
        <v>54</v>
      </c>
      <c r="B290" s="905">
        <f>국가별수입!AD330-국가별수입!AD290</f>
        <v>14511</v>
      </c>
      <c r="C290" s="905">
        <f>국가별수입!AE330-국가별수입!AE290</f>
        <v>98790</v>
      </c>
      <c r="D290" s="905">
        <f>국가별수입!AF330-국가별수입!AF290</f>
        <v>16199</v>
      </c>
      <c r="E290" s="895">
        <f t="shared" si="23"/>
        <v>11.6</v>
      </c>
      <c r="F290" s="905">
        <f>국가별수입!AH330-국가별수입!AH290</f>
        <v>106657</v>
      </c>
      <c r="G290" s="895">
        <f t="shared" si="24"/>
        <v>8</v>
      </c>
    </row>
    <row r="291" spans="1:7" s="846" customFormat="1" ht="19.5" hidden="1" customHeight="1">
      <c r="A291" s="891" t="s">
        <v>84</v>
      </c>
      <c r="B291" s="905">
        <f>국가별수입!AD331-국가별수입!AD291</f>
        <v>16266</v>
      </c>
      <c r="C291" s="905">
        <f>국가별수입!AE331-국가별수입!AE291</f>
        <v>94288</v>
      </c>
      <c r="D291" s="905">
        <f>국가별수입!AF331-국가별수입!AF291</f>
        <v>12245</v>
      </c>
      <c r="E291" s="895">
        <f t="shared" si="23"/>
        <v>-24.7</v>
      </c>
      <c r="F291" s="905">
        <f>국가별수입!AH331-국가별수입!AH291</f>
        <v>78530</v>
      </c>
      <c r="G291" s="895">
        <f t="shared" si="24"/>
        <v>-16.7</v>
      </c>
    </row>
    <row r="292" spans="1:7" s="846" customFormat="1" ht="19.5" hidden="1" customHeight="1">
      <c r="A292" s="891" t="s">
        <v>52</v>
      </c>
      <c r="B292" s="905">
        <f>국가별수입!AD332-국가별수입!AD292</f>
        <v>45264</v>
      </c>
      <c r="C292" s="905">
        <f>국가별수입!AE332-국가별수입!AE292</f>
        <v>89709</v>
      </c>
      <c r="D292" s="905">
        <f>국가별수입!AF332-국가별수입!AF292</f>
        <v>37572</v>
      </c>
      <c r="E292" s="895">
        <f t="shared" si="23"/>
        <v>-17</v>
      </c>
      <c r="F292" s="905">
        <f>국가별수입!AH332-국가별수입!AH292</f>
        <v>71960</v>
      </c>
      <c r="G292" s="895">
        <f t="shared" si="24"/>
        <v>-19.8</v>
      </c>
    </row>
    <row r="293" spans="1:7" s="846" customFormat="1" ht="19.5" hidden="1" customHeight="1">
      <c r="A293" s="891" t="s">
        <v>61</v>
      </c>
      <c r="B293" s="905">
        <f>국가별수입!AD333-국가별수입!AD293</f>
        <v>30075</v>
      </c>
      <c r="C293" s="905">
        <f>국가별수입!AE333-국가별수입!AE293</f>
        <v>72487</v>
      </c>
      <c r="D293" s="905">
        <f>국가별수입!AF333-국가별수입!AF293</f>
        <v>43465</v>
      </c>
      <c r="E293" s="895">
        <f t="shared" si="23"/>
        <v>44.5</v>
      </c>
      <c r="F293" s="905">
        <f>국가별수입!AH333-국가별수입!AH293</f>
        <v>99733</v>
      </c>
      <c r="G293" s="895">
        <f t="shared" si="24"/>
        <v>37.6</v>
      </c>
    </row>
    <row r="294" spans="1:7" s="846" customFormat="1" ht="19.5" hidden="1" customHeight="1">
      <c r="A294" s="891" t="s">
        <v>56</v>
      </c>
      <c r="B294" s="905">
        <f>국가별수입!AD334-국가별수입!AD294</f>
        <v>10866</v>
      </c>
      <c r="C294" s="905">
        <f>국가별수입!AE334-국가별수입!AE294</f>
        <v>30711</v>
      </c>
      <c r="D294" s="905">
        <f>국가별수입!AF334-국가별수입!AF294</f>
        <v>12488</v>
      </c>
      <c r="E294" s="895">
        <f t="shared" si="23"/>
        <v>14.9</v>
      </c>
      <c r="F294" s="905">
        <f>국가별수입!AH334-국가별수입!AH294</f>
        <v>39694</v>
      </c>
      <c r="G294" s="895">
        <f t="shared" si="24"/>
        <v>29.3</v>
      </c>
    </row>
    <row r="295" spans="1:7" s="846" customFormat="1" ht="19.5" hidden="1" customHeight="1">
      <c r="A295" s="891" t="s">
        <v>85</v>
      </c>
      <c r="B295" s="326">
        <f>국가별수입!AD335-국가별수입!AD295</f>
        <v>4578</v>
      </c>
      <c r="C295" s="905">
        <f>국가별수입!AE335-국가별수입!AE295</f>
        <v>27401</v>
      </c>
      <c r="D295" s="326">
        <f>국가별수입!AF335-국가별수입!AF295</f>
        <v>6634</v>
      </c>
      <c r="E295" s="895">
        <f t="shared" si="23"/>
        <v>44.9</v>
      </c>
      <c r="F295" s="905">
        <f>국가별수입!AH335-국가별수입!AH295</f>
        <v>43760</v>
      </c>
      <c r="G295" s="895">
        <f t="shared" si="24"/>
        <v>59.7</v>
      </c>
    </row>
    <row r="296" spans="1:7" s="846" customFormat="1" ht="19.5" hidden="1" customHeight="1">
      <c r="A296" s="891" t="s">
        <v>86</v>
      </c>
      <c r="B296" s="905">
        <f>국가별수입!AD336-국가별수입!AD296</f>
        <v>11113</v>
      </c>
      <c r="C296" s="905">
        <f>국가별수입!AE336-국가별수입!AE296</f>
        <v>24683</v>
      </c>
      <c r="D296" s="326">
        <f>국가별수입!AF336-국가별수입!AF296</f>
        <v>14395</v>
      </c>
      <c r="E296" s="895">
        <f t="shared" si="23"/>
        <v>29.5</v>
      </c>
      <c r="F296" s="905">
        <f>국가별수입!AH336-국가별수입!AH296</f>
        <v>28862</v>
      </c>
      <c r="G296" s="895">
        <f t="shared" si="24"/>
        <v>16.899999999999999</v>
      </c>
    </row>
    <row r="297" spans="1:7" s="846" customFormat="1" ht="19.5" hidden="1" customHeight="1">
      <c r="A297" s="891" t="s">
        <v>64</v>
      </c>
      <c r="B297" s="905">
        <f>국가별수입!AD337-국가별수입!AD297</f>
        <v>12841</v>
      </c>
      <c r="C297" s="905">
        <f>국가별수입!AE337-국가별수입!AE297</f>
        <v>26732</v>
      </c>
      <c r="D297" s="326">
        <f>국가별수입!AF337-국가별수입!AF297</f>
        <v>10902</v>
      </c>
      <c r="E297" s="895">
        <f t="shared" si="23"/>
        <v>-15.1</v>
      </c>
      <c r="F297" s="905">
        <f>국가별수입!AH337-국가별수입!AH297</f>
        <v>24964</v>
      </c>
      <c r="G297" s="895">
        <f t="shared" si="24"/>
        <v>-6.6</v>
      </c>
    </row>
    <row r="298" spans="1:7" s="846" customFormat="1" ht="19.5" hidden="1" customHeight="1">
      <c r="A298" s="891" t="s">
        <v>68</v>
      </c>
      <c r="B298" s="326">
        <f>국가별수입!AD338-국가별수입!AD298</f>
        <v>5181</v>
      </c>
      <c r="C298" s="905">
        <f>국가별수입!AE338-국가별수입!AE298</f>
        <v>25996</v>
      </c>
      <c r="D298" s="326">
        <f>국가별수입!AF338-국가별수입!AF298</f>
        <v>2255</v>
      </c>
      <c r="E298" s="895">
        <f t="shared" si="23"/>
        <v>-56.5</v>
      </c>
      <c r="F298" s="905">
        <f>국가별수입!AH338-국가별수입!AH298</f>
        <v>18419</v>
      </c>
      <c r="G298" s="895">
        <f t="shared" si="24"/>
        <v>-29.1</v>
      </c>
    </row>
    <row r="299" spans="1:7" s="846" customFormat="1" ht="19.5" hidden="1" customHeight="1">
      <c r="A299" s="891" t="s">
        <v>57</v>
      </c>
      <c r="B299" s="326">
        <f>국가별수입!AD339-국가별수입!AD299</f>
        <v>5866</v>
      </c>
      <c r="C299" s="905">
        <f>국가별수입!AE339-국가별수입!AE299</f>
        <v>23744</v>
      </c>
      <c r="D299" s="326">
        <f>국가별수입!AF339-국가별수입!AF299</f>
        <v>5852</v>
      </c>
      <c r="E299" s="895">
        <f t="shared" si="23"/>
        <v>-0.2</v>
      </c>
      <c r="F299" s="905">
        <f>국가별수입!AH339-국가별수입!AH299</f>
        <v>25403</v>
      </c>
      <c r="G299" s="895">
        <f t="shared" si="24"/>
        <v>7</v>
      </c>
    </row>
    <row r="300" spans="1:7" s="846" customFormat="1" ht="19.5" hidden="1" customHeight="1">
      <c r="A300" s="891" t="s">
        <v>58</v>
      </c>
      <c r="B300" s="326">
        <f>국가별수입!AD340-국가별수입!AD300</f>
        <v>2070</v>
      </c>
      <c r="C300" s="905">
        <f>국가별수입!AE340-국가별수입!AE300</f>
        <v>17453</v>
      </c>
      <c r="D300" s="326">
        <f>국가별수입!AF340-국가별수입!AF300</f>
        <v>3306</v>
      </c>
      <c r="E300" s="895">
        <f t="shared" si="23"/>
        <v>59.7</v>
      </c>
      <c r="F300" s="905">
        <f>국가별수입!AH340-국가별수입!AH300</f>
        <v>33578</v>
      </c>
      <c r="G300" s="895">
        <f t="shared" si="24"/>
        <v>92.4</v>
      </c>
    </row>
    <row r="301" spans="1:7" s="846" customFormat="1" ht="19.5" hidden="1" customHeight="1">
      <c r="A301" s="891" t="s">
        <v>63</v>
      </c>
      <c r="B301" s="326">
        <f>국가별수입!AD341-국가별수입!AD301</f>
        <v>4891</v>
      </c>
      <c r="C301" s="905">
        <f>국가별수입!AE341-국가별수입!AE301</f>
        <v>14567</v>
      </c>
      <c r="D301" s="326">
        <f>국가별수입!AF341-국가별수입!AF301</f>
        <v>9264</v>
      </c>
      <c r="E301" s="895">
        <f t="shared" si="23"/>
        <v>89.4</v>
      </c>
      <c r="F301" s="905">
        <f>국가별수입!AH341-국가별수입!AH301</f>
        <v>21510</v>
      </c>
      <c r="G301" s="895">
        <f t="shared" si="24"/>
        <v>47.7</v>
      </c>
    </row>
    <row r="302" spans="1:7" s="846" customFormat="1" ht="19.5" hidden="1" customHeight="1">
      <c r="A302" s="891" t="s">
        <v>55</v>
      </c>
      <c r="B302" s="326">
        <f>국가별수입!AD342-국가별수입!AD302</f>
        <v>8661</v>
      </c>
      <c r="C302" s="905">
        <f>국가별수입!AE342-국가별수입!AE302</f>
        <v>18106</v>
      </c>
      <c r="D302" s="326">
        <f>국가별수입!AF342-국가별수입!AF302</f>
        <v>10249</v>
      </c>
      <c r="E302" s="895">
        <f t="shared" si="23"/>
        <v>18.3</v>
      </c>
      <c r="F302" s="905">
        <f>국가별수입!AH342-국가별수입!AH302</f>
        <v>22726</v>
      </c>
      <c r="G302" s="895">
        <f t="shared" si="24"/>
        <v>25.5</v>
      </c>
    </row>
    <row r="303" spans="1:7" s="846" customFormat="1" ht="19.5" hidden="1" customHeight="1">
      <c r="A303" s="891" t="s">
        <v>51</v>
      </c>
      <c r="B303" s="326">
        <f>국가별수입!AD343-국가별수입!AD303</f>
        <v>5290</v>
      </c>
      <c r="C303" s="905">
        <f>국가별수입!AE343-국가별수입!AE303</f>
        <v>17486</v>
      </c>
      <c r="D303" s="326">
        <f>국가별수입!AF343-국가별수입!AF303</f>
        <v>5637</v>
      </c>
      <c r="E303" s="895">
        <f t="shared" si="23"/>
        <v>6.6</v>
      </c>
      <c r="F303" s="905">
        <f>국가별수입!AH343-국가별수입!AH303</f>
        <v>20446</v>
      </c>
      <c r="G303" s="895">
        <f t="shared" si="24"/>
        <v>16.899999999999999</v>
      </c>
    </row>
    <row r="304" spans="1:7" s="846" customFormat="1" ht="19.5" hidden="1" customHeight="1">
      <c r="A304" s="891" t="s">
        <v>72</v>
      </c>
      <c r="B304" s="326">
        <f>국가별수입!AD344-국가별수입!AD304</f>
        <v>5435</v>
      </c>
      <c r="C304" s="905">
        <f>국가별수입!AE344-국가별수입!AE304</f>
        <v>19464</v>
      </c>
      <c r="D304" s="326">
        <f>국가별수입!AF344-국가별수입!AF304</f>
        <v>4965</v>
      </c>
      <c r="E304" s="895">
        <f t="shared" si="23"/>
        <v>-8.6</v>
      </c>
      <c r="F304" s="905">
        <f>국가별수입!AH344-국가별수입!AH304</f>
        <v>16623</v>
      </c>
      <c r="G304" s="895">
        <f t="shared" si="24"/>
        <v>-14.6</v>
      </c>
    </row>
    <row r="305" spans="1:7" s="846" customFormat="1" ht="19.5" hidden="1" customHeight="1">
      <c r="A305" s="891" t="s">
        <v>87</v>
      </c>
      <c r="B305" s="326">
        <f>국가별수입!AD345-국가별수입!AD305</f>
        <v>8027</v>
      </c>
      <c r="C305" s="905">
        <f>국가별수입!AE345-국가별수입!AE305</f>
        <v>16178</v>
      </c>
      <c r="D305" s="326">
        <f>국가별수입!AF345-국가별수입!AF305</f>
        <v>7122</v>
      </c>
      <c r="E305" s="895">
        <f t="shared" si="23"/>
        <v>-11.3</v>
      </c>
      <c r="F305" s="905">
        <f>국가별수입!AH345-국가별수입!AH305</f>
        <v>13587</v>
      </c>
      <c r="G305" s="895">
        <f t="shared" si="24"/>
        <v>-16</v>
      </c>
    </row>
    <row r="306" spans="1:7" s="846" customFormat="1" ht="19.5" hidden="1" customHeight="1">
      <c r="A306" s="891" t="s">
        <v>59</v>
      </c>
      <c r="B306" s="326">
        <f>국가별수입!AD346-국가별수입!AD306</f>
        <v>3622</v>
      </c>
      <c r="C306" s="905">
        <f>국가별수입!AE346-국가별수입!AE306</f>
        <v>14721</v>
      </c>
      <c r="D306" s="326">
        <f>국가별수입!AF346-국가별수입!AF306</f>
        <v>3103</v>
      </c>
      <c r="E306" s="895">
        <f t="shared" si="23"/>
        <v>-14.3</v>
      </c>
      <c r="F306" s="905">
        <f>국가별수입!AH346-국가별수입!AH306</f>
        <v>11712</v>
      </c>
      <c r="G306" s="895">
        <f t="shared" si="24"/>
        <v>-20.399999999999999</v>
      </c>
    </row>
    <row r="307" spans="1:7" s="846" customFormat="1" ht="19.5" hidden="1" customHeight="1">
      <c r="A307" s="891" t="s">
        <v>90</v>
      </c>
      <c r="B307" s="326">
        <f>국가별수입!AD347-국가별수입!AD307</f>
        <v>5676</v>
      </c>
      <c r="C307" s="905">
        <f>국가별수입!AE347-국가별수입!AE307</f>
        <v>10902</v>
      </c>
      <c r="D307" s="326">
        <f>국가별수입!AF347-국가별수입!AF307</f>
        <v>7222</v>
      </c>
      <c r="E307" s="895">
        <f t="shared" si="23"/>
        <v>27.2</v>
      </c>
      <c r="F307" s="905">
        <f>국가별수입!AH347-국가별수입!AH307</f>
        <v>12900</v>
      </c>
      <c r="G307" s="895">
        <f t="shared" si="24"/>
        <v>18.3</v>
      </c>
    </row>
    <row r="308" spans="1:7" s="846" customFormat="1" ht="19.5" hidden="1" customHeight="1">
      <c r="A308" s="891" t="s">
        <v>76</v>
      </c>
      <c r="B308" s="326">
        <f>국가별수입!AD348-국가별수입!AD308</f>
        <v>1031</v>
      </c>
      <c r="C308" s="905">
        <f>국가별수입!AE348-국가별수입!AE308</f>
        <v>11223</v>
      </c>
      <c r="D308" s="326">
        <f>국가별수입!AF348-국가별수입!AF308</f>
        <v>705</v>
      </c>
      <c r="E308" s="895">
        <f t="shared" si="23"/>
        <v>-31.6</v>
      </c>
      <c r="F308" s="905">
        <f>국가별수입!AH348-국가별수입!AH308</f>
        <v>10787</v>
      </c>
      <c r="G308" s="895">
        <f t="shared" si="24"/>
        <v>-3.9</v>
      </c>
    </row>
    <row r="309" spans="1:7" s="846" customFormat="1" ht="19.5" hidden="1" customHeight="1">
      <c r="A309" s="891" t="s">
        <v>91</v>
      </c>
      <c r="B309" s="326">
        <f>국가별수입!AD349-국가별수입!AD309</f>
        <v>9089</v>
      </c>
      <c r="C309" s="905">
        <f>국가별수입!AE349-국가별수입!AE309</f>
        <v>17734</v>
      </c>
      <c r="D309" s="326">
        <f>국가별수입!AF349-국가별수입!AF309</f>
        <v>2766</v>
      </c>
      <c r="E309" s="895">
        <f t="shared" si="23"/>
        <v>-69.599999999999994</v>
      </c>
      <c r="F309" s="905">
        <f>국가별수입!AH349-국가별수입!AH309</f>
        <v>5848</v>
      </c>
      <c r="G309" s="895">
        <f t="shared" si="24"/>
        <v>-67</v>
      </c>
    </row>
    <row r="310" spans="1:7" s="846" customFormat="1" ht="19.5" hidden="1" customHeight="1">
      <c r="A310" s="891" t="s">
        <v>308</v>
      </c>
      <c r="B310" s="326">
        <f>국가별수입!AD350-국가별수입!AD310</f>
        <v>780</v>
      </c>
      <c r="C310" s="905">
        <f>국가별수입!AE350-국가별수입!AE310</f>
        <v>10097</v>
      </c>
      <c r="D310" s="326">
        <f>국가별수입!AF350-국가별수입!AF310</f>
        <v>0</v>
      </c>
      <c r="E310" s="895">
        <f t="shared" si="23"/>
        <v>-100</v>
      </c>
      <c r="F310" s="905">
        <f>국가별수입!AH350-국가별수입!AH310</f>
        <v>0</v>
      </c>
      <c r="G310" s="895">
        <f t="shared" si="24"/>
        <v>-100</v>
      </c>
    </row>
    <row r="311" spans="1:7" s="846" customFormat="1" ht="19.5" hidden="1" customHeight="1">
      <c r="A311" s="891" t="s">
        <v>71</v>
      </c>
      <c r="B311" s="326">
        <f>국가별수입!AD351-국가별수입!AD311</f>
        <v>3069</v>
      </c>
      <c r="C311" s="905">
        <f>국가별수입!AE351-국가별수입!AE311</f>
        <v>6785</v>
      </c>
      <c r="D311" s="326">
        <f>국가별수입!AF351-국가별수입!AF311</f>
        <v>4155</v>
      </c>
      <c r="E311" s="895">
        <f t="shared" si="23"/>
        <v>35.4</v>
      </c>
      <c r="F311" s="905">
        <f>국가별수입!AH351-국가별수입!AH311</f>
        <v>10884</v>
      </c>
      <c r="G311" s="895">
        <f t="shared" si="24"/>
        <v>60.4</v>
      </c>
    </row>
    <row r="312" spans="1:7" s="846" customFormat="1" ht="19.5" hidden="1" customHeight="1">
      <c r="A312" s="891" t="s">
        <v>88</v>
      </c>
      <c r="B312" s="326">
        <f>국가별수입!AD352-국가별수입!AD312</f>
        <v>2534</v>
      </c>
      <c r="C312" s="905">
        <f>국가별수입!AE352-국가별수입!AE312</f>
        <v>10590</v>
      </c>
      <c r="D312" s="905">
        <f>국가별수입!AF352-국가별수입!AF312</f>
        <v>2015</v>
      </c>
      <c r="E312" s="895">
        <f t="shared" si="23"/>
        <v>-20.5</v>
      </c>
      <c r="F312" s="905">
        <f>국가별수입!AH352-국가별수입!AH312</f>
        <v>6825</v>
      </c>
      <c r="G312" s="895">
        <f t="shared" si="24"/>
        <v>-35.6</v>
      </c>
    </row>
    <row r="313" spans="1:7" s="846" customFormat="1" ht="19.5" hidden="1" customHeight="1">
      <c r="A313" s="891" t="s">
        <v>65</v>
      </c>
      <c r="B313" s="326">
        <f>국가별수입!AD353-국가별수입!AD313</f>
        <v>2720</v>
      </c>
      <c r="C313" s="905">
        <f>국가별수입!AE353-국가별수입!AE313</f>
        <v>6765</v>
      </c>
      <c r="D313" s="905">
        <f>국가별수입!AF353-국가별수입!AF313</f>
        <v>7249</v>
      </c>
      <c r="E313" s="895">
        <f t="shared" si="23"/>
        <v>166.5</v>
      </c>
      <c r="F313" s="905">
        <f>국가별수입!AH353-국가별수입!AH313</f>
        <v>26828</v>
      </c>
      <c r="G313" s="895">
        <f t="shared" si="24"/>
        <v>296.60000000000002</v>
      </c>
    </row>
    <row r="314" spans="1:7" s="846" customFormat="1" ht="19.5" hidden="1" customHeight="1">
      <c r="A314" s="891" t="s">
        <v>66</v>
      </c>
      <c r="B314" s="326">
        <f>국가별수입!AD354-국가별수입!AD314</f>
        <v>1532</v>
      </c>
      <c r="C314" s="905">
        <f>국가별수입!AE354-국가별수입!AE314</f>
        <v>5285</v>
      </c>
      <c r="D314" s="905">
        <f>국가별수입!AF354-국가별수입!AF314</f>
        <v>938</v>
      </c>
      <c r="E314" s="895">
        <f t="shared" si="23"/>
        <v>-38.799999999999997</v>
      </c>
      <c r="F314" s="905">
        <f>국가별수입!AH354-국가별수입!AH314</f>
        <v>5561</v>
      </c>
      <c r="G314" s="895">
        <f t="shared" si="24"/>
        <v>5.2</v>
      </c>
    </row>
    <row r="315" spans="1:7" s="846" customFormat="1" ht="19.5" hidden="1" customHeight="1">
      <c r="A315" s="891" t="s">
        <v>89</v>
      </c>
      <c r="B315" s="326">
        <f>국가별수입!AD355-국가별수입!AD315</f>
        <v>781</v>
      </c>
      <c r="C315" s="905">
        <f>국가별수입!AE355-국가별수입!AE315</f>
        <v>2942</v>
      </c>
      <c r="D315" s="905">
        <f>국가별수입!AF355-국가별수입!AF315</f>
        <v>1023</v>
      </c>
      <c r="E315" s="895">
        <f t="shared" si="23"/>
        <v>31</v>
      </c>
      <c r="F315" s="905">
        <f>국가별수입!AH355-국가별수입!AH315</f>
        <v>3233</v>
      </c>
      <c r="G315" s="895">
        <f t="shared" si="24"/>
        <v>9.9</v>
      </c>
    </row>
    <row r="316" spans="1:7" s="846" customFormat="1" ht="19.5" hidden="1" customHeight="1">
      <c r="A316" s="891" t="s">
        <v>309</v>
      </c>
      <c r="B316" s="326">
        <f>국가별수입!AD356-국가별수입!AD316</f>
        <v>372</v>
      </c>
      <c r="C316" s="905">
        <f>국가별수입!AE356-국가별수입!AE316</f>
        <v>5882</v>
      </c>
      <c r="D316" s="905">
        <f>국가별수입!AF356-국가별수입!AF316</f>
        <v>308</v>
      </c>
      <c r="E316" s="895">
        <f t="shared" si="23"/>
        <v>-17.2</v>
      </c>
      <c r="F316" s="905">
        <f>국가별수입!AH356-국가별수입!AH316</f>
        <v>4926</v>
      </c>
      <c r="G316" s="895">
        <f t="shared" si="24"/>
        <v>-16.3</v>
      </c>
    </row>
    <row r="317" spans="1:7" s="846" customFormat="1" ht="19.5" hidden="1" customHeight="1">
      <c r="A317" s="891" t="s">
        <v>92</v>
      </c>
      <c r="B317" s="905">
        <f>국가별수입!AD357-국가별수입!AD317</f>
        <v>1261</v>
      </c>
      <c r="C317" s="905">
        <f>국가별수입!AE357-국가별수입!AE317</f>
        <v>4398</v>
      </c>
      <c r="D317" s="905">
        <f>국가별수입!AF357-국가별수입!AF317</f>
        <v>2429</v>
      </c>
      <c r="E317" s="895">
        <f t="shared" si="23"/>
        <v>92.6</v>
      </c>
      <c r="F317" s="905">
        <f>국가별수입!AH357-국가별수입!AH317</f>
        <v>6152</v>
      </c>
      <c r="G317" s="895">
        <f t="shared" si="24"/>
        <v>39.9</v>
      </c>
    </row>
    <row r="318" spans="1:7" s="846" customFormat="1" ht="19.5" hidden="1" customHeight="1">
      <c r="A318" s="903" t="s">
        <v>24</v>
      </c>
      <c r="B318" s="892">
        <f t="shared" ref="B318:D318" si="25">B319-SUM(B288:B317)</f>
        <v>23557</v>
      </c>
      <c r="C318" s="892">
        <f t="shared" si="25"/>
        <v>92718</v>
      </c>
      <c r="D318" s="892">
        <f t="shared" si="25"/>
        <v>23525</v>
      </c>
      <c r="E318" s="896">
        <f t="shared" si="23"/>
        <v>-0.1</v>
      </c>
      <c r="F318" s="892">
        <f>F319-SUM(F288:F317)</f>
        <v>91790</v>
      </c>
      <c r="G318" s="896">
        <f t="shared" si="24"/>
        <v>-1</v>
      </c>
    </row>
    <row r="319" spans="1:7" s="846" customFormat="1" ht="19.5" hidden="1" customHeight="1">
      <c r="A319" s="904" t="s">
        <v>79</v>
      </c>
      <c r="B319" s="908">
        <f>국가별수입!AD359-국가별수입!AD319</f>
        <v>321073</v>
      </c>
      <c r="C319" s="908">
        <f>국가별수입!AE359-국가별수입!AE319</f>
        <v>1089211</v>
      </c>
      <c r="D319" s="908">
        <f>국가별수입!AF359-국가별수입!AF319</f>
        <v>338598</v>
      </c>
      <c r="E319" s="906">
        <f t="shared" si="23"/>
        <v>5.5</v>
      </c>
      <c r="F319" s="907">
        <f>국가별수입!AH359-국가별수입!AH319</f>
        <v>1148119</v>
      </c>
      <c r="G319" s="906">
        <f t="shared" si="24"/>
        <v>5.4</v>
      </c>
    </row>
    <row r="320" spans="1:7" hidden="1"/>
    <row r="321" spans="1:7" s="846" customFormat="1" ht="22.5" hidden="1">
      <c r="A321" s="1143" t="s">
        <v>684</v>
      </c>
      <c r="B321" s="1143"/>
      <c r="C321" s="1143"/>
      <c r="D321" s="1143"/>
      <c r="E321" s="1143"/>
      <c r="F321" s="1143"/>
      <c r="G321" s="1143"/>
    </row>
    <row r="322" spans="1:7" s="846" customFormat="1" hidden="1">
      <c r="A322" s="898"/>
      <c r="B322" s="899"/>
      <c r="C322" s="899"/>
      <c r="D322" s="899"/>
      <c r="E322" s="900"/>
      <c r="F322" s="899"/>
      <c r="G322" s="900"/>
    </row>
    <row r="323" spans="1:7" s="846" customFormat="1" hidden="1">
      <c r="A323" s="898"/>
      <c r="B323" s="899"/>
      <c r="C323" s="899"/>
      <c r="D323" s="899"/>
      <c r="E323" s="900"/>
      <c r="F323" s="1144" t="s">
        <v>80</v>
      </c>
      <c r="G323" s="1144"/>
    </row>
    <row r="324" spans="1:7" s="846" customFormat="1" ht="21.75" hidden="1" customHeight="1">
      <c r="A324" s="1115" t="s">
        <v>43</v>
      </c>
      <c r="B324" s="1115" t="s">
        <v>685</v>
      </c>
      <c r="C324" s="1115"/>
      <c r="D324" s="1115"/>
      <c r="E324" s="1115"/>
      <c r="F324" s="1115"/>
      <c r="G324" s="1115"/>
    </row>
    <row r="325" spans="1:7" s="846" customFormat="1" ht="21" hidden="1" customHeight="1">
      <c r="A325" s="1115"/>
      <c r="B325" s="1115" t="s">
        <v>314</v>
      </c>
      <c r="C325" s="1115"/>
      <c r="D325" s="1115" t="s">
        <v>444</v>
      </c>
      <c r="E325" s="1115"/>
      <c r="F325" s="1115"/>
      <c r="G325" s="1115"/>
    </row>
    <row r="326" spans="1:7" s="846" customFormat="1" ht="16.5" hidden="1" customHeight="1">
      <c r="A326" s="1115"/>
      <c r="B326" s="1115" t="s">
        <v>44</v>
      </c>
      <c r="C326" s="1115" t="s">
        <v>45</v>
      </c>
      <c r="D326" s="1146" t="s">
        <v>46</v>
      </c>
      <c r="E326" s="901"/>
      <c r="F326" s="1146" t="s">
        <v>45</v>
      </c>
      <c r="G326" s="901"/>
    </row>
    <row r="327" spans="1:7" s="846" customFormat="1" ht="16.5" hidden="1" customHeight="1" thickBot="1">
      <c r="A327" s="1145"/>
      <c r="B327" s="1145"/>
      <c r="C327" s="1145"/>
      <c r="D327" s="1145"/>
      <c r="E327" s="902" t="s">
        <v>49</v>
      </c>
      <c r="F327" s="1145"/>
      <c r="G327" s="902" t="s">
        <v>49</v>
      </c>
    </row>
    <row r="328" spans="1:7" s="846" customFormat="1" ht="19.5" hidden="1" customHeight="1" thickTop="1">
      <c r="A328" s="891" t="s">
        <v>50</v>
      </c>
      <c r="B328" s="905">
        <f>국가별수입!AD368-국가별수입!AD328</f>
        <v>46604</v>
      </c>
      <c r="C328" s="905">
        <f>국가별수입!AE368-국가별수입!AE328</f>
        <v>173705</v>
      </c>
      <c r="D328" s="905">
        <f>국가별수입!AF368-국가별수입!AF328</f>
        <v>43535</v>
      </c>
      <c r="E328" s="895">
        <f>ROUND(((D328/B328-1)*100),1)</f>
        <v>-6.6</v>
      </c>
      <c r="F328" s="905">
        <f>국가별수입!AH368-국가별수입!AH328</f>
        <v>167331</v>
      </c>
      <c r="G328" s="895">
        <f>ROUND(((F328/C328-1)*100),1)</f>
        <v>-3.7</v>
      </c>
    </row>
    <row r="329" spans="1:7" s="846" customFormat="1" ht="19.5" hidden="1" customHeight="1">
      <c r="A329" s="891" t="s">
        <v>53</v>
      </c>
      <c r="B329" s="905">
        <f>국가별수입!AD369-국가별수입!AD329</f>
        <v>37618</v>
      </c>
      <c r="C329" s="905">
        <f>국가별수입!AE369-국가별수입!AE329</f>
        <v>124849</v>
      </c>
      <c r="D329" s="905">
        <f>국가별수입!AF369-국가별수입!AF329</f>
        <v>33367</v>
      </c>
      <c r="E329" s="895">
        <f t="shared" ref="E329:E359" si="26">ROUND(((D329/B329-1)*100),1)</f>
        <v>-11.3</v>
      </c>
      <c r="F329" s="905">
        <f>국가별수입!AH369-국가별수입!AH329</f>
        <v>109062</v>
      </c>
      <c r="G329" s="895">
        <f t="shared" ref="G329:G359" si="27">ROUND(((F329/C329-1)*100),1)</f>
        <v>-12.6</v>
      </c>
    </row>
    <row r="330" spans="1:7" s="846" customFormat="1" ht="19.5" hidden="1" customHeight="1">
      <c r="A330" s="891" t="s">
        <v>54</v>
      </c>
      <c r="B330" s="905">
        <f>국가별수입!AD370-국가별수입!AD330</f>
        <v>17462</v>
      </c>
      <c r="C330" s="905">
        <f>국가별수입!AE370-국가별수입!AE330</f>
        <v>103836</v>
      </c>
      <c r="D330" s="905">
        <f>국가별수입!AF370-국가별수입!AF330</f>
        <v>17660</v>
      </c>
      <c r="E330" s="895">
        <f t="shared" si="26"/>
        <v>1.1000000000000001</v>
      </c>
      <c r="F330" s="905">
        <f>국가별수입!AH370-국가별수입!AH330</f>
        <v>120850</v>
      </c>
      <c r="G330" s="895">
        <f t="shared" si="27"/>
        <v>16.399999999999999</v>
      </c>
    </row>
    <row r="331" spans="1:7" s="846" customFormat="1" ht="19.5" hidden="1" customHeight="1">
      <c r="A331" s="891" t="s">
        <v>84</v>
      </c>
      <c r="B331" s="905">
        <f>국가별수입!AD371-국가별수입!AD331</f>
        <v>14004</v>
      </c>
      <c r="C331" s="905">
        <f>국가별수입!AE371-국가별수입!AE331</f>
        <v>80308</v>
      </c>
      <c r="D331" s="905">
        <f>국가별수입!AF371-국가별수입!AF331</f>
        <v>10895</v>
      </c>
      <c r="E331" s="895">
        <f t="shared" si="26"/>
        <v>-22.2</v>
      </c>
      <c r="F331" s="905">
        <f>국가별수입!AH371-국가별수입!AH331</f>
        <v>65580</v>
      </c>
      <c r="G331" s="895">
        <f t="shared" si="27"/>
        <v>-18.3</v>
      </c>
    </row>
    <row r="332" spans="1:7" s="846" customFormat="1" ht="19.5" hidden="1" customHeight="1">
      <c r="A332" s="891" t="s">
        <v>52</v>
      </c>
      <c r="B332" s="905">
        <f>국가별수입!AD372-국가별수입!AD332</f>
        <v>56721</v>
      </c>
      <c r="C332" s="905">
        <f>국가별수입!AE372-국가별수입!AE332</f>
        <v>109598</v>
      </c>
      <c r="D332" s="905">
        <f>국가별수입!AF372-국가별수입!AF332</f>
        <v>38148</v>
      </c>
      <c r="E332" s="895">
        <f t="shared" si="26"/>
        <v>-32.700000000000003</v>
      </c>
      <c r="F332" s="905">
        <f>국가별수입!AH372-국가별수입!AH332</f>
        <v>71198</v>
      </c>
      <c r="G332" s="895">
        <f t="shared" si="27"/>
        <v>-35</v>
      </c>
    </row>
    <row r="333" spans="1:7" s="846" customFormat="1" ht="19.5" hidden="1" customHeight="1">
      <c r="A333" s="891" t="s">
        <v>61</v>
      </c>
      <c r="B333" s="905">
        <f>국가별수입!AD373-국가별수입!AD333</f>
        <v>31710</v>
      </c>
      <c r="C333" s="905">
        <f>국가별수입!AE373-국가별수입!AE333</f>
        <v>73626</v>
      </c>
      <c r="D333" s="905">
        <f>국가별수입!AF373-국가별수입!AF333</f>
        <v>45081</v>
      </c>
      <c r="E333" s="895">
        <f t="shared" si="26"/>
        <v>42.2</v>
      </c>
      <c r="F333" s="905">
        <f>국가별수입!AH373-국가별수입!AH333</f>
        <v>109515</v>
      </c>
      <c r="G333" s="895">
        <f t="shared" si="27"/>
        <v>48.7</v>
      </c>
    </row>
    <row r="334" spans="1:7" s="846" customFormat="1" ht="19.5" hidden="1" customHeight="1">
      <c r="A334" s="891" t="s">
        <v>56</v>
      </c>
      <c r="B334" s="905">
        <f>국가별수입!AD374-국가별수입!AD334</f>
        <v>18470</v>
      </c>
      <c r="C334" s="905">
        <f>국가별수입!AE374-국가별수입!AE334</f>
        <v>45442</v>
      </c>
      <c r="D334" s="905">
        <f>국가별수입!AF374-국가별수입!AF334</f>
        <v>10986</v>
      </c>
      <c r="E334" s="895">
        <f t="shared" si="26"/>
        <v>-40.5</v>
      </c>
      <c r="F334" s="905">
        <f>국가별수입!AH374-국가별수입!AH334</f>
        <v>29278</v>
      </c>
      <c r="G334" s="895">
        <f t="shared" si="27"/>
        <v>-35.6</v>
      </c>
    </row>
    <row r="335" spans="1:7" s="846" customFormat="1" ht="19.5" hidden="1" customHeight="1">
      <c r="A335" s="891" t="s">
        <v>85</v>
      </c>
      <c r="B335" s="326">
        <f>국가별수입!AD375-국가별수입!AD335</f>
        <v>3576</v>
      </c>
      <c r="C335" s="905">
        <f>국가별수입!AE375-국가별수입!AE335</f>
        <v>21330</v>
      </c>
      <c r="D335" s="326">
        <f>국가별수입!AF375-국가별수입!AF335</f>
        <v>5099</v>
      </c>
      <c r="E335" s="895">
        <f t="shared" si="26"/>
        <v>42.6</v>
      </c>
      <c r="F335" s="905">
        <f>국가별수입!AH375-국가별수입!AH335</f>
        <v>34118</v>
      </c>
      <c r="G335" s="895">
        <f t="shared" si="27"/>
        <v>60</v>
      </c>
    </row>
    <row r="336" spans="1:7" s="846" customFormat="1" ht="19.5" hidden="1" customHeight="1">
      <c r="A336" s="891" t="s">
        <v>86</v>
      </c>
      <c r="B336" s="905">
        <f>국가별수입!AD376-국가별수입!AD336</f>
        <v>15936</v>
      </c>
      <c r="C336" s="905">
        <f>국가별수입!AE376-국가별수입!AE336</f>
        <v>31199</v>
      </c>
      <c r="D336" s="326">
        <f>국가별수입!AF376-국가별수입!AF336</f>
        <v>7169</v>
      </c>
      <c r="E336" s="895">
        <f t="shared" si="26"/>
        <v>-55</v>
      </c>
      <c r="F336" s="905">
        <f>국가별수입!AH376-국가별수입!AH336</f>
        <v>14887</v>
      </c>
      <c r="G336" s="895">
        <f t="shared" si="27"/>
        <v>-52.3</v>
      </c>
    </row>
    <row r="337" spans="1:7" s="846" customFormat="1" ht="19.5" hidden="1" customHeight="1">
      <c r="A337" s="891" t="s">
        <v>64</v>
      </c>
      <c r="B337" s="905">
        <f>국가별수입!AD377-국가별수입!AD337</f>
        <v>9682</v>
      </c>
      <c r="C337" s="905">
        <f>국가별수입!AE377-국가별수입!AE337</f>
        <v>18818</v>
      </c>
      <c r="D337" s="326">
        <f>국가별수입!AF377-국가별수입!AF337</f>
        <v>11550</v>
      </c>
      <c r="E337" s="895">
        <f t="shared" si="26"/>
        <v>19.3</v>
      </c>
      <c r="F337" s="905">
        <f>국가별수입!AH377-국가별수입!AH337</f>
        <v>25028</v>
      </c>
      <c r="G337" s="895">
        <f t="shared" si="27"/>
        <v>33</v>
      </c>
    </row>
    <row r="338" spans="1:7" s="846" customFormat="1" ht="19.5" hidden="1" customHeight="1">
      <c r="A338" s="891" t="s">
        <v>68</v>
      </c>
      <c r="B338" s="326">
        <f>국가별수입!AD378-국가별수입!AD338</f>
        <v>4554</v>
      </c>
      <c r="C338" s="905">
        <f>국가별수입!AE378-국가별수입!AE338</f>
        <v>24564</v>
      </c>
      <c r="D338" s="326">
        <f>국가별수입!AF378-국가별수입!AF338</f>
        <v>2051</v>
      </c>
      <c r="E338" s="895">
        <f t="shared" si="26"/>
        <v>-55</v>
      </c>
      <c r="F338" s="905">
        <f>국가별수입!AH378-국가별수입!AH338</f>
        <v>17314</v>
      </c>
      <c r="G338" s="895">
        <f t="shared" si="27"/>
        <v>-29.5</v>
      </c>
    </row>
    <row r="339" spans="1:7" s="846" customFormat="1" ht="19.5" hidden="1" customHeight="1">
      <c r="A339" s="891" t="s">
        <v>57</v>
      </c>
      <c r="B339" s="326">
        <f>국가별수입!AD379-국가별수입!AD339</f>
        <v>6041</v>
      </c>
      <c r="C339" s="905">
        <f>국가별수입!AE379-국가별수입!AE339</f>
        <v>24884</v>
      </c>
      <c r="D339" s="326">
        <f>국가별수입!AF379-국가별수입!AF339</f>
        <v>7376</v>
      </c>
      <c r="E339" s="895">
        <f t="shared" si="26"/>
        <v>22.1</v>
      </c>
      <c r="F339" s="905">
        <f>국가별수입!AH379-국가별수입!AH339</f>
        <v>26428</v>
      </c>
      <c r="G339" s="895">
        <f t="shared" si="27"/>
        <v>6.2</v>
      </c>
    </row>
    <row r="340" spans="1:7" s="846" customFormat="1" ht="19.5" hidden="1" customHeight="1">
      <c r="A340" s="891" t="s">
        <v>58</v>
      </c>
      <c r="B340" s="326">
        <f>국가별수입!AD380-국가별수입!AD340</f>
        <v>3352</v>
      </c>
      <c r="C340" s="905">
        <f>국가별수입!AE380-국가별수입!AE340</f>
        <v>23141</v>
      </c>
      <c r="D340" s="326">
        <f>국가별수입!AF380-국가별수입!AF340</f>
        <v>3000</v>
      </c>
      <c r="E340" s="895">
        <f t="shared" si="26"/>
        <v>-10.5</v>
      </c>
      <c r="F340" s="905">
        <f>국가별수입!AH380-국가별수입!AH340</f>
        <v>26041</v>
      </c>
      <c r="G340" s="895">
        <f t="shared" si="27"/>
        <v>12.5</v>
      </c>
    </row>
    <row r="341" spans="1:7" s="846" customFormat="1" ht="19.5" hidden="1" customHeight="1">
      <c r="A341" s="891" t="s">
        <v>63</v>
      </c>
      <c r="B341" s="326">
        <f>국가별수입!AD381-국가별수입!AD341</f>
        <v>7890</v>
      </c>
      <c r="C341" s="905">
        <f>국가별수입!AE381-국가별수입!AE341</f>
        <v>24405</v>
      </c>
      <c r="D341" s="326">
        <f>국가별수입!AF381-국가별수입!AF341</f>
        <v>6557</v>
      </c>
      <c r="E341" s="895">
        <f t="shared" si="26"/>
        <v>-16.899999999999999</v>
      </c>
      <c r="F341" s="905">
        <f>국가별수입!AH381-국가별수입!AH341</f>
        <v>17198</v>
      </c>
      <c r="G341" s="895">
        <f t="shared" si="27"/>
        <v>-29.5</v>
      </c>
    </row>
    <row r="342" spans="1:7" s="846" customFormat="1" ht="19.5" hidden="1" customHeight="1">
      <c r="A342" s="891" t="s">
        <v>55</v>
      </c>
      <c r="B342" s="326">
        <f>국가별수입!AD382-국가별수입!AD342</f>
        <v>10977</v>
      </c>
      <c r="C342" s="905">
        <f>국가별수입!AE382-국가별수입!AE342</f>
        <v>23225</v>
      </c>
      <c r="D342" s="326">
        <f>국가별수입!AF382-국가별수입!AF342</f>
        <v>10556</v>
      </c>
      <c r="E342" s="895">
        <f t="shared" si="26"/>
        <v>-3.8</v>
      </c>
      <c r="F342" s="905">
        <f>국가별수입!AH382-국가별수입!AH342</f>
        <v>25065</v>
      </c>
      <c r="G342" s="895">
        <f t="shared" si="27"/>
        <v>7.9</v>
      </c>
    </row>
    <row r="343" spans="1:7" s="846" customFormat="1" ht="19.5" hidden="1" customHeight="1">
      <c r="A343" s="891" t="s">
        <v>51</v>
      </c>
      <c r="B343" s="326">
        <f>국가별수입!AD383-국가별수입!AD343</f>
        <v>6993</v>
      </c>
      <c r="C343" s="905">
        <f>국가별수입!AE383-국가별수입!AE343</f>
        <v>18671</v>
      </c>
      <c r="D343" s="326">
        <f>국가별수입!AF383-국가별수입!AF343</f>
        <v>5874</v>
      </c>
      <c r="E343" s="895">
        <f t="shared" si="26"/>
        <v>-16</v>
      </c>
      <c r="F343" s="905">
        <f>국가별수입!AH383-국가별수입!AH343</f>
        <v>20323</v>
      </c>
      <c r="G343" s="895">
        <f t="shared" si="27"/>
        <v>8.8000000000000007</v>
      </c>
    </row>
    <row r="344" spans="1:7" s="846" customFormat="1" ht="19.5" hidden="1" customHeight="1">
      <c r="A344" s="891" t="s">
        <v>72</v>
      </c>
      <c r="B344" s="326">
        <f>국가별수입!AD384-국가별수입!AD344</f>
        <v>3016</v>
      </c>
      <c r="C344" s="905">
        <f>국가별수입!AE384-국가별수입!AE344</f>
        <v>14914</v>
      </c>
      <c r="D344" s="326">
        <f>국가별수입!AF384-국가별수입!AF344</f>
        <v>5472</v>
      </c>
      <c r="E344" s="895">
        <f t="shared" si="26"/>
        <v>81.400000000000006</v>
      </c>
      <c r="F344" s="905">
        <f>국가별수입!AH384-국가별수입!AH344</f>
        <v>15635</v>
      </c>
      <c r="G344" s="895">
        <f t="shared" si="27"/>
        <v>4.8</v>
      </c>
    </row>
    <row r="345" spans="1:7" s="846" customFormat="1" ht="19.5" hidden="1" customHeight="1">
      <c r="A345" s="891" t="s">
        <v>87</v>
      </c>
      <c r="B345" s="326">
        <f>국가별수입!AD385-국가별수입!AD345</f>
        <v>8571</v>
      </c>
      <c r="C345" s="905">
        <f>국가별수입!AE385-국가별수입!AE345</f>
        <v>17919</v>
      </c>
      <c r="D345" s="326">
        <f>국가별수입!AF385-국가별수입!AF345</f>
        <v>6131</v>
      </c>
      <c r="E345" s="895">
        <f t="shared" si="26"/>
        <v>-28.5</v>
      </c>
      <c r="F345" s="905">
        <f>국가별수입!AH385-국가별수입!AH345</f>
        <v>11857</v>
      </c>
      <c r="G345" s="895">
        <f t="shared" si="27"/>
        <v>-33.799999999999997</v>
      </c>
    </row>
    <row r="346" spans="1:7" s="846" customFormat="1" ht="19.5" hidden="1" customHeight="1">
      <c r="A346" s="891" t="s">
        <v>59</v>
      </c>
      <c r="B346" s="326">
        <f>국가별수입!AD386-국가별수입!AD346</f>
        <v>5589</v>
      </c>
      <c r="C346" s="905">
        <f>국가별수입!AE386-국가별수입!AE346</f>
        <v>16297</v>
      </c>
      <c r="D346" s="326">
        <f>국가별수입!AF386-국가별수입!AF346</f>
        <v>8719</v>
      </c>
      <c r="E346" s="895">
        <f t="shared" si="26"/>
        <v>56</v>
      </c>
      <c r="F346" s="905">
        <f>국가별수입!AH386-국가별수입!AH346</f>
        <v>47507</v>
      </c>
      <c r="G346" s="895">
        <f t="shared" si="27"/>
        <v>191.5</v>
      </c>
    </row>
    <row r="347" spans="1:7" s="846" customFormat="1" ht="19.5" hidden="1" customHeight="1">
      <c r="A347" s="891" t="s">
        <v>90</v>
      </c>
      <c r="B347" s="326">
        <f>국가별수입!AD387-국가별수입!AD347</f>
        <v>5072</v>
      </c>
      <c r="C347" s="905">
        <f>국가별수입!AE387-국가별수입!AE347</f>
        <v>9953</v>
      </c>
      <c r="D347" s="326">
        <f>국가별수입!AF387-국가별수입!AF347</f>
        <v>5758</v>
      </c>
      <c r="E347" s="895">
        <f t="shared" si="26"/>
        <v>13.5</v>
      </c>
      <c r="F347" s="905">
        <f>국가별수입!AH387-국가별수입!AH347</f>
        <v>10550</v>
      </c>
      <c r="G347" s="895">
        <f t="shared" si="27"/>
        <v>6</v>
      </c>
    </row>
    <row r="348" spans="1:7" s="846" customFormat="1" ht="19.5" hidden="1" customHeight="1">
      <c r="A348" s="891" t="s">
        <v>76</v>
      </c>
      <c r="B348" s="326">
        <f>국가별수입!AD388-국가별수입!AD348</f>
        <v>541</v>
      </c>
      <c r="C348" s="905">
        <f>국가별수입!AE388-국가별수입!AE348</f>
        <v>7756</v>
      </c>
      <c r="D348" s="326">
        <f>국가별수입!AF388-국가별수입!AF348</f>
        <v>582</v>
      </c>
      <c r="E348" s="895">
        <f t="shared" si="26"/>
        <v>7.6</v>
      </c>
      <c r="F348" s="905">
        <f>국가별수입!AH388-국가별수입!AH348</f>
        <v>7993</v>
      </c>
      <c r="G348" s="895">
        <f t="shared" si="27"/>
        <v>3.1</v>
      </c>
    </row>
    <row r="349" spans="1:7" s="846" customFormat="1" ht="19.5" hidden="1" customHeight="1">
      <c r="A349" s="891" t="s">
        <v>91</v>
      </c>
      <c r="B349" s="326">
        <f>국가별수입!AD389-국가별수입!AD349</f>
        <v>5495</v>
      </c>
      <c r="C349" s="905">
        <f>국가별수입!AE389-국가별수입!AE349</f>
        <v>10995</v>
      </c>
      <c r="D349" s="326">
        <f>국가별수입!AF389-국가별수입!AF349</f>
        <v>6579</v>
      </c>
      <c r="E349" s="895">
        <f t="shared" si="26"/>
        <v>19.7</v>
      </c>
      <c r="F349" s="905">
        <f>국가별수입!AH389-국가별수입!AH349</f>
        <v>12982</v>
      </c>
      <c r="G349" s="895">
        <f t="shared" si="27"/>
        <v>18.100000000000001</v>
      </c>
    </row>
    <row r="350" spans="1:7" s="846" customFormat="1" ht="19.5" hidden="1" customHeight="1">
      <c r="A350" s="891" t="s">
        <v>308</v>
      </c>
      <c r="B350" s="326">
        <f>국가별수입!AD390-국가별수입!AD350</f>
        <v>664</v>
      </c>
      <c r="C350" s="905">
        <f>국가별수입!AE390-국가별수입!AE350</f>
        <v>10306</v>
      </c>
      <c r="D350" s="326">
        <f>국가별수입!AF390-국가별수입!AF350</f>
        <v>0</v>
      </c>
      <c r="E350" s="895">
        <f t="shared" si="26"/>
        <v>-100</v>
      </c>
      <c r="F350" s="905">
        <f>국가별수입!AH390-국가별수입!AH350</f>
        <v>1</v>
      </c>
      <c r="G350" s="895">
        <f t="shared" si="27"/>
        <v>-100</v>
      </c>
    </row>
    <row r="351" spans="1:7" s="846" customFormat="1" ht="19.5" hidden="1" customHeight="1">
      <c r="A351" s="891" t="s">
        <v>71</v>
      </c>
      <c r="B351" s="326">
        <f>국가별수입!AD391-국가별수입!AD351</f>
        <v>2769</v>
      </c>
      <c r="C351" s="905">
        <f>국가별수입!AE391-국가별수입!AE351</f>
        <v>9268</v>
      </c>
      <c r="D351" s="326">
        <f>국가별수입!AF391-국가별수입!AF351</f>
        <v>4350</v>
      </c>
      <c r="E351" s="895">
        <f t="shared" si="26"/>
        <v>57.1</v>
      </c>
      <c r="F351" s="905">
        <f>국가별수입!AH391-국가별수입!AH351</f>
        <v>14483</v>
      </c>
      <c r="G351" s="895">
        <f t="shared" si="27"/>
        <v>56.3</v>
      </c>
    </row>
    <row r="352" spans="1:7" s="846" customFormat="1" ht="19.5" hidden="1" customHeight="1">
      <c r="A352" s="891" t="s">
        <v>88</v>
      </c>
      <c r="B352" s="326">
        <f>국가별수입!AD392-국가별수입!AD352</f>
        <v>2302</v>
      </c>
      <c r="C352" s="905">
        <f>국가별수입!AE392-국가별수입!AE352</f>
        <v>9397</v>
      </c>
      <c r="D352" s="905">
        <f>국가별수입!AF392-국가별수입!AF352</f>
        <v>3138</v>
      </c>
      <c r="E352" s="895">
        <f t="shared" si="26"/>
        <v>36.299999999999997</v>
      </c>
      <c r="F352" s="905">
        <f>국가별수입!AH392-국가별수입!AH352</f>
        <v>9480</v>
      </c>
      <c r="G352" s="895">
        <f t="shared" si="27"/>
        <v>0.9</v>
      </c>
    </row>
    <row r="353" spans="1:7" s="846" customFormat="1" ht="19.5" hidden="1" customHeight="1">
      <c r="A353" s="891" t="s">
        <v>65</v>
      </c>
      <c r="B353" s="326">
        <f>국가별수입!AD393-국가별수입!AD353</f>
        <v>4286</v>
      </c>
      <c r="C353" s="905">
        <f>국가별수입!AE393-국가별수입!AE353</f>
        <v>11339</v>
      </c>
      <c r="D353" s="905">
        <f>국가별수입!AF393-국가별수입!AF353</f>
        <v>6004</v>
      </c>
      <c r="E353" s="895">
        <f t="shared" si="26"/>
        <v>40.1</v>
      </c>
      <c r="F353" s="905">
        <f>국가별수입!AH393-국가별수입!AH353</f>
        <v>20146</v>
      </c>
      <c r="G353" s="895">
        <f t="shared" si="27"/>
        <v>77.7</v>
      </c>
    </row>
    <row r="354" spans="1:7" s="846" customFormat="1" ht="19.5" hidden="1" customHeight="1">
      <c r="A354" s="891" t="s">
        <v>66</v>
      </c>
      <c r="B354" s="326">
        <f>국가별수입!AD394-국가별수입!AD354</f>
        <v>1545</v>
      </c>
      <c r="C354" s="905">
        <f>국가별수입!AE394-국가별수입!AE354</f>
        <v>7137</v>
      </c>
      <c r="D354" s="905">
        <f>국가별수입!AF394-국가별수입!AF354</f>
        <v>847</v>
      </c>
      <c r="E354" s="895">
        <f t="shared" si="26"/>
        <v>-45.2</v>
      </c>
      <c r="F354" s="905">
        <f>국가별수입!AH394-국가별수입!AH354</f>
        <v>3885</v>
      </c>
      <c r="G354" s="895">
        <f t="shared" si="27"/>
        <v>-45.6</v>
      </c>
    </row>
    <row r="355" spans="1:7" s="846" customFormat="1" ht="19.5" hidden="1" customHeight="1">
      <c r="A355" s="891" t="s">
        <v>89</v>
      </c>
      <c r="B355" s="326">
        <f>국가별수입!AD395-국가별수입!AD355</f>
        <v>4097</v>
      </c>
      <c r="C355" s="905">
        <f>국가별수입!AE395-국가별수입!AE355</f>
        <v>19976</v>
      </c>
      <c r="D355" s="905">
        <f>국가별수입!AF395-국가별수입!AF355</f>
        <v>1783</v>
      </c>
      <c r="E355" s="895">
        <f t="shared" si="26"/>
        <v>-56.5</v>
      </c>
      <c r="F355" s="905">
        <f>국가별수입!AH395-국가별수입!AH355</f>
        <v>3091</v>
      </c>
      <c r="G355" s="895">
        <f t="shared" si="27"/>
        <v>-84.5</v>
      </c>
    </row>
    <row r="356" spans="1:7" s="846" customFormat="1" ht="19.5" hidden="1" customHeight="1">
      <c r="A356" s="891" t="s">
        <v>309</v>
      </c>
      <c r="B356" s="326">
        <f>국가별수입!AD396-국가별수입!AD356</f>
        <v>465</v>
      </c>
      <c r="C356" s="905">
        <f>국가별수입!AE396-국가별수입!AE356</f>
        <v>8498</v>
      </c>
      <c r="D356" s="905">
        <f>국가별수입!AF396-국가별수입!AF356</f>
        <v>388</v>
      </c>
      <c r="E356" s="895">
        <f t="shared" si="26"/>
        <v>-16.600000000000001</v>
      </c>
      <c r="F356" s="905">
        <f>국가별수입!AH396-국가별수입!AH356</f>
        <v>5699</v>
      </c>
      <c r="G356" s="895">
        <f t="shared" si="27"/>
        <v>-32.9</v>
      </c>
    </row>
    <row r="357" spans="1:7" s="846" customFormat="1" ht="19.5" hidden="1" customHeight="1">
      <c r="A357" s="891" t="s">
        <v>92</v>
      </c>
      <c r="B357" s="905">
        <f>국가별수입!AD397-국가별수입!AD357</f>
        <v>2035</v>
      </c>
      <c r="C357" s="905">
        <f>국가별수입!AE397-국가별수입!AE357</f>
        <v>6460</v>
      </c>
      <c r="D357" s="905">
        <f>국가별수입!AF397-국가별수입!AF357</f>
        <v>1997</v>
      </c>
      <c r="E357" s="895">
        <f t="shared" si="26"/>
        <v>-1.9</v>
      </c>
      <c r="F357" s="905">
        <f>국가별수입!AH397-국가별수입!AH357</f>
        <v>5003</v>
      </c>
      <c r="G357" s="895">
        <f t="shared" si="27"/>
        <v>-22.6</v>
      </c>
    </row>
    <row r="358" spans="1:7" s="846" customFormat="1" ht="19.5" hidden="1" customHeight="1">
      <c r="A358" s="903" t="s">
        <v>24</v>
      </c>
      <c r="B358" s="892">
        <f t="shared" ref="B358:D358" si="28">B359-SUM(B328:B357)</f>
        <v>26073</v>
      </c>
      <c r="C358" s="892">
        <f t="shared" si="28"/>
        <v>97729</v>
      </c>
      <c r="D358" s="892">
        <f t="shared" si="28"/>
        <v>27983</v>
      </c>
      <c r="E358" s="896">
        <f t="shared" si="26"/>
        <v>7.3</v>
      </c>
      <c r="F358" s="892">
        <f>F359-SUM(F328:F357)</f>
        <v>98736</v>
      </c>
      <c r="G358" s="896">
        <f t="shared" si="27"/>
        <v>1</v>
      </c>
    </row>
    <row r="359" spans="1:7" s="846" customFormat="1" ht="19.5" hidden="1" customHeight="1">
      <c r="A359" s="904" t="s">
        <v>79</v>
      </c>
      <c r="B359" s="908">
        <f>국가별수입!AD399-국가별수입!AD359</f>
        <v>364110</v>
      </c>
      <c r="C359" s="908">
        <f>국가별수입!AE399-국가별수입!AE359</f>
        <v>1179545</v>
      </c>
      <c r="D359" s="908">
        <f>국가별수입!AF399-국가별수입!AF359</f>
        <v>338635</v>
      </c>
      <c r="E359" s="906">
        <f t="shared" si="26"/>
        <v>-7</v>
      </c>
      <c r="F359" s="907">
        <f>국가별수입!AH399-국가별수입!AH359</f>
        <v>1146264</v>
      </c>
      <c r="G359" s="906">
        <f t="shared" si="27"/>
        <v>-2.8</v>
      </c>
    </row>
    <row r="360" spans="1:7" hidden="1"/>
    <row r="361" spans="1:7" s="846" customFormat="1" ht="22.5">
      <c r="A361" s="1143" t="s">
        <v>726</v>
      </c>
      <c r="B361" s="1143"/>
      <c r="C361" s="1143"/>
      <c r="D361" s="1143"/>
      <c r="E361" s="1143"/>
      <c r="F361" s="1143"/>
      <c r="G361" s="1143"/>
    </row>
    <row r="362" spans="1:7" s="846" customFormat="1">
      <c r="A362" s="898"/>
      <c r="B362" s="899"/>
      <c r="C362" s="899"/>
      <c r="D362" s="899"/>
      <c r="E362" s="900"/>
      <c r="F362" s="899"/>
      <c r="G362" s="900"/>
    </row>
    <row r="363" spans="1:7" s="846" customFormat="1">
      <c r="A363" s="898"/>
      <c r="B363" s="899"/>
      <c r="C363" s="899"/>
      <c r="D363" s="899"/>
      <c r="E363" s="900"/>
      <c r="F363" s="1144" t="s">
        <v>80</v>
      </c>
      <c r="G363" s="1144"/>
    </row>
    <row r="364" spans="1:7" s="846" customFormat="1" ht="21.75" customHeight="1">
      <c r="A364" s="1115" t="s">
        <v>43</v>
      </c>
      <c r="B364" s="1115" t="s">
        <v>727</v>
      </c>
      <c r="C364" s="1115"/>
      <c r="D364" s="1115"/>
      <c r="E364" s="1115"/>
      <c r="F364" s="1115"/>
      <c r="G364" s="1115"/>
    </row>
    <row r="365" spans="1:7" s="846" customFormat="1" ht="21" customHeight="1">
      <c r="A365" s="1115"/>
      <c r="B365" s="1115" t="s">
        <v>314</v>
      </c>
      <c r="C365" s="1115"/>
      <c r="D365" s="1115" t="s">
        <v>444</v>
      </c>
      <c r="E365" s="1115"/>
      <c r="F365" s="1115"/>
      <c r="G365" s="1115"/>
    </row>
    <row r="366" spans="1:7" s="846" customFormat="1" ht="16.5" customHeight="1">
      <c r="A366" s="1115"/>
      <c r="B366" s="1115" t="s">
        <v>44</v>
      </c>
      <c r="C366" s="1115" t="s">
        <v>45</v>
      </c>
      <c r="D366" s="1146" t="s">
        <v>46</v>
      </c>
      <c r="E366" s="901"/>
      <c r="F366" s="1146" t="s">
        <v>45</v>
      </c>
      <c r="G366" s="901"/>
    </row>
    <row r="367" spans="1:7" s="846" customFormat="1" ht="16.5" customHeight="1" thickBot="1">
      <c r="A367" s="1145"/>
      <c r="B367" s="1145"/>
      <c r="C367" s="1145"/>
      <c r="D367" s="1145"/>
      <c r="E367" s="902" t="s">
        <v>49</v>
      </c>
      <c r="F367" s="1145"/>
      <c r="G367" s="902" t="s">
        <v>49</v>
      </c>
    </row>
    <row r="368" spans="1:7" s="846" customFormat="1" ht="19.5" customHeight="1" thickTop="1">
      <c r="A368" s="891" t="s">
        <v>50</v>
      </c>
      <c r="B368" s="905">
        <f>국가별수입!AD408-국가별수입!AD368</f>
        <v>44591</v>
      </c>
      <c r="C368" s="905">
        <f>국가별수입!AE408-국가별수입!AE368</f>
        <v>169101</v>
      </c>
      <c r="D368" s="905">
        <f>국가별수입!AF408-국가별수입!AF368</f>
        <v>46597</v>
      </c>
      <c r="E368" s="895">
        <f>ROUND(((D368/B368-1)*100),1)</f>
        <v>4.5</v>
      </c>
      <c r="F368" s="905">
        <f>국가별수입!AH408-국가별수입!AH368</f>
        <v>113597</v>
      </c>
      <c r="G368" s="895">
        <f>ROUND(((F368/C368-1)*100),1)</f>
        <v>-32.799999999999997</v>
      </c>
    </row>
    <row r="369" spans="1:7" s="846" customFormat="1" ht="19.5" customHeight="1">
      <c r="A369" s="891" t="s">
        <v>53</v>
      </c>
      <c r="B369" s="905">
        <f>국가별수입!AD409-국가별수입!AD369</f>
        <v>37548</v>
      </c>
      <c r="C369" s="905">
        <f>국가별수입!AE409-국가별수입!AE369</f>
        <v>142648</v>
      </c>
      <c r="D369" s="905">
        <f>국가별수입!AF409-국가별수입!AF369</f>
        <v>34506</v>
      </c>
      <c r="E369" s="895">
        <f t="shared" ref="E369:E399" si="29">ROUND(((D369/B369-1)*100),1)</f>
        <v>-8.1</v>
      </c>
      <c r="F369" s="905">
        <f>국가별수입!AH409-국가별수입!AH369</f>
        <v>113246</v>
      </c>
      <c r="G369" s="895">
        <f t="shared" ref="G369:G399" si="30">ROUND(((F369/C369-1)*100),1)</f>
        <v>-20.6</v>
      </c>
    </row>
    <row r="370" spans="1:7" s="846" customFormat="1" ht="19.5" customHeight="1">
      <c r="A370" s="891" t="s">
        <v>54</v>
      </c>
      <c r="B370" s="905">
        <f>국가별수입!AD410-국가별수입!AD370</f>
        <v>19803</v>
      </c>
      <c r="C370" s="905">
        <f>국가별수입!AE410-국가별수입!AE370</f>
        <v>100318</v>
      </c>
      <c r="D370" s="905">
        <f>국가별수입!AF410-국가별수입!AF370</f>
        <v>16582</v>
      </c>
      <c r="E370" s="895">
        <f t="shared" si="29"/>
        <v>-16.3</v>
      </c>
      <c r="F370" s="905">
        <f>국가별수입!AH410-국가별수입!AH370</f>
        <v>115761</v>
      </c>
      <c r="G370" s="895">
        <f t="shared" si="30"/>
        <v>15.4</v>
      </c>
    </row>
    <row r="371" spans="1:7" s="846" customFormat="1" ht="19.5" customHeight="1">
      <c r="A371" s="891" t="s">
        <v>84</v>
      </c>
      <c r="B371" s="905">
        <f>국가별수입!AD411-국가별수입!AD371</f>
        <v>11169</v>
      </c>
      <c r="C371" s="905">
        <f>국가별수입!AE411-국가별수입!AE371</f>
        <v>57299</v>
      </c>
      <c r="D371" s="905">
        <f>국가별수입!AF411-국가별수입!AF371</f>
        <v>14977</v>
      </c>
      <c r="E371" s="895">
        <f t="shared" si="29"/>
        <v>34.1</v>
      </c>
      <c r="F371" s="905">
        <f>국가별수입!AH411-국가별수입!AH371</f>
        <v>96839</v>
      </c>
      <c r="G371" s="895">
        <f t="shared" si="30"/>
        <v>69</v>
      </c>
    </row>
    <row r="372" spans="1:7" s="846" customFormat="1" ht="19.5" customHeight="1">
      <c r="A372" s="891" t="s">
        <v>52</v>
      </c>
      <c r="B372" s="905">
        <f>국가별수입!AD412-국가별수입!AD372</f>
        <v>52053</v>
      </c>
      <c r="C372" s="905">
        <f>국가별수입!AE412-국가별수입!AE372</f>
        <v>102297</v>
      </c>
      <c r="D372" s="905">
        <f>국가별수입!AF412-국가별수입!AF372</f>
        <v>38637</v>
      </c>
      <c r="E372" s="895">
        <f t="shared" si="29"/>
        <v>-25.8</v>
      </c>
      <c r="F372" s="905">
        <f>국가별수입!AH412-국가별수입!AH372</f>
        <v>75846</v>
      </c>
      <c r="G372" s="895">
        <f t="shared" si="30"/>
        <v>-25.9</v>
      </c>
    </row>
    <row r="373" spans="1:7" s="846" customFormat="1" ht="19.5" customHeight="1">
      <c r="A373" s="891" t="s">
        <v>61</v>
      </c>
      <c r="B373" s="905">
        <f>국가별수입!AD413-국가별수입!AD373</f>
        <v>34958</v>
      </c>
      <c r="C373" s="905">
        <f>국가별수입!AE413-국가별수입!AE373</f>
        <v>90404</v>
      </c>
      <c r="D373" s="905">
        <f>국가별수입!AF413-국가별수입!AF373</f>
        <v>39576</v>
      </c>
      <c r="E373" s="895">
        <f t="shared" si="29"/>
        <v>13.2</v>
      </c>
      <c r="F373" s="905">
        <f>국가별수입!AH413-국가별수입!AH373</f>
        <v>94086</v>
      </c>
      <c r="G373" s="895">
        <f t="shared" si="30"/>
        <v>4.0999999999999996</v>
      </c>
    </row>
    <row r="374" spans="1:7" s="846" customFormat="1" ht="19.5" customHeight="1">
      <c r="A374" s="891" t="s">
        <v>56</v>
      </c>
      <c r="B374" s="905">
        <f>국가별수입!AD414-국가별수입!AD374</f>
        <v>19598</v>
      </c>
      <c r="C374" s="905">
        <f>국가별수입!AE414-국가별수입!AE374</f>
        <v>50552</v>
      </c>
      <c r="D374" s="905">
        <f>국가별수입!AF414-국가별수입!AF374</f>
        <v>11406</v>
      </c>
      <c r="E374" s="895">
        <f t="shared" si="29"/>
        <v>-41.8</v>
      </c>
      <c r="F374" s="905">
        <f>국가별수입!AH414-국가별수입!AH374</f>
        <v>39107</v>
      </c>
      <c r="G374" s="895">
        <f t="shared" si="30"/>
        <v>-22.6</v>
      </c>
    </row>
    <row r="375" spans="1:7" s="846" customFormat="1" ht="19.5" customHeight="1">
      <c r="A375" s="891" t="s">
        <v>85</v>
      </c>
      <c r="B375" s="326">
        <f>국가별수입!AD415-국가별수입!AD375</f>
        <v>6754</v>
      </c>
      <c r="C375" s="905">
        <f>국가별수입!AE415-국가별수입!AE375</f>
        <v>39296</v>
      </c>
      <c r="D375" s="326">
        <f>국가별수입!AF415-국가별수입!AF375</f>
        <v>8064</v>
      </c>
      <c r="E375" s="895">
        <f t="shared" si="29"/>
        <v>19.399999999999999</v>
      </c>
      <c r="F375" s="905">
        <f>국가별수입!AH415-국가별수입!AH375</f>
        <v>56608</v>
      </c>
      <c r="G375" s="895">
        <f t="shared" si="30"/>
        <v>44.1</v>
      </c>
    </row>
    <row r="376" spans="1:7" s="846" customFormat="1" ht="19.5" customHeight="1">
      <c r="A376" s="891" t="s">
        <v>86</v>
      </c>
      <c r="B376" s="905">
        <f>국가별수입!AD416-국가별수입!AD376</f>
        <v>13312</v>
      </c>
      <c r="C376" s="905">
        <f>국가별수입!AE416-국가별수입!AE376</f>
        <v>30823</v>
      </c>
      <c r="D376" s="326">
        <f>국가별수입!AF416-국가별수입!AF376</f>
        <v>13526</v>
      </c>
      <c r="E376" s="895">
        <f t="shared" si="29"/>
        <v>1.6</v>
      </c>
      <c r="F376" s="905">
        <f>국가별수입!AH416-국가별수입!AH376</f>
        <v>27795</v>
      </c>
      <c r="G376" s="895">
        <f t="shared" si="30"/>
        <v>-9.8000000000000007</v>
      </c>
    </row>
    <row r="377" spans="1:7" s="846" customFormat="1" ht="19.5" customHeight="1">
      <c r="A377" s="891" t="s">
        <v>64</v>
      </c>
      <c r="B377" s="905">
        <f>국가별수입!AD417-국가별수입!AD377</f>
        <v>13531</v>
      </c>
      <c r="C377" s="905">
        <f>국가별수입!AE417-국가별수입!AE377</f>
        <v>27151</v>
      </c>
      <c r="D377" s="326">
        <f>국가별수입!AF417-국가별수입!AF377</f>
        <v>10014</v>
      </c>
      <c r="E377" s="895">
        <f t="shared" si="29"/>
        <v>-26</v>
      </c>
      <c r="F377" s="905">
        <f>국가별수입!AH417-국가별수입!AH377</f>
        <v>22631</v>
      </c>
      <c r="G377" s="895">
        <f t="shared" si="30"/>
        <v>-16.600000000000001</v>
      </c>
    </row>
    <row r="378" spans="1:7" s="846" customFormat="1" ht="19.5" customHeight="1">
      <c r="A378" s="891" t="s">
        <v>68</v>
      </c>
      <c r="B378" s="326">
        <f>국가별수입!AD418-국가별수입!AD378</f>
        <v>2676</v>
      </c>
      <c r="C378" s="905">
        <f>국가별수입!AE418-국가별수입!AE378</f>
        <v>21342</v>
      </c>
      <c r="D378" s="326">
        <f>국가별수입!AF418-국가별수입!AF378</f>
        <v>2132</v>
      </c>
      <c r="E378" s="895">
        <f t="shared" si="29"/>
        <v>-20.3</v>
      </c>
      <c r="F378" s="905">
        <f>국가별수입!AH418-국가별수입!AH378</f>
        <v>16083</v>
      </c>
      <c r="G378" s="895">
        <f t="shared" si="30"/>
        <v>-24.6</v>
      </c>
    </row>
    <row r="379" spans="1:7" s="846" customFormat="1" ht="19.5" customHeight="1">
      <c r="A379" s="891" t="s">
        <v>57</v>
      </c>
      <c r="B379" s="326">
        <f>국가별수입!AD419-국가별수입!AD379</f>
        <v>5125</v>
      </c>
      <c r="C379" s="905">
        <f>국가별수입!AE419-국가별수입!AE379</f>
        <v>23231</v>
      </c>
      <c r="D379" s="326">
        <f>국가별수입!AF419-국가별수입!AF379</f>
        <v>7525</v>
      </c>
      <c r="E379" s="895">
        <f t="shared" si="29"/>
        <v>46.8</v>
      </c>
      <c r="F379" s="905">
        <f>국가별수입!AH419-국가별수입!AH379</f>
        <v>29753</v>
      </c>
      <c r="G379" s="895">
        <f t="shared" si="30"/>
        <v>28.1</v>
      </c>
    </row>
    <row r="380" spans="1:7" s="846" customFormat="1" ht="19.5" customHeight="1">
      <c r="A380" s="891" t="s">
        <v>58</v>
      </c>
      <c r="B380" s="326">
        <f>국가별수입!AD420-국가별수입!AD380</f>
        <v>2606</v>
      </c>
      <c r="C380" s="905">
        <f>국가별수입!AE420-국가별수입!AE380</f>
        <v>20472</v>
      </c>
      <c r="D380" s="326">
        <f>국가별수입!AF420-국가별수입!AF380</f>
        <v>2514</v>
      </c>
      <c r="E380" s="895">
        <f t="shared" si="29"/>
        <v>-3.5</v>
      </c>
      <c r="F380" s="905">
        <f>국가별수입!AH420-국가별수입!AH380</f>
        <v>23177</v>
      </c>
      <c r="G380" s="895">
        <f t="shared" si="30"/>
        <v>13.2</v>
      </c>
    </row>
    <row r="381" spans="1:7" s="846" customFormat="1" ht="19.5" customHeight="1">
      <c r="A381" s="891" t="s">
        <v>63</v>
      </c>
      <c r="B381" s="326">
        <f>국가별수입!AD421-국가별수입!AD381</f>
        <v>8555</v>
      </c>
      <c r="C381" s="905">
        <f>국가별수입!AE421-국가별수입!AE381</f>
        <v>22868</v>
      </c>
      <c r="D381" s="326">
        <f>국가별수입!AF421-국가별수입!AF381</f>
        <v>9104</v>
      </c>
      <c r="E381" s="895">
        <f t="shared" si="29"/>
        <v>6.4</v>
      </c>
      <c r="F381" s="905">
        <f>국가별수입!AH421-국가별수입!AH381</f>
        <v>20942</v>
      </c>
      <c r="G381" s="895">
        <f t="shared" si="30"/>
        <v>-8.4</v>
      </c>
    </row>
    <row r="382" spans="1:7" s="846" customFormat="1" ht="19.5" customHeight="1">
      <c r="A382" s="891" t="s">
        <v>55</v>
      </c>
      <c r="B382" s="326">
        <f>국가별수입!AD422-국가별수입!AD382</f>
        <v>9523</v>
      </c>
      <c r="C382" s="905">
        <f>국가별수입!AE422-국가별수입!AE382</f>
        <v>20182</v>
      </c>
      <c r="D382" s="326">
        <f>국가별수입!AF422-국가별수입!AF382</f>
        <v>10669</v>
      </c>
      <c r="E382" s="895">
        <f t="shared" si="29"/>
        <v>12</v>
      </c>
      <c r="F382" s="905">
        <f>국가별수입!AH422-국가별수입!AH382</f>
        <v>27196</v>
      </c>
      <c r="G382" s="895">
        <f t="shared" si="30"/>
        <v>34.799999999999997</v>
      </c>
    </row>
    <row r="383" spans="1:7" s="846" customFormat="1" ht="19.5" customHeight="1">
      <c r="A383" s="891" t="s">
        <v>51</v>
      </c>
      <c r="B383" s="326">
        <f>국가별수입!AD423-국가별수입!AD383</f>
        <v>6420</v>
      </c>
      <c r="C383" s="905">
        <f>국가별수입!AE423-국가별수입!AE383</f>
        <v>19217</v>
      </c>
      <c r="D383" s="326">
        <f>국가별수입!AF423-국가별수입!AF383</f>
        <v>7032</v>
      </c>
      <c r="E383" s="895">
        <f t="shared" si="29"/>
        <v>9.5</v>
      </c>
      <c r="F383" s="905">
        <f>국가별수입!AH423-국가별수입!AH383</f>
        <v>24343</v>
      </c>
      <c r="G383" s="895">
        <f t="shared" si="30"/>
        <v>26.7</v>
      </c>
    </row>
    <row r="384" spans="1:7" s="846" customFormat="1" ht="19.5" customHeight="1">
      <c r="A384" s="891" t="s">
        <v>72</v>
      </c>
      <c r="B384" s="326">
        <f>국가별수입!AD424-국가별수입!AD384</f>
        <v>4704</v>
      </c>
      <c r="C384" s="905">
        <f>국가별수입!AE424-국가별수입!AE384</f>
        <v>18565</v>
      </c>
      <c r="D384" s="326">
        <f>국가별수입!AF424-국가별수입!AF384</f>
        <v>4767</v>
      </c>
      <c r="E384" s="895">
        <f t="shared" si="29"/>
        <v>1.3</v>
      </c>
      <c r="F384" s="905">
        <f>국가별수입!AH424-국가별수입!AH384</f>
        <v>14492</v>
      </c>
      <c r="G384" s="895">
        <f t="shared" si="30"/>
        <v>-21.9</v>
      </c>
    </row>
    <row r="385" spans="1:7" s="846" customFormat="1" ht="19.5" customHeight="1">
      <c r="A385" s="891" t="s">
        <v>87</v>
      </c>
      <c r="B385" s="326">
        <f>국가별수입!AD425-국가별수입!AD385</f>
        <v>8497</v>
      </c>
      <c r="C385" s="905">
        <f>국가별수입!AE425-국가별수입!AE385</f>
        <v>17576</v>
      </c>
      <c r="D385" s="326">
        <f>국가별수입!AF425-국가별수입!AF385</f>
        <v>7413</v>
      </c>
      <c r="E385" s="895">
        <f t="shared" si="29"/>
        <v>-12.8</v>
      </c>
      <c r="F385" s="905">
        <f>국가별수입!AH425-국가별수입!AH385</f>
        <v>14971</v>
      </c>
      <c r="G385" s="895">
        <f t="shared" si="30"/>
        <v>-14.8</v>
      </c>
    </row>
    <row r="386" spans="1:7" s="846" customFormat="1" ht="19.5" customHeight="1">
      <c r="A386" s="891" t="s">
        <v>59</v>
      </c>
      <c r="B386" s="326">
        <f>국가별수입!AD426-국가별수입!AD386</f>
        <v>4962</v>
      </c>
      <c r="C386" s="905">
        <f>국가별수입!AE426-국가별수입!AE386</f>
        <v>14582</v>
      </c>
      <c r="D386" s="326">
        <f>국가별수입!AF426-국가별수입!AF386</f>
        <v>4345</v>
      </c>
      <c r="E386" s="895">
        <f t="shared" si="29"/>
        <v>-12.4</v>
      </c>
      <c r="F386" s="905">
        <f>국가별수입!AH426-국가별수입!AH386</f>
        <v>19081</v>
      </c>
      <c r="G386" s="895">
        <f t="shared" si="30"/>
        <v>30.9</v>
      </c>
    </row>
    <row r="387" spans="1:7" s="846" customFormat="1" ht="19.5" customHeight="1">
      <c r="A387" s="891" t="s">
        <v>90</v>
      </c>
      <c r="B387" s="326">
        <f>국가별수입!AD427-국가별수입!AD387</f>
        <v>5366</v>
      </c>
      <c r="C387" s="905">
        <f>국가별수입!AE427-국가별수입!AE387</f>
        <v>10850</v>
      </c>
      <c r="D387" s="326">
        <f>국가별수입!AF427-국가별수입!AF387</f>
        <v>9107</v>
      </c>
      <c r="E387" s="895">
        <f t="shared" si="29"/>
        <v>69.7</v>
      </c>
      <c r="F387" s="905">
        <f>국가별수입!AH427-국가별수입!AH387</f>
        <v>17952</v>
      </c>
      <c r="G387" s="895">
        <f t="shared" si="30"/>
        <v>65.5</v>
      </c>
    </row>
    <row r="388" spans="1:7" s="846" customFormat="1" ht="19.5" customHeight="1">
      <c r="A388" s="891" t="s">
        <v>76</v>
      </c>
      <c r="B388" s="326">
        <f>국가별수입!AD428-국가별수입!AD388</f>
        <v>982</v>
      </c>
      <c r="C388" s="905">
        <f>국가별수입!AE428-국가별수입!AE388</f>
        <v>14420</v>
      </c>
      <c r="D388" s="326">
        <f>국가별수입!AF428-국가별수입!AF388</f>
        <v>956</v>
      </c>
      <c r="E388" s="895">
        <f t="shared" si="29"/>
        <v>-2.6</v>
      </c>
      <c r="F388" s="905">
        <f>국가별수입!AH428-국가별수입!AH388</f>
        <v>8325</v>
      </c>
      <c r="G388" s="895">
        <f t="shared" si="30"/>
        <v>-42.3</v>
      </c>
    </row>
    <row r="389" spans="1:7" s="846" customFormat="1" ht="19.5" customHeight="1">
      <c r="A389" s="891" t="s">
        <v>91</v>
      </c>
      <c r="B389" s="326">
        <f>국가별수입!AD429-국가별수입!AD389</f>
        <v>3966</v>
      </c>
      <c r="C389" s="905">
        <f>국가별수입!AE429-국가별수입!AE389</f>
        <v>8075</v>
      </c>
      <c r="D389" s="326">
        <f>국가별수입!AF429-국가별수입!AF389</f>
        <v>4968</v>
      </c>
      <c r="E389" s="895">
        <f t="shared" si="29"/>
        <v>25.3</v>
      </c>
      <c r="F389" s="905">
        <f>국가별수입!AH429-국가별수입!AH389</f>
        <v>10035</v>
      </c>
      <c r="G389" s="895">
        <f t="shared" si="30"/>
        <v>24.3</v>
      </c>
    </row>
    <row r="390" spans="1:7" s="846" customFormat="1" ht="19.5" customHeight="1">
      <c r="A390" s="891" t="s">
        <v>308</v>
      </c>
      <c r="B390" s="326">
        <f>국가별수입!AD430-국가별수입!AD390</f>
        <v>776</v>
      </c>
      <c r="C390" s="905">
        <f>국가별수입!AE430-국가별수입!AE390</f>
        <v>12884</v>
      </c>
      <c r="D390" s="326">
        <f>국가별수입!AF430-국가별수입!AF390</f>
        <v>24</v>
      </c>
      <c r="E390" s="895">
        <f t="shared" si="29"/>
        <v>-96.9</v>
      </c>
      <c r="F390" s="905">
        <f>국가별수입!AH430-국가별수입!AH390</f>
        <v>282</v>
      </c>
      <c r="G390" s="895">
        <f t="shared" si="30"/>
        <v>-97.8</v>
      </c>
    </row>
    <row r="391" spans="1:7" s="846" customFormat="1" ht="19.5" customHeight="1">
      <c r="A391" s="891" t="s">
        <v>71</v>
      </c>
      <c r="B391" s="326">
        <f>국가별수입!AD431-국가별수입!AD391</f>
        <v>2892</v>
      </c>
      <c r="C391" s="905">
        <f>국가별수입!AE431-국가별수입!AE391</f>
        <v>8880</v>
      </c>
      <c r="D391" s="326">
        <f>국가별수입!AF431-국가별수입!AF391</f>
        <v>3092</v>
      </c>
      <c r="E391" s="895">
        <f t="shared" si="29"/>
        <v>6.9</v>
      </c>
      <c r="F391" s="905">
        <f>국가별수입!AH431-국가별수입!AH391</f>
        <v>8766</v>
      </c>
      <c r="G391" s="895">
        <f t="shared" si="30"/>
        <v>-1.3</v>
      </c>
    </row>
    <row r="392" spans="1:7" s="846" customFormat="1" ht="19.5" customHeight="1">
      <c r="A392" s="891" t="s">
        <v>88</v>
      </c>
      <c r="B392" s="326">
        <f>국가별수입!AD432-국가별수입!AD392</f>
        <v>3032</v>
      </c>
      <c r="C392" s="905">
        <f>국가별수입!AE432-국가별수입!AE392</f>
        <v>11098</v>
      </c>
      <c r="D392" s="905">
        <f>국가별수입!AF432-국가별수입!AF392</f>
        <v>2272</v>
      </c>
      <c r="E392" s="895">
        <f t="shared" si="29"/>
        <v>-25.1</v>
      </c>
      <c r="F392" s="905">
        <f>국가별수입!AH432-국가별수입!AH392</f>
        <v>8010</v>
      </c>
      <c r="G392" s="895">
        <f t="shared" si="30"/>
        <v>-27.8</v>
      </c>
    </row>
    <row r="393" spans="1:7" s="846" customFormat="1" ht="19.5" customHeight="1">
      <c r="A393" s="891" t="s">
        <v>65</v>
      </c>
      <c r="B393" s="326">
        <f>국가별수입!AD433-국가별수입!AD393</f>
        <v>4046</v>
      </c>
      <c r="C393" s="905">
        <f>국가별수입!AE433-국가별수입!AE393</f>
        <v>9468</v>
      </c>
      <c r="D393" s="905">
        <f>국가별수입!AF433-국가별수입!AF393</f>
        <v>6870</v>
      </c>
      <c r="E393" s="895">
        <f t="shared" si="29"/>
        <v>69.8</v>
      </c>
      <c r="F393" s="905">
        <f>국가별수입!AH433-국가별수입!AH393</f>
        <v>22102</v>
      </c>
      <c r="G393" s="895">
        <f t="shared" si="30"/>
        <v>133.4</v>
      </c>
    </row>
    <row r="394" spans="1:7" s="846" customFormat="1" ht="19.5" customHeight="1">
      <c r="A394" s="891" t="s">
        <v>66</v>
      </c>
      <c r="B394" s="326">
        <f>국가별수입!AD434-국가별수입!AD394</f>
        <v>1727</v>
      </c>
      <c r="C394" s="905">
        <f>국가별수입!AE434-국가별수입!AE394</f>
        <v>6767</v>
      </c>
      <c r="D394" s="905">
        <f>국가별수입!AF434-국가별수입!AF394</f>
        <v>914</v>
      </c>
      <c r="E394" s="895">
        <f t="shared" si="29"/>
        <v>-47.1</v>
      </c>
      <c r="F394" s="905">
        <f>국가별수입!AH434-국가별수입!AH394</f>
        <v>5293</v>
      </c>
      <c r="G394" s="895">
        <f t="shared" si="30"/>
        <v>-21.8</v>
      </c>
    </row>
    <row r="395" spans="1:7" s="846" customFormat="1" ht="19.5" customHeight="1">
      <c r="A395" s="891" t="s">
        <v>89</v>
      </c>
      <c r="B395" s="326">
        <f>국가별수입!AD435-국가별수입!AD395</f>
        <v>804</v>
      </c>
      <c r="C395" s="905">
        <f>국가별수입!AE435-국가별수입!AE395</f>
        <v>2817</v>
      </c>
      <c r="D395" s="905">
        <f>국가별수입!AF435-국가별수입!AF395</f>
        <v>1218</v>
      </c>
      <c r="E395" s="895">
        <f t="shared" si="29"/>
        <v>51.5</v>
      </c>
      <c r="F395" s="905">
        <f>국가별수입!AH435-국가별수입!AH395</f>
        <v>2624</v>
      </c>
      <c r="G395" s="895">
        <f t="shared" si="30"/>
        <v>-6.9</v>
      </c>
    </row>
    <row r="396" spans="1:7" s="846" customFormat="1" ht="19.5" customHeight="1">
      <c r="A396" s="891" t="s">
        <v>309</v>
      </c>
      <c r="B396" s="326">
        <f>국가별수입!AD436-국가별수입!AD396</f>
        <v>332</v>
      </c>
      <c r="C396" s="905">
        <f>국가별수입!AE436-국가별수입!AE396</f>
        <v>5662</v>
      </c>
      <c r="D396" s="905">
        <f>국가별수입!AF436-국가별수입!AF396</f>
        <v>274</v>
      </c>
      <c r="E396" s="895">
        <f t="shared" si="29"/>
        <v>-17.5</v>
      </c>
      <c r="F396" s="905">
        <f>국가별수입!AH436-국가별수입!AH396</f>
        <v>4736</v>
      </c>
      <c r="G396" s="895">
        <f t="shared" si="30"/>
        <v>-16.399999999999999</v>
      </c>
    </row>
    <row r="397" spans="1:7" s="846" customFormat="1" ht="19.5" customHeight="1">
      <c r="A397" s="891" t="s">
        <v>92</v>
      </c>
      <c r="B397" s="905">
        <f>국가별수입!AD437-국가별수입!AD397</f>
        <v>1566</v>
      </c>
      <c r="C397" s="905">
        <f>국가별수입!AE437-국가별수입!AE397</f>
        <v>4996</v>
      </c>
      <c r="D397" s="905">
        <f>국가별수입!AF437-국가별수입!AF397</f>
        <v>2577</v>
      </c>
      <c r="E397" s="895">
        <f t="shared" si="29"/>
        <v>64.599999999999994</v>
      </c>
      <c r="F397" s="905">
        <f>국가별수입!AH437-국가별수입!AH397</f>
        <v>7205</v>
      </c>
      <c r="G397" s="895">
        <f t="shared" si="30"/>
        <v>44.2</v>
      </c>
    </row>
    <row r="398" spans="1:7" s="846" customFormat="1" ht="19.5" customHeight="1">
      <c r="A398" s="903" t="s">
        <v>24</v>
      </c>
      <c r="B398" s="892">
        <f t="shared" ref="B398:D398" si="31">B399-SUM(B368:B397)</f>
        <v>26002</v>
      </c>
      <c r="C398" s="892">
        <f t="shared" si="31"/>
        <v>88708</v>
      </c>
      <c r="D398" s="892">
        <f t="shared" si="31"/>
        <v>27922</v>
      </c>
      <c r="E398" s="896">
        <f t="shared" si="29"/>
        <v>7.4</v>
      </c>
      <c r="F398" s="892">
        <f>F399-SUM(F368:F397)</f>
        <v>176627</v>
      </c>
      <c r="G398" s="896">
        <f t="shared" si="30"/>
        <v>99.1</v>
      </c>
    </row>
    <row r="399" spans="1:7" s="846" customFormat="1" ht="19.5" customHeight="1">
      <c r="A399" s="904" t="s">
        <v>79</v>
      </c>
      <c r="B399" s="908">
        <f>국가별수입!AD439-국가별수입!AD399</f>
        <v>357876</v>
      </c>
      <c r="C399" s="908">
        <f>국가별수입!AE439-국가별수입!AE399</f>
        <v>1172549</v>
      </c>
      <c r="D399" s="908">
        <f>국가별수입!AF439-국가별수입!AF399</f>
        <v>349580</v>
      </c>
      <c r="E399" s="906">
        <f t="shared" si="29"/>
        <v>-2.2999999999999998</v>
      </c>
      <c r="F399" s="907">
        <f>국가별수입!AH439-국가별수입!AH399</f>
        <v>1217511</v>
      </c>
      <c r="G399" s="906">
        <f t="shared" si="30"/>
        <v>3.8</v>
      </c>
    </row>
  </sheetData>
  <mergeCells count="100">
    <mergeCell ref="A361:G361"/>
    <mergeCell ref="F363:G363"/>
    <mergeCell ref="A364:A367"/>
    <mergeCell ref="B364:G364"/>
    <mergeCell ref="B365:C365"/>
    <mergeCell ref="D365:G365"/>
    <mergeCell ref="B366:B367"/>
    <mergeCell ref="C366:C367"/>
    <mergeCell ref="D366:D367"/>
    <mergeCell ref="F366:F367"/>
    <mergeCell ref="A321:G321"/>
    <mergeCell ref="F323:G323"/>
    <mergeCell ref="A324:A327"/>
    <mergeCell ref="B324:G324"/>
    <mergeCell ref="B325:C325"/>
    <mergeCell ref="D325:G325"/>
    <mergeCell ref="B326:B327"/>
    <mergeCell ref="C326:C327"/>
    <mergeCell ref="D326:D327"/>
    <mergeCell ref="F326:F327"/>
    <mergeCell ref="A281:G281"/>
    <mergeCell ref="F283:G283"/>
    <mergeCell ref="A284:A287"/>
    <mergeCell ref="B284:G284"/>
    <mergeCell ref="B285:C285"/>
    <mergeCell ref="D285:G285"/>
    <mergeCell ref="B286:B287"/>
    <mergeCell ref="C286:C287"/>
    <mergeCell ref="D286:D287"/>
    <mergeCell ref="F286:F287"/>
    <mergeCell ref="A241:G241"/>
    <mergeCell ref="F243:G243"/>
    <mergeCell ref="A244:A247"/>
    <mergeCell ref="B244:G244"/>
    <mergeCell ref="B245:C245"/>
    <mergeCell ref="D245:G245"/>
    <mergeCell ref="B246:B247"/>
    <mergeCell ref="C246:C247"/>
    <mergeCell ref="D246:D247"/>
    <mergeCell ref="F246:F247"/>
    <mergeCell ref="A81:G81"/>
    <mergeCell ref="F83:G83"/>
    <mergeCell ref="A84:A87"/>
    <mergeCell ref="B84:G84"/>
    <mergeCell ref="B85:C85"/>
    <mergeCell ref="D85:G85"/>
    <mergeCell ref="B86:B87"/>
    <mergeCell ref="C86:C87"/>
    <mergeCell ref="D86:D87"/>
    <mergeCell ref="F86:F87"/>
    <mergeCell ref="A1:G1"/>
    <mergeCell ref="F3:G3"/>
    <mergeCell ref="A4:A7"/>
    <mergeCell ref="B4:G4"/>
    <mergeCell ref="B5:C5"/>
    <mergeCell ref="D5:G5"/>
    <mergeCell ref="B6:B7"/>
    <mergeCell ref="C6:C7"/>
    <mergeCell ref="D6:D7"/>
    <mergeCell ref="F6:F7"/>
    <mergeCell ref="A41:G41"/>
    <mergeCell ref="F43:G43"/>
    <mergeCell ref="A44:A47"/>
    <mergeCell ref="B44:G44"/>
    <mergeCell ref="B45:C45"/>
    <mergeCell ref="D45:G45"/>
    <mergeCell ref="B46:B47"/>
    <mergeCell ref="C46:C47"/>
    <mergeCell ref="D46:D47"/>
    <mergeCell ref="F46:F47"/>
    <mergeCell ref="A121:G121"/>
    <mergeCell ref="F123:G123"/>
    <mergeCell ref="A124:A127"/>
    <mergeCell ref="B124:G124"/>
    <mergeCell ref="B125:C125"/>
    <mergeCell ref="D125:G125"/>
    <mergeCell ref="B126:B127"/>
    <mergeCell ref="C126:C127"/>
    <mergeCell ref="D126:D127"/>
    <mergeCell ref="F126:F127"/>
    <mergeCell ref="A161:G161"/>
    <mergeCell ref="F163:G163"/>
    <mergeCell ref="A164:A167"/>
    <mergeCell ref="B164:G164"/>
    <mergeCell ref="B165:C165"/>
    <mergeCell ref="D165:G165"/>
    <mergeCell ref="B166:B167"/>
    <mergeCell ref="C166:C167"/>
    <mergeCell ref="D166:D167"/>
    <mergeCell ref="F166:F167"/>
    <mergeCell ref="A201:G201"/>
    <mergeCell ref="F203:G203"/>
    <mergeCell ref="A204:A207"/>
    <mergeCell ref="B204:G204"/>
    <mergeCell ref="B205:C205"/>
    <mergeCell ref="D205:G205"/>
    <mergeCell ref="B206:B207"/>
    <mergeCell ref="C206:C207"/>
    <mergeCell ref="D206:D207"/>
    <mergeCell ref="F206:F207"/>
  </mergeCells>
  <phoneticPr fontId="2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9"/>
  <sheetViews>
    <sheetView topLeftCell="A401" workbookViewId="0">
      <selection activeCell="A401" sqref="A401:AI401"/>
    </sheetView>
  </sheetViews>
  <sheetFormatPr defaultRowHeight="16.5"/>
  <cols>
    <col min="1" max="1" width="22.625" style="24" customWidth="1"/>
    <col min="2" max="2" width="12.625" style="24" hidden="1" customWidth="1"/>
    <col min="3" max="3" width="12.625" style="25" hidden="1" customWidth="1"/>
    <col min="4" max="4" width="12.625" style="26" hidden="1" customWidth="1"/>
    <col min="5" max="5" width="12.625" style="38" hidden="1" customWidth="1"/>
    <col min="6" max="21" width="12.625" style="25" hidden="1" customWidth="1"/>
    <col min="22" max="23" width="12.625" style="170" hidden="1" customWidth="1"/>
    <col min="24" max="29" width="12.625" style="25" hidden="1" customWidth="1"/>
    <col min="30" max="32" width="12.625" style="25" customWidth="1"/>
    <col min="33" max="33" width="8.625" style="25" customWidth="1"/>
    <col min="34" max="34" width="12.625" style="25" customWidth="1"/>
    <col min="35" max="35" width="8.625" style="25" customWidth="1"/>
    <col min="36" max="16384" width="9" style="291"/>
  </cols>
  <sheetData>
    <row r="1" spans="1:35" ht="22.5" hidden="1" customHeight="1">
      <c r="A1" s="1095" t="s">
        <v>461</v>
      </c>
      <c r="B1" s="1095"/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  <c r="AA1" s="1095"/>
      <c r="AB1" s="1095"/>
      <c r="AC1" s="1095"/>
      <c r="AD1" s="1095"/>
      <c r="AE1" s="1095"/>
      <c r="AF1" s="1095"/>
      <c r="AG1" s="1095"/>
      <c r="AH1" s="1095"/>
      <c r="AI1" s="1095"/>
    </row>
    <row r="2" spans="1:35" ht="22.5" hidden="1" customHeight="1">
      <c r="A2" s="395"/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</row>
    <row r="3" spans="1:35" hidden="1">
      <c r="AI3" s="30" t="s">
        <v>0</v>
      </c>
    </row>
    <row r="4" spans="1:35" ht="21.75" hidden="1" customHeight="1">
      <c r="A4" s="1149" t="s">
        <v>43</v>
      </c>
      <c r="B4" s="1151" t="s">
        <v>451</v>
      </c>
      <c r="C4" s="1153"/>
      <c r="D4" s="1153"/>
      <c r="E4" s="1152"/>
      <c r="F4" s="1151" t="s">
        <v>452</v>
      </c>
      <c r="G4" s="1153"/>
      <c r="H4" s="1153"/>
      <c r="I4" s="1152"/>
      <c r="J4" s="1151" t="s">
        <v>453</v>
      </c>
      <c r="K4" s="1153"/>
      <c r="L4" s="1153"/>
      <c r="M4" s="1152"/>
      <c r="N4" s="1151" t="s">
        <v>454</v>
      </c>
      <c r="O4" s="1153"/>
      <c r="P4" s="1153"/>
      <c r="Q4" s="1152"/>
      <c r="R4" s="1151" t="s">
        <v>455</v>
      </c>
      <c r="S4" s="1153"/>
      <c r="T4" s="1153"/>
      <c r="U4" s="1152"/>
      <c r="V4" s="1151" t="s">
        <v>456</v>
      </c>
      <c r="W4" s="1153"/>
      <c r="X4" s="1153"/>
      <c r="Y4" s="1152"/>
      <c r="Z4" s="1151" t="s">
        <v>457</v>
      </c>
      <c r="AA4" s="1153"/>
      <c r="AB4" s="1153"/>
      <c r="AC4" s="1152"/>
      <c r="AD4" s="1151" t="s">
        <v>458</v>
      </c>
      <c r="AE4" s="1153"/>
      <c r="AF4" s="1153"/>
      <c r="AG4" s="1153"/>
      <c r="AH4" s="1153"/>
      <c r="AI4" s="1152"/>
    </row>
    <row r="5" spans="1:35" ht="21" hidden="1" customHeight="1">
      <c r="A5" s="1154"/>
      <c r="B5" s="1151" t="s">
        <v>315</v>
      </c>
      <c r="C5" s="1152"/>
      <c r="D5" s="1151" t="s">
        <v>459</v>
      </c>
      <c r="E5" s="1152"/>
      <c r="F5" s="1151" t="s">
        <v>315</v>
      </c>
      <c r="G5" s="1152"/>
      <c r="H5" s="1151" t="s">
        <v>459</v>
      </c>
      <c r="I5" s="1152"/>
      <c r="J5" s="1151" t="s">
        <v>315</v>
      </c>
      <c r="K5" s="1152"/>
      <c r="L5" s="1151" t="s">
        <v>459</v>
      </c>
      <c r="M5" s="1152"/>
      <c r="N5" s="1151" t="s">
        <v>315</v>
      </c>
      <c r="O5" s="1152"/>
      <c r="P5" s="1151" t="s">
        <v>459</v>
      </c>
      <c r="Q5" s="1152"/>
      <c r="R5" s="1151" t="s">
        <v>315</v>
      </c>
      <c r="S5" s="1152"/>
      <c r="T5" s="1151" t="s">
        <v>459</v>
      </c>
      <c r="U5" s="1152"/>
      <c r="V5" s="1151" t="s">
        <v>315</v>
      </c>
      <c r="W5" s="1152"/>
      <c r="X5" s="1151" t="s">
        <v>459</v>
      </c>
      <c r="Y5" s="1152"/>
      <c r="Z5" s="1151" t="s">
        <v>315</v>
      </c>
      <c r="AA5" s="1152"/>
      <c r="AB5" s="1151" t="s">
        <v>459</v>
      </c>
      <c r="AC5" s="1152"/>
      <c r="AD5" s="1151" t="s">
        <v>315</v>
      </c>
      <c r="AE5" s="1152"/>
      <c r="AF5" s="1151" t="s">
        <v>459</v>
      </c>
      <c r="AG5" s="1153"/>
      <c r="AH5" s="1153"/>
      <c r="AI5" s="1152"/>
    </row>
    <row r="6" spans="1:35" ht="16.5" hidden="1" customHeight="1">
      <c r="A6" s="1154"/>
      <c r="B6" s="1149" t="s">
        <v>44</v>
      </c>
      <c r="C6" s="1149" t="s">
        <v>45</v>
      </c>
      <c r="D6" s="1149" t="s">
        <v>46</v>
      </c>
      <c r="E6" s="1149" t="s">
        <v>45</v>
      </c>
      <c r="F6" s="1149" t="s">
        <v>47</v>
      </c>
      <c r="G6" s="1149" t="s">
        <v>45</v>
      </c>
      <c r="H6" s="1149" t="s">
        <v>46</v>
      </c>
      <c r="I6" s="1149" t="s">
        <v>45</v>
      </c>
      <c r="J6" s="1149" t="s">
        <v>44</v>
      </c>
      <c r="K6" s="1149" t="s">
        <v>45</v>
      </c>
      <c r="L6" s="1149" t="s">
        <v>46</v>
      </c>
      <c r="M6" s="1149" t="s">
        <v>45</v>
      </c>
      <c r="N6" s="1149" t="s">
        <v>44</v>
      </c>
      <c r="O6" s="1149" t="s">
        <v>45</v>
      </c>
      <c r="P6" s="1149" t="s">
        <v>46</v>
      </c>
      <c r="Q6" s="1149" t="s">
        <v>45</v>
      </c>
      <c r="R6" s="1149" t="s">
        <v>44</v>
      </c>
      <c r="S6" s="1149" t="s">
        <v>45</v>
      </c>
      <c r="T6" s="1149" t="s">
        <v>46</v>
      </c>
      <c r="U6" s="1149" t="s">
        <v>45</v>
      </c>
      <c r="V6" s="1149" t="s">
        <v>44</v>
      </c>
      <c r="W6" s="1149" t="s">
        <v>45</v>
      </c>
      <c r="X6" s="1149" t="s">
        <v>48</v>
      </c>
      <c r="Y6" s="1149" t="s">
        <v>45</v>
      </c>
      <c r="Z6" s="1149" t="s">
        <v>44</v>
      </c>
      <c r="AA6" s="1149" t="s">
        <v>45</v>
      </c>
      <c r="AB6" s="1149" t="s">
        <v>46</v>
      </c>
      <c r="AC6" s="1149" t="s">
        <v>45</v>
      </c>
      <c r="AD6" s="1149" t="s">
        <v>44</v>
      </c>
      <c r="AE6" s="1149" t="s">
        <v>45</v>
      </c>
      <c r="AF6" s="1147" t="s">
        <v>46</v>
      </c>
      <c r="AG6" s="31"/>
      <c r="AH6" s="1147" t="s">
        <v>45</v>
      </c>
      <c r="AI6" s="31"/>
    </row>
    <row r="7" spans="1:35" ht="16.5" hidden="1" customHeight="1" thickBot="1">
      <c r="A7" s="1150"/>
      <c r="B7" s="1150"/>
      <c r="C7" s="1150"/>
      <c r="D7" s="1150"/>
      <c r="E7" s="1150"/>
      <c r="F7" s="1150"/>
      <c r="G7" s="1150"/>
      <c r="H7" s="1150"/>
      <c r="I7" s="1150"/>
      <c r="J7" s="1150"/>
      <c r="K7" s="1150"/>
      <c r="L7" s="1150"/>
      <c r="M7" s="1150"/>
      <c r="N7" s="1150"/>
      <c r="O7" s="1150"/>
      <c r="P7" s="1150"/>
      <c r="Q7" s="1150"/>
      <c r="R7" s="1150"/>
      <c r="S7" s="1150"/>
      <c r="T7" s="1150"/>
      <c r="U7" s="1150"/>
      <c r="V7" s="1150"/>
      <c r="W7" s="1150"/>
      <c r="X7" s="1150"/>
      <c r="Y7" s="1150"/>
      <c r="Z7" s="1150"/>
      <c r="AA7" s="1150"/>
      <c r="AB7" s="1150"/>
      <c r="AC7" s="1150"/>
      <c r="AD7" s="1150"/>
      <c r="AE7" s="1150"/>
      <c r="AF7" s="1148"/>
      <c r="AG7" s="32" t="s">
        <v>49</v>
      </c>
      <c r="AH7" s="1148"/>
      <c r="AI7" s="32" t="s">
        <v>49</v>
      </c>
    </row>
    <row r="8" spans="1:35" ht="19.5" hidden="1" customHeight="1" thickTop="1">
      <c r="A8" s="33" t="s">
        <v>50</v>
      </c>
      <c r="B8" s="36">
        <v>7551</v>
      </c>
      <c r="C8" s="36">
        <v>50223</v>
      </c>
      <c r="D8" s="36">
        <v>6787</v>
      </c>
      <c r="E8" s="36">
        <v>43462</v>
      </c>
      <c r="F8" s="36">
        <v>134</v>
      </c>
      <c r="G8" s="36">
        <v>6864</v>
      </c>
      <c r="H8" s="36">
        <v>137</v>
      </c>
      <c r="I8" s="36">
        <v>5365</v>
      </c>
      <c r="J8" s="36">
        <v>46378</v>
      </c>
      <c r="K8" s="36">
        <v>131905</v>
      </c>
      <c r="L8" s="36">
        <v>31443</v>
      </c>
      <c r="M8" s="36">
        <v>99553</v>
      </c>
      <c r="N8" s="36">
        <v>7</v>
      </c>
      <c r="O8" s="36">
        <v>25</v>
      </c>
      <c r="P8" s="36">
        <v>3</v>
      </c>
      <c r="Q8" s="36">
        <v>18</v>
      </c>
      <c r="R8" s="36">
        <v>125</v>
      </c>
      <c r="S8" s="36">
        <v>1097</v>
      </c>
      <c r="T8" s="36">
        <v>62</v>
      </c>
      <c r="U8" s="36">
        <v>575</v>
      </c>
      <c r="V8" s="36">
        <v>13</v>
      </c>
      <c r="W8" s="36">
        <v>152</v>
      </c>
      <c r="X8" s="36">
        <v>44</v>
      </c>
      <c r="Y8" s="36">
        <v>715</v>
      </c>
      <c r="Z8" s="36">
        <v>11753</v>
      </c>
      <c r="AA8" s="36">
        <v>56962</v>
      </c>
      <c r="AB8" s="36">
        <v>11917</v>
      </c>
      <c r="AC8" s="36">
        <v>38236</v>
      </c>
      <c r="AD8" s="36">
        <f>SUM(B8+F8+J8+N8+R8+V8+Z8)</f>
        <v>65961</v>
      </c>
      <c r="AE8" s="36">
        <f>SUM(C8+G8+K8+O8+S8+W8+AA8)</f>
        <v>247228</v>
      </c>
      <c r="AF8" s="36">
        <f>SUM(D8+H8+L8+P8+T8+X8+AB8)</f>
        <v>50393</v>
      </c>
      <c r="AG8" s="41">
        <f>ROUND(((AF8/AD8-1)*100),1)</f>
        <v>-23.6</v>
      </c>
      <c r="AH8" s="36">
        <f>SUM(E8+I8+M8+Q8+U8+Y8+AC8)</f>
        <v>187924</v>
      </c>
      <c r="AI8" s="41">
        <f>ROUND(((AH8/AE8-1)*100),1)</f>
        <v>-24</v>
      </c>
    </row>
    <row r="9" spans="1:35" ht="19.5" hidden="1" customHeight="1">
      <c r="A9" s="33" t="s">
        <v>53</v>
      </c>
      <c r="B9" s="36">
        <v>8952</v>
      </c>
      <c r="C9" s="36">
        <v>55747</v>
      </c>
      <c r="D9" s="36">
        <v>9794</v>
      </c>
      <c r="E9" s="36">
        <v>53164</v>
      </c>
      <c r="F9" s="36">
        <v>152</v>
      </c>
      <c r="G9" s="36">
        <v>7027</v>
      </c>
      <c r="H9" s="36">
        <v>303</v>
      </c>
      <c r="I9" s="36">
        <v>6827</v>
      </c>
      <c r="J9" s="36">
        <v>22873</v>
      </c>
      <c r="K9" s="36">
        <v>54707</v>
      </c>
      <c r="L9" s="36">
        <v>25357</v>
      </c>
      <c r="M9" s="36">
        <v>46447</v>
      </c>
      <c r="N9" s="36">
        <v>236</v>
      </c>
      <c r="O9" s="36">
        <v>484</v>
      </c>
      <c r="P9" s="36">
        <v>6</v>
      </c>
      <c r="Q9" s="36">
        <v>18</v>
      </c>
      <c r="R9" s="36">
        <v>35</v>
      </c>
      <c r="S9" s="36">
        <v>103</v>
      </c>
      <c r="T9" s="36">
        <v>38</v>
      </c>
      <c r="U9" s="36">
        <v>73</v>
      </c>
      <c r="V9" s="36">
        <v>0</v>
      </c>
      <c r="W9" s="36">
        <v>34</v>
      </c>
      <c r="X9" s="36">
        <v>0</v>
      </c>
      <c r="Y9" s="36">
        <v>39</v>
      </c>
      <c r="Z9" s="36">
        <v>209</v>
      </c>
      <c r="AA9" s="36">
        <v>19166</v>
      </c>
      <c r="AB9" s="36">
        <v>202</v>
      </c>
      <c r="AC9" s="36">
        <v>20355</v>
      </c>
      <c r="AD9" s="36">
        <f>SUM(B9+F9+J9+N9+R9+V9+Z9)</f>
        <v>32457</v>
      </c>
      <c r="AE9" s="36">
        <f t="shared" ref="AE9:AF37" si="0">SUM(C9+G9+K9+O9+S9+W9+AA9)</f>
        <v>137268</v>
      </c>
      <c r="AF9" s="36">
        <f t="shared" si="0"/>
        <v>35700</v>
      </c>
      <c r="AG9" s="41">
        <f t="shared" ref="AG9:AG39" si="1">ROUND(((AF9/AD9-1)*100),1)</f>
        <v>10</v>
      </c>
      <c r="AH9" s="36">
        <f t="shared" ref="AH9:AH37" si="2">SUM(E9+I9+M9+Q9+U9+Y9+AC9)</f>
        <v>126923</v>
      </c>
      <c r="AI9" s="41">
        <f t="shared" ref="AI9:AI39" si="3">ROUND(((AH9/AE9-1)*100),1)</f>
        <v>-7.5</v>
      </c>
    </row>
    <row r="10" spans="1:35" ht="19.5" hidden="1" customHeight="1">
      <c r="A10" s="33" t="s">
        <v>54</v>
      </c>
      <c r="B10" s="36">
        <v>3388</v>
      </c>
      <c r="C10" s="36">
        <v>42452</v>
      </c>
      <c r="D10" s="36">
        <v>2881</v>
      </c>
      <c r="E10" s="36">
        <v>37357</v>
      </c>
      <c r="F10" s="36">
        <v>366</v>
      </c>
      <c r="G10" s="36">
        <v>14782</v>
      </c>
      <c r="H10" s="36">
        <v>561</v>
      </c>
      <c r="I10" s="36">
        <v>18248</v>
      </c>
      <c r="J10" s="36">
        <v>9348</v>
      </c>
      <c r="K10" s="36">
        <v>23541</v>
      </c>
      <c r="L10" s="36">
        <v>10511</v>
      </c>
      <c r="M10" s="36">
        <v>22193</v>
      </c>
      <c r="N10" s="36">
        <v>397</v>
      </c>
      <c r="O10" s="36">
        <v>851</v>
      </c>
      <c r="P10" s="36">
        <v>535</v>
      </c>
      <c r="Q10" s="36">
        <v>1097</v>
      </c>
      <c r="R10" s="36">
        <v>0</v>
      </c>
      <c r="S10" s="36">
        <v>10</v>
      </c>
      <c r="T10" s="36">
        <v>45</v>
      </c>
      <c r="U10" s="36">
        <v>121</v>
      </c>
      <c r="V10" s="36">
        <v>28</v>
      </c>
      <c r="W10" s="36">
        <v>1246</v>
      </c>
      <c r="X10" s="36">
        <v>13</v>
      </c>
      <c r="Y10" s="36">
        <v>1056</v>
      </c>
      <c r="Z10" s="36">
        <v>500</v>
      </c>
      <c r="AA10" s="36">
        <v>14348</v>
      </c>
      <c r="AB10" s="36">
        <v>66</v>
      </c>
      <c r="AC10" s="36">
        <v>5168</v>
      </c>
      <c r="AD10" s="36">
        <f t="shared" ref="AD10:AD37" si="4">SUM(B10+F10+J10+N10+R10+V10+Z10)</f>
        <v>14027</v>
      </c>
      <c r="AE10" s="36">
        <f t="shared" si="0"/>
        <v>97230</v>
      </c>
      <c r="AF10" s="36">
        <f t="shared" si="0"/>
        <v>14612</v>
      </c>
      <c r="AG10" s="41">
        <f t="shared" si="1"/>
        <v>4.2</v>
      </c>
      <c r="AH10" s="36">
        <f t="shared" si="2"/>
        <v>85240</v>
      </c>
      <c r="AI10" s="41">
        <f t="shared" si="3"/>
        <v>-12.3</v>
      </c>
    </row>
    <row r="11" spans="1:35" ht="19.5" hidden="1" customHeight="1">
      <c r="A11" s="33" t="s">
        <v>84</v>
      </c>
      <c r="B11" s="36">
        <v>19309</v>
      </c>
      <c r="C11" s="36">
        <v>119797</v>
      </c>
      <c r="D11" s="36">
        <v>13852</v>
      </c>
      <c r="E11" s="36">
        <v>82769</v>
      </c>
      <c r="F11" s="36">
        <v>0</v>
      </c>
      <c r="G11" s="36">
        <v>0</v>
      </c>
      <c r="H11" s="36">
        <v>0</v>
      </c>
      <c r="I11" s="36">
        <v>0</v>
      </c>
      <c r="J11" s="36">
        <v>127</v>
      </c>
      <c r="K11" s="36">
        <v>154</v>
      </c>
      <c r="L11" s="36">
        <v>171</v>
      </c>
      <c r="M11" s="36">
        <v>202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f t="shared" si="4"/>
        <v>19436</v>
      </c>
      <c r="AE11" s="36">
        <f t="shared" si="0"/>
        <v>119951</v>
      </c>
      <c r="AF11" s="36">
        <f t="shared" si="0"/>
        <v>14023</v>
      </c>
      <c r="AG11" s="41">
        <f t="shared" si="1"/>
        <v>-27.9</v>
      </c>
      <c r="AH11" s="36">
        <f t="shared" si="2"/>
        <v>82971</v>
      </c>
      <c r="AI11" s="41">
        <f t="shared" si="3"/>
        <v>-30.8</v>
      </c>
    </row>
    <row r="12" spans="1:35" ht="19.5" hidden="1" customHeight="1">
      <c r="A12" s="33" t="s">
        <v>52</v>
      </c>
      <c r="B12" s="36">
        <v>608</v>
      </c>
      <c r="C12" s="36">
        <v>814</v>
      </c>
      <c r="D12" s="36">
        <v>618</v>
      </c>
      <c r="E12" s="36">
        <v>1508</v>
      </c>
      <c r="F12" s="36">
        <v>62</v>
      </c>
      <c r="G12" s="36">
        <v>1823</v>
      </c>
      <c r="H12" s="36">
        <v>7</v>
      </c>
      <c r="I12" s="36">
        <v>147</v>
      </c>
      <c r="J12" s="36">
        <v>30001</v>
      </c>
      <c r="K12" s="36">
        <v>60166</v>
      </c>
      <c r="L12" s="36">
        <v>38459</v>
      </c>
      <c r="M12" s="36">
        <v>72421</v>
      </c>
      <c r="N12" s="36">
        <v>6585</v>
      </c>
      <c r="O12" s="36">
        <v>13420</v>
      </c>
      <c r="P12" s="36">
        <v>5445</v>
      </c>
      <c r="Q12" s="36">
        <v>11784</v>
      </c>
      <c r="R12" s="36">
        <v>5120</v>
      </c>
      <c r="S12" s="36">
        <v>14266</v>
      </c>
      <c r="T12" s="36">
        <v>2978</v>
      </c>
      <c r="U12" s="36">
        <v>7558</v>
      </c>
      <c r="V12" s="36">
        <v>20</v>
      </c>
      <c r="W12" s="36">
        <v>222</v>
      </c>
      <c r="X12" s="36">
        <v>20</v>
      </c>
      <c r="Y12" s="36">
        <v>192</v>
      </c>
      <c r="Z12" s="36">
        <v>4</v>
      </c>
      <c r="AA12" s="36">
        <v>142</v>
      </c>
      <c r="AB12" s="36">
        <v>9</v>
      </c>
      <c r="AC12" s="36">
        <v>126</v>
      </c>
      <c r="AD12" s="36">
        <f t="shared" si="4"/>
        <v>42400</v>
      </c>
      <c r="AE12" s="36">
        <f t="shared" si="0"/>
        <v>90853</v>
      </c>
      <c r="AF12" s="36">
        <f t="shared" si="0"/>
        <v>47536</v>
      </c>
      <c r="AG12" s="41">
        <f t="shared" si="1"/>
        <v>12.1</v>
      </c>
      <c r="AH12" s="36">
        <f t="shared" si="2"/>
        <v>93736</v>
      </c>
      <c r="AI12" s="41">
        <f t="shared" si="3"/>
        <v>3.2</v>
      </c>
    </row>
    <row r="13" spans="1:35" ht="19.5" hidden="1" customHeight="1">
      <c r="A13" s="33" t="s">
        <v>61</v>
      </c>
      <c r="B13" s="36">
        <v>3774</v>
      </c>
      <c r="C13" s="36">
        <v>23843</v>
      </c>
      <c r="D13" s="36">
        <v>1515</v>
      </c>
      <c r="E13" s="36">
        <v>8532</v>
      </c>
      <c r="F13" s="36">
        <v>1901</v>
      </c>
      <c r="G13" s="36">
        <v>22886</v>
      </c>
      <c r="H13" s="36">
        <v>1733</v>
      </c>
      <c r="I13" s="36">
        <v>24461</v>
      </c>
      <c r="J13" s="36">
        <v>36683</v>
      </c>
      <c r="K13" s="36">
        <v>73649</v>
      </c>
      <c r="L13" s="36">
        <v>30373</v>
      </c>
      <c r="M13" s="36">
        <v>55457</v>
      </c>
      <c r="N13" s="36">
        <v>1777</v>
      </c>
      <c r="O13" s="36">
        <v>3177</v>
      </c>
      <c r="P13" s="36">
        <v>1812</v>
      </c>
      <c r="Q13" s="36">
        <v>3380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128</v>
      </c>
      <c r="AA13" s="36">
        <v>1439</v>
      </c>
      <c r="AB13" s="36">
        <v>229</v>
      </c>
      <c r="AC13" s="36">
        <v>571</v>
      </c>
      <c r="AD13" s="36">
        <f t="shared" si="4"/>
        <v>44263</v>
      </c>
      <c r="AE13" s="36">
        <f t="shared" si="0"/>
        <v>124994</v>
      </c>
      <c r="AF13" s="36">
        <f t="shared" si="0"/>
        <v>35662</v>
      </c>
      <c r="AG13" s="41">
        <f t="shared" si="1"/>
        <v>-19.399999999999999</v>
      </c>
      <c r="AH13" s="36">
        <f t="shared" si="2"/>
        <v>92401</v>
      </c>
      <c r="AI13" s="41">
        <f t="shared" si="3"/>
        <v>-26.1</v>
      </c>
    </row>
    <row r="14" spans="1:35" ht="19.5" hidden="1" customHeight="1">
      <c r="A14" s="33" t="s">
        <v>56</v>
      </c>
      <c r="B14" s="36">
        <v>2162</v>
      </c>
      <c r="C14" s="36">
        <v>13241</v>
      </c>
      <c r="D14" s="36">
        <v>3534</v>
      </c>
      <c r="E14" s="36">
        <v>17813</v>
      </c>
      <c r="F14" s="36">
        <v>1</v>
      </c>
      <c r="G14" s="36">
        <v>18</v>
      </c>
      <c r="H14" s="36">
        <v>1</v>
      </c>
      <c r="I14" s="36">
        <v>13</v>
      </c>
      <c r="J14" s="36">
        <v>13649</v>
      </c>
      <c r="K14" s="36">
        <v>26568</v>
      </c>
      <c r="L14" s="36">
        <v>16196</v>
      </c>
      <c r="M14" s="36">
        <v>30376</v>
      </c>
      <c r="N14" s="36">
        <v>0</v>
      </c>
      <c r="O14" s="36">
        <v>0</v>
      </c>
      <c r="P14" s="36">
        <v>49</v>
      </c>
      <c r="Q14" s="36">
        <v>88</v>
      </c>
      <c r="R14" s="36">
        <v>46</v>
      </c>
      <c r="S14" s="36">
        <v>131</v>
      </c>
      <c r="T14" s="36">
        <v>10</v>
      </c>
      <c r="U14" s="36">
        <v>28</v>
      </c>
      <c r="V14" s="36">
        <v>175</v>
      </c>
      <c r="W14" s="36">
        <v>3360</v>
      </c>
      <c r="X14" s="36">
        <v>145</v>
      </c>
      <c r="Y14" s="36">
        <v>2452</v>
      </c>
      <c r="Z14" s="36">
        <v>12</v>
      </c>
      <c r="AA14" s="36">
        <v>114</v>
      </c>
      <c r="AB14" s="36">
        <v>79</v>
      </c>
      <c r="AC14" s="36">
        <v>203</v>
      </c>
      <c r="AD14" s="36">
        <f t="shared" si="4"/>
        <v>16045</v>
      </c>
      <c r="AE14" s="36">
        <f t="shared" si="0"/>
        <v>43432</v>
      </c>
      <c r="AF14" s="36">
        <f t="shared" si="0"/>
        <v>20014</v>
      </c>
      <c r="AG14" s="41">
        <f t="shared" si="1"/>
        <v>24.7</v>
      </c>
      <c r="AH14" s="36">
        <f t="shared" si="2"/>
        <v>50973</v>
      </c>
      <c r="AI14" s="41">
        <f t="shared" si="3"/>
        <v>17.399999999999999</v>
      </c>
    </row>
    <row r="15" spans="1:35" ht="19.5" hidden="1" customHeight="1">
      <c r="A15" s="33" t="s">
        <v>85</v>
      </c>
      <c r="B15" s="36">
        <v>7231</v>
      </c>
      <c r="C15" s="36">
        <v>44417</v>
      </c>
      <c r="D15" s="36">
        <v>3902</v>
      </c>
      <c r="E15" s="36">
        <v>23755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137</v>
      </c>
      <c r="AC15" s="36">
        <v>1001</v>
      </c>
      <c r="AD15" s="36">
        <f t="shared" si="4"/>
        <v>7231</v>
      </c>
      <c r="AE15" s="36">
        <f t="shared" si="0"/>
        <v>44417</v>
      </c>
      <c r="AF15" s="36">
        <f t="shared" si="0"/>
        <v>4039</v>
      </c>
      <c r="AG15" s="41">
        <f t="shared" si="1"/>
        <v>-44.1</v>
      </c>
      <c r="AH15" s="36">
        <f t="shared" si="2"/>
        <v>24756</v>
      </c>
      <c r="AI15" s="41">
        <f t="shared" si="3"/>
        <v>-44.3</v>
      </c>
    </row>
    <row r="16" spans="1:35" ht="19.5" hidden="1" customHeight="1">
      <c r="A16" s="33" t="s">
        <v>86</v>
      </c>
      <c r="B16" s="36">
        <v>24</v>
      </c>
      <c r="C16" s="36">
        <v>167</v>
      </c>
      <c r="D16" s="36">
        <v>0</v>
      </c>
      <c r="E16" s="36">
        <v>0</v>
      </c>
      <c r="F16" s="36">
        <v>290</v>
      </c>
      <c r="G16" s="36">
        <v>3309</v>
      </c>
      <c r="H16" s="36">
        <v>3</v>
      </c>
      <c r="I16" s="36">
        <v>77</v>
      </c>
      <c r="J16" s="36">
        <v>6293</v>
      </c>
      <c r="K16" s="36">
        <v>12806</v>
      </c>
      <c r="L16" s="36">
        <v>8603</v>
      </c>
      <c r="M16" s="36">
        <v>16716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219</v>
      </c>
      <c r="AA16" s="36">
        <v>1754</v>
      </c>
      <c r="AB16" s="36">
        <v>488</v>
      </c>
      <c r="AC16" s="36">
        <v>3450</v>
      </c>
      <c r="AD16" s="36">
        <f t="shared" si="4"/>
        <v>6826</v>
      </c>
      <c r="AE16" s="36">
        <f t="shared" si="0"/>
        <v>18036</v>
      </c>
      <c r="AF16" s="36">
        <f t="shared" si="0"/>
        <v>9094</v>
      </c>
      <c r="AG16" s="41">
        <f t="shared" si="1"/>
        <v>33.200000000000003</v>
      </c>
      <c r="AH16" s="36">
        <f t="shared" si="2"/>
        <v>20243</v>
      </c>
      <c r="AI16" s="41">
        <f t="shared" si="3"/>
        <v>12.2</v>
      </c>
    </row>
    <row r="17" spans="1:35" ht="19.5" hidden="1" customHeight="1">
      <c r="A17" s="33" t="s">
        <v>64</v>
      </c>
      <c r="B17" s="36">
        <v>969</v>
      </c>
      <c r="C17" s="36">
        <v>8758</v>
      </c>
      <c r="D17" s="36">
        <v>761</v>
      </c>
      <c r="E17" s="36">
        <v>4174</v>
      </c>
      <c r="F17" s="36">
        <v>0</v>
      </c>
      <c r="G17" s="36">
        <v>0</v>
      </c>
      <c r="H17" s="36">
        <v>0</v>
      </c>
      <c r="I17" s="36">
        <v>0</v>
      </c>
      <c r="J17" s="36">
        <v>8780</v>
      </c>
      <c r="K17" s="36">
        <v>16848</v>
      </c>
      <c r="L17" s="36">
        <v>10331</v>
      </c>
      <c r="M17" s="36">
        <v>17740</v>
      </c>
      <c r="N17" s="36">
        <v>518</v>
      </c>
      <c r="O17" s="36">
        <v>1004</v>
      </c>
      <c r="P17" s="36">
        <v>1243</v>
      </c>
      <c r="Q17" s="36">
        <v>2649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32</v>
      </c>
      <c r="AA17" s="36">
        <v>156</v>
      </c>
      <c r="AB17" s="36">
        <v>0</v>
      </c>
      <c r="AC17" s="36">
        <v>0</v>
      </c>
      <c r="AD17" s="36">
        <f t="shared" si="4"/>
        <v>10299</v>
      </c>
      <c r="AE17" s="36">
        <f t="shared" si="0"/>
        <v>26766</v>
      </c>
      <c r="AF17" s="36">
        <f t="shared" si="0"/>
        <v>12335</v>
      </c>
      <c r="AG17" s="41">
        <f t="shared" si="1"/>
        <v>19.8</v>
      </c>
      <c r="AH17" s="36">
        <f t="shared" si="2"/>
        <v>24563</v>
      </c>
      <c r="AI17" s="41">
        <f t="shared" si="3"/>
        <v>-8.1999999999999993</v>
      </c>
    </row>
    <row r="18" spans="1:35" ht="19.5" hidden="1" customHeight="1">
      <c r="A18" s="33" t="s">
        <v>68</v>
      </c>
      <c r="B18" s="36">
        <v>1191</v>
      </c>
      <c r="C18" s="36">
        <v>9243</v>
      </c>
      <c r="D18" s="36">
        <v>744</v>
      </c>
      <c r="E18" s="36">
        <v>5669</v>
      </c>
      <c r="F18" s="36">
        <v>117</v>
      </c>
      <c r="G18" s="36">
        <v>3492</v>
      </c>
      <c r="H18" s="36">
        <v>72</v>
      </c>
      <c r="I18" s="36">
        <v>2451</v>
      </c>
      <c r="J18" s="36">
        <v>8081</v>
      </c>
      <c r="K18" s="36">
        <v>26816</v>
      </c>
      <c r="L18" s="36">
        <v>1743</v>
      </c>
      <c r="M18" s="36">
        <v>9671</v>
      </c>
      <c r="N18" s="36">
        <v>30</v>
      </c>
      <c r="O18" s="36">
        <v>203</v>
      </c>
      <c r="P18" s="36">
        <v>19</v>
      </c>
      <c r="Q18" s="36">
        <v>121</v>
      </c>
      <c r="R18" s="36">
        <v>93</v>
      </c>
      <c r="S18" s="36">
        <v>363</v>
      </c>
      <c r="T18" s="36">
        <v>49</v>
      </c>
      <c r="U18" s="36">
        <v>281</v>
      </c>
      <c r="V18" s="36">
        <v>2</v>
      </c>
      <c r="W18" s="36">
        <v>43</v>
      </c>
      <c r="X18" s="36">
        <v>3</v>
      </c>
      <c r="Y18" s="36">
        <v>56</v>
      </c>
      <c r="Z18" s="36">
        <v>40</v>
      </c>
      <c r="AA18" s="36">
        <v>2871</v>
      </c>
      <c r="AB18" s="36">
        <v>81</v>
      </c>
      <c r="AC18" s="36">
        <v>1806</v>
      </c>
      <c r="AD18" s="36">
        <f t="shared" si="4"/>
        <v>9554</v>
      </c>
      <c r="AE18" s="36">
        <f t="shared" si="0"/>
        <v>43031</v>
      </c>
      <c r="AF18" s="36">
        <f t="shared" si="0"/>
        <v>2711</v>
      </c>
      <c r="AG18" s="41">
        <f t="shared" si="1"/>
        <v>-71.599999999999994</v>
      </c>
      <c r="AH18" s="36">
        <f t="shared" si="2"/>
        <v>20055</v>
      </c>
      <c r="AI18" s="41">
        <f t="shared" si="3"/>
        <v>-53.4</v>
      </c>
    </row>
    <row r="19" spans="1:35" ht="19.5" hidden="1" customHeight="1">
      <c r="A19" s="33" t="s">
        <v>57</v>
      </c>
      <c r="B19" s="36">
        <v>2347</v>
      </c>
      <c r="C19" s="36">
        <v>23643</v>
      </c>
      <c r="D19" s="36">
        <v>2627</v>
      </c>
      <c r="E19" s="36">
        <v>19485</v>
      </c>
      <c r="F19" s="36">
        <v>0</v>
      </c>
      <c r="G19" s="36">
        <v>47</v>
      </c>
      <c r="H19" s="36">
        <v>0</v>
      </c>
      <c r="I19" s="36">
        <v>28</v>
      </c>
      <c r="J19" s="36">
        <v>3295</v>
      </c>
      <c r="K19" s="36">
        <v>5626</v>
      </c>
      <c r="L19" s="36">
        <v>2700</v>
      </c>
      <c r="M19" s="36">
        <v>5391</v>
      </c>
      <c r="N19" s="36">
        <v>0</v>
      </c>
      <c r="O19" s="36">
        <v>0</v>
      </c>
      <c r="P19" s="36">
        <v>0</v>
      </c>
      <c r="Q19" s="36">
        <v>1</v>
      </c>
      <c r="R19" s="36">
        <v>20</v>
      </c>
      <c r="S19" s="36">
        <v>50</v>
      </c>
      <c r="T19" s="36">
        <v>0</v>
      </c>
      <c r="U19" s="36">
        <v>2</v>
      </c>
      <c r="V19" s="36">
        <v>2</v>
      </c>
      <c r="W19" s="36">
        <v>67</v>
      </c>
      <c r="X19" s="36">
        <v>1</v>
      </c>
      <c r="Y19" s="36">
        <v>21</v>
      </c>
      <c r="Z19" s="36">
        <v>67</v>
      </c>
      <c r="AA19" s="36">
        <v>1187</v>
      </c>
      <c r="AB19" s="36">
        <v>45</v>
      </c>
      <c r="AC19" s="36">
        <v>626</v>
      </c>
      <c r="AD19" s="36">
        <f t="shared" si="4"/>
        <v>5731</v>
      </c>
      <c r="AE19" s="36">
        <f t="shared" si="0"/>
        <v>30620</v>
      </c>
      <c r="AF19" s="36">
        <f t="shared" si="0"/>
        <v>5373</v>
      </c>
      <c r="AG19" s="41">
        <f t="shared" si="1"/>
        <v>-6.2</v>
      </c>
      <c r="AH19" s="36">
        <f t="shared" si="2"/>
        <v>25554</v>
      </c>
      <c r="AI19" s="41">
        <f t="shared" si="3"/>
        <v>-16.5</v>
      </c>
    </row>
    <row r="20" spans="1:35" ht="19.5" hidden="1" customHeight="1">
      <c r="A20" s="33" t="s">
        <v>58</v>
      </c>
      <c r="B20" s="36">
        <v>816</v>
      </c>
      <c r="C20" s="36">
        <v>4331</v>
      </c>
      <c r="D20" s="36">
        <v>1129</v>
      </c>
      <c r="E20" s="36">
        <v>6044</v>
      </c>
      <c r="F20" s="36">
        <v>0</v>
      </c>
      <c r="G20" s="36">
        <v>2</v>
      </c>
      <c r="H20" s="36">
        <v>0</v>
      </c>
      <c r="I20" s="36">
        <v>0</v>
      </c>
      <c r="J20" s="36">
        <v>429</v>
      </c>
      <c r="K20" s="36">
        <v>798</v>
      </c>
      <c r="L20" s="36">
        <v>1088</v>
      </c>
      <c r="M20" s="36">
        <v>1725</v>
      </c>
      <c r="N20" s="36">
        <v>20</v>
      </c>
      <c r="O20" s="36">
        <v>206</v>
      </c>
      <c r="P20" s="36">
        <v>20</v>
      </c>
      <c r="Q20" s="36">
        <v>181</v>
      </c>
      <c r="R20" s="36">
        <v>8</v>
      </c>
      <c r="S20" s="36">
        <v>3</v>
      </c>
      <c r="T20" s="36">
        <v>0</v>
      </c>
      <c r="U20" s="36">
        <v>0</v>
      </c>
      <c r="V20" s="36">
        <v>820</v>
      </c>
      <c r="W20" s="36">
        <v>15981</v>
      </c>
      <c r="X20" s="36">
        <v>845</v>
      </c>
      <c r="Y20" s="36">
        <v>14451</v>
      </c>
      <c r="Z20" s="36">
        <v>0</v>
      </c>
      <c r="AA20" s="36">
        <v>0</v>
      </c>
      <c r="AB20" s="36">
        <v>0</v>
      </c>
      <c r="AC20" s="36">
        <v>0</v>
      </c>
      <c r="AD20" s="36">
        <f t="shared" si="4"/>
        <v>2093</v>
      </c>
      <c r="AE20" s="36">
        <f t="shared" si="0"/>
        <v>21321</v>
      </c>
      <c r="AF20" s="36">
        <f t="shared" si="0"/>
        <v>3082</v>
      </c>
      <c r="AG20" s="41">
        <f t="shared" si="1"/>
        <v>47.3</v>
      </c>
      <c r="AH20" s="36">
        <f t="shared" si="2"/>
        <v>22401</v>
      </c>
      <c r="AI20" s="41">
        <f t="shared" si="3"/>
        <v>5.0999999999999996</v>
      </c>
    </row>
    <row r="21" spans="1:35" ht="19.5" hidden="1" customHeight="1">
      <c r="A21" s="33" t="s">
        <v>63</v>
      </c>
      <c r="B21" s="36">
        <v>3132</v>
      </c>
      <c r="C21" s="36">
        <v>17567</v>
      </c>
      <c r="D21" s="36">
        <v>2175</v>
      </c>
      <c r="E21" s="36">
        <v>11730</v>
      </c>
      <c r="F21" s="36">
        <v>0</v>
      </c>
      <c r="G21" s="36">
        <v>0</v>
      </c>
      <c r="H21" s="36">
        <v>0</v>
      </c>
      <c r="I21" s="36">
        <v>0</v>
      </c>
      <c r="J21" s="36">
        <v>6683</v>
      </c>
      <c r="K21" s="36">
        <v>11918</v>
      </c>
      <c r="L21" s="36">
        <v>4171</v>
      </c>
      <c r="M21" s="36">
        <v>5454</v>
      </c>
      <c r="N21" s="36">
        <v>904</v>
      </c>
      <c r="O21" s="36">
        <v>1716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f t="shared" si="4"/>
        <v>10719</v>
      </c>
      <c r="AE21" s="36">
        <f t="shared" si="0"/>
        <v>31201</v>
      </c>
      <c r="AF21" s="36">
        <f t="shared" si="0"/>
        <v>6346</v>
      </c>
      <c r="AG21" s="41">
        <f t="shared" si="1"/>
        <v>-40.799999999999997</v>
      </c>
      <c r="AH21" s="36">
        <f t="shared" si="2"/>
        <v>17184</v>
      </c>
      <c r="AI21" s="41">
        <f t="shared" si="3"/>
        <v>-44.9</v>
      </c>
    </row>
    <row r="22" spans="1:35" ht="19.5" hidden="1" customHeight="1">
      <c r="A22" s="33" t="s">
        <v>55</v>
      </c>
      <c r="B22" s="36">
        <v>627</v>
      </c>
      <c r="C22" s="36">
        <v>4280</v>
      </c>
      <c r="D22" s="36">
        <v>884</v>
      </c>
      <c r="E22" s="36">
        <v>5314</v>
      </c>
      <c r="F22" s="36">
        <v>0</v>
      </c>
      <c r="G22" s="36">
        <v>0</v>
      </c>
      <c r="H22" s="36">
        <v>0</v>
      </c>
      <c r="I22" s="36">
        <v>0</v>
      </c>
      <c r="J22" s="36">
        <v>7273</v>
      </c>
      <c r="K22" s="36">
        <v>12217</v>
      </c>
      <c r="L22" s="36">
        <v>8607</v>
      </c>
      <c r="M22" s="36">
        <v>14822</v>
      </c>
      <c r="N22" s="36">
        <v>50</v>
      </c>
      <c r="O22" s="36">
        <v>113</v>
      </c>
      <c r="P22" s="36">
        <v>0</v>
      </c>
      <c r="Q22" s="36">
        <v>0</v>
      </c>
      <c r="R22" s="36">
        <v>40</v>
      </c>
      <c r="S22" s="36">
        <v>124</v>
      </c>
      <c r="T22" s="36">
        <v>0</v>
      </c>
      <c r="U22" s="36">
        <v>0</v>
      </c>
      <c r="V22" s="36">
        <v>133</v>
      </c>
      <c r="W22" s="36">
        <v>2644</v>
      </c>
      <c r="X22" s="36">
        <v>119</v>
      </c>
      <c r="Y22" s="36">
        <v>2359</v>
      </c>
      <c r="Z22" s="36">
        <v>0</v>
      </c>
      <c r="AA22" s="36">
        <v>0</v>
      </c>
      <c r="AB22" s="36">
        <v>0</v>
      </c>
      <c r="AC22" s="36">
        <v>0</v>
      </c>
      <c r="AD22" s="36">
        <f t="shared" si="4"/>
        <v>8123</v>
      </c>
      <c r="AE22" s="36">
        <f t="shared" si="0"/>
        <v>19378</v>
      </c>
      <c r="AF22" s="36">
        <f t="shared" si="0"/>
        <v>9610</v>
      </c>
      <c r="AG22" s="41">
        <f t="shared" si="1"/>
        <v>18.3</v>
      </c>
      <c r="AH22" s="36">
        <f t="shared" si="2"/>
        <v>22495</v>
      </c>
      <c r="AI22" s="41">
        <f t="shared" si="3"/>
        <v>16.100000000000001</v>
      </c>
    </row>
    <row r="23" spans="1:35" ht="19.5" hidden="1" customHeight="1">
      <c r="A23" s="33" t="s">
        <v>51</v>
      </c>
      <c r="B23" s="36">
        <v>658</v>
      </c>
      <c r="C23" s="36">
        <v>4109</v>
      </c>
      <c r="D23" s="36">
        <v>734</v>
      </c>
      <c r="E23" s="36">
        <v>5034</v>
      </c>
      <c r="F23" s="36">
        <v>0</v>
      </c>
      <c r="G23" s="36">
        <v>1</v>
      </c>
      <c r="H23" s="36">
        <v>19</v>
      </c>
      <c r="I23" s="36">
        <v>28</v>
      </c>
      <c r="J23" s="36">
        <v>7481</v>
      </c>
      <c r="K23" s="36">
        <v>16342</v>
      </c>
      <c r="L23" s="36">
        <v>5049</v>
      </c>
      <c r="M23" s="36">
        <v>12695</v>
      </c>
      <c r="N23" s="36">
        <v>1</v>
      </c>
      <c r="O23" s="36">
        <v>1</v>
      </c>
      <c r="P23" s="36">
        <v>2</v>
      </c>
      <c r="Q23" s="36">
        <v>1</v>
      </c>
      <c r="R23" s="36">
        <v>356</v>
      </c>
      <c r="S23" s="36">
        <v>740</v>
      </c>
      <c r="T23" s="36">
        <v>456</v>
      </c>
      <c r="U23" s="36">
        <v>936</v>
      </c>
      <c r="V23" s="36">
        <v>10</v>
      </c>
      <c r="W23" s="36">
        <v>196</v>
      </c>
      <c r="X23" s="36">
        <v>0</v>
      </c>
      <c r="Y23" s="36">
        <v>0</v>
      </c>
      <c r="Z23" s="36">
        <v>246</v>
      </c>
      <c r="AA23" s="36">
        <v>1032</v>
      </c>
      <c r="AB23" s="36">
        <v>2</v>
      </c>
      <c r="AC23" s="36">
        <v>277</v>
      </c>
      <c r="AD23" s="36">
        <f t="shared" si="4"/>
        <v>8752</v>
      </c>
      <c r="AE23" s="36">
        <f t="shared" si="0"/>
        <v>22421</v>
      </c>
      <c r="AF23" s="36">
        <f t="shared" si="0"/>
        <v>6262</v>
      </c>
      <c r="AG23" s="41">
        <f t="shared" si="1"/>
        <v>-28.5</v>
      </c>
      <c r="AH23" s="36">
        <f t="shared" si="2"/>
        <v>18971</v>
      </c>
      <c r="AI23" s="41">
        <f t="shared" si="3"/>
        <v>-15.4</v>
      </c>
    </row>
    <row r="24" spans="1:35" ht="19.5" hidden="1" customHeight="1">
      <c r="A24" s="33" t="s">
        <v>72</v>
      </c>
      <c r="B24" s="36">
        <v>978</v>
      </c>
      <c r="C24" s="36">
        <v>4512</v>
      </c>
      <c r="D24" s="36">
        <v>529</v>
      </c>
      <c r="E24" s="36">
        <v>2695</v>
      </c>
      <c r="F24" s="36">
        <v>385</v>
      </c>
      <c r="G24" s="36">
        <v>4814</v>
      </c>
      <c r="H24" s="36">
        <v>464</v>
      </c>
      <c r="I24" s="36">
        <v>7362</v>
      </c>
      <c r="J24" s="36">
        <v>6157</v>
      </c>
      <c r="K24" s="36">
        <v>12338</v>
      </c>
      <c r="L24" s="36">
        <v>844</v>
      </c>
      <c r="M24" s="36">
        <v>1112</v>
      </c>
      <c r="N24" s="36">
        <v>0</v>
      </c>
      <c r="O24" s="36">
        <v>0</v>
      </c>
      <c r="P24" s="36">
        <v>0</v>
      </c>
      <c r="Q24" s="36">
        <v>0</v>
      </c>
      <c r="R24" s="36">
        <v>1</v>
      </c>
      <c r="S24" s="36">
        <v>13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196</v>
      </c>
      <c r="AA24" s="36">
        <v>349</v>
      </c>
      <c r="AB24" s="36">
        <v>10</v>
      </c>
      <c r="AC24" s="36">
        <v>422</v>
      </c>
      <c r="AD24" s="36">
        <f t="shared" si="4"/>
        <v>7717</v>
      </c>
      <c r="AE24" s="36">
        <f t="shared" si="0"/>
        <v>22026</v>
      </c>
      <c r="AF24" s="36">
        <f t="shared" si="0"/>
        <v>1847</v>
      </c>
      <c r="AG24" s="41">
        <f t="shared" si="1"/>
        <v>-76.099999999999994</v>
      </c>
      <c r="AH24" s="36">
        <f t="shared" si="2"/>
        <v>11591</v>
      </c>
      <c r="AI24" s="41">
        <f t="shared" si="3"/>
        <v>-47.4</v>
      </c>
    </row>
    <row r="25" spans="1:35" ht="19.5" hidden="1" customHeight="1">
      <c r="A25" s="33" t="s">
        <v>87</v>
      </c>
      <c r="B25" s="36">
        <v>359</v>
      </c>
      <c r="C25" s="36">
        <v>2048</v>
      </c>
      <c r="D25" s="36">
        <v>415</v>
      </c>
      <c r="E25" s="36">
        <v>2271</v>
      </c>
      <c r="F25" s="36">
        <v>0</v>
      </c>
      <c r="G25" s="36">
        <v>0</v>
      </c>
      <c r="H25" s="36">
        <v>0</v>
      </c>
      <c r="I25" s="36">
        <v>0</v>
      </c>
      <c r="J25" s="36">
        <v>8389</v>
      </c>
      <c r="K25" s="36">
        <v>18147</v>
      </c>
      <c r="L25" s="36">
        <v>7739</v>
      </c>
      <c r="M25" s="36">
        <v>15032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11</v>
      </c>
      <c r="AA25" s="36">
        <v>55</v>
      </c>
      <c r="AB25" s="36">
        <v>0</v>
      </c>
      <c r="AC25" s="36">
        <v>0</v>
      </c>
      <c r="AD25" s="36">
        <f t="shared" si="4"/>
        <v>8759</v>
      </c>
      <c r="AE25" s="36">
        <f t="shared" si="0"/>
        <v>20250</v>
      </c>
      <c r="AF25" s="36">
        <f t="shared" si="0"/>
        <v>8154</v>
      </c>
      <c r="AG25" s="41">
        <f t="shared" si="1"/>
        <v>-6.9</v>
      </c>
      <c r="AH25" s="36">
        <f t="shared" si="2"/>
        <v>17303</v>
      </c>
      <c r="AI25" s="41">
        <f t="shared" si="3"/>
        <v>-14.6</v>
      </c>
    </row>
    <row r="26" spans="1:35" ht="19.5" hidden="1" customHeight="1">
      <c r="A26" s="33" t="s">
        <v>59</v>
      </c>
      <c r="B26" s="36">
        <v>1904</v>
      </c>
      <c r="C26" s="36">
        <v>10686</v>
      </c>
      <c r="D26" s="36">
        <v>3271</v>
      </c>
      <c r="E26" s="36">
        <v>19668</v>
      </c>
      <c r="F26" s="36">
        <v>24</v>
      </c>
      <c r="G26" s="36">
        <v>22</v>
      </c>
      <c r="H26" s="36">
        <v>0</v>
      </c>
      <c r="I26" s="36">
        <v>0</v>
      </c>
      <c r="J26" s="36">
        <v>1752</v>
      </c>
      <c r="K26" s="36">
        <v>2411</v>
      </c>
      <c r="L26" s="36">
        <v>1465</v>
      </c>
      <c r="M26" s="36">
        <v>1748</v>
      </c>
      <c r="N26" s="36">
        <v>333</v>
      </c>
      <c r="O26" s="36">
        <v>641</v>
      </c>
      <c r="P26" s="36">
        <v>169</v>
      </c>
      <c r="Q26" s="36">
        <v>341</v>
      </c>
      <c r="R26" s="36">
        <v>0</v>
      </c>
      <c r="S26" s="36">
        <v>0</v>
      </c>
      <c r="T26" s="36">
        <v>0</v>
      </c>
      <c r="U26" s="36">
        <v>0</v>
      </c>
      <c r="V26" s="36">
        <v>4</v>
      </c>
      <c r="W26" s="36">
        <v>89</v>
      </c>
      <c r="X26" s="36">
        <v>0</v>
      </c>
      <c r="Y26" s="36">
        <v>2</v>
      </c>
      <c r="Z26" s="36">
        <v>0</v>
      </c>
      <c r="AA26" s="36">
        <v>0</v>
      </c>
      <c r="AB26" s="36">
        <v>0</v>
      </c>
      <c r="AC26" s="36">
        <v>0</v>
      </c>
      <c r="AD26" s="36">
        <f t="shared" si="4"/>
        <v>4017</v>
      </c>
      <c r="AE26" s="36">
        <f t="shared" si="0"/>
        <v>13849</v>
      </c>
      <c r="AF26" s="36">
        <f t="shared" si="0"/>
        <v>4905</v>
      </c>
      <c r="AG26" s="41">
        <f t="shared" si="1"/>
        <v>22.1</v>
      </c>
      <c r="AH26" s="36">
        <f t="shared" si="2"/>
        <v>21759</v>
      </c>
      <c r="AI26" s="41">
        <f t="shared" si="3"/>
        <v>57.1</v>
      </c>
    </row>
    <row r="27" spans="1:35" ht="19.5" hidden="1" customHeight="1">
      <c r="A27" s="33" t="s">
        <v>90</v>
      </c>
      <c r="B27" s="36">
        <v>0</v>
      </c>
      <c r="C27" s="36">
        <v>0</v>
      </c>
      <c r="D27" s="36">
        <v>142</v>
      </c>
      <c r="E27" s="36">
        <v>776</v>
      </c>
      <c r="F27" s="36">
        <v>0</v>
      </c>
      <c r="G27" s="36">
        <v>0</v>
      </c>
      <c r="H27" s="36">
        <v>0</v>
      </c>
      <c r="I27" s="36">
        <v>0</v>
      </c>
      <c r="J27" s="36">
        <v>8275</v>
      </c>
      <c r="K27" s="36">
        <v>17897</v>
      </c>
      <c r="L27" s="36">
        <v>6585</v>
      </c>
      <c r="M27" s="36">
        <v>12577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f t="shared" si="4"/>
        <v>8275</v>
      </c>
      <c r="AE27" s="36">
        <f t="shared" si="0"/>
        <v>17897</v>
      </c>
      <c r="AF27" s="36">
        <f t="shared" si="0"/>
        <v>6727</v>
      </c>
      <c r="AG27" s="41">
        <f t="shared" si="1"/>
        <v>-18.7</v>
      </c>
      <c r="AH27" s="36">
        <f t="shared" si="2"/>
        <v>13353</v>
      </c>
      <c r="AI27" s="41">
        <f t="shared" si="3"/>
        <v>-25.4</v>
      </c>
    </row>
    <row r="28" spans="1:35" ht="19.5" hidden="1" customHeight="1">
      <c r="A28" s="33" t="s">
        <v>76</v>
      </c>
      <c r="B28" s="36">
        <v>123</v>
      </c>
      <c r="C28" s="36">
        <v>567</v>
      </c>
      <c r="D28" s="36">
        <v>11</v>
      </c>
      <c r="E28" s="36">
        <v>239</v>
      </c>
      <c r="F28" s="36">
        <v>179</v>
      </c>
      <c r="G28" s="36">
        <v>4203</v>
      </c>
      <c r="H28" s="36">
        <v>169</v>
      </c>
      <c r="I28" s="36">
        <v>4150</v>
      </c>
      <c r="J28" s="36">
        <v>1115</v>
      </c>
      <c r="K28" s="36">
        <v>13812</v>
      </c>
      <c r="L28" s="36">
        <v>932</v>
      </c>
      <c r="M28" s="36">
        <v>11005</v>
      </c>
      <c r="N28" s="36">
        <v>0</v>
      </c>
      <c r="O28" s="36">
        <v>0</v>
      </c>
      <c r="P28" s="36">
        <v>0</v>
      </c>
      <c r="Q28" s="36">
        <v>0</v>
      </c>
      <c r="R28" s="36">
        <v>113</v>
      </c>
      <c r="S28" s="36">
        <v>554</v>
      </c>
      <c r="T28" s="36">
        <v>82</v>
      </c>
      <c r="U28" s="36">
        <v>371</v>
      </c>
      <c r="V28" s="36">
        <v>3</v>
      </c>
      <c r="W28" s="36">
        <v>58</v>
      </c>
      <c r="X28" s="36">
        <v>5</v>
      </c>
      <c r="Y28" s="36">
        <v>99</v>
      </c>
      <c r="Z28" s="36">
        <v>27</v>
      </c>
      <c r="AA28" s="36">
        <v>1354</v>
      </c>
      <c r="AB28" s="36">
        <v>18</v>
      </c>
      <c r="AC28" s="36">
        <v>544</v>
      </c>
      <c r="AD28" s="36">
        <f t="shared" si="4"/>
        <v>1560</v>
      </c>
      <c r="AE28" s="36">
        <f t="shared" si="0"/>
        <v>20548</v>
      </c>
      <c r="AF28" s="36">
        <f t="shared" si="0"/>
        <v>1217</v>
      </c>
      <c r="AG28" s="41">
        <f t="shared" si="1"/>
        <v>-22</v>
      </c>
      <c r="AH28" s="36">
        <f t="shared" si="2"/>
        <v>16408</v>
      </c>
      <c r="AI28" s="41">
        <f t="shared" si="3"/>
        <v>-20.100000000000001</v>
      </c>
    </row>
    <row r="29" spans="1:35" ht="19.5" hidden="1" customHeight="1">
      <c r="A29" s="33" t="s">
        <v>91</v>
      </c>
      <c r="B29" s="36">
        <v>84</v>
      </c>
      <c r="C29" s="36">
        <v>478</v>
      </c>
      <c r="D29" s="36">
        <v>77</v>
      </c>
      <c r="E29" s="36">
        <v>424</v>
      </c>
      <c r="F29" s="36">
        <v>0</v>
      </c>
      <c r="G29" s="36">
        <v>0</v>
      </c>
      <c r="H29" s="36">
        <v>0</v>
      </c>
      <c r="I29" s="36">
        <v>0</v>
      </c>
      <c r="J29" s="36">
        <v>3992</v>
      </c>
      <c r="K29" s="36">
        <v>8804</v>
      </c>
      <c r="L29" s="36">
        <v>5899</v>
      </c>
      <c r="M29" s="36">
        <v>11249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f t="shared" si="4"/>
        <v>4076</v>
      </c>
      <c r="AE29" s="36">
        <f t="shared" si="0"/>
        <v>9282</v>
      </c>
      <c r="AF29" s="36">
        <f t="shared" si="0"/>
        <v>5976</v>
      </c>
      <c r="AG29" s="41">
        <f t="shared" si="1"/>
        <v>46.6</v>
      </c>
      <c r="AH29" s="36">
        <f t="shared" si="2"/>
        <v>11673</v>
      </c>
      <c r="AI29" s="41">
        <f t="shared" si="3"/>
        <v>25.8</v>
      </c>
    </row>
    <row r="30" spans="1:35" ht="19.5" hidden="1" customHeight="1">
      <c r="A30" s="33" t="s">
        <v>308</v>
      </c>
      <c r="B30" s="36">
        <v>0</v>
      </c>
      <c r="C30" s="36">
        <v>0</v>
      </c>
      <c r="D30" s="36">
        <v>0</v>
      </c>
      <c r="E30" s="36">
        <v>0</v>
      </c>
      <c r="F30" s="36">
        <v>650</v>
      </c>
      <c r="G30" s="36">
        <v>7498</v>
      </c>
      <c r="H30" s="36">
        <v>308</v>
      </c>
      <c r="I30" s="36">
        <v>5042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f t="shared" si="4"/>
        <v>650</v>
      </c>
      <c r="AE30" s="36">
        <f t="shared" si="0"/>
        <v>7498</v>
      </c>
      <c r="AF30" s="36">
        <f t="shared" si="0"/>
        <v>308</v>
      </c>
      <c r="AG30" s="41">
        <f t="shared" si="1"/>
        <v>-52.6</v>
      </c>
      <c r="AH30" s="36">
        <f t="shared" si="2"/>
        <v>5042</v>
      </c>
      <c r="AI30" s="41">
        <f t="shared" si="3"/>
        <v>-32.799999999999997</v>
      </c>
    </row>
    <row r="31" spans="1:35" ht="19.5" hidden="1" customHeight="1">
      <c r="A31" s="33" t="s">
        <v>71</v>
      </c>
      <c r="B31" s="36">
        <v>432</v>
      </c>
      <c r="C31" s="36">
        <v>3167</v>
      </c>
      <c r="D31" s="36">
        <v>334</v>
      </c>
      <c r="E31" s="36">
        <v>2347</v>
      </c>
      <c r="F31" s="36">
        <v>5</v>
      </c>
      <c r="G31" s="36">
        <v>266</v>
      </c>
      <c r="H31" s="36">
        <v>47</v>
      </c>
      <c r="I31" s="36">
        <v>1275</v>
      </c>
      <c r="J31" s="36">
        <v>2479</v>
      </c>
      <c r="K31" s="36">
        <v>4905</v>
      </c>
      <c r="L31" s="36">
        <v>3406</v>
      </c>
      <c r="M31" s="36">
        <v>5437</v>
      </c>
      <c r="N31" s="36">
        <v>0</v>
      </c>
      <c r="O31" s="36">
        <v>0</v>
      </c>
      <c r="P31" s="36">
        <v>3</v>
      </c>
      <c r="Q31" s="36">
        <v>21</v>
      </c>
      <c r="R31" s="36">
        <v>0</v>
      </c>
      <c r="S31" s="36">
        <v>1</v>
      </c>
      <c r="T31" s="36">
        <v>0</v>
      </c>
      <c r="U31" s="36">
        <v>10</v>
      </c>
      <c r="V31" s="36">
        <v>0</v>
      </c>
      <c r="W31" s="36">
        <v>3</v>
      </c>
      <c r="X31" s="36">
        <v>2</v>
      </c>
      <c r="Y31" s="36">
        <v>40</v>
      </c>
      <c r="Z31" s="36">
        <v>44</v>
      </c>
      <c r="AA31" s="36">
        <v>1337</v>
      </c>
      <c r="AB31" s="36">
        <v>132</v>
      </c>
      <c r="AC31" s="36">
        <v>1477</v>
      </c>
      <c r="AD31" s="36">
        <f t="shared" si="4"/>
        <v>2960</v>
      </c>
      <c r="AE31" s="36">
        <f t="shared" si="0"/>
        <v>9679</v>
      </c>
      <c r="AF31" s="36">
        <f t="shared" si="0"/>
        <v>3924</v>
      </c>
      <c r="AG31" s="41">
        <f t="shared" si="1"/>
        <v>32.6</v>
      </c>
      <c r="AH31" s="36">
        <f t="shared" si="2"/>
        <v>10607</v>
      </c>
      <c r="AI31" s="41">
        <f t="shared" si="3"/>
        <v>9.6</v>
      </c>
    </row>
    <row r="32" spans="1:35" ht="19.5" hidden="1" customHeight="1">
      <c r="A32" s="33" t="s">
        <v>88</v>
      </c>
      <c r="B32" s="36">
        <v>1134</v>
      </c>
      <c r="C32" s="36">
        <v>6225</v>
      </c>
      <c r="D32" s="36">
        <v>706</v>
      </c>
      <c r="E32" s="36">
        <v>3554</v>
      </c>
      <c r="F32" s="36">
        <v>0</v>
      </c>
      <c r="G32" s="36">
        <v>0</v>
      </c>
      <c r="H32" s="36">
        <v>0</v>
      </c>
      <c r="I32" s="36">
        <v>0</v>
      </c>
      <c r="J32" s="36">
        <v>1074</v>
      </c>
      <c r="K32" s="36">
        <v>1836</v>
      </c>
      <c r="L32" s="36">
        <v>223</v>
      </c>
      <c r="M32" s="36">
        <v>328</v>
      </c>
      <c r="N32" s="36">
        <v>376</v>
      </c>
      <c r="O32" s="36">
        <v>719</v>
      </c>
      <c r="P32" s="36">
        <v>1006</v>
      </c>
      <c r="Q32" s="36">
        <v>1969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f t="shared" si="4"/>
        <v>2584</v>
      </c>
      <c r="AE32" s="36">
        <f t="shared" si="0"/>
        <v>8780</v>
      </c>
      <c r="AF32" s="36">
        <f t="shared" si="0"/>
        <v>1935</v>
      </c>
      <c r="AG32" s="41">
        <f t="shared" si="1"/>
        <v>-25.1</v>
      </c>
      <c r="AH32" s="36">
        <f t="shared" si="2"/>
        <v>5851</v>
      </c>
      <c r="AI32" s="41">
        <f t="shared" si="3"/>
        <v>-33.4</v>
      </c>
    </row>
    <row r="33" spans="1:35" ht="19.5" hidden="1" customHeight="1">
      <c r="A33" s="33" t="s">
        <v>65</v>
      </c>
      <c r="B33" s="36">
        <v>668</v>
      </c>
      <c r="C33" s="36">
        <v>3459</v>
      </c>
      <c r="D33" s="36">
        <v>897</v>
      </c>
      <c r="E33" s="36">
        <v>4193</v>
      </c>
      <c r="F33" s="36">
        <v>0</v>
      </c>
      <c r="G33" s="36">
        <v>18</v>
      </c>
      <c r="H33" s="36">
        <v>0</v>
      </c>
      <c r="I33" s="36">
        <v>78</v>
      </c>
      <c r="J33" s="36">
        <v>1018</v>
      </c>
      <c r="K33" s="36">
        <v>1395</v>
      </c>
      <c r="L33" s="36">
        <v>4045</v>
      </c>
      <c r="M33" s="36">
        <v>4949</v>
      </c>
      <c r="N33" s="36">
        <v>0</v>
      </c>
      <c r="O33" s="36">
        <v>1</v>
      </c>
      <c r="P33" s="36">
        <v>0</v>
      </c>
      <c r="Q33" s="36">
        <v>1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20</v>
      </c>
      <c r="AA33" s="36">
        <v>384</v>
      </c>
      <c r="AB33" s="36">
        <v>0</v>
      </c>
      <c r="AC33" s="36">
        <v>37</v>
      </c>
      <c r="AD33" s="36">
        <f t="shared" si="4"/>
        <v>1706</v>
      </c>
      <c r="AE33" s="36">
        <f t="shared" si="0"/>
        <v>5257</v>
      </c>
      <c r="AF33" s="36">
        <f t="shared" si="0"/>
        <v>4942</v>
      </c>
      <c r="AG33" s="41">
        <f t="shared" si="1"/>
        <v>189.7</v>
      </c>
      <c r="AH33" s="36">
        <f t="shared" si="2"/>
        <v>9258</v>
      </c>
      <c r="AI33" s="41">
        <f t="shared" si="3"/>
        <v>76.099999999999994</v>
      </c>
    </row>
    <row r="34" spans="1:35" ht="19.5" hidden="1" customHeight="1">
      <c r="A34" s="33" t="s">
        <v>66</v>
      </c>
      <c r="B34" s="36">
        <v>1313</v>
      </c>
      <c r="C34" s="36">
        <v>6356</v>
      </c>
      <c r="D34" s="36">
        <v>1200</v>
      </c>
      <c r="E34" s="36">
        <v>5905</v>
      </c>
      <c r="F34" s="36">
        <v>0</v>
      </c>
      <c r="G34" s="36">
        <v>5</v>
      </c>
      <c r="H34" s="36">
        <v>0</v>
      </c>
      <c r="I34" s="36">
        <v>8</v>
      </c>
      <c r="J34" s="36">
        <v>661</v>
      </c>
      <c r="K34" s="36">
        <v>1112</v>
      </c>
      <c r="L34" s="36">
        <v>319</v>
      </c>
      <c r="M34" s="36">
        <v>1267</v>
      </c>
      <c r="N34" s="36">
        <v>0</v>
      </c>
      <c r="O34" s="36">
        <v>58</v>
      </c>
      <c r="P34" s="36">
        <v>0</v>
      </c>
      <c r="Q34" s="36">
        <v>32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8</v>
      </c>
      <c r="Z34" s="36">
        <v>74</v>
      </c>
      <c r="AA34" s="36">
        <v>336</v>
      </c>
      <c r="AB34" s="36">
        <v>29</v>
      </c>
      <c r="AC34" s="36">
        <v>176</v>
      </c>
      <c r="AD34" s="36">
        <f t="shared" si="4"/>
        <v>2048</v>
      </c>
      <c r="AE34" s="36">
        <f t="shared" si="0"/>
        <v>7867</v>
      </c>
      <c r="AF34" s="36">
        <f t="shared" si="0"/>
        <v>1548</v>
      </c>
      <c r="AG34" s="41">
        <f t="shared" si="1"/>
        <v>-24.4</v>
      </c>
      <c r="AH34" s="36">
        <f t="shared" si="2"/>
        <v>7396</v>
      </c>
      <c r="AI34" s="41">
        <f t="shared" si="3"/>
        <v>-6</v>
      </c>
    </row>
    <row r="35" spans="1:35" ht="19.5" hidden="1" customHeight="1">
      <c r="A35" s="33" t="s">
        <v>89</v>
      </c>
      <c r="B35" s="36">
        <v>1139</v>
      </c>
      <c r="C35" s="36">
        <v>6527</v>
      </c>
      <c r="D35" s="36">
        <v>1283</v>
      </c>
      <c r="E35" s="36">
        <v>2464</v>
      </c>
      <c r="F35" s="36">
        <v>73</v>
      </c>
      <c r="G35" s="36">
        <v>960</v>
      </c>
      <c r="H35" s="36">
        <v>62</v>
      </c>
      <c r="I35" s="36">
        <v>1036</v>
      </c>
      <c r="J35" s="36">
        <v>978</v>
      </c>
      <c r="K35" s="36">
        <v>1585</v>
      </c>
      <c r="L35" s="36">
        <v>1793</v>
      </c>
      <c r="M35" s="36">
        <v>3098</v>
      </c>
      <c r="N35" s="36">
        <v>110</v>
      </c>
      <c r="O35" s="36">
        <v>248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42</v>
      </c>
      <c r="AA35" s="36">
        <v>292</v>
      </c>
      <c r="AB35" s="36">
        <v>24</v>
      </c>
      <c r="AC35" s="36">
        <v>238</v>
      </c>
      <c r="AD35" s="36">
        <f t="shared" si="4"/>
        <v>2342</v>
      </c>
      <c r="AE35" s="36">
        <f t="shared" si="0"/>
        <v>9612</v>
      </c>
      <c r="AF35" s="36">
        <f t="shared" si="0"/>
        <v>3162</v>
      </c>
      <c r="AG35" s="41">
        <f t="shared" si="1"/>
        <v>35</v>
      </c>
      <c r="AH35" s="36">
        <f t="shared" si="2"/>
        <v>6837</v>
      </c>
      <c r="AI35" s="41">
        <f t="shared" si="3"/>
        <v>-28.9</v>
      </c>
    </row>
    <row r="36" spans="1:35" ht="19.5" hidden="1" customHeight="1">
      <c r="A36" s="33" t="s">
        <v>309</v>
      </c>
      <c r="B36" s="36">
        <v>0</v>
      </c>
      <c r="C36" s="36">
        <v>2</v>
      </c>
      <c r="D36" s="36">
        <v>0</v>
      </c>
      <c r="E36" s="36">
        <v>4</v>
      </c>
      <c r="F36" s="36">
        <v>431</v>
      </c>
      <c r="G36" s="36">
        <v>5415</v>
      </c>
      <c r="H36" s="36">
        <v>323</v>
      </c>
      <c r="I36" s="36">
        <v>5128</v>
      </c>
      <c r="J36" s="36">
        <v>0</v>
      </c>
      <c r="K36" s="36">
        <v>5</v>
      </c>
      <c r="L36" s="36">
        <v>0</v>
      </c>
      <c r="M36" s="36">
        <v>2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2</v>
      </c>
      <c r="AC36" s="36">
        <v>73</v>
      </c>
      <c r="AD36" s="36">
        <f t="shared" si="4"/>
        <v>431</v>
      </c>
      <c r="AE36" s="36">
        <f t="shared" si="0"/>
        <v>5422</v>
      </c>
      <c r="AF36" s="36">
        <f t="shared" si="0"/>
        <v>325</v>
      </c>
      <c r="AG36" s="41">
        <f t="shared" si="1"/>
        <v>-24.6</v>
      </c>
      <c r="AH36" s="36">
        <f t="shared" si="2"/>
        <v>5207</v>
      </c>
      <c r="AI36" s="41">
        <f t="shared" si="3"/>
        <v>-4</v>
      </c>
    </row>
    <row r="37" spans="1:35" ht="19.5" hidden="1" customHeight="1">
      <c r="A37" s="33" t="s">
        <v>92</v>
      </c>
      <c r="B37" s="36">
        <v>858</v>
      </c>
      <c r="C37" s="36">
        <v>4771</v>
      </c>
      <c r="D37" s="36">
        <v>816</v>
      </c>
      <c r="E37" s="36">
        <v>4281</v>
      </c>
      <c r="F37" s="36">
        <v>0</v>
      </c>
      <c r="G37" s="36">
        <v>1</v>
      </c>
      <c r="H37" s="36">
        <v>0</v>
      </c>
      <c r="I37" s="36">
        <v>0</v>
      </c>
      <c r="J37" s="36">
        <v>555</v>
      </c>
      <c r="K37" s="36">
        <v>1129</v>
      </c>
      <c r="L37" s="36">
        <v>1135</v>
      </c>
      <c r="M37" s="36">
        <v>1549</v>
      </c>
      <c r="N37" s="36">
        <v>0</v>
      </c>
      <c r="O37" s="36">
        <v>0</v>
      </c>
      <c r="P37" s="36">
        <v>0</v>
      </c>
      <c r="Q37" s="36">
        <v>1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f t="shared" si="4"/>
        <v>1413</v>
      </c>
      <c r="AE37" s="36">
        <f t="shared" si="0"/>
        <v>5901</v>
      </c>
      <c r="AF37" s="36">
        <f t="shared" si="0"/>
        <v>1951</v>
      </c>
      <c r="AG37" s="41">
        <f t="shared" si="1"/>
        <v>38.1</v>
      </c>
      <c r="AH37" s="36">
        <f t="shared" si="2"/>
        <v>5831</v>
      </c>
      <c r="AI37" s="41">
        <f t="shared" si="3"/>
        <v>-1.2</v>
      </c>
    </row>
    <row r="38" spans="1:35" ht="19.5" hidden="1" customHeight="1">
      <c r="A38" s="34" t="s">
        <v>78</v>
      </c>
      <c r="B38" s="37">
        <f t="shared" ref="B38:M38" si="5">B39-SUM(B8:B37)</f>
        <v>15147</v>
      </c>
      <c r="C38" s="37">
        <f t="shared" si="5"/>
        <v>82267</v>
      </c>
      <c r="D38" s="37">
        <f t="shared" si="5"/>
        <v>11793</v>
      </c>
      <c r="E38" s="37">
        <f t="shared" si="5"/>
        <v>63620</v>
      </c>
      <c r="F38" s="37">
        <f t="shared" si="5"/>
        <v>1076</v>
      </c>
      <c r="G38" s="37">
        <f t="shared" si="5"/>
        <v>11074</v>
      </c>
      <c r="H38" s="37">
        <f t="shared" si="5"/>
        <v>692</v>
      </c>
      <c r="I38" s="37">
        <f t="shared" si="5"/>
        <v>8366</v>
      </c>
      <c r="J38" s="37">
        <f t="shared" si="5"/>
        <v>12470</v>
      </c>
      <c r="K38" s="37">
        <f t="shared" si="5"/>
        <v>23123</v>
      </c>
      <c r="L38" s="37">
        <f t="shared" si="5"/>
        <v>13489</v>
      </c>
      <c r="M38" s="37">
        <f t="shared" si="5"/>
        <v>21003</v>
      </c>
      <c r="N38" s="37">
        <f>N39-SUM(N8:N37)</f>
        <v>545</v>
      </c>
      <c r="O38" s="37">
        <f>O39-SUM(O8:O37)</f>
        <v>1165</v>
      </c>
      <c r="P38" s="37">
        <f>P39-SUM(P8:P37)</f>
        <v>2197</v>
      </c>
      <c r="Q38" s="37">
        <f>Q39-SUM(Q8:Q37)</f>
        <v>4165</v>
      </c>
      <c r="R38" s="37">
        <f t="shared" ref="R38:AF38" si="6">R39-SUM(R8:R37)</f>
        <v>488</v>
      </c>
      <c r="S38" s="37">
        <f t="shared" si="6"/>
        <v>1556</v>
      </c>
      <c r="T38" s="37">
        <f t="shared" si="6"/>
        <v>835</v>
      </c>
      <c r="U38" s="37">
        <f t="shared" si="6"/>
        <v>2351</v>
      </c>
      <c r="V38" s="37">
        <f t="shared" si="6"/>
        <v>0</v>
      </c>
      <c r="W38" s="37">
        <f t="shared" si="6"/>
        <v>8</v>
      </c>
      <c r="X38" s="37">
        <f t="shared" si="6"/>
        <v>150</v>
      </c>
      <c r="Y38" s="37">
        <f t="shared" si="6"/>
        <v>2648</v>
      </c>
      <c r="Z38" s="37">
        <f t="shared" si="6"/>
        <v>791</v>
      </c>
      <c r="AA38" s="37">
        <f t="shared" si="6"/>
        <v>9536</v>
      </c>
      <c r="AB38" s="37">
        <f t="shared" si="6"/>
        <v>790</v>
      </c>
      <c r="AC38" s="37">
        <f t="shared" si="6"/>
        <v>10338</v>
      </c>
      <c r="AD38" s="37">
        <f t="shared" si="6"/>
        <v>30517</v>
      </c>
      <c r="AE38" s="37">
        <f t="shared" si="6"/>
        <v>128729</v>
      </c>
      <c r="AF38" s="37">
        <f t="shared" si="6"/>
        <v>29946</v>
      </c>
      <c r="AG38" s="42">
        <f t="shared" si="1"/>
        <v>-1.9</v>
      </c>
      <c r="AH38" s="37">
        <f>AH39-SUM(AH8:AH37)</f>
        <v>112491</v>
      </c>
      <c r="AI38" s="42">
        <f t="shared" si="3"/>
        <v>-12.6</v>
      </c>
    </row>
    <row r="39" spans="1:35" ht="19.5" hidden="1" customHeight="1">
      <c r="A39" s="35" t="s">
        <v>79</v>
      </c>
      <c r="B39" s="39">
        <v>86878</v>
      </c>
      <c r="C39" s="40">
        <v>553697</v>
      </c>
      <c r="D39" s="40">
        <v>73411</v>
      </c>
      <c r="E39" s="40">
        <v>438251</v>
      </c>
      <c r="F39" s="40">
        <v>5846</v>
      </c>
      <c r="G39" s="40">
        <v>94527</v>
      </c>
      <c r="H39" s="40">
        <v>4901</v>
      </c>
      <c r="I39" s="40">
        <v>90090</v>
      </c>
      <c r="J39" s="40">
        <v>256289</v>
      </c>
      <c r="K39" s="40">
        <v>582560</v>
      </c>
      <c r="L39" s="40">
        <v>242676</v>
      </c>
      <c r="M39" s="40">
        <v>501219</v>
      </c>
      <c r="N39" s="40">
        <v>11889</v>
      </c>
      <c r="O39" s="40">
        <v>24032</v>
      </c>
      <c r="P39" s="40">
        <v>12509</v>
      </c>
      <c r="Q39" s="40">
        <v>25869</v>
      </c>
      <c r="R39" s="40">
        <v>6445</v>
      </c>
      <c r="S39" s="40">
        <v>19011</v>
      </c>
      <c r="T39" s="40">
        <v>4555</v>
      </c>
      <c r="U39" s="40">
        <v>12306</v>
      </c>
      <c r="V39" s="40">
        <v>1210</v>
      </c>
      <c r="W39" s="40">
        <v>24103</v>
      </c>
      <c r="X39" s="40">
        <v>1347</v>
      </c>
      <c r="Y39" s="40">
        <v>24138</v>
      </c>
      <c r="Z39" s="40">
        <v>14415</v>
      </c>
      <c r="AA39" s="40">
        <v>112814</v>
      </c>
      <c r="AB39" s="40">
        <v>14260</v>
      </c>
      <c r="AC39" s="40">
        <v>85124</v>
      </c>
      <c r="AD39" s="40">
        <f>SUM(B39+F39+J39+N39+R39+V39+Z39)</f>
        <v>382972</v>
      </c>
      <c r="AE39" s="39">
        <f>SUM(C39+G39+K39+O39+S39+W39+AA39)</f>
        <v>1410744</v>
      </c>
      <c r="AF39" s="40">
        <f>SUM(D39+H39+L39+P39+T39+X39+AB39)</f>
        <v>353659</v>
      </c>
      <c r="AG39" s="42">
        <f t="shared" si="1"/>
        <v>-7.7</v>
      </c>
      <c r="AH39" s="39">
        <f>SUM(E39+I39+M39+Q39+U39+Y39+AC39)</f>
        <v>1176997</v>
      </c>
      <c r="AI39" s="42">
        <f t="shared" si="3"/>
        <v>-16.600000000000001</v>
      </c>
    </row>
    <row r="40" spans="1:35" hidden="1"/>
    <row r="41" spans="1:35" ht="22.5" hidden="1" customHeight="1">
      <c r="A41" s="1095" t="s">
        <v>504</v>
      </c>
      <c r="B41" s="1095"/>
      <c r="C41" s="1095"/>
      <c r="D41" s="1095"/>
      <c r="E41" s="1095"/>
      <c r="F41" s="1095"/>
      <c r="G41" s="1095"/>
      <c r="H41" s="1095"/>
      <c r="I41" s="1095"/>
      <c r="J41" s="1095"/>
      <c r="K41" s="1095"/>
      <c r="L41" s="1095"/>
      <c r="M41" s="1095"/>
      <c r="N41" s="1095"/>
      <c r="O41" s="1095"/>
      <c r="P41" s="1095"/>
      <c r="Q41" s="1095"/>
      <c r="R41" s="1095"/>
      <c r="S41" s="1095"/>
      <c r="T41" s="1095"/>
      <c r="U41" s="1095"/>
      <c r="V41" s="1095"/>
      <c r="W41" s="1095"/>
      <c r="X41" s="1095"/>
      <c r="Y41" s="1095"/>
      <c r="Z41" s="1095"/>
      <c r="AA41" s="1095"/>
      <c r="AB41" s="1095"/>
      <c r="AC41" s="1095"/>
      <c r="AD41" s="1095"/>
      <c r="AE41" s="1095"/>
      <c r="AF41" s="1095"/>
      <c r="AG41" s="1095"/>
      <c r="AH41" s="1095"/>
      <c r="AI41" s="1095"/>
    </row>
    <row r="42" spans="1:35" ht="16.5" hidden="1" customHeight="1">
      <c r="A42" s="469"/>
      <c r="B42" s="469"/>
      <c r="C42" s="469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  <c r="AA42" s="469"/>
      <c r="AB42" s="469"/>
      <c r="AC42" s="469"/>
      <c r="AD42" s="469"/>
      <c r="AE42" s="469"/>
      <c r="AF42" s="469"/>
      <c r="AG42" s="469"/>
      <c r="AH42" s="469"/>
      <c r="AI42" s="469"/>
    </row>
    <row r="43" spans="1:35" hidden="1">
      <c r="AI43" s="30" t="s">
        <v>0</v>
      </c>
    </row>
    <row r="44" spans="1:35" ht="21.75" hidden="1" customHeight="1">
      <c r="A44" s="1149" t="s">
        <v>43</v>
      </c>
      <c r="B44" s="1151" t="s">
        <v>495</v>
      </c>
      <c r="C44" s="1153"/>
      <c r="D44" s="1153"/>
      <c r="E44" s="1152"/>
      <c r="F44" s="1151" t="s">
        <v>496</v>
      </c>
      <c r="G44" s="1153"/>
      <c r="H44" s="1153"/>
      <c r="I44" s="1152"/>
      <c r="J44" s="1151" t="s">
        <v>497</v>
      </c>
      <c r="K44" s="1153"/>
      <c r="L44" s="1153"/>
      <c r="M44" s="1152"/>
      <c r="N44" s="1151" t="s">
        <v>498</v>
      </c>
      <c r="O44" s="1153"/>
      <c r="P44" s="1153"/>
      <c r="Q44" s="1152"/>
      <c r="R44" s="1151" t="s">
        <v>499</v>
      </c>
      <c r="S44" s="1153"/>
      <c r="T44" s="1153"/>
      <c r="U44" s="1152"/>
      <c r="V44" s="1151" t="s">
        <v>500</v>
      </c>
      <c r="W44" s="1153"/>
      <c r="X44" s="1153"/>
      <c r="Y44" s="1152"/>
      <c r="Z44" s="1151" t="s">
        <v>501</v>
      </c>
      <c r="AA44" s="1153"/>
      <c r="AB44" s="1153"/>
      <c r="AC44" s="1152"/>
      <c r="AD44" s="1151" t="s">
        <v>502</v>
      </c>
      <c r="AE44" s="1153"/>
      <c r="AF44" s="1153"/>
      <c r="AG44" s="1153"/>
      <c r="AH44" s="1153"/>
      <c r="AI44" s="1152"/>
    </row>
    <row r="45" spans="1:35" ht="21" hidden="1" customHeight="1">
      <c r="A45" s="1154"/>
      <c r="B45" s="1151" t="s">
        <v>315</v>
      </c>
      <c r="C45" s="1152"/>
      <c r="D45" s="1151" t="s">
        <v>459</v>
      </c>
      <c r="E45" s="1152"/>
      <c r="F45" s="1151" t="s">
        <v>315</v>
      </c>
      <c r="G45" s="1152"/>
      <c r="H45" s="1151" t="s">
        <v>459</v>
      </c>
      <c r="I45" s="1152"/>
      <c r="J45" s="1151" t="s">
        <v>315</v>
      </c>
      <c r="K45" s="1152"/>
      <c r="L45" s="1151" t="s">
        <v>459</v>
      </c>
      <c r="M45" s="1152"/>
      <c r="N45" s="1151" t="s">
        <v>315</v>
      </c>
      <c r="O45" s="1152"/>
      <c r="P45" s="1151" t="s">
        <v>459</v>
      </c>
      <c r="Q45" s="1152"/>
      <c r="R45" s="1151" t="s">
        <v>315</v>
      </c>
      <c r="S45" s="1152"/>
      <c r="T45" s="1151" t="s">
        <v>459</v>
      </c>
      <c r="U45" s="1152"/>
      <c r="V45" s="1151" t="s">
        <v>315</v>
      </c>
      <c r="W45" s="1152"/>
      <c r="X45" s="1151" t="s">
        <v>459</v>
      </c>
      <c r="Y45" s="1152"/>
      <c r="Z45" s="1151" t="s">
        <v>315</v>
      </c>
      <c r="AA45" s="1152"/>
      <c r="AB45" s="1151" t="s">
        <v>459</v>
      </c>
      <c r="AC45" s="1152"/>
      <c r="AD45" s="1151" t="s">
        <v>315</v>
      </c>
      <c r="AE45" s="1152"/>
      <c r="AF45" s="1151" t="s">
        <v>459</v>
      </c>
      <c r="AG45" s="1153"/>
      <c r="AH45" s="1153"/>
      <c r="AI45" s="1152"/>
    </row>
    <row r="46" spans="1:35" ht="16.5" hidden="1" customHeight="1">
      <c r="A46" s="1154"/>
      <c r="B46" s="1149" t="s">
        <v>44</v>
      </c>
      <c r="C46" s="1149" t="s">
        <v>45</v>
      </c>
      <c r="D46" s="1149" t="s">
        <v>46</v>
      </c>
      <c r="E46" s="1149" t="s">
        <v>45</v>
      </c>
      <c r="F46" s="1149" t="s">
        <v>47</v>
      </c>
      <c r="G46" s="1149" t="s">
        <v>45</v>
      </c>
      <c r="H46" s="1149" t="s">
        <v>46</v>
      </c>
      <c r="I46" s="1149" t="s">
        <v>45</v>
      </c>
      <c r="J46" s="1149" t="s">
        <v>44</v>
      </c>
      <c r="K46" s="1149" t="s">
        <v>45</v>
      </c>
      <c r="L46" s="1149" t="s">
        <v>46</v>
      </c>
      <c r="M46" s="1149" t="s">
        <v>45</v>
      </c>
      <c r="N46" s="1149" t="s">
        <v>44</v>
      </c>
      <c r="O46" s="1149" t="s">
        <v>45</v>
      </c>
      <c r="P46" s="1149" t="s">
        <v>46</v>
      </c>
      <c r="Q46" s="1149" t="s">
        <v>45</v>
      </c>
      <c r="R46" s="1149" t="s">
        <v>44</v>
      </c>
      <c r="S46" s="1149" t="s">
        <v>45</v>
      </c>
      <c r="T46" s="1149" t="s">
        <v>46</v>
      </c>
      <c r="U46" s="1149" t="s">
        <v>45</v>
      </c>
      <c r="V46" s="1149" t="s">
        <v>44</v>
      </c>
      <c r="W46" s="1149" t="s">
        <v>45</v>
      </c>
      <c r="X46" s="1149" t="s">
        <v>48</v>
      </c>
      <c r="Y46" s="1149" t="s">
        <v>45</v>
      </c>
      <c r="Z46" s="1149" t="s">
        <v>44</v>
      </c>
      <c r="AA46" s="1149" t="s">
        <v>45</v>
      </c>
      <c r="AB46" s="1149" t="s">
        <v>46</v>
      </c>
      <c r="AC46" s="1149" t="s">
        <v>45</v>
      </c>
      <c r="AD46" s="1149" t="s">
        <v>44</v>
      </c>
      <c r="AE46" s="1149" t="s">
        <v>45</v>
      </c>
      <c r="AF46" s="1147" t="s">
        <v>46</v>
      </c>
      <c r="AG46" s="31"/>
      <c r="AH46" s="1147" t="s">
        <v>45</v>
      </c>
      <c r="AI46" s="31"/>
    </row>
    <row r="47" spans="1:35" ht="16.5" hidden="1" customHeight="1" thickBot="1">
      <c r="A47" s="1150"/>
      <c r="B47" s="1150"/>
      <c r="C47" s="1150"/>
      <c r="D47" s="1150"/>
      <c r="E47" s="1150"/>
      <c r="F47" s="1150"/>
      <c r="G47" s="1150"/>
      <c r="H47" s="1150"/>
      <c r="I47" s="1150"/>
      <c r="J47" s="1150"/>
      <c r="K47" s="1150"/>
      <c r="L47" s="1150"/>
      <c r="M47" s="1150"/>
      <c r="N47" s="1150"/>
      <c r="O47" s="1150"/>
      <c r="P47" s="1150"/>
      <c r="Q47" s="1150"/>
      <c r="R47" s="1150"/>
      <c r="S47" s="1150"/>
      <c r="T47" s="1150"/>
      <c r="U47" s="1150"/>
      <c r="V47" s="1150"/>
      <c r="W47" s="1150"/>
      <c r="X47" s="1150"/>
      <c r="Y47" s="1150"/>
      <c r="Z47" s="1150"/>
      <c r="AA47" s="1150"/>
      <c r="AB47" s="1150"/>
      <c r="AC47" s="1150"/>
      <c r="AD47" s="1150"/>
      <c r="AE47" s="1150"/>
      <c r="AF47" s="1148"/>
      <c r="AG47" s="32" t="s">
        <v>49</v>
      </c>
      <c r="AH47" s="1148"/>
      <c r="AI47" s="32" t="s">
        <v>49</v>
      </c>
    </row>
    <row r="48" spans="1:35" ht="19.5" hidden="1" customHeight="1" thickTop="1">
      <c r="A48" s="33" t="s">
        <v>50</v>
      </c>
      <c r="B48" s="36">
        <v>12319</v>
      </c>
      <c r="C48" s="36">
        <v>81267</v>
      </c>
      <c r="D48" s="36">
        <v>10157</v>
      </c>
      <c r="E48" s="36">
        <v>66447</v>
      </c>
      <c r="F48" s="36">
        <v>184</v>
      </c>
      <c r="G48" s="36">
        <v>10596</v>
      </c>
      <c r="H48" s="36">
        <v>204</v>
      </c>
      <c r="I48" s="36">
        <v>12014</v>
      </c>
      <c r="J48" s="36">
        <v>77716</v>
      </c>
      <c r="K48" s="36">
        <v>220663</v>
      </c>
      <c r="L48" s="36">
        <v>48902</v>
      </c>
      <c r="M48" s="36">
        <v>156745</v>
      </c>
      <c r="N48" s="36">
        <v>9</v>
      </c>
      <c r="O48" s="36">
        <v>50</v>
      </c>
      <c r="P48" s="36">
        <v>7</v>
      </c>
      <c r="Q48" s="36">
        <v>57</v>
      </c>
      <c r="R48" s="36">
        <v>137</v>
      </c>
      <c r="S48" s="36">
        <v>1232</v>
      </c>
      <c r="T48" s="36">
        <v>68</v>
      </c>
      <c r="U48" s="36">
        <v>848</v>
      </c>
      <c r="V48" s="36">
        <v>32</v>
      </c>
      <c r="W48" s="36">
        <v>229</v>
      </c>
      <c r="X48" s="36">
        <v>85</v>
      </c>
      <c r="Y48" s="36">
        <v>1266</v>
      </c>
      <c r="Z48" s="36">
        <v>19850</v>
      </c>
      <c r="AA48" s="36">
        <v>88102</v>
      </c>
      <c r="AB48" s="36">
        <v>18044</v>
      </c>
      <c r="AC48" s="36">
        <v>59234</v>
      </c>
      <c r="AD48" s="36">
        <f>SUM(B48+F48+J48+N48+R48+V48+Z48)</f>
        <v>110247</v>
      </c>
      <c r="AE48" s="36">
        <f>SUM(C48+G48+K48+O48+S48+W48+AA48)</f>
        <v>402139</v>
      </c>
      <c r="AF48" s="36">
        <f>SUM(D48+H48+L48+P48+T48+X48+AB48)</f>
        <v>77467</v>
      </c>
      <c r="AG48" s="41">
        <f>ROUND(((AF48/AD48-1)*100),1)</f>
        <v>-29.7</v>
      </c>
      <c r="AH48" s="36">
        <f>SUM(E48+I48+M48+Q48+U48+Y48+AC48)</f>
        <v>296611</v>
      </c>
      <c r="AI48" s="41">
        <f>ROUND(((AH48/AE48-1)*100),1)</f>
        <v>-26.2</v>
      </c>
    </row>
    <row r="49" spans="1:35" ht="19.5" hidden="1" customHeight="1">
      <c r="A49" s="33" t="s">
        <v>53</v>
      </c>
      <c r="B49" s="36">
        <v>16088</v>
      </c>
      <c r="C49" s="36">
        <v>107768</v>
      </c>
      <c r="D49" s="36">
        <v>18109</v>
      </c>
      <c r="E49" s="36">
        <v>101003</v>
      </c>
      <c r="F49" s="36">
        <v>218</v>
      </c>
      <c r="G49" s="36">
        <v>12438</v>
      </c>
      <c r="H49" s="36">
        <v>651</v>
      </c>
      <c r="I49" s="36">
        <v>14554</v>
      </c>
      <c r="J49" s="36">
        <v>44919</v>
      </c>
      <c r="K49" s="36">
        <v>107050</v>
      </c>
      <c r="L49" s="36">
        <v>50467</v>
      </c>
      <c r="M49" s="36">
        <v>92685</v>
      </c>
      <c r="N49" s="36">
        <v>709</v>
      </c>
      <c r="O49" s="36">
        <v>1352</v>
      </c>
      <c r="P49" s="36">
        <v>109</v>
      </c>
      <c r="Q49" s="36">
        <v>215</v>
      </c>
      <c r="R49" s="36">
        <v>55</v>
      </c>
      <c r="S49" s="36">
        <v>146</v>
      </c>
      <c r="T49" s="36">
        <v>95</v>
      </c>
      <c r="U49" s="36">
        <v>174</v>
      </c>
      <c r="V49" s="36">
        <v>1</v>
      </c>
      <c r="W49" s="36">
        <v>87</v>
      </c>
      <c r="X49" s="36">
        <v>1</v>
      </c>
      <c r="Y49" s="36">
        <v>97</v>
      </c>
      <c r="Z49" s="36">
        <v>462</v>
      </c>
      <c r="AA49" s="36">
        <v>37877</v>
      </c>
      <c r="AB49" s="36">
        <v>456</v>
      </c>
      <c r="AC49" s="36">
        <v>38494</v>
      </c>
      <c r="AD49" s="36">
        <f>SUM(B49+F49+J49+N49+R49+V49+Z49)</f>
        <v>62452</v>
      </c>
      <c r="AE49" s="36">
        <f t="shared" ref="AE49:AE77" si="7">SUM(C49+G49+K49+O49+S49+W49+AA49)</f>
        <v>266718</v>
      </c>
      <c r="AF49" s="36">
        <f t="shared" ref="AF49:AF77" si="8">SUM(D49+H49+L49+P49+T49+X49+AB49)</f>
        <v>69888</v>
      </c>
      <c r="AG49" s="41">
        <f t="shared" ref="AG49:AG79" si="9">ROUND(((AF49/AD49-1)*100),1)</f>
        <v>11.9</v>
      </c>
      <c r="AH49" s="36">
        <f t="shared" ref="AH49:AH77" si="10">SUM(E49+I49+M49+Q49+U49+Y49+AC49)</f>
        <v>247222</v>
      </c>
      <c r="AI49" s="41">
        <f t="shared" ref="AI49:AI79" si="11">ROUND(((AH49/AE49-1)*100),1)</f>
        <v>-7.3</v>
      </c>
    </row>
    <row r="50" spans="1:35" ht="19.5" hidden="1" customHeight="1">
      <c r="A50" s="33" t="s">
        <v>54</v>
      </c>
      <c r="B50" s="36">
        <v>6247</v>
      </c>
      <c r="C50" s="36">
        <v>80408</v>
      </c>
      <c r="D50" s="36">
        <v>7023</v>
      </c>
      <c r="E50" s="36">
        <v>84097</v>
      </c>
      <c r="F50" s="36">
        <v>756</v>
      </c>
      <c r="G50" s="36">
        <v>28761</v>
      </c>
      <c r="H50" s="36">
        <v>1059</v>
      </c>
      <c r="I50" s="36">
        <v>36375</v>
      </c>
      <c r="J50" s="36">
        <v>18107</v>
      </c>
      <c r="K50" s="36">
        <v>45510</v>
      </c>
      <c r="L50" s="36">
        <v>23171</v>
      </c>
      <c r="M50" s="36">
        <v>49586</v>
      </c>
      <c r="N50" s="36">
        <v>723</v>
      </c>
      <c r="O50" s="36">
        <v>1553</v>
      </c>
      <c r="P50" s="36">
        <v>1095</v>
      </c>
      <c r="Q50" s="36">
        <v>2153</v>
      </c>
      <c r="R50" s="36">
        <v>37</v>
      </c>
      <c r="S50" s="36">
        <v>65</v>
      </c>
      <c r="T50" s="36">
        <v>96</v>
      </c>
      <c r="U50" s="36">
        <v>185</v>
      </c>
      <c r="V50" s="36">
        <v>61</v>
      </c>
      <c r="W50" s="36">
        <v>2640</v>
      </c>
      <c r="X50" s="36">
        <v>27</v>
      </c>
      <c r="Y50" s="36">
        <v>2394</v>
      </c>
      <c r="Z50" s="36">
        <v>882</v>
      </c>
      <c r="AA50" s="36">
        <v>28046</v>
      </c>
      <c r="AB50" s="36">
        <v>396</v>
      </c>
      <c r="AC50" s="36">
        <v>13707</v>
      </c>
      <c r="AD50" s="36">
        <f t="shared" ref="AD50:AD77" si="12">SUM(B50+F50+J50+N50+R50+V50+Z50)</f>
        <v>26813</v>
      </c>
      <c r="AE50" s="36">
        <f t="shared" si="7"/>
        <v>186983</v>
      </c>
      <c r="AF50" s="36">
        <f t="shared" si="8"/>
        <v>32867</v>
      </c>
      <c r="AG50" s="41">
        <f t="shared" si="9"/>
        <v>22.6</v>
      </c>
      <c r="AH50" s="36">
        <f t="shared" si="10"/>
        <v>188497</v>
      </c>
      <c r="AI50" s="41">
        <f t="shared" si="11"/>
        <v>0.8</v>
      </c>
    </row>
    <row r="51" spans="1:35" ht="19.5" hidden="1" customHeight="1">
      <c r="A51" s="33" t="s">
        <v>84</v>
      </c>
      <c r="B51" s="36">
        <v>35432</v>
      </c>
      <c r="C51" s="36">
        <v>214092</v>
      </c>
      <c r="D51" s="36">
        <v>24709</v>
      </c>
      <c r="E51" s="36">
        <v>147760</v>
      </c>
      <c r="F51" s="36">
        <v>0</v>
      </c>
      <c r="G51" s="36">
        <v>0</v>
      </c>
      <c r="H51" s="36">
        <v>0</v>
      </c>
      <c r="I51" s="36">
        <v>0</v>
      </c>
      <c r="J51" s="36">
        <v>331</v>
      </c>
      <c r="K51" s="36">
        <v>405</v>
      </c>
      <c r="L51" s="36">
        <v>460</v>
      </c>
      <c r="M51" s="36">
        <v>517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f t="shared" si="12"/>
        <v>35763</v>
      </c>
      <c r="AE51" s="36">
        <f t="shared" si="7"/>
        <v>214497</v>
      </c>
      <c r="AF51" s="36">
        <f t="shared" si="8"/>
        <v>25169</v>
      </c>
      <c r="AG51" s="41">
        <f t="shared" si="9"/>
        <v>-29.6</v>
      </c>
      <c r="AH51" s="36">
        <f t="shared" si="10"/>
        <v>148277</v>
      </c>
      <c r="AI51" s="41">
        <f t="shared" si="11"/>
        <v>-30.9</v>
      </c>
    </row>
    <row r="52" spans="1:35" ht="19.5" hidden="1" customHeight="1">
      <c r="A52" s="33" t="s">
        <v>52</v>
      </c>
      <c r="B52" s="36">
        <v>861</v>
      </c>
      <c r="C52" s="36">
        <v>2359</v>
      </c>
      <c r="D52" s="36">
        <v>744</v>
      </c>
      <c r="E52" s="36">
        <v>2244</v>
      </c>
      <c r="F52" s="36">
        <v>85</v>
      </c>
      <c r="G52" s="36">
        <v>2589</v>
      </c>
      <c r="H52" s="36">
        <v>21</v>
      </c>
      <c r="I52" s="36">
        <v>401</v>
      </c>
      <c r="J52" s="36">
        <v>48347</v>
      </c>
      <c r="K52" s="36">
        <v>96403</v>
      </c>
      <c r="L52" s="36">
        <v>72496</v>
      </c>
      <c r="M52" s="36">
        <v>135861</v>
      </c>
      <c r="N52" s="36">
        <v>11764</v>
      </c>
      <c r="O52" s="36">
        <v>24338</v>
      </c>
      <c r="P52" s="36">
        <v>9138</v>
      </c>
      <c r="Q52" s="36">
        <v>19438</v>
      </c>
      <c r="R52" s="36">
        <v>6805</v>
      </c>
      <c r="S52" s="36">
        <v>19130</v>
      </c>
      <c r="T52" s="36">
        <v>6718</v>
      </c>
      <c r="U52" s="36">
        <v>16973</v>
      </c>
      <c r="V52" s="36">
        <v>38</v>
      </c>
      <c r="W52" s="36">
        <v>425</v>
      </c>
      <c r="X52" s="36">
        <v>39</v>
      </c>
      <c r="Y52" s="36">
        <v>388</v>
      </c>
      <c r="Z52" s="36">
        <v>8</v>
      </c>
      <c r="AA52" s="36">
        <v>267</v>
      </c>
      <c r="AB52" s="36">
        <v>13</v>
      </c>
      <c r="AC52" s="36">
        <v>240</v>
      </c>
      <c r="AD52" s="36">
        <f t="shared" si="12"/>
        <v>67908</v>
      </c>
      <c r="AE52" s="36">
        <f t="shared" si="7"/>
        <v>145511</v>
      </c>
      <c r="AF52" s="36">
        <f t="shared" si="8"/>
        <v>89169</v>
      </c>
      <c r="AG52" s="41">
        <f t="shared" si="9"/>
        <v>31.3</v>
      </c>
      <c r="AH52" s="36">
        <f t="shared" si="10"/>
        <v>175545</v>
      </c>
      <c r="AI52" s="41">
        <f t="shared" si="11"/>
        <v>20.6</v>
      </c>
    </row>
    <row r="53" spans="1:35" ht="19.5" hidden="1" customHeight="1">
      <c r="A53" s="33" t="s">
        <v>61</v>
      </c>
      <c r="B53" s="36">
        <v>4955</v>
      </c>
      <c r="C53" s="36">
        <v>30807</v>
      </c>
      <c r="D53" s="36">
        <v>2771</v>
      </c>
      <c r="E53" s="36">
        <v>16039</v>
      </c>
      <c r="F53" s="36">
        <v>3662</v>
      </c>
      <c r="G53" s="36">
        <v>44493</v>
      </c>
      <c r="H53" s="36">
        <v>2613</v>
      </c>
      <c r="I53" s="36">
        <v>37050</v>
      </c>
      <c r="J53" s="36">
        <v>67158</v>
      </c>
      <c r="K53" s="36">
        <v>132932</v>
      </c>
      <c r="L53" s="36">
        <v>63224</v>
      </c>
      <c r="M53" s="36">
        <v>114314</v>
      </c>
      <c r="N53" s="36">
        <v>3779</v>
      </c>
      <c r="O53" s="36">
        <v>6769</v>
      </c>
      <c r="P53" s="36">
        <v>2654</v>
      </c>
      <c r="Q53" s="36">
        <v>4957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447</v>
      </c>
      <c r="AA53" s="36">
        <v>2074</v>
      </c>
      <c r="AB53" s="36">
        <v>362</v>
      </c>
      <c r="AC53" s="36">
        <v>1149</v>
      </c>
      <c r="AD53" s="36">
        <f t="shared" si="12"/>
        <v>80001</v>
      </c>
      <c r="AE53" s="36">
        <f t="shared" si="7"/>
        <v>217075</v>
      </c>
      <c r="AF53" s="36">
        <f t="shared" si="8"/>
        <v>71624</v>
      </c>
      <c r="AG53" s="41">
        <f t="shared" si="9"/>
        <v>-10.5</v>
      </c>
      <c r="AH53" s="36">
        <f t="shared" si="10"/>
        <v>173509</v>
      </c>
      <c r="AI53" s="41">
        <f t="shared" si="11"/>
        <v>-20.100000000000001</v>
      </c>
    </row>
    <row r="54" spans="1:35" ht="19.5" hidden="1" customHeight="1">
      <c r="A54" s="33" t="s">
        <v>56</v>
      </c>
      <c r="B54" s="36">
        <v>3607</v>
      </c>
      <c r="C54" s="36">
        <v>23817</v>
      </c>
      <c r="D54" s="36">
        <v>6163</v>
      </c>
      <c r="E54" s="36">
        <v>32806</v>
      </c>
      <c r="F54" s="36">
        <v>8</v>
      </c>
      <c r="G54" s="36">
        <v>71</v>
      </c>
      <c r="H54" s="36">
        <v>100</v>
      </c>
      <c r="I54" s="36">
        <v>284</v>
      </c>
      <c r="J54" s="36">
        <v>26542</v>
      </c>
      <c r="K54" s="36">
        <v>50987</v>
      </c>
      <c r="L54" s="36">
        <v>28818</v>
      </c>
      <c r="M54" s="36">
        <v>53476</v>
      </c>
      <c r="N54" s="36">
        <v>0</v>
      </c>
      <c r="O54" s="36">
        <v>0</v>
      </c>
      <c r="P54" s="36">
        <v>49</v>
      </c>
      <c r="Q54" s="36">
        <v>88</v>
      </c>
      <c r="R54" s="36">
        <v>67</v>
      </c>
      <c r="S54" s="36">
        <v>195</v>
      </c>
      <c r="T54" s="36">
        <v>70</v>
      </c>
      <c r="U54" s="36">
        <v>197</v>
      </c>
      <c r="V54" s="36">
        <v>275</v>
      </c>
      <c r="W54" s="36">
        <v>5298</v>
      </c>
      <c r="X54" s="36">
        <v>225</v>
      </c>
      <c r="Y54" s="36">
        <v>3860</v>
      </c>
      <c r="Z54" s="36">
        <v>14</v>
      </c>
      <c r="AA54" s="36">
        <v>136</v>
      </c>
      <c r="AB54" s="36">
        <v>86</v>
      </c>
      <c r="AC54" s="36">
        <v>242</v>
      </c>
      <c r="AD54" s="36">
        <f t="shared" si="12"/>
        <v>30513</v>
      </c>
      <c r="AE54" s="36">
        <f t="shared" si="7"/>
        <v>80504</v>
      </c>
      <c r="AF54" s="36">
        <f t="shared" si="8"/>
        <v>35511</v>
      </c>
      <c r="AG54" s="41">
        <f t="shared" si="9"/>
        <v>16.399999999999999</v>
      </c>
      <c r="AH54" s="36">
        <f t="shared" si="10"/>
        <v>90953</v>
      </c>
      <c r="AI54" s="41">
        <f t="shared" si="11"/>
        <v>13</v>
      </c>
    </row>
    <row r="55" spans="1:35" ht="19.5" hidden="1" customHeight="1">
      <c r="A55" s="33" t="s">
        <v>85</v>
      </c>
      <c r="B55" s="36">
        <v>10721</v>
      </c>
      <c r="C55" s="36">
        <v>65925</v>
      </c>
      <c r="D55" s="36">
        <v>8658</v>
      </c>
      <c r="E55" s="36">
        <v>52500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296</v>
      </c>
      <c r="AC55" s="36">
        <v>1764</v>
      </c>
      <c r="AD55" s="36">
        <f t="shared" si="12"/>
        <v>10721</v>
      </c>
      <c r="AE55" s="36">
        <f t="shared" si="7"/>
        <v>65925</v>
      </c>
      <c r="AF55" s="36">
        <f t="shared" si="8"/>
        <v>8954</v>
      </c>
      <c r="AG55" s="41">
        <f t="shared" si="9"/>
        <v>-16.5</v>
      </c>
      <c r="AH55" s="36">
        <f t="shared" si="10"/>
        <v>54264</v>
      </c>
      <c r="AI55" s="41">
        <f t="shared" si="11"/>
        <v>-17.7</v>
      </c>
    </row>
    <row r="56" spans="1:35" ht="19.5" hidden="1" customHeight="1">
      <c r="A56" s="33" t="s">
        <v>86</v>
      </c>
      <c r="B56" s="36">
        <v>24</v>
      </c>
      <c r="C56" s="36">
        <v>167</v>
      </c>
      <c r="D56" s="36">
        <v>0</v>
      </c>
      <c r="E56" s="36">
        <v>0</v>
      </c>
      <c r="F56" s="36">
        <v>292</v>
      </c>
      <c r="G56" s="36">
        <v>3340</v>
      </c>
      <c r="H56" s="36">
        <v>18</v>
      </c>
      <c r="I56" s="36">
        <v>389</v>
      </c>
      <c r="J56" s="36">
        <v>10913</v>
      </c>
      <c r="K56" s="36">
        <v>22202</v>
      </c>
      <c r="L56" s="36">
        <v>16185</v>
      </c>
      <c r="M56" s="36">
        <v>31738</v>
      </c>
      <c r="N56" s="36">
        <v>0</v>
      </c>
      <c r="O56" s="36">
        <v>0</v>
      </c>
      <c r="P56" s="36">
        <v>349</v>
      </c>
      <c r="Q56" s="36">
        <v>784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263</v>
      </c>
      <c r="AA56" s="36">
        <v>2581</v>
      </c>
      <c r="AB56" s="36">
        <v>702</v>
      </c>
      <c r="AC56" s="36">
        <v>5288</v>
      </c>
      <c r="AD56" s="36">
        <f t="shared" si="12"/>
        <v>11492</v>
      </c>
      <c r="AE56" s="36">
        <f t="shared" si="7"/>
        <v>28290</v>
      </c>
      <c r="AF56" s="36">
        <f t="shared" si="8"/>
        <v>17254</v>
      </c>
      <c r="AG56" s="41">
        <f t="shared" si="9"/>
        <v>50.1</v>
      </c>
      <c r="AH56" s="36">
        <f t="shared" si="10"/>
        <v>38199</v>
      </c>
      <c r="AI56" s="41">
        <f t="shared" si="11"/>
        <v>35</v>
      </c>
    </row>
    <row r="57" spans="1:35" ht="19.5" hidden="1" customHeight="1">
      <c r="A57" s="33" t="s">
        <v>64</v>
      </c>
      <c r="B57" s="36">
        <v>3195</v>
      </c>
      <c r="C57" s="36">
        <v>22972</v>
      </c>
      <c r="D57" s="36">
        <v>1635</v>
      </c>
      <c r="E57" s="36">
        <v>9080</v>
      </c>
      <c r="F57" s="36">
        <v>0</v>
      </c>
      <c r="G57" s="36">
        <v>0</v>
      </c>
      <c r="H57" s="36">
        <v>0</v>
      </c>
      <c r="I57" s="36">
        <v>0</v>
      </c>
      <c r="J57" s="36">
        <v>17131</v>
      </c>
      <c r="K57" s="36">
        <v>31983</v>
      </c>
      <c r="L57" s="36">
        <v>19776</v>
      </c>
      <c r="M57" s="36">
        <v>34528</v>
      </c>
      <c r="N57" s="36">
        <v>1065</v>
      </c>
      <c r="O57" s="36">
        <v>2131</v>
      </c>
      <c r="P57" s="36">
        <v>2534</v>
      </c>
      <c r="Q57" s="36">
        <v>5233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32</v>
      </c>
      <c r="AA57" s="36">
        <v>156</v>
      </c>
      <c r="AB57" s="36">
        <v>32</v>
      </c>
      <c r="AC57" s="36">
        <v>138</v>
      </c>
      <c r="AD57" s="36">
        <f t="shared" si="12"/>
        <v>21423</v>
      </c>
      <c r="AE57" s="36">
        <f t="shared" si="7"/>
        <v>57242</v>
      </c>
      <c r="AF57" s="36">
        <f t="shared" si="8"/>
        <v>23977</v>
      </c>
      <c r="AG57" s="41">
        <f t="shared" si="9"/>
        <v>11.9</v>
      </c>
      <c r="AH57" s="36">
        <f t="shared" si="10"/>
        <v>48979</v>
      </c>
      <c r="AI57" s="41">
        <f t="shared" si="11"/>
        <v>-14.4</v>
      </c>
    </row>
    <row r="58" spans="1:35" ht="19.5" hidden="1" customHeight="1">
      <c r="A58" s="33" t="s">
        <v>68</v>
      </c>
      <c r="B58" s="36">
        <v>1657</v>
      </c>
      <c r="C58" s="36">
        <v>13286</v>
      </c>
      <c r="D58" s="36">
        <v>1202</v>
      </c>
      <c r="E58" s="36">
        <v>9442</v>
      </c>
      <c r="F58" s="36">
        <v>209</v>
      </c>
      <c r="G58" s="36">
        <v>6356</v>
      </c>
      <c r="H58" s="36">
        <v>152</v>
      </c>
      <c r="I58" s="36">
        <v>4905</v>
      </c>
      <c r="J58" s="36">
        <v>11592</v>
      </c>
      <c r="K58" s="36">
        <v>39561</v>
      </c>
      <c r="L58" s="36">
        <v>4022</v>
      </c>
      <c r="M58" s="36">
        <v>23664</v>
      </c>
      <c r="N58" s="36">
        <v>50</v>
      </c>
      <c r="O58" s="36">
        <v>327</v>
      </c>
      <c r="P58" s="36">
        <v>20</v>
      </c>
      <c r="Q58" s="36">
        <v>135</v>
      </c>
      <c r="R58" s="36">
        <v>150</v>
      </c>
      <c r="S58" s="36">
        <v>598</v>
      </c>
      <c r="T58" s="36">
        <v>121</v>
      </c>
      <c r="U58" s="36">
        <v>557</v>
      </c>
      <c r="V58" s="36">
        <v>4</v>
      </c>
      <c r="W58" s="36">
        <v>91</v>
      </c>
      <c r="X58" s="36">
        <v>5</v>
      </c>
      <c r="Y58" s="36">
        <v>121</v>
      </c>
      <c r="Z58" s="36">
        <v>65</v>
      </c>
      <c r="AA58" s="36">
        <v>5165</v>
      </c>
      <c r="AB58" s="36">
        <v>157</v>
      </c>
      <c r="AC58" s="36">
        <v>3836</v>
      </c>
      <c r="AD58" s="36">
        <f t="shared" si="12"/>
        <v>13727</v>
      </c>
      <c r="AE58" s="36">
        <f t="shared" si="7"/>
        <v>65384</v>
      </c>
      <c r="AF58" s="36">
        <f t="shared" si="8"/>
        <v>5679</v>
      </c>
      <c r="AG58" s="41">
        <f t="shared" si="9"/>
        <v>-58.6</v>
      </c>
      <c r="AH58" s="36">
        <f t="shared" si="10"/>
        <v>42660</v>
      </c>
      <c r="AI58" s="41">
        <f t="shared" si="11"/>
        <v>-34.799999999999997</v>
      </c>
    </row>
    <row r="59" spans="1:35" ht="19.5" hidden="1" customHeight="1">
      <c r="A59" s="33" t="s">
        <v>57</v>
      </c>
      <c r="B59" s="36">
        <v>4210</v>
      </c>
      <c r="C59" s="36">
        <v>39645</v>
      </c>
      <c r="D59" s="36">
        <v>4779</v>
      </c>
      <c r="E59" s="36">
        <v>36454</v>
      </c>
      <c r="F59" s="36">
        <v>2</v>
      </c>
      <c r="G59" s="36">
        <v>152</v>
      </c>
      <c r="H59" s="36">
        <v>1</v>
      </c>
      <c r="I59" s="36">
        <v>36</v>
      </c>
      <c r="J59" s="36">
        <v>5805</v>
      </c>
      <c r="K59" s="36">
        <v>9542</v>
      </c>
      <c r="L59" s="36">
        <v>5778</v>
      </c>
      <c r="M59" s="36">
        <v>11382</v>
      </c>
      <c r="N59" s="36">
        <v>0</v>
      </c>
      <c r="O59" s="36">
        <v>0</v>
      </c>
      <c r="P59" s="36">
        <v>0</v>
      </c>
      <c r="Q59" s="36">
        <v>1</v>
      </c>
      <c r="R59" s="36">
        <v>21</v>
      </c>
      <c r="S59" s="36">
        <v>53</v>
      </c>
      <c r="T59" s="36">
        <v>0</v>
      </c>
      <c r="U59" s="36">
        <v>3</v>
      </c>
      <c r="V59" s="36">
        <v>5</v>
      </c>
      <c r="W59" s="36">
        <v>142</v>
      </c>
      <c r="X59" s="36">
        <v>2</v>
      </c>
      <c r="Y59" s="36">
        <v>66</v>
      </c>
      <c r="Z59" s="36">
        <v>108</v>
      </c>
      <c r="AA59" s="36">
        <v>1472</v>
      </c>
      <c r="AB59" s="36">
        <v>175</v>
      </c>
      <c r="AC59" s="36">
        <v>1811</v>
      </c>
      <c r="AD59" s="36">
        <f t="shared" si="12"/>
        <v>10151</v>
      </c>
      <c r="AE59" s="36">
        <f t="shared" si="7"/>
        <v>51006</v>
      </c>
      <c r="AF59" s="36">
        <f t="shared" si="8"/>
        <v>10735</v>
      </c>
      <c r="AG59" s="41">
        <f t="shared" si="9"/>
        <v>5.8</v>
      </c>
      <c r="AH59" s="36">
        <f t="shared" si="10"/>
        <v>49753</v>
      </c>
      <c r="AI59" s="41">
        <f t="shared" si="11"/>
        <v>-2.5</v>
      </c>
    </row>
    <row r="60" spans="1:35" ht="19.5" hidden="1" customHeight="1">
      <c r="A60" s="33" t="s">
        <v>58</v>
      </c>
      <c r="B60" s="36">
        <v>1808</v>
      </c>
      <c r="C60" s="36">
        <v>10107</v>
      </c>
      <c r="D60" s="36">
        <v>2072</v>
      </c>
      <c r="E60" s="36">
        <v>11225</v>
      </c>
      <c r="F60" s="36">
        <v>0</v>
      </c>
      <c r="G60" s="36">
        <v>3</v>
      </c>
      <c r="H60" s="36">
        <v>0</v>
      </c>
      <c r="I60" s="36">
        <v>1</v>
      </c>
      <c r="J60" s="36">
        <v>1072</v>
      </c>
      <c r="K60" s="36">
        <v>1852</v>
      </c>
      <c r="L60" s="36">
        <v>2194</v>
      </c>
      <c r="M60" s="36">
        <v>3541</v>
      </c>
      <c r="N60" s="36">
        <v>40</v>
      </c>
      <c r="O60" s="36">
        <v>419</v>
      </c>
      <c r="P60" s="36">
        <v>40</v>
      </c>
      <c r="Q60" s="36">
        <v>363</v>
      </c>
      <c r="R60" s="36">
        <v>8</v>
      </c>
      <c r="S60" s="36">
        <v>3</v>
      </c>
      <c r="T60" s="36">
        <v>0</v>
      </c>
      <c r="U60" s="36">
        <v>0</v>
      </c>
      <c r="V60" s="36">
        <v>1641</v>
      </c>
      <c r="W60" s="36">
        <v>32397</v>
      </c>
      <c r="X60" s="36">
        <v>1365</v>
      </c>
      <c r="Y60" s="36">
        <v>23358</v>
      </c>
      <c r="Z60" s="36">
        <v>0</v>
      </c>
      <c r="AA60" s="36">
        <v>0</v>
      </c>
      <c r="AB60" s="36">
        <v>0</v>
      </c>
      <c r="AC60" s="36">
        <v>0</v>
      </c>
      <c r="AD60" s="36">
        <f t="shared" si="12"/>
        <v>4569</v>
      </c>
      <c r="AE60" s="36">
        <f t="shared" si="7"/>
        <v>44781</v>
      </c>
      <c r="AF60" s="36">
        <f t="shared" si="8"/>
        <v>5671</v>
      </c>
      <c r="AG60" s="41">
        <f t="shared" si="9"/>
        <v>24.1</v>
      </c>
      <c r="AH60" s="36">
        <f t="shared" si="10"/>
        <v>38488</v>
      </c>
      <c r="AI60" s="41">
        <f t="shared" si="11"/>
        <v>-14.1</v>
      </c>
    </row>
    <row r="61" spans="1:35" ht="19.5" hidden="1" customHeight="1">
      <c r="A61" s="33" t="s">
        <v>63</v>
      </c>
      <c r="B61" s="36">
        <v>5449</v>
      </c>
      <c r="C61" s="36">
        <v>30782</v>
      </c>
      <c r="D61" s="36">
        <v>4559</v>
      </c>
      <c r="E61" s="36">
        <v>24907</v>
      </c>
      <c r="F61" s="36">
        <v>0</v>
      </c>
      <c r="G61" s="36">
        <v>0</v>
      </c>
      <c r="H61" s="36">
        <v>0</v>
      </c>
      <c r="I61" s="36">
        <v>0</v>
      </c>
      <c r="J61" s="36">
        <v>16446</v>
      </c>
      <c r="K61" s="36">
        <v>29749</v>
      </c>
      <c r="L61" s="36">
        <v>9131</v>
      </c>
      <c r="M61" s="36">
        <v>12831</v>
      </c>
      <c r="N61" s="36">
        <v>1244</v>
      </c>
      <c r="O61" s="36">
        <v>2394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f t="shared" si="12"/>
        <v>23139</v>
      </c>
      <c r="AE61" s="36">
        <f t="shared" si="7"/>
        <v>62925</v>
      </c>
      <c r="AF61" s="36">
        <f t="shared" si="8"/>
        <v>13690</v>
      </c>
      <c r="AG61" s="41">
        <f t="shared" si="9"/>
        <v>-40.799999999999997</v>
      </c>
      <c r="AH61" s="36">
        <f t="shared" si="10"/>
        <v>37738</v>
      </c>
      <c r="AI61" s="41">
        <f t="shared" si="11"/>
        <v>-40</v>
      </c>
    </row>
    <row r="62" spans="1:35" ht="19.5" hidden="1" customHeight="1">
      <c r="A62" s="33" t="s">
        <v>55</v>
      </c>
      <c r="B62" s="36">
        <v>1311</v>
      </c>
      <c r="C62" s="36">
        <v>8603</v>
      </c>
      <c r="D62" s="36">
        <v>2295</v>
      </c>
      <c r="E62" s="36">
        <v>13176</v>
      </c>
      <c r="F62" s="36">
        <v>0</v>
      </c>
      <c r="G62" s="36">
        <v>0</v>
      </c>
      <c r="H62" s="36">
        <v>0</v>
      </c>
      <c r="I62" s="36">
        <v>0</v>
      </c>
      <c r="J62" s="36">
        <v>17032</v>
      </c>
      <c r="K62" s="36">
        <v>27761</v>
      </c>
      <c r="L62" s="36">
        <v>18299</v>
      </c>
      <c r="M62" s="36">
        <v>29333</v>
      </c>
      <c r="N62" s="36">
        <v>50</v>
      </c>
      <c r="O62" s="36">
        <v>113</v>
      </c>
      <c r="P62" s="36">
        <v>0</v>
      </c>
      <c r="Q62" s="36">
        <v>0</v>
      </c>
      <c r="R62" s="36">
        <v>40</v>
      </c>
      <c r="S62" s="36">
        <v>124</v>
      </c>
      <c r="T62" s="36">
        <v>0</v>
      </c>
      <c r="U62" s="36">
        <v>0</v>
      </c>
      <c r="V62" s="36">
        <v>193</v>
      </c>
      <c r="W62" s="36">
        <v>3840</v>
      </c>
      <c r="X62" s="36">
        <v>288</v>
      </c>
      <c r="Y62" s="36">
        <v>5714</v>
      </c>
      <c r="Z62" s="36">
        <v>0</v>
      </c>
      <c r="AA62" s="36">
        <v>0</v>
      </c>
      <c r="AB62" s="36">
        <v>0</v>
      </c>
      <c r="AC62" s="36">
        <v>3</v>
      </c>
      <c r="AD62" s="36">
        <f t="shared" si="12"/>
        <v>18626</v>
      </c>
      <c r="AE62" s="36">
        <f t="shared" si="7"/>
        <v>40441</v>
      </c>
      <c r="AF62" s="36">
        <f t="shared" si="8"/>
        <v>20882</v>
      </c>
      <c r="AG62" s="41">
        <f t="shared" si="9"/>
        <v>12.1</v>
      </c>
      <c r="AH62" s="36">
        <f t="shared" si="10"/>
        <v>48226</v>
      </c>
      <c r="AI62" s="41">
        <f t="shared" si="11"/>
        <v>19.3</v>
      </c>
    </row>
    <row r="63" spans="1:35" ht="19.5" hidden="1" customHeight="1">
      <c r="A63" s="33" t="s">
        <v>51</v>
      </c>
      <c r="B63" s="36">
        <v>1141</v>
      </c>
      <c r="C63" s="36">
        <v>7439</v>
      </c>
      <c r="D63" s="36">
        <v>1431</v>
      </c>
      <c r="E63" s="36">
        <v>9566</v>
      </c>
      <c r="F63" s="36">
        <v>5</v>
      </c>
      <c r="G63" s="36">
        <v>19</v>
      </c>
      <c r="H63" s="36">
        <v>19</v>
      </c>
      <c r="I63" s="36">
        <v>29</v>
      </c>
      <c r="J63" s="36">
        <v>12597</v>
      </c>
      <c r="K63" s="36">
        <v>27960</v>
      </c>
      <c r="L63" s="36">
        <v>11620</v>
      </c>
      <c r="M63" s="36">
        <v>28110</v>
      </c>
      <c r="N63" s="36">
        <v>1</v>
      </c>
      <c r="O63" s="36">
        <v>1</v>
      </c>
      <c r="P63" s="36">
        <v>2</v>
      </c>
      <c r="Q63" s="36">
        <v>1</v>
      </c>
      <c r="R63" s="36">
        <v>417</v>
      </c>
      <c r="S63" s="36">
        <v>873</v>
      </c>
      <c r="T63" s="36">
        <v>571</v>
      </c>
      <c r="U63" s="36">
        <v>1146</v>
      </c>
      <c r="V63" s="36">
        <v>15</v>
      </c>
      <c r="W63" s="36">
        <v>300</v>
      </c>
      <c r="X63" s="36">
        <v>0</v>
      </c>
      <c r="Y63" s="36">
        <v>0</v>
      </c>
      <c r="Z63" s="36">
        <v>351</v>
      </c>
      <c r="AA63" s="36">
        <v>1223</v>
      </c>
      <c r="AB63" s="36">
        <v>4</v>
      </c>
      <c r="AC63" s="36">
        <v>562</v>
      </c>
      <c r="AD63" s="36">
        <f t="shared" si="12"/>
        <v>14527</v>
      </c>
      <c r="AE63" s="36">
        <f t="shared" si="7"/>
        <v>37815</v>
      </c>
      <c r="AF63" s="36">
        <f t="shared" si="8"/>
        <v>13647</v>
      </c>
      <c r="AG63" s="41">
        <f t="shared" si="9"/>
        <v>-6.1</v>
      </c>
      <c r="AH63" s="36">
        <f t="shared" si="10"/>
        <v>39414</v>
      </c>
      <c r="AI63" s="41">
        <f t="shared" si="11"/>
        <v>4.2</v>
      </c>
    </row>
    <row r="64" spans="1:35" ht="19.5" hidden="1" customHeight="1">
      <c r="A64" s="33" t="s">
        <v>72</v>
      </c>
      <c r="B64" s="36">
        <v>1880</v>
      </c>
      <c r="C64" s="36">
        <v>8206</v>
      </c>
      <c r="D64" s="36">
        <v>838</v>
      </c>
      <c r="E64" s="36">
        <v>4450</v>
      </c>
      <c r="F64" s="36">
        <v>871</v>
      </c>
      <c r="G64" s="36">
        <v>10337</v>
      </c>
      <c r="H64" s="36">
        <v>731</v>
      </c>
      <c r="I64" s="36">
        <v>11352</v>
      </c>
      <c r="J64" s="36">
        <v>11242</v>
      </c>
      <c r="K64" s="36">
        <v>22363</v>
      </c>
      <c r="L64" s="36">
        <v>3661</v>
      </c>
      <c r="M64" s="36">
        <v>6488</v>
      </c>
      <c r="N64" s="36">
        <v>0</v>
      </c>
      <c r="O64" s="36">
        <v>0</v>
      </c>
      <c r="P64" s="36">
        <v>0</v>
      </c>
      <c r="Q64" s="36">
        <v>0</v>
      </c>
      <c r="R64" s="36">
        <v>1</v>
      </c>
      <c r="S64" s="36">
        <v>13</v>
      </c>
      <c r="T64" s="36">
        <v>0</v>
      </c>
      <c r="U64" s="36">
        <v>7</v>
      </c>
      <c r="V64" s="36">
        <v>0</v>
      </c>
      <c r="W64" s="36">
        <v>0</v>
      </c>
      <c r="X64" s="36">
        <v>0</v>
      </c>
      <c r="Y64" s="36">
        <v>1</v>
      </c>
      <c r="Z64" s="36">
        <v>198</v>
      </c>
      <c r="AA64" s="36">
        <v>525</v>
      </c>
      <c r="AB64" s="36">
        <v>24</v>
      </c>
      <c r="AC64" s="36">
        <v>1325</v>
      </c>
      <c r="AD64" s="36">
        <f t="shared" si="12"/>
        <v>14192</v>
      </c>
      <c r="AE64" s="36">
        <f t="shared" si="7"/>
        <v>41444</v>
      </c>
      <c r="AF64" s="36">
        <f t="shared" si="8"/>
        <v>5254</v>
      </c>
      <c r="AG64" s="41">
        <f t="shared" si="9"/>
        <v>-63</v>
      </c>
      <c r="AH64" s="36">
        <f t="shared" si="10"/>
        <v>23623</v>
      </c>
      <c r="AI64" s="41">
        <f t="shared" si="11"/>
        <v>-43</v>
      </c>
    </row>
    <row r="65" spans="1:35" ht="19.5" hidden="1" customHeight="1">
      <c r="A65" s="33" t="s">
        <v>87</v>
      </c>
      <c r="B65" s="36">
        <v>705</v>
      </c>
      <c r="C65" s="36">
        <v>4004</v>
      </c>
      <c r="D65" s="36">
        <v>631</v>
      </c>
      <c r="E65" s="36">
        <v>3441</v>
      </c>
      <c r="F65" s="36">
        <v>0</v>
      </c>
      <c r="G65" s="36">
        <v>0</v>
      </c>
      <c r="H65" s="36">
        <v>0</v>
      </c>
      <c r="I65" s="36">
        <v>0</v>
      </c>
      <c r="J65" s="36">
        <v>15710</v>
      </c>
      <c r="K65" s="36">
        <v>33882</v>
      </c>
      <c r="L65" s="36">
        <v>15541</v>
      </c>
      <c r="M65" s="36">
        <v>30409</v>
      </c>
      <c r="N65" s="36">
        <v>27</v>
      </c>
      <c r="O65" s="36">
        <v>36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11</v>
      </c>
      <c r="AA65" s="36">
        <v>55</v>
      </c>
      <c r="AB65" s="36">
        <v>0</v>
      </c>
      <c r="AC65" s="36">
        <v>0</v>
      </c>
      <c r="AD65" s="36">
        <f t="shared" si="12"/>
        <v>16453</v>
      </c>
      <c r="AE65" s="36">
        <f t="shared" si="7"/>
        <v>37977</v>
      </c>
      <c r="AF65" s="36">
        <f t="shared" si="8"/>
        <v>16172</v>
      </c>
      <c r="AG65" s="41">
        <f t="shared" si="9"/>
        <v>-1.7</v>
      </c>
      <c r="AH65" s="36">
        <f t="shared" si="10"/>
        <v>33850</v>
      </c>
      <c r="AI65" s="41">
        <f t="shared" si="11"/>
        <v>-10.9</v>
      </c>
    </row>
    <row r="66" spans="1:35" ht="19.5" hidden="1" customHeight="1">
      <c r="A66" s="33" t="s">
        <v>59</v>
      </c>
      <c r="B66" s="36">
        <v>4022</v>
      </c>
      <c r="C66" s="36">
        <v>22822</v>
      </c>
      <c r="D66" s="36">
        <v>5367</v>
      </c>
      <c r="E66" s="36">
        <v>31516</v>
      </c>
      <c r="F66" s="36">
        <v>387</v>
      </c>
      <c r="G66" s="36">
        <v>215</v>
      </c>
      <c r="H66" s="36">
        <v>13</v>
      </c>
      <c r="I66" s="36">
        <v>10</v>
      </c>
      <c r="J66" s="36">
        <v>3440</v>
      </c>
      <c r="K66" s="36">
        <v>4734</v>
      </c>
      <c r="L66" s="36">
        <v>3891</v>
      </c>
      <c r="M66" s="36">
        <v>4705</v>
      </c>
      <c r="N66" s="36">
        <v>411</v>
      </c>
      <c r="O66" s="36">
        <v>798</v>
      </c>
      <c r="P66" s="36">
        <v>560</v>
      </c>
      <c r="Q66" s="36">
        <v>1060</v>
      </c>
      <c r="R66" s="36">
        <v>22</v>
      </c>
      <c r="S66" s="36">
        <v>43</v>
      </c>
      <c r="T66" s="36">
        <v>7</v>
      </c>
      <c r="U66" s="36">
        <v>15</v>
      </c>
      <c r="V66" s="36">
        <v>13</v>
      </c>
      <c r="W66" s="36">
        <v>288</v>
      </c>
      <c r="X66" s="36">
        <v>0</v>
      </c>
      <c r="Y66" s="36">
        <v>14</v>
      </c>
      <c r="Z66" s="36">
        <v>24</v>
      </c>
      <c r="AA66" s="36">
        <v>59</v>
      </c>
      <c r="AB66" s="36">
        <v>0</v>
      </c>
      <c r="AC66" s="36">
        <v>0</v>
      </c>
      <c r="AD66" s="36">
        <f t="shared" si="12"/>
        <v>8319</v>
      </c>
      <c r="AE66" s="36">
        <f t="shared" si="7"/>
        <v>28959</v>
      </c>
      <c r="AF66" s="36">
        <f t="shared" si="8"/>
        <v>9838</v>
      </c>
      <c r="AG66" s="41">
        <f t="shared" si="9"/>
        <v>18.3</v>
      </c>
      <c r="AH66" s="36">
        <f t="shared" si="10"/>
        <v>37320</v>
      </c>
      <c r="AI66" s="41">
        <f t="shared" si="11"/>
        <v>28.9</v>
      </c>
    </row>
    <row r="67" spans="1:35" ht="19.5" hidden="1" customHeight="1">
      <c r="A67" s="33" t="s">
        <v>90</v>
      </c>
      <c r="B67" s="36">
        <v>0</v>
      </c>
      <c r="C67" s="36">
        <v>0</v>
      </c>
      <c r="D67" s="36">
        <v>225</v>
      </c>
      <c r="E67" s="36">
        <v>1239</v>
      </c>
      <c r="F67" s="36">
        <v>0</v>
      </c>
      <c r="G67" s="36">
        <v>0</v>
      </c>
      <c r="H67" s="36">
        <v>0</v>
      </c>
      <c r="I67" s="36">
        <v>0</v>
      </c>
      <c r="J67" s="36">
        <v>11539</v>
      </c>
      <c r="K67" s="36">
        <v>24984</v>
      </c>
      <c r="L67" s="36">
        <v>9206</v>
      </c>
      <c r="M67" s="36">
        <v>17594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f t="shared" si="12"/>
        <v>11539</v>
      </c>
      <c r="AE67" s="36">
        <f t="shared" si="7"/>
        <v>24984</v>
      </c>
      <c r="AF67" s="36">
        <f t="shared" si="8"/>
        <v>9431</v>
      </c>
      <c r="AG67" s="41">
        <f t="shared" si="9"/>
        <v>-18.3</v>
      </c>
      <c r="AH67" s="36">
        <f t="shared" si="10"/>
        <v>18833</v>
      </c>
      <c r="AI67" s="41">
        <f t="shared" si="11"/>
        <v>-24.6</v>
      </c>
    </row>
    <row r="68" spans="1:35" ht="19.5" hidden="1" customHeight="1">
      <c r="A68" s="33" t="s">
        <v>76</v>
      </c>
      <c r="B68" s="36">
        <v>131</v>
      </c>
      <c r="C68" s="36">
        <v>785</v>
      </c>
      <c r="D68" s="36">
        <v>31</v>
      </c>
      <c r="E68" s="36">
        <v>568</v>
      </c>
      <c r="F68" s="36">
        <v>202</v>
      </c>
      <c r="G68" s="36">
        <v>4902</v>
      </c>
      <c r="H68" s="36">
        <v>229</v>
      </c>
      <c r="I68" s="36">
        <v>5690</v>
      </c>
      <c r="J68" s="36">
        <v>1502</v>
      </c>
      <c r="K68" s="36">
        <v>18778</v>
      </c>
      <c r="L68" s="36">
        <v>1365</v>
      </c>
      <c r="M68" s="36">
        <v>16435</v>
      </c>
      <c r="N68" s="36">
        <v>0</v>
      </c>
      <c r="O68" s="36">
        <v>0</v>
      </c>
      <c r="P68" s="36">
        <v>0</v>
      </c>
      <c r="Q68" s="36">
        <v>0</v>
      </c>
      <c r="R68" s="36">
        <v>128</v>
      </c>
      <c r="S68" s="36">
        <v>627</v>
      </c>
      <c r="T68" s="36">
        <v>168</v>
      </c>
      <c r="U68" s="36">
        <v>780</v>
      </c>
      <c r="V68" s="36">
        <v>3</v>
      </c>
      <c r="W68" s="36">
        <v>60</v>
      </c>
      <c r="X68" s="36">
        <v>6</v>
      </c>
      <c r="Y68" s="36">
        <v>129</v>
      </c>
      <c r="Z68" s="36">
        <v>33</v>
      </c>
      <c r="AA68" s="36">
        <v>2189</v>
      </c>
      <c r="AB68" s="36">
        <v>24</v>
      </c>
      <c r="AC68" s="36">
        <v>1723</v>
      </c>
      <c r="AD68" s="36">
        <f t="shared" si="12"/>
        <v>1999</v>
      </c>
      <c r="AE68" s="36">
        <f t="shared" si="7"/>
        <v>27341</v>
      </c>
      <c r="AF68" s="36">
        <f t="shared" si="8"/>
        <v>1823</v>
      </c>
      <c r="AG68" s="41">
        <f t="shared" si="9"/>
        <v>-8.8000000000000007</v>
      </c>
      <c r="AH68" s="36">
        <f t="shared" si="10"/>
        <v>25325</v>
      </c>
      <c r="AI68" s="41">
        <f t="shared" si="11"/>
        <v>-7.4</v>
      </c>
    </row>
    <row r="69" spans="1:35" ht="19.5" hidden="1" customHeight="1">
      <c r="A69" s="33" t="s">
        <v>91</v>
      </c>
      <c r="B69" s="36">
        <v>164</v>
      </c>
      <c r="C69" s="36">
        <v>926</v>
      </c>
      <c r="D69" s="36">
        <v>175</v>
      </c>
      <c r="E69" s="36">
        <v>979</v>
      </c>
      <c r="F69" s="36">
        <v>0</v>
      </c>
      <c r="G69" s="36">
        <v>0</v>
      </c>
      <c r="H69" s="36">
        <v>0</v>
      </c>
      <c r="I69" s="36">
        <v>0</v>
      </c>
      <c r="J69" s="36">
        <v>6484</v>
      </c>
      <c r="K69" s="36">
        <v>14131</v>
      </c>
      <c r="L69" s="36">
        <v>12197</v>
      </c>
      <c r="M69" s="36">
        <v>23214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f t="shared" si="12"/>
        <v>6648</v>
      </c>
      <c r="AE69" s="36">
        <f t="shared" si="7"/>
        <v>15057</v>
      </c>
      <c r="AF69" s="36">
        <f t="shared" si="8"/>
        <v>12372</v>
      </c>
      <c r="AG69" s="41">
        <f t="shared" si="9"/>
        <v>86.1</v>
      </c>
      <c r="AH69" s="36">
        <f t="shared" si="10"/>
        <v>24193</v>
      </c>
      <c r="AI69" s="41">
        <f t="shared" si="11"/>
        <v>60.7</v>
      </c>
    </row>
    <row r="70" spans="1:35" ht="19.5" hidden="1" customHeight="1">
      <c r="A70" s="33" t="s">
        <v>308</v>
      </c>
      <c r="B70" s="36">
        <v>0</v>
      </c>
      <c r="C70" s="36">
        <v>0</v>
      </c>
      <c r="D70" s="36">
        <v>0</v>
      </c>
      <c r="E70" s="36">
        <v>0</v>
      </c>
      <c r="F70" s="36">
        <v>898</v>
      </c>
      <c r="G70" s="36">
        <v>10552</v>
      </c>
      <c r="H70" s="36">
        <v>1374</v>
      </c>
      <c r="I70" s="36">
        <v>20601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f t="shared" si="12"/>
        <v>898</v>
      </c>
      <c r="AE70" s="36">
        <f t="shared" si="7"/>
        <v>10552</v>
      </c>
      <c r="AF70" s="36">
        <f t="shared" si="8"/>
        <v>1374</v>
      </c>
      <c r="AG70" s="41">
        <f t="shared" si="9"/>
        <v>53</v>
      </c>
      <c r="AH70" s="36">
        <f t="shared" si="10"/>
        <v>20601</v>
      </c>
      <c r="AI70" s="41">
        <f t="shared" si="11"/>
        <v>95.2</v>
      </c>
    </row>
    <row r="71" spans="1:35" ht="19.5" hidden="1" customHeight="1">
      <c r="A71" s="33" t="s">
        <v>71</v>
      </c>
      <c r="B71" s="36">
        <v>523</v>
      </c>
      <c r="C71" s="36">
        <v>3987</v>
      </c>
      <c r="D71" s="36">
        <v>602</v>
      </c>
      <c r="E71" s="36">
        <v>4086</v>
      </c>
      <c r="F71" s="36">
        <v>32</v>
      </c>
      <c r="G71" s="36">
        <v>1019</v>
      </c>
      <c r="H71" s="36">
        <v>107</v>
      </c>
      <c r="I71" s="36">
        <v>2490</v>
      </c>
      <c r="J71" s="36">
        <v>3910</v>
      </c>
      <c r="K71" s="36">
        <v>7545</v>
      </c>
      <c r="L71" s="36">
        <v>4266</v>
      </c>
      <c r="M71" s="36">
        <v>6928</v>
      </c>
      <c r="N71" s="36">
        <v>0</v>
      </c>
      <c r="O71" s="36">
        <v>2</v>
      </c>
      <c r="P71" s="36">
        <v>3</v>
      </c>
      <c r="Q71" s="36">
        <v>22</v>
      </c>
      <c r="R71" s="36">
        <v>0</v>
      </c>
      <c r="S71" s="36">
        <v>2</v>
      </c>
      <c r="T71" s="36">
        <v>1</v>
      </c>
      <c r="U71" s="36">
        <v>21</v>
      </c>
      <c r="V71" s="36">
        <v>0</v>
      </c>
      <c r="W71" s="36">
        <v>3</v>
      </c>
      <c r="X71" s="36">
        <v>4</v>
      </c>
      <c r="Y71" s="36">
        <v>80</v>
      </c>
      <c r="Z71" s="36">
        <v>48</v>
      </c>
      <c r="AA71" s="36">
        <v>2115</v>
      </c>
      <c r="AB71" s="36">
        <v>191</v>
      </c>
      <c r="AC71" s="36">
        <v>2575</v>
      </c>
      <c r="AD71" s="36">
        <f t="shared" si="12"/>
        <v>4513</v>
      </c>
      <c r="AE71" s="36">
        <f t="shared" si="7"/>
        <v>14673</v>
      </c>
      <c r="AF71" s="36">
        <f t="shared" si="8"/>
        <v>5174</v>
      </c>
      <c r="AG71" s="41">
        <f t="shared" si="9"/>
        <v>14.6</v>
      </c>
      <c r="AH71" s="36">
        <f t="shared" si="10"/>
        <v>16202</v>
      </c>
      <c r="AI71" s="41">
        <f t="shared" si="11"/>
        <v>10.4</v>
      </c>
    </row>
    <row r="72" spans="1:35" ht="19.5" hidden="1" customHeight="1">
      <c r="A72" s="33" t="s">
        <v>88</v>
      </c>
      <c r="B72" s="36">
        <v>2859</v>
      </c>
      <c r="C72" s="36">
        <v>15521</v>
      </c>
      <c r="D72" s="36">
        <v>1767</v>
      </c>
      <c r="E72" s="36">
        <v>8870</v>
      </c>
      <c r="F72" s="36">
        <v>0</v>
      </c>
      <c r="G72" s="36">
        <v>0</v>
      </c>
      <c r="H72" s="36">
        <v>0</v>
      </c>
      <c r="I72" s="36">
        <v>0</v>
      </c>
      <c r="J72" s="36">
        <v>1875</v>
      </c>
      <c r="K72" s="36">
        <v>3165</v>
      </c>
      <c r="L72" s="36">
        <v>358</v>
      </c>
      <c r="M72" s="36">
        <v>524</v>
      </c>
      <c r="N72" s="36">
        <v>707</v>
      </c>
      <c r="O72" s="36">
        <v>1369</v>
      </c>
      <c r="P72" s="36">
        <v>1550</v>
      </c>
      <c r="Q72" s="36">
        <v>3040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f t="shared" si="12"/>
        <v>5441</v>
      </c>
      <c r="AE72" s="36">
        <f t="shared" si="7"/>
        <v>20055</v>
      </c>
      <c r="AF72" s="36">
        <f t="shared" si="8"/>
        <v>3675</v>
      </c>
      <c r="AG72" s="41">
        <f t="shared" si="9"/>
        <v>-32.5</v>
      </c>
      <c r="AH72" s="36">
        <f t="shared" si="10"/>
        <v>12434</v>
      </c>
      <c r="AI72" s="41">
        <f t="shared" si="11"/>
        <v>-38</v>
      </c>
    </row>
    <row r="73" spans="1:35" ht="19.5" hidden="1" customHeight="1">
      <c r="A73" s="33" t="s">
        <v>65</v>
      </c>
      <c r="B73" s="36">
        <v>1239</v>
      </c>
      <c r="C73" s="36">
        <v>6314</v>
      </c>
      <c r="D73" s="36">
        <v>2237</v>
      </c>
      <c r="E73" s="36">
        <v>9217</v>
      </c>
      <c r="F73" s="36">
        <v>1</v>
      </c>
      <c r="G73" s="36">
        <v>154</v>
      </c>
      <c r="H73" s="36">
        <v>2</v>
      </c>
      <c r="I73" s="36">
        <v>154</v>
      </c>
      <c r="J73" s="36">
        <v>1885</v>
      </c>
      <c r="K73" s="36">
        <v>2706</v>
      </c>
      <c r="L73" s="36">
        <v>7404</v>
      </c>
      <c r="M73" s="36">
        <v>9157</v>
      </c>
      <c r="N73" s="36">
        <v>0</v>
      </c>
      <c r="O73" s="36">
        <v>2</v>
      </c>
      <c r="P73" s="36">
        <v>0</v>
      </c>
      <c r="Q73" s="36">
        <v>1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21</v>
      </c>
      <c r="AA73" s="36">
        <v>431</v>
      </c>
      <c r="AB73" s="36">
        <v>3</v>
      </c>
      <c r="AC73" s="36">
        <v>119</v>
      </c>
      <c r="AD73" s="36">
        <f t="shared" si="12"/>
        <v>3146</v>
      </c>
      <c r="AE73" s="36">
        <f t="shared" si="7"/>
        <v>9607</v>
      </c>
      <c r="AF73" s="36">
        <f t="shared" si="8"/>
        <v>9646</v>
      </c>
      <c r="AG73" s="41">
        <f t="shared" si="9"/>
        <v>206.6</v>
      </c>
      <c r="AH73" s="36">
        <f t="shared" si="10"/>
        <v>18648</v>
      </c>
      <c r="AI73" s="41">
        <f t="shared" si="11"/>
        <v>94.1</v>
      </c>
    </row>
    <row r="74" spans="1:35" ht="19.5" hidden="1" customHeight="1">
      <c r="A74" s="33" t="s">
        <v>66</v>
      </c>
      <c r="B74" s="36">
        <v>2144</v>
      </c>
      <c r="C74" s="36">
        <v>11159</v>
      </c>
      <c r="D74" s="36">
        <v>2288</v>
      </c>
      <c r="E74" s="36">
        <v>11882</v>
      </c>
      <c r="F74" s="36">
        <v>6</v>
      </c>
      <c r="G74" s="36">
        <v>61</v>
      </c>
      <c r="H74" s="36">
        <v>90</v>
      </c>
      <c r="I74" s="36">
        <v>154</v>
      </c>
      <c r="J74" s="36">
        <v>1073</v>
      </c>
      <c r="K74" s="36">
        <v>2028</v>
      </c>
      <c r="L74" s="36">
        <v>608</v>
      </c>
      <c r="M74" s="36">
        <v>2022</v>
      </c>
      <c r="N74" s="36">
        <v>1</v>
      </c>
      <c r="O74" s="36">
        <v>127</v>
      </c>
      <c r="P74" s="36">
        <v>1</v>
      </c>
      <c r="Q74" s="36">
        <v>131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1</v>
      </c>
      <c r="Y74" s="36">
        <v>15</v>
      </c>
      <c r="Z74" s="36">
        <v>153</v>
      </c>
      <c r="AA74" s="36">
        <v>601</v>
      </c>
      <c r="AB74" s="36">
        <v>47</v>
      </c>
      <c r="AC74" s="36">
        <v>274</v>
      </c>
      <c r="AD74" s="36">
        <f t="shared" si="12"/>
        <v>3377</v>
      </c>
      <c r="AE74" s="36">
        <f t="shared" si="7"/>
        <v>13976</v>
      </c>
      <c r="AF74" s="36">
        <f t="shared" si="8"/>
        <v>3035</v>
      </c>
      <c r="AG74" s="41">
        <f t="shared" si="9"/>
        <v>-10.1</v>
      </c>
      <c r="AH74" s="36">
        <f t="shared" si="10"/>
        <v>14478</v>
      </c>
      <c r="AI74" s="41">
        <f t="shared" si="11"/>
        <v>3.6</v>
      </c>
    </row>
    <row r="75" spans="1:35" ht="19.5" hidden="1" customHeight="1">
      <c r="A75" s="33" t="s">
        <v>89</v>
      </c>
      <c r="B75" s="36">
        <v>1242</v>
      </c>
      <c r="C75" s="36">
        <v>7079</v>
      </c>
      <c r="D75" s="36">
        <v>1788</v>
      </c>
      <c r="E75" s="36">
        <v>3331</v>
      </c>
      <c r="F75" s="36">
        <v>73</v>
      </c>
      <c r="G75" s="36">
        <v>960</v>
      </c>
      <c r="H75" s="36">
        <v>62</v>
      </c>
      <c r="I75" s="36">
        <v>1038</v>
      </c>
      <c r="J75" s="36">
        <v>1347</v>
      </c>
      <c r="K75" s="36">
        <v>2198</v>
      </c>
      <c r="L75" s="36">
        <v>2556</v>
      </c>
      <c r="M75" s="36">
        <v>4326</v>
      </c>
      <c r="N75" s="36">
        <v>110</v>
      </c>
      <c r="O75" s="36">
        <v>248</v>
      </c>
      <c r="P75" s="36">
        <v>1</v>
      </c>
      <c r="Q75" s="36">
        <v>1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60</v>
      </c>
      <c r="AA75" s="36">
        <v>346</v>
      </c>
      <c r="AB75" s="36">
        <v>24</v>
      </c>
      <c r="AC75" s="36">
        <v>238</v>
      </c>
      <c r="AD75" s="36">
        <f t="shared" si="12"/>
        <v>2832</v>
      </c>
      <c r="AE75" s="36">
        <f t="shared" si="7"/>
        <v>10831</v>
      </c>
      <c r="AF75" s="36">
        <f t="shared" si="8"/>
        <v>4431</v>
      </c>
      <c r="AG75" s="41">
        <f t="shared" si="9"/>
        <v>56.5</v>
      </c>
      <c r="AH75" s="36">
        <f t="shared" si="10"/>
        <v>8934</v>
      </c>
      <c r="AI75" s="41">
        <f t="shared" si="11"/>
        <v>-17.5</v>
      </c>
    </row>
    <row r="76" spans="1:35" ht="19.5" hidden="1" customHeight="1">
      <c r="A76" s="33" t="s">
        <v>309</v>
      </c>
      <c r="B76" s="36">
        <v>0</v>
      </c>
      <c r="C76" s="36">
        <v>4</v>
      </c>
      <c r="D76" s="36">
        <v>1</v>
      </c>
      <c r="E76" s="36">
        <v>7</v>
      </c>
      <c r="F76" s="36">
        <v>972</v>
      </c>
      <c r="G76" s="36">
        <v>12381</v>
      </c>
      <c r="H76" s="36">
        <v>686</v>
      </c>
      <c r="I76" s="36">
        <v>10276</v>
      </c>
      <c r="J76" s="36">
        <v>0</v>
      </c>
      <c r="K76" s="36">
        <v>18</v>
      </c>
      <c r="L76" s="36">
        <v>56</v>
      </c>
      <c r="M76" s="36">
        <v>267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1</v>
      </c>
      <c r="AA76" s="36">
        <v>38</v>
      </c>
      <c r="AB76" s="36">
        <v>3</v>
      </c>
      <c r="AC76" s="36">
        <v>111</v>
      </c>
      <c r="AD76" s="36">
        <f t="shared" si="12"/>
        <v>973</v>
      </c>
      <c r="AE76" s="36">
        <f t="shared" si="7"/>
        <v>12441</v>
      </c>
      <c r="AF76" s="36">
        <f t="shared" si="8"/>
        <v>746</v>
      </c>
      <c r="AG76" s="41">
        <f t="shared" si="9"/>
        <v>-23.3</v>
      </c>
      <c r="AH76" s="36">
        <f t="shared" si="10"/>
        <v>10661</v>
      </c>
      <c r="AI76" s="41">
        <f t="shared" si="11"/>
        <v>-14.3</v>
      </c>
    </row>
    <row r="77" spans="1:35" ht="19.5" hidden="1" customHeight="1">
      <c r="A77" s="33" t="s">
        <v>92</v>
      </c>
      <c r="B77" s="36">
        <v>1666</v>
      </c>
      <c r="C77" s="36">
        <v>9158</v>
      </c>
      <c r="D77" s="36">
        <v>1642</v>
      </c>
      <c r="E77" s="36">
        <v>8721</v>
      </c>
      <c r="F77" s="36">
        <v>0</v>
      </c>
      <c r="G77" s="36">
        <v>1</v>
      </c>
      <c r="H77" s="36">
        <v>0</v>
      </c>
      <c r="I77" s="36">
        <v>13</v>
      </c>
      <c r="J77" s="36">
        <v>1007</v>
      </c>
      <c r="K77" s="36">
        <v>1926</v>
      </c>
      <c r="L77" s="36">
        <v>1962</v>
      </c>
      <c r="M77" s="36">
        <v>2530</v>
      </c>
      <c r="N77" s="36">
        <v>0</v>
      </c>
      <c r="O77" s="36">
        <v>0</v>
      </c>
      <c r="P77" s="36">
        <v>0</v>
      </c>
      <c r="Q77" s="36">
        <v>1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f t="shared" si="12"/>
        <v>2673</v>
      </c>
      <c r="AE77" s="36">
        <f t="shared" si="7"/>
        <v>11085</v>
      </c>
      <c r="AF77" s="36">
        <f t="shared" si="8"/>
        <v>3604</v>
      </c>
      <c r="AG77" s="41">
        <f t="shared" si="9"/>
        <v>34.799999999999997</v>
      </c>
      <c r="AH77" s="36">
        <f t="shared" si="10"/>
        <v>11265</v>
      </c>
      <c r="AI77" s="41">
        <f t="shared" si="11"/>
        <v>1.6</v>
      </c>
    </row>
    <row r="78" spans="1:35" ht="19.5" hidden="1" customHeight="1">
      <c r="A78" s="34" t="s">
        <v>78</v>
      </c>
      <c r="B78" s="37">
        <f t="shared" ref="B78:M78" si="13">B79-SUM(B48:B77)</f>
        <v>27167</v>
      </c>
      <c r="C78" s="37">
        <f t="shared" si="13"/>
        <v>145168</v>
      </c>
      <c r="D78" s="37">
        <f t="shared" si="13"/>
        <v>26995</v>
      </c>
      <c r="E78" s="37">
        <f t="shared" si="13"/>
        <v>147215</v>
      </c>
      <c r="F78" s="37">
        <f t="shared" si="13"/>
        <v>1568</v>
      </c>
      <c r="G78" s="37">
        <f t="shared" si="13"/>
        <v>17716</v>
      </c>
      <c r="H78" s="37">
        <f t="shared" si="13"/>
        <v>2112</v>
      </c>
      <c r="I78" s="37">
        <f t="shared" si="13"/>
        <v>22539</v>
      </c>
      <c r="J78" s="37">
        <f t="shared" si="13"/>
        <v>20772</v>
      </c>
      <c r="K78" s="37">
        <f t="shared" si="13"/>
        <v>36577</v>
      </c>
      <c r="L78" s="37">
        <f t="shared" si="13"/>
        <v>21052</v>
      </c>
      <c r="M78" s="37">
        <f t="shared" si="13"/>
        <v>34997</v>
      </c>
      <c r="N78" s="37">
        <f>N79-SUM(N48:N77)</f>
        <v>1388</v>
      </c>
      <c r="O78" s="37">
        <f>O79-SUM(O48:O77)</f>
        <v>2828</v>
      </c>
      <c r="P78" s="37">
        <f>P79-SUM(P48:P77)</f>
        <v>3638</v>
      </c>
      <c r="Q78" s="37">
        <f>Q79-SUM(Q48:Q77)</f>
        <v>6941</v>
      </c>
      <c r="R78" s="37">
        <f t="shared" ref="R78:AF78" si="14">R79-SUM(R48:R77)</f>
        <v>1471</v>
      </c>
      <c r="S78" s="37">
        <f t="shared" si="14"/>
        <v>4535</v>
      </c>
      <c r="T78" s="37">
        <f t="shared" si="14"/>
        <v>1000</v>
      </c>
      <c r="U78" s="37">
        <f t="shared" si="14"/>
        <v>3090</v>
      </c>
      <c r="V78" s="37">
        <f t="shared" si="14"/>
        <v>1</v>
      </c>
      <c r="W78" s="37">
        <f t="shared" si="14"/>
        <v>111</v>
      </c>
      <c r="X78" s="37">
        <f t="shared" si="14"/>
        <v>153</v>
      </c>
      <c r="Y78" s="37">
        <f>Y79-SUM(Y48:Y77)</f>
        <v>2670</v>
      </c>
      <c r="Z78" s="37">
        <f t="shared" si="14"/>
        <v>1051</v>
      </c>
      <c r="AA78" s="37">
        <f t="shared" si="14"/>
        <v>13659</v>
      </c>
      <c r="AB78" s="37">
        <f t="shared" si="14"/>
        <v>938</v>
      </c>
      <c r="AC78" s="37">
        <f t="shared" si="14"/>
        <v>16253</v>
      </c>
      <c r="AD78" s="37">
        <f t="shared" si="14"/>
        <v>53418</v>
      </c>
      <c r="AE78" s="37">
        <f t="shared" si="14"/>
        <v>220594</v>
      </c>
      <c r="AF78" s="37">
        <f t="shared" si="14"/>
        <v>55888</v>
      </c>
      <c r="AG78" s="42">
        <f t="shared" si="9"/>
        <v>4.5999999999999996</v>
      </c>
      <c r="AH78" s="37">
        <f>AH79-SUM(AH48:AH77)</f>
        <v>233705</v>
      </c>
      <c r="AI78" s="42">
        <f t="shared" si="11"/>
        <v>5.9</v>
      </c>
    </row>
    <row r="79" spans="1:35" ht="19.5" hidden="1" customHeight="1">
      <c r="A79" s="35" t="s">
        <v>79</v>
      </c>
      <c r="B79" s="39">
        <v>152767</v>
      </c>
      <c r="C79" s="40">
        <v>974577</v>
      </c>
      <c r="D79" s="40">
        <v>140894</v>
      </c>
      <c r="E79" s="40">
        <v>852268</v>
      </c>
      <c r="F79" s="40">
        <v>10431</v>
      </c>
      <c r="G79" s="40">
        <v>167116</v>
      </c>
      <c r="H79" s="40">
        <v>10244</v>
      </c>
      <c r="I79" s="40">
        <v>180355</v>
      </c>
      <c r="J79" s="40">
        <v>457494</v>
      </c>
      <c r="K79" s="40">
        <v>1019595</v>
      </c>
      <c r="L79" s="40">
        <v>458666</v>
      </c>
      <c r="M79" s="40">
        <v>937907</v>
      </c>
      <c r="N79" s="40">
        <v>22078</v>
      </c>
      <c r="O79" s="40">
        <v>44857</v>
      </c>
      <c r="P79" s="40">
        <v>21750</v>
      </c>
      <c r="Q79" s="40">
        <v>44622</v>
      </c>
      <c r="R79" s="40">
        <v>9359</v>
      </c>
      <c r="S79" s="40">
        <v>27639</v>
      </c>
      <c r="T79" s="40">
        <v>8915</v>
      </c>
      <c r="U79" s="40">
        <v>23996</v>
      </c>
      <c r="V79" s="40">
        <v>2282</v>
      </c>
      <c r="W79" s="40">
        <v>45911</v>
      </c>
      <c r="X79" s="40">
        <v>2201</v>
      </c>
      <c r="Y79" s="40">
        <v>40173</v>
      </c>
      <c r="Z79" s="40">
        <v>24082</v>
      </c>
      <c r="AA79" s="40">
        <v>187117</v>
      </c>
      <c r="AB79" s="40">
        <v>21977</v>
      </c>
      <c r="AC79" s="40">
        <v>149086</v>
      </c>
      <c r="AD79" s="40">
        <f>SUM(B79+F79+J79+N79+R79+V79+Z79)</f>
        <v>678493</v>
      </c>
      <c r="AE79" s="39">
        <f>SUM(C79+G79+K79+O79+S79+W79+AA79)</f>
        <v>2466812</v>
      </c>
      <c r="AF79" s="40">
        <f>SUM(D79+H79+L79+P79+T79+X79+AB79)</f>
        <v>664647</v>
      </c>
      <c r="AG79" s="42">
        <f t="shared" si="9"/>
        <v>-2</v>
      </c>
      <c r="AH79" s="39">
        <f>SUM(E79+I79+M79+Q79+U79+Y79+AC79)</f>
        <v>2228407</v>
      </c>
      <c r="AI79" s="42">
        <f t="shared" si="11"/>
        <v>-9.6999999999999993</v>
      </c>
    </row>
    <row r="80" spans="1:35" hidden="1"/>
    <row r="81" spans="1:35" ht="22.5" hidden="1" customHeight="1">
      <c r="A81" s="1095" t="s">
        <v>549</v>
      </c>
      <c r="B81" s="1095"/>
      <c r="C81" s="1095"/>
      <c r="D81" s="1095"/>
      <c r="E81" s="1095"/>
      <c r="F81" s="1095"/>
      <c r="G81" s="1095"/>
      <c r="H81" s="1095"/>
      <c r="I81" s="1095"/>
      <c r="J81" s="1095"/>
      <c r="K81" s="1095"/>
      <c r="L81" s="1095"/>
      <c r="M81" s="1095"/>
      <c r="N81" s="1095"/>
      <c r="O81" s="1095"/>
      <c r="P81" s="1095"/>
      <c r="Q81" s="1095"/>
      <c r="R81" s="1095"/>
      <c r="S81" s="1095"/>
      <c r="T81" s="1095"/>
      <c r="U81" s="1095"/>
      <c r="V81" s="1095"/>
      <c r="W81" s="1095"/>
      <c r="X81" s="1095"/>
      <c r="Y81" s="1095"/>
      <c r="Z81" s="1095"/>
      <c r="AA81" s="1095"/>
      <c r="AB81" s="1095"/>
      <c r="AC81" s="1095"/>
      <c r="AD81" s="1095"/>
      <c r="AE81" s="1095"/>
      <c r="AF81" s="1095"/>
      <c r="AG81" s="1095"/>
      <c r="AH81" s="1095"/>
      <c r="AI81" s="1095"/>
    </row>
    <row r="82" spans="1:35" ht="16.5" hidden="1" customHeight="1">
      <c r="A82" s="509"/>
      <c r="B82" s="509"/>
      <c r="C82" s="509"/>
      <c r="D82" s="509"/>
      <c r="E82" s="509"/>
      <c r="F82" s="509"/>
      <c r="G82" s="509"/>
      <c r="H82" s="509"/>
      <c r="I82" s="509"/>
      <c r="J82" s="509"/>
      <c r="K82" s="509"/>
      <c r="L82" s="509"/>
      <c r="M82" s="509"/>
      <c r="N82" s="509"/>
      <c r="O82" s="509"/>
      <c r="P82" s="509"/>
      <c r="Q82" s="509"/>
      <c r="R82" s="509"/>
      <c r="S82" s="509"/>
      <c r="T82" s="509"/>
      <c r="U82" s="509"/>
      <c r="V82" s="509"/>
      <c r="W82" s="509"/>
      <c r="X82" s="509"/>
      <c r="Y82" s="509"/>
      <c r="Z82" s="509"/>
      <c r="AA82" s="509"/>
      <c r="AB82" s="509"/>
      <c r="AC82" s="509"/>
      <c r="AD82" s="509"/>
      <c r="AE82" s="509"/>
      <c r="AF82" s="509"/>
      <c r="AG82" s="509"/>
      <c r="AH82" s="509"/>
      <c r="AI82" s="509"/>
    </row>
    <row r="83" spans="1:35" hidden="1"/>
    <row r="84" spans="1:35" ht="21.75" hidden="1" customHeight="1">
      <c r="A84" s="1149" t="s">
        <v>43</v>
      </c>
      <c r="B84" s="1151" t="s">
        <v>518</v>
      </c>
      <c r="C84" s="1153"/>
      <c r="D84" s="1153"/>
      <c r="E84" s="1152"/>
      <c r="F84" s="1151" t="s">
        <v>519</v>
      </c>
      <c r="G84" s="1153"/>
      <c r="H84" s="1153"/>
      <c r="I84" s="1152"/>
      <c r="J84" s="1151" t="s">
        <v>520</v>
      </c>
      <c r="K84" s="1153"/>
      <c r="L84" s="1153"/>
      <c r="M84" s="1152"/>
      <c r="N84" s="1151" t="s">
        <v>521</v>
      </c>
      <c r="O84" s="1153"/>
      <c r="P84" s="1153"/>
      <c r="Q84" s="1152"/>
      <c r="R84" s="1151" t="s">
        <v>522</v>
      </c>
      <c r="S84" s="1153"/>
      <c r="T84" s="1153"/>
      <c r="U84" s="1152"/>
      <c r="V84" s="1151" t="s">
        <v>523</v>
      </c>
      <c r="W84" s="1153"/>
      <c r="X84" s="1153"/>
      <c r="Y84" s="1152"/>
      <c r="Z84" s="1151" t="s">
        <v>524</v>
      </c>
      <c r="AA84" s="1153"/>
      <c r="AB84" s="1153"/>
      <c r="AC84" s="1152"/>
      <c r="AD84" s="1151" t="s">
        <v>525</v>
      </c>
      <c r="AE84" s="1153"/>
      <c r="AF84" s="1153"/>
      <c r="AG84" s="1153"/>
      <c r="AH84" s="1153"/>
      <c r="AI84" s="1152"/>
    </row>
    <row r="85" spans="1:35" ht="21" hidden="1" customHeight="1">
      <c r="A85" s="1154"/>
      <c r="B85" s="1151" t="s">
        <v>315</v>
      </c>
      <c r="C85" s="1152"/>
      <c r="D85" s="1151" t="s">
        <v>459</v>
      </c>
      <c r="E85" s="1152"/>
      <c r="F85" s="1151" t="s">
        <v>315</v>
      </c>
      <c r="G85" s="1152"/>
      <c r="H85" s="1151" t="s">
        <v>459</v>
      </c>
      <c r="I85" s="1152"/>
      <c r="J85" s="1151" t="s">
        <v>315</v>
      </c>
      <c r="K85" s="1152"/>
      <c r="L85" s="1151" t="s">
        <v>459</v>
      </c>
      <c r="M85" s="1152"/>
      <c r="N85" s="1151" t="s">
        <v>315</v>
      </c>
      <c r="O85" s="1152"/>
      <c r="P85" s="1151" t="s">
        <v>459</v>
      </c>
      <c r="Q85" s="1152"/>
      <c r="R85" s="1151" t="s">
        <v>315</v>
      </c>
      <c r="S85" s="1152"/>
      <c r="T85" s="1151" t="s">
        <v>459</v>
      </c>
      <c r="U85" s="1152"/>
      <c r="V85" s="1151" t="s">
        <v>315</v>
      </c>
      <c r="W85" s="1152"/>
      <c r="X85" s="1151" t="s">
        <v>459</v>
      </c>
      <c r="Y85" s="1152"/>
      <c r="Z85" s="1151" t="s">
        <v>315</v>
      </c>
      <c r="AA85" s="1152"/>
      <c r="AB85" s="1151" t="s">
        <v>459</v>
      </c>
      <c r="AC85" s="1152"/>
      <c r="AD85" s="1151" t="s">
        <v>315</v>
      </c>
      <c r="AE85" s="1152"/>
      <c r="AF85" s="1151" t="s">
        <v>459</v>
      </c>
      <c r="AG85" s="1153"/>
      <c r="AH85" s="1153"/>
      <c r="AI85" s="1152"/>
    </row>
    <row r="86" spans="1:35" ht="16.5" hidden="1" customHeight="1">
      <c r="A86" s="1154"/>
      <c r="B86" s="1149" t="s">
        <v>44</v>
      </c>
      <c r="C86" s="1149" t="s">
        <v>45</v>
      </c>
      <c r="D86" s="1149" t="s">
        <v>46</v>
      </c>
      <c r="E86" s="1149" t="s">
        <v>45</v>
      </c>
      <c r="F86" s="1149" t="s">
        <v>47</v>
      </c>
      <c r="G86" s="1149" t="s">
        <v>45</v>
      </c>
      <c r="H86" s="1149" t="s">
        <v>46</v>
      </c>
      <c r="I86" s="1149" t="s">
        <v>45</v>
      </c>
      <c r="J86" s="1149" t="s">
        <v>44</v>
      </c>
      <c r="K86" s="1149" t="s">
        <v>45</v>
      </c>
      <c r="L86" s="1149" t="s">
        <v>46</v>
      </c>
      <c r="M86" s="1149" t="s">
        <v>45</v>
      </c>
      <c r="N86" s="1149" t="s">
        <v>44</v>
      </c>
      <c r="O86" s="1149" t="s">
        <v>45</v>
      </c>
      <c r="P86" s="1149" t="s">
        <v>46</v>
      </c>
      <c r="Q86" s="1149" t="s">
        <v>45</v>
      </c>
      <c r="R86" s="1149" t="s">
        <v>44</v>
      </c>
      <c r="S86" s="1149" t="s">
        <v>45</v>
      </c>
      <c r="T86" s="1149" t="s">
        <v>46</v>
      </c>
      <c r="U86" s="1149" t="s">
        <v>45</v>
      </c>
      <c r="V86" s="1149" t="s">
        <v>44</v>
      </c>
      <c r="W86" s="1149" t="s">
        <v>45</v>
      </c>
      <c r="X86" s="1149" t="s">
        <v>48</v>
      </c>
      <c r="Y86" s="1149" t="s">
        <v>45</v>
      </c>
      <c r="Z86" s="1149" t="s">
        <v>44</v>
      </c>
      <c r="AA86" s="1149" t="s">
        <v>45</v>
      </c>
      <c r="AB86" s="1149" t="s">
        <v>46</v>
      </c>
      <c r="AC86" s="1149" t="s">
        <v>45</v>
      </c>
      <c r="AD86" s="1149" t="s">
        <v>44</v>
      </c>
      <c r="AE86" s="1149" t="s">
        <v>45</v>
      </c>
      <c r="AF86" s="1147" t="s">
        <v>46</v>
      </c>
      <c r="AG86" s="31"/>
      <c r="AH86" s="1147" t="s">
        <v>45</v>
      </c>
      <c r="AI86" s="31"/>
    </row>
    <row r="87" spans="1:35" ht="16.5" hidden="1" customHeight="1" thickBot="1">
      <c r="A87" s="1150"/>
      <c r="B87" s="1150"/>
      <c r="C87" s="1150"/>
      <c r="D87" s="1150"/>
      <c r="E87" s="1150"/>
      <c r="F87" s="1150"/>
      <c r="G87" s="1150"/>
      <c r="H87" s="1150"/>
      <c r="I87" s="1150"/>
      <c r="J87" s="1150"/>
      <c r="K87" s="1150"/>
      <c r="L87" s="1150"/>
      <c r="M87" s="1150"/>
      <c r="N87" s="1150"/>
      <c r="O87" s="1150"/>
      <c r="P87" s="1150"/>
      <c r="Q87" s="1150"/>
      <c r="R87" s="1150"/>
      <c r="S87" s="1150"/>
      <c r="T87" s="1150"/>
      <c r="U87" s="1150"/>
      <c r="V87" s="1150"/>
      <c r="W87" s="1150"/>
      <c r="X87" s="1150"/>
      <c r="Y87" s="1150"/>
      <c r="Z87" s="1150"/>
      <c r="AA87" s="1150"/>
      <c r="AB87" s="1150"/>
      <c r="AC87" s="1150"/>
      <c r="AD87" s="1150"/>
      <c r="AE87" s="1150"/>
      <c r="AF87" s="1148"/>
      <c r="AG87" s="32" t="s">
        <v>49</v>
      </c>
      <c r="AH87" s="1148"/>
      <c r="AI87" s="32" t="s">
        <v>49</v>
      </c>
    </row>
    <row r="88" spans="1:35" ht="19.5" hidden="1" customHeight="1" thickTop="1">
      <c r="A88" s="33" t="s">
        <v>50</v>
      </c>
      <c r="B88" s="36">
        <v>18630</v>
      </c>
      <c r="C88" s="36">
        <v>122824</v>
      </c>
      <c r="D88" s="36">
        <v>18227</v>
      </c>
      <c r="E88" s="36">
        <v>115536</v>
      </c>
      <c r="F88" s="36">
        <v>321</v>
      </c>
      <c r="G88" s="36">
        <v>17225</v>
      </c>
      <c r="H88" s="36">
        <v>388</v>
      </c>
      <c r="I88" s="36">
        <v>21327</v>
      </c>
      <c r="J88" s="36">
        <v>121588</v>
      </c>
      <c r="K88" s="36">
        <v>343712</v>
      </c>
      <c r="L88" s="36">
        <v>81669</v>
      </c>
      <c r="M88" s="36">
        <v>258958</v>
      </c>
      <c r="N88" s="36">
        <v>13</v>
      </c>
      <c r="O88" s="36">
        <v>54</v>
      </c>
      <c r="P88" s="36">
        <v>416</v>
      </c>
      <c r="Q88" s="36">
        <v>922</v>
      </c>
      <c r="R88" s="36">
        <v>179</v>
      </c>
      <c r="S88" s="36">
        <v>1628</v>
      </c>
      <c r="T88" s="36">
        <v>76</v>
      </c>
      <c r="U88" s="36">
        <v>962</v>
      </c>
      <c r="V88" s="36">
        <v>72</v>
      </c>
      <c r="W88" s="36">
        <v>447</v>
      </c>
      <c r="X88" s="36">
        <v>146</v>
      </c>
      <c r="Y88" s="36">
        <v>2262</v>
      </c>
      <c r="Z88" s="36">
        <v>29073</v>
      </c>
      <c r="AA88" s="36">
        <v>128299</v>
      </c>
      <c r="AB88" s="36">
        <v>30267</v>
      </c>
      <c r="AC88" s="36">
        <v>103020</v>
      </c>
      <c r="AD88" s="36">
        <f>SUM(B88+F88+J88+N88+R88+V88+Z88)</f>
        <v>169876</v>
      </c>
      <c r="AE88" s="36">
        <f>SUM(C88+G88+K88+O88+S88+W88+AA88)</f>
        <v>614189</v>
      </c>
      <c r="AF88" s="36">
        <f>SUM(D88+H88+L88+P88+T88+X88+AB88)</f>
        <v>131189</v>
      </c>
      <c r="AG88" s="41">
        <f>ROUND(((AF88/AD88-1)*100),1)</f>
        <v>-22.8</v>
      </c>
      <c r="AH88" s="36">
        <f>SUM(E88+I88+M88+Q88+U88+Y88+AC88)</f>
        <v>502987</v>
      </c>
      <c r="AI88" s="41">
        <f>ROUND(((AH88/AE88-1)*100),1)</f>
        <v>-18.100000000000001</v>
      </c>
    </row>
    <row r="89" spans="1:35" ht="19.5" hidden="1" customHeight="1">
      <c r="A89" s="33" t="s">
        <v>53</v>
      </c>
      <c r="B89" s="36">
        <v>22302</v>
      </c>
      <c r="C89" s="36">
        <v>146137</v>
      </c>
      <c r="D89" s="36">
        <v>26576</v>
      </c>
      <c r="E89" s="36">
        <v>150299</v>
      </c>
      <c r="F89" s="36">
        <v>354</v>
      </c>
      <c r="G89" s="36">
        <v>21057</v>
      </c>
      <c r="H89" s="36">
        <v>806</v>
      </c>
      <c r="I89" s="36">
        <v>21743</v>
      </c>
      <c r="J89" s="36">
        <v>68408</v>
      </c>
      <c r="K89" s="36">
        <v>162942</v>
      </c>
      <c r="L89" s="36">
        <v>76423</v>
      </c>
      <c r="M89" s="36">
        <v>147488</v>
      </c>
      <c r="N89" s="36">
        <v>1000</v>
      </c>
      <c r="O89" s="36">
        <v>1892</v>
      </c>
      <c r="P89" s="36">
        <v>332</v>
      </c>
      <c r="Q89" s="36">
        <v>675</v>
      </c>
      <c r="R89" s="36">
        <v>93</v>
      </c>
      <c r="S89" s="36">
        <v>242</v>
      </c>
      <c r="T89" s="36">
        <v>96</v>
      </c>
      <c r="U89" s="36">
        <v>201</v>
      </c>
      <c r="V89" s="36">
        <v>1</v>
      </c>
      <c r="W89" s="36">
        <v>102</v>
      </c>
      <c r="X89" s="36">
        <v>2</v>
      </c>
      <c r="Y89" s="36">
        <v>123</v>
      </c>
      <c r="Z89" s="36">
        <v>744</v>
      </c>
      <c r="AA89" s="36">
        <v>61549</v>
      </c>
      <c r="AB89" s="36">
        <v>685</v>
      </c>
      <c r="AC89" s="36">
        <v>60307</v>
      </c>
      <c r="AD89" s="36">
        <f>SUM(B89+F89+J89+N89+R89+V89+Z89)</f>
        <v>92902</v>
      </c>
      <c r="AE89" s="36">
        <f t="shared" ref="AE89:AE117" si="15">SUM(C89+G89+K89+O89+S89+W89+AA89)</f>
        <v>393921</v>
      </c>
      <c r="AF89" s="36">
        <f t="shared" ref="AF89:AF117" si="16">SUM(D89+H89+L89+P89+T89+X89+AB89)</f>
        <v>104920</v>
      </c>
      <c r="AG89" s="41">
        <f t="shared" ref="AG89:AG119" si="17">ROUND(((AF89/AD89-1)*100),1)</f>
        <v>12.9</v>
      </c>
      <c r="AH89" s="36">
        <f t="shared" ref="AH89:AH117" si="18">SUM(E89+I89+M89+Q89+U89+Y89+AC89)</f>
        <v>380836</v>
      </c>
      <c r="AI89" s="41">
        <f t="shared" ref="AI89:AI119" si="19">ROUND(((AH89/AE89-1)*100),1)</f>
        <v>-3.3</v>
      </c>
    </row>
    <row r="90" spans="1:35" ht="19.5" hidden="1" customHeight="1">
      <c r="A90" s="33" t="s">
        <v>54</v>
      </c>
      <c r="B90" s="36">
        <v>9733</v>
      </c>
      <c r="C90" s="36">
        <v>124420</v>
      </c>
      <c r="D90" s="36">
        <v>12290</v>
      </c>
      <c r="E90" s="36">
        <v>140926</v>
      </c>
      <c r="F90" s="36">
        <v>1475</v>
      </c>
      <c r="G90" s="36">
        <v>44300</v>
      </c>
      <c r="H90" s="36">
        <v>1449</v>
      </c>
      <c r="I90" s="36">
        <v>50962</v>
      </c>
      <c r="J90" s="36">
        <v>28418</v>
      </c>
      <c r="K90" s="36">
        <v>70505</v>
      </c>
      <c r="L90" s="36">
        <v>35243</v>
      </c>
      <c r="M90" s="36">
        <v>80541</v>
      </c>
      <c r="N90" s="36">
        <v>1178</v>
      </c>
      <c r="O90" s="36">
        <v>2476</v>
      </c>
      <c r="P90" s="36">
        <v>1617</v>
      </c>
      <c r="Q90" s="36">
        <v>3214</v>
      </c>
      <c r="R90" s="36">
        <v>79</v>
      </c>
      <c r="S90" s="36">
        <v>139</v>
      </c>
      <c r="T90" s="36">
        <v>144</v>
      </c>
      <c r="U90" s="36">
        <v>243</v>
      </c>
      <c r="V90" s="36">
        <v>80</v>
      </c>
      <c r="W90" s="36">
        <v>3930</v>
      </c>
      <c r="X90" s="36">
        <v>48</v>
      </c>
      <c r="Y90" s="36">
        <v>3453</v>
      </c>
      <c r="Z90" s="36">
        <v>1250</v>
      </c>
      <c r="AA90" s="36">
        <v>41116</v>
      </c>
      <c r="AB90" s="36">
        <v>798</v>
      </c>
      <c r="AC90" s="36">
        <v>24838</v>
      </c>
      <c r="AD90" s="36">
        <f t="shared" ref="AD90:AD117" si="20">SUM(B90+F90+J90+N90+R90+V90+Z90)</f>
        <v>42213</v>
      </c>
      <c r="AE90" s="36">
        <f t="shared" si="15"/>
        <v>286886</v>
      </c>
      <c r="AF90" s="36">
        <f t="shared" si="16"/>
        <v>51589</v>
      </c>
      <c r="AG90" s="41">
        <f t="shared" si="17"/>
        <v>22.2</v>
      </c>
      <c r="AH90" s="36">
        <f t="shared" si="18"/>
        <v>304177</v>
      </c>
      <c r="AI90" s="41">
        <f t="shared" si="19"/>
        <v>6</v>
      </c>
    </row>
    <row r="91" spans="1:35" ht="19.5" hidden="1" customHeight="1">
      <c r="A91" s="33" t="s">
        <v>84</v>
      </c>
      <c r="B91" s="36">
        <v>57121</v>
      </c>
      <c r="C91" s="36">
        <v>345936</v>
      </c>
      <c r="D91" s="36">
        <v>43642</v>
      </c>
      <c r="E91" s="36">
        <v>256636</v>
      </c>
      <c r="F91" s="36">
        <v>0</v>
      </c>
      <c r="G91" s="36">
        <v>0</v>
      </c>
      <c r="H91" s="36">
        <v>0</v>
      </c>
      <c r="I91" s="36">
        <v>0</v>
      </c>
      <c r="J91" s="36">
        <v>455</v>
      </c>
      <c r="K91" s="36">
        <v>550</v>
      </c>
      <c r="L91" s="36">
        <v>770</v>
      </c>
      <c r="M91" s="36">
        <v>841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f t="shared" si="20"/>
        <v>57576</v>
      </c>
      <c r="AE91" s="36">
        <f t="shared" si="15"/>
        <v>346486</v>
      </c>
      <c r="AF91" s="36">
        <f t="shared" si="16"/>
        <v>44412</v>
      </c>
      <c r="AG91" s="41">
        <f t="shared" si="17"/>
        <v>-22.9</v>
      </c>
      <c r="AH91" s="36">
        <f t="shared" si="18"/>
        <v>257477</v>
      </c>
      <c r="AI91" s="41">
        <f t="shared" si="19"/>
        <v>-25.7</v>
      </c>
    </row>
    <row r="92" spans="1:35" ht="19.5" hidden="1" customHeight="1">
      <c r="A92" s="33" t="s">
        <v>52</v>
      </c>
      <c r="B92" s="36">
        <v>1098</v>
      </c>
      <c r="C92" s="36">
        <v>3709</v>
      </c>
      <c r="D92" s="36">
        <v>784</v>
      </c>
      <c r="E92" s="36">
        <v>2528</v>
      </c>
      <c r="F92" s="36">
        <v>93</v>
      </c>
      <c r="G92" s="36">
        <v>2755</v>
      </c>
      <c r="H92" s="36">
        <v>43</v>
      </c>
      <c r="I92" s="36">
        <v>771</v>
      </c>
      <c r="J92" s="36">
        <v>76581</v>
      </c>
      <c r="K92" s="36">
        <v>152258</v>
      </c>
      <c r="L92" s="36">
        <v>115113</v>
      </c>
      <c r="M92" s="36">
        <v>212891</v>
      </c>
      <c r="N92" s="36">
        <v>15998</v>
      </c>
      <c r="O92" s="36">
        <v>33324</v>
      </c>
      <c r="P92" s="36">
        <v>13444</v>
      </c>
      <c r="Q92" s="36">
        <v>28383</v>
      </c>
      <c r="R92" s="36">
        <v>10872</v>
      </c>
      <c r="S92" s="36">
        <v>30489</v>
      </c>
      <c r="T92" s="36">
        <v>10426</v>
      </c>
      <c r="U92" s="36">
        <v>25788</v>
      </c>
      <c r="V92" s="36">
        <v>57</v>
      </c>
      <c r="W92" s="36">
        <v>653</v>
      </c>
      <c r="X92" s="36">
        <v>60</v>
      </c>
      <c r="Y92" s="36">
        <v>606</v>
      </c>
      <c r="Z92" s="36">
        <v>35</v>
      </c>
      <c r="AA92" s="36">
        <v>345</v>
      </c>
      <c r="AB92" s="36">
        <v>29</v>
      </c>
      <c r="AC92" s="36">
        <v>399</v>
      </c>
      <c r="AD92" s="36">
        <f t="shared" si="20"/>
        <v>104734</v>
      </c>
      <c r="AE92" s="36">
        <f t="shared" si="15"/>
        <v>223533</v>
      </c>
      <c r="AF92" s="36">
        <f t="shared" si="16"/>
        <v>139899</v>
      </c>
      <c r="AG92" s="41">
        <f t="shared" si="17"/>
        <v>33.6</v>
      </c>
      <c r="AH92" s="36">
        <f t="shared" si="18"/>
        <v>271366</v>
      </c>
      <c r="AI92" s="41">
        <f t="shared" si="19"/>
        <v>21.4</v>
      </c>
    </row>
    <row r="93" spans="1:35" ht="19.5" hidden="1" customHeight="1">
      <c r="A93" s="33" t="s">
        <v>61</v>
      </c>
      <c r="B93" s="36">
        <v>6460</v>
      </c>
      <c r="C93" s="36">
        <v>40031</v>
      </c>
      <c r="D93" s="36">
        <v>5271</v>
      </c>
      <c r="E93" s="36">
        <v>29963</v>
      </c>
      <c r="F93" s="36">
        <v>5184</v>
      </c>
      <c r="G93" s="36">
        <v>64484</v>
      </c>
      <c r="H93" s="36">
        <v>3758</v>
      </c>
      <c r="I93" s="36">
        <v>52480</v>
      </c>
      <c r="J93" s="36">
        <v>94517</v>
      </c>
      <c r="K93" s="36">
        <v>186921</v>
      </c>
      <c r="L93" s="36">
        <v>96815</v>
      </c>
      <c r="M93" s="36">
        <v>173970</v>
      </c>
      <c r="N93" s="36">
        <v>5831</v>
      </c>
      <c r="O93" s="36">
        <v>10319</v>
      </c>
      <c r="P93" s="36">
        <v>3972</v>
      </c>
      <c r="Q93" s="36">
        <v>7133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623</v>
      </c>
      <c r="AA93" s="36">
        <v>3082</v>
      </c>
      <c r="AB93" s="36">
        <v>475</v>
      </c>
      <c r="AC93" s="36">
        <v>1523</v>
      </c>
      <c r="AD93" s="36">
        <f t="shared" si="20"/>
        <v>112615</v>
      </c>
      <c r="AE93" s="36">
        <f t="shared" si="15"/>
        <v>304837</v>
      </c>
      <c r="AF93" s="36">
        <f t="shared" si="16"/>
        <v>110291</v>
      </c>
      <c r="AG93" s="41">
        <f t="shared" si="17"/>
        <v>-2.1</v>
      </c>
      <c r="AH93" s="36">
        <f t="shared" si="18"/>
        <v>265069</v>
      </c>
      <c r="AI93" s="41">
        <f t="shared" si="19"/>
        <v>-13</v>
      </c>
    </row>
    <row r="94" spans="1:35" ht="19.5" hidden="1" customHeight="1">
      <c r="A94" s="33" t="s">
        <v>56</v>
      </c>
      <c r="B94" s="36">
        <v>5834</v>
      </c>
      <c r="C94" s="36">
        <v>36000</v>
      </c>
      <c r="D94" s="36">
        <v>8554</v>
      </c>
      <c r="E94" s="36">
        <v>50433</v>
      </c>
      <c r="F94" s="36">
        <v>9</v>
      </c>
      <c r="G94" s="36">
        <v>88</v>
      </c>
      <c r="H94" s="36">
        <v>100</v>
      </c>
      <c r="I94" s="36">
        <v>288</v>
      </c>
      <c r="J94" s="36">
        <v>44203</v>
      </c>
      <c r="K94" s="36">
        <v>85246</v>
      </c>
      <c r="L94" s="36">
        <v>43339</v>
      </c>
      <c r="M94" s="36">
        <v>79756</v>
      </c>
      <c r="N94" s="36">
        <v>47</v>
      </c>
      <c r="O94" s="36">
        <v>90</v>
      </c>
      <c r="P94" s="36">
        <v>70</v>
      </c>
      <c r="Q94" s="36">
        <v>126</v>
      </c>
      <c r="R94" s="36">
        <v>108</v>
      </c>
      <c r="S94" s="36">
        <v>323</v>
      </c>
      <c r="T94" s="36">
        <v>111</v>
      </c>
      <c r="U94" s="36">
        <v>307</v>
      </c>
      <c r="V94" s="36">
        <v>575</v>
      </c>
      <c r="W94" s="36">
        <v>11545</v>
      </c>
      <c r="X94" s="36">
        <v>376</v>
      </c>
      <c r="Y94" s="36">
        <v>6422</v>
      </c>
      <c r="Z94" s="36">
        <v>57</v>
      </c>
      <c r="AA94" s="36">
        <v>253</v>
      </c>
      <c r="AB94" s="36">
        <v>185</v>
      </c>
      <c r="AC94" s="36">
        <v>372</v>
      </c>
      <c r="AD94" s="36">
        <f t="shared" si="20"/>
        <v>50833</v>
      </c>
      <c r="AE94" s="36">
        <f t="shared" si="15"/>
        <v>133545</v>
      </c>
      <c r="AF94" s="36">
        <f t="shared" si="16"/>
        <v>52735</v>
      </c>
      <c r="AG94" s="41">
        <f t="shared" si="17"/>
        <v>3.7</v>
      </c>
      <c r="AH94" s="36">
        <f t="shared" si="18"/>
        <v>137704</v>
      </c>
      <c r="AI94" s="41">
        <f t="shared" si="19"/>
        <v>3.1</v>
      </c>
    </row>
    <row r="95" spans="1:35" ht="19.5" hidden="1" customHeight="1">
      <c r="A95" s="33" t="s">
        <v>85</v>
      </c>
      <c r="B95" s="36">
        <v>17847</v>
      </c>
      <c r="C95" s="36">
        <v>110592</v>
      </c>
      <c r="D95" s="36">
        <v>14214</v>
      </c>
      <c r="E95" s="36">
        <v>84693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2</v>
      </c>
      <c r="AA95" s="36">
        <v>62</v>
      </c>
      <c r="AB95" s="36">
        <v>452</v>
      </c>
      <c r="AC95" s="36">
        <v>2661</v>
      </c>
      <c r="AD95" s="36">
        <f t="shared" si="20"/>
        <v>17849</v>
      </c>
      <c r="AE95" s="36">
        <f t="shared" si="15"/>
        <v>110654</v>
      </c>
      <c r="AF95" s="36">
        <f t="shared" si="16"/>
        <v>14666</v>
      </c>
      <c r="AG95" s="41">
        <f t="shared" si="17"/>
        <v>-17.8</v>
      </c>
      <c r="AH95" s="36">
        <f t="shared" si="18"/>
        <v>87354</v>
      </c>
      <c r="AI95" s="41">
        <f t="shared" si="19"/>
        <v>-21.1</v>
      </c>
    </row>
    <row r="96" spans="1:35" ht="19.5" hidden="1" customHeight="1">
      <c r="A96" s="33" t="s">
        <v>86</v>
      </c>
      <c r="B96" s="36">
        <v>24</v>
      </c>
      <c r="C96" s="36">
        <v>167</v>
      </c>
      <c r="D96" s="36">
        <v>498</v>
      </c>
      <c r="E96" s="36">
        <v>2402</v>
      </c>
      <c r="F96" s="36">
        <v>347</v>
      </c>
      <c r="G96" s="36">
        <v>4054</v>
      </c>
      <c r="H96" s="36">
        <v>21</v>
      </c>
      <c r="I96" s="36">
        <v>458</v>
      </c>
      <c r="J96" s="36">
        <v>19421</v>
      </c>
      <c r="K96" s="36">
        <v>39237</v>
      </c>
      <c r="L96" s="36">
        <v>28235</v>
      </c>
      <c r="M96" s="36">
        <v>54067</v>
      </c>
      <c r="N96" s="36">
        <v>0</v>
      </c>
      <c r="O96" s="36">
        <v>0</v>
      </c>
      <c r="P96" s="36">
        <v>349</v>
      </c>
      <c r="Q96" s="36">
        <v>784</v>
      </c>
      <c r="R96" s="36">
        <v>0</v>
      </c>
      <c r="S96" s="36">
        <v>0</v>
      </c>
      <c r="T96" s="36">
        <v>0</v>
      </c>
      <c r="U96" s="36">
        <v>0</v>
      </c>
      <c r="V96" s="36">
        <v>1</v>
      </c>
      <c r="W96" s="36">
        <v>56</v>
      </c>
      <c r="X96" s="36">
        <v>1</v>
      </c>
      <c r="Y96" s="36">
        <v>56</v>
      </c>
      <c r="Z96" s="36">
        <v>638</v>
      </c>
      <c r="AA96" s="36">
        <v>6385</v>
      </c>
      <c r="AB96" s="36">
        <v>1029</v>
      </c>
      <c r="AC96" s="36">
        <v>7875</v>
      </c>
      <c r="AD96" s="36">
        <f t="shared" si="20"/>
        <v>20431</v>
      </c>
      <c r="AE96" s="36">
        <f t="shared" si="15"/>
        <v>49899</v>
      </c>
      <c r="AF96" s="36">
        <f t="shared" si="16"/>
        <v>30133</v>
      </c>
      <c r="AG96" s="41">
        <f t="shared" si="17"/>
        <v>47.5</v>
      </c>
      <c r="AH96" s="36">
        <f t="shared" si="18"/>
        <v>65642</v>
      </c>
      <c r="AI96" s="41">
        <f t="shared" si="19"/>
        <v>31.5</v>
      </c>
    </row>
    <row r="97" spans="1:35" ht="19.5" hidden="1" customHeight="1">
      <c r="A97" s="33" t="s">
        <v>64</v>
      </c>
      <c r="B97" s="36">
        <v>5233</v>
      </c>
      <c r="C97" s="36">
        <v>35161</v>
      </c>
      <c r="D97" s="36">
        <v>2212</v>
      </c>
      <c r="E97" s="36">
        <v>12253</v>
      </c>
      <c r="F97" s="36">
        <v>10</v>
      </c>
      <c r="G97" s="36">
        <v>62</v>
      </c>
      <c r="H97" s="36">
        <v>0</v>
      </c>
      <c r="I97" s="36">
        <v>0</v>
      </c>
      <c r="J97" s="36">
        <v>26538</v>
      </c>
      <c r="K97" s="36">
        <v>49031</v>
      </c>
      <c r="L97" s="36">
        <v>30290</v>
      </c>
      <c r="M97" s="36">
        <v>53025</v>
      </c>
      <c r="N97" s="36">
        <v>1687</v>
      </c>
      <c r="O97" s="36">
        <v>3414</v>
      </c>
      <c r="P97" s="36">
        <v>4341</v>
      </c>
      <c r="Q97" s="36">
        <v>8879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47</v>
      </c>
      <c r="AA97" s="36">
        <v>230</v>
      </c>
      <c r="AB97" s="36">
        <v>32</v>
      </c>
      <c r="AC97" s="36">
        <v>138</v>
      </c>
      <c r="AD97" s="36">
        <f t="shared" si="20"/>
        <v>33515</v>
      </c>
      <c r="AE97" s="36">
        <f t="shared" si="15"/>
        <v>87898</v>
      </c>
      <c r="AF97" s="36">
        <f t="shared" si="16"/>
        <v>36875</v>
      </c>
      <c r="AG97" s="41">
        <f t="shared" si="17"/>
        <v>10</v>
      </c>
      <c r="AH97" s="36">
        <f t="shared" si="18"/>
        <v>74295</v>
      </c>
      <c r="AI97" s="41">
        <f t="shared" si="19"/>
        <v>-15.5</v>
      </c>
    </row>
    <row r="98" spans="1:35" ht="19.5" hidden="1" customHeight="1">
      <c r="A98" s="33" t="s">
        <v>68</v>
      </c>
      <c r="B98" s="36">
        <v>2235</v>
      </c>
      <c r="C98" s="36">
        <v>18345</v>
      </c>
      <c r="D98" s="36">
        <v>2753</v>
      </c>
      <c r="E98" s="36">
        <v>19434</v>
      </c>
      <c r="F98" s="36">
        <v>333</v>
      </c>
      <c r="G98" s="36">
        <v>10042</v>
      </c>
      <c r="H98" s="36">
        <v>193</v>
      </c>
      <c r="I98" s="36">
        <v>6509</v>
      </c>
      <c r="J98" s="36">
        <v>13687</v>
      </c>
      <c r="K98" s="36">
        <v>50107</v>
      </c>
      <c r="L98" s="36">
        <v>5848</v>
      </c>
      <c r="M98" s="36">
        <v>35312</v>
      </c>
      <c r="N98" s="36">
        <v>70</v>
      </c>
      <c r="O98" s="36">
        <v>474</v>
      </c>
      <c r="P98" s="36">
        <v>59</v>
      </c>
      <c r="Q98" s="36">
        <v>375</v>
      </c>
      <c r="R98" s="36">
        <v>223</v>
      </c>
      <c r="S98" s="36">
        <v>872</v>
      </c>
      <c r="T98" s="36">
        <v>234</v>
      </c>
      <c r="U98" s="36">
        <v>987</v>
      </c>
      <c r="V98" s="36">
        <v>7</v>
      </c>
      <c r="W98" s="36">
        <v>180</v>
      </c>
      <c r="X98" s="36">
        <v>8</v>
      </c>
      <c r="Y98" s="36">
        <v>197</v>
      </c>
      <c r="Z98" s="36">
        <v>100</v>
      </c>
      <c r="AA98" s="36">
        <v>8155</v>
      </c>
      <c r="AB98" s="36">
        <v>253</v>
      </c>
      <c r="AC98" s="36">
        <v>6760</v>
      </c>
      <c r="AD98" s="36">
        <f t="shared" si="20"/>
        <v>16655</v>
      </c>
      <c r="AE98" s="36">
        <f t="shared" si="15"/>
        <v>88175</v>
      </c>
      <c r="AF98" s="36">
        <f t="shared" si="16"/>
        <v>9348</v>
      </c>
      <c r="AG98" s="41">
        <f t="shared" si="17"/>
        <v>-43.9</v>
      </c>
      <c r="AH98" s="36">
        <f t="shared" si="18"/>
        <v>69574</v>
      </c>
      <c r="AI98" s="41">
        <f t="shared" si="19"/>
        <v>-21.1</v>
      </c>
    </row>
    <row r="99" spans="1:35" ht="19.5" hidden="1" customHeight="1">
      <c r="A99" s="33" t="s">
        <v>57</v>
      </c>
      <c r="B99" s="36">
        <v>6275</v>
      </c>
      <c r="C99" s="36">
        <v>57718</v>
      </c>
      <c r="D99" s="36">
        <v>7219</v>
      </c>
      <c r="E99" s="36">
        <v>55748</v>
      </c>
      <c r="F99" s="36">
        <v>2</v>
      </c>
      <c r="G99" s="36">
        <v>154</v>
      </c>
      <c r="H99" s="36">
        <v>1</v>
      </c>
      <c r="I99" s="36">
        <v>47</v>
      </c>
      <c r="J99" s="36">
        <v>8674</v>
      </c>
      <c r="K99" s="36">
        <v>14698</v>
      </c>
      <c r="L99" s="36">
        <v>8830</v>
      </c>
      <c r="M99" s="36">
        <v>16887</v>
      </c>
      <c r="N99" s="36">
        <v>97</v>
      </c>
      <c r="O99" s="36">
        <v>213</v>
      </c>
      <c r="P99" s="36">
        <v>0</v>
      </c>
      <c r="Q99" s="36">
        <v>1</v>
      </c>
      <c r="R99" s="36">
        <v>21</v>
      </c>
      <c r="S99" s="36">
        <v>53</v>
      </c>
      <c r="T99" s="36">
        <v>0</v>
      </c>
      <c r="U99" s="36">
        <v>5</v>
      </c>
      <c r="V99" s="36">
        <v>6</v>
      </c>
      <c r="W99" s="36">
        <v>198</v>
      </c>
      <c r="X99" s="36">
        <v>4</v>
      </c>
      <c r="Y99" s="36">
        <v>108</v>
      </c>
      <c r="Z99" s="36">
        <v>176</v>
      </c>
      <c r="AA99" s="36">
        <v>2547</v>
      </c>
      <c r="AB99" s="36">
        <v>313</v>
      </c>
      <c r="AC99" s="36">
        <v>2740</v>
      </c>
      <c r="AD99" s="36">
        <f t="shared" si="20"/>
        <v>15251</v>
      </c>
      <c r="AE99" s="36">
        <f t="shared" si="15"/>
        <v>75581</v>
      </c>
      <c r="AF99" s="36">
        <f t="shared" si="16"/>
        <v>16367</v>
      </c>
      <c r="AG99" s="41">
        <f t="shared" si="17"/>
        <v>7.3</v>
      </c>
      <c r="AH99" s="36">
        <f t="shared" si="18"/>
        <v>75536</v>
      </c>
      <c r="AI99" s="41">
        <f t="shared" si="19"/>
        <v>-0.1</v>
      </c>
    </row>
    <row r="100" spans="1:35" ht="19.5" hidden="1" customHeight="1">
      <c r="A100" s="33" t="s">
        <v>58</v>
      </c>
      <c r="B100" s="36">
        <v>2648</v>
      </c>
      <c r="C100" s="36">
        <v>14960</v>
      </c>
      <c r="D100" s="36">
        <v>2957</v>
      </c>
      <c r="E100" s="36">
        <v>16141</v>
      </c>
      <c r="F100" s="36">
        <v>0</v>
      </c>
      <c r="G100" s="36">
        <v>3</v>
      </c>
      <c r="H100" s="36">
        <v>0</v>
      </c>
      <c r="I100" s="36">
        <v>2</v>
      </c>
      <c r="J100" s="36">
        <v>1732</v>
      </c>
      <c r="K100" s="36">
        <v>3039</v>
      </c>
      <c r="L100" s="36">
        <v>2635</v>
      </c>
      <c r="M100" s="36">
        <v>4211</v>
      </c>
      <c r="N100" s="36">
        <v>80</v>
      </c>
      <c r="O100" s="36">
        <v>864</v>
      </c>
      <c r="P100" s="36">
        <v>60</v>
      </c>
      <c r="Q100" s="36">
        <v>548</v>
      </c>
      <c r="R100" s="36">
        <v>18</v>
      </c>
      <c r="S100" s="36">
        <v>7</v>
      </c>
      <c r="T100" s="36">
        <v>0</v>
      </c>
      <c r="U100" s="36">
        <v>0</v>
      </c>
      <c r="V100" s="36">
        <v>2215</v>
      </c>
      <c r="W100" s="36">
        <v>44382</v>
      </c>
      <c r="X100" s="36">
        <v>2910</v>
      </c>
      <c r="Y100" s="36">
        <v>49744</v>
      </c>
      <c r="Z100" s="36">
        <v>23</v>
      </c>
      <c r="AA100" s="36">
        <v>99</v>
      </c>
      <c r="AB100" s="36">
        <v>0</v>
      </c>
      <c r="AC100" s="36">
        <v>0</v>
      </c>
      <c r="AD100" s="36">
        <f t="shared" si="20"/>
        <v>6716</v>
      </c>
      <c r="AE100" s="36">
        <f t="shared" si="15"/>
        <v>63354</v>
      </c>
      <c r="AF100" s="36">
        <f t="shared" si="16"/>
        <v>8562</v>
      </c>
      <c r="AG100" s="41">
        <f t="shared" si="17"/>
        <v>27.5</v>
      </c>
      <c r="AH100" s="36">
        <f t="shared" si="18"/>
        <v>70646</v>
      </c>
      <c r="AI100" s="41">
        <f t="shared" si="19"/>
        <v>11.5</v>
      </c>
    </row>
    <row r="101" spans="1:35" ht="19.5" hidden="1" customHeight="1">
      <c r="A101" s="33" t="s">
        <v>63</v>
      </c>
      <c r="B101" s="36">
        <v>7481</v>
      </c>
      <c r="C101" s="36">
        <v>42437</v>
      </c>
      <c r="D101" s="36">
        <v>6431</v>
      </c>
      <c r="E101" s="36">
        <v>34928</v>
      </c>
      <c r="F101" s="36">
        <v>0</v>
      </c>
      <c r="G101" s="36">
        <v>0</v>
      </c>
      <c r="H101" s="36">
        <v>0</v>
      </c>
      <c r="I101" s="36">
        <v>0</v>
      </c>
      <c r="J101" s="36">
        <v>25225</v>
      </c>
      <c r="K101" s="36">
        <v>45541</v>
      </c>
      <c r="L101" s="36">
        <v>13155</v>
      </c>
      <c r="M101" s="36">
        <v>17903</v>
      </c>
      <c r="N101" s="36">
        <v>1755</v>
      </c>
      <c r="O101" s="36">
        <v>3473</v>
      </c>
      <c r="P101" s="36">
        <v>587</v>
      </c>
      <c r="Q101" s="36">
        <v>1144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f t="shared" si="20"/>
        <v>34461</v>
      </c>
      <c r="AE101" s="36">
        <f t="shared" si="15"/>
        <v>91451</v>
      </c>
      <c r="AF101" s="36">
        <f t="shared" si="16"/>
        <v>20173</v>
      </c>
      <c r="AG101" s="41">
        <f t="shared" si="17"/>
        <v>-41.5</v>
      </c>
      <c r="AH101" s="36">
        <f t="shared" si="18"/>
        <v>53975</v>
      </c>
      <c r="AI101" s="41">
        <f t="shared" si="19"/>
        <v>-41</v>
      </c>
    </row>
    <row r="102" spans="1:35" ht="19.5" hidden="1" customHeight="1">
      <c r="A102" s="33" t="s">
        <v>55</v>
      </c>
      <c r="B102" s="36">
        <v>2021</v>
      </c>
      <c r="C102" s="36">
        <v>13020</v>
      </c>
      <c r="D102" s="36">
        <v>3935</v>
      </c>
      <c r="E102" s="36">
        <v>22364</v>
      </c>
      <c r="F102" s="36">
        <v>0</v>
      </c>
      <c r="G102" s="36">
        <v>0</v>
      </c>
      <c r="H102" s="36">
        <v>0</v>
      </c>
      <c r="I102" s="36">
        <v>0</v>
      </c>
      <c r="J102" s="36">
        <v>26407</v>
      </c>
      <c r="K102" s="36">
        <v>43705</v>
      </c>
      <c r="L102" s="36">
        <v>26231</v>
      </c>
      <c r="M102" s="36">
        <v>42267</v>
      </c>
      <c r="N102" s="36">
        <v>50</v>
      </c>
      <c r="O102" s="36">
        <v>113</v>
      </c>
      <c r="P102" s="36">
        <v>44</v>
      </c>
      <c r="Q102" s="36">
        <v>78</v>
      </c>
      <c r="R102" s="36">
        <v>90</v>
      </c>
      <c r="S102" s="36">
        <v>199</v>
      </c>
      <c r="T102" s="36">
        <v>0</v>
      </c>
      <c r="U102" s="36">
        <v>0</v>
      </c>
      <c r="V102" s="36">
        <v>342</v>
      </c>
      <c r="W102" s="36">
        <v>7239</v>
      </c>
      <c r="X102" s="36">
        <v>433</v>
      </c>
      <c r="Y102" s="36">
        <v>8599</v>
      </c>
      <c r="Z102" s="36">
        <v>0</v>
      </c>
      <c r="AA102" s="36">
        <v>1</v>
      </c>
      <c r="AB102" s="36">
        <v>0</v>
      </c>
      <c r="AC102" s="36">
        <v>3</v>
      </c>
      <c r="AD102" s="36">
        <f t="shared" si="20"/>
        <v>28910</v>
      </c>
      <c r="AE102" s="36">
        <f t="shared" si="15"/>
        <v>64277</v>
      </c>
      <c r="AF102" s="36">
        <f t="shared" si="16"/>
        <v>30643</v>
      </c>
      <c r="AG102" s="41">
        <f t="shared" si="17"/>
        <v>6</v>
      </c>
      <c r="AH102" s="36">
        <f t="shared" si="18"/>
        <v>73311</v>
      </c>
      <c r="AI102" s="41">
        <f t="shared" si="19"/>
        <v>14.1</v>
      </c>
    </row>
    <row r="103" spans="1:35" ht="19.5" hidden="1" customHeight="1">
      <c r="A103" s="33" t="s">
        <v>51</v>
      </c>
      <c r="B103" s="36">
        <v>1728</v>
      </c>
      <c r="C103" s="36">
        <v>10885</v>
      </c>
      <c r="D103" s="36">
        <v>2295</v>
      </c>
      <c r="E103" s="36">
        <v>15487</v>
      </c>
      <c r="F103" s="36">
        <v>12</v>
      </c>
      <c r="G103" s="36">
        <v>36</v>
      </c>
      <c r="H103" s="36">
        <v>43</v>
      </c>
      <c r="I103" s="36">
        <v>81</v>
      </c>
      <c r="J103" s="36">
        <v>21695</v>
      </c>
      <c r="K103" s="36">
        <v>46814</v>
      </c>
      <c r="L103" s="36">
        <v>17679</v>
      </c>
      <c r="M103" s="36">
        <v>44478</v>
      </c>
      <c r="N103" s="36">
        <v>3</v>
      </c>
      <c r="O103" s="36">
        <v>8</v>
      </c>
      <c r="P103" s="36">
        <v>4</v>
      </c>
      <c r="Q103" s="36">
        <v>1</v>
      </c>
      <c r="R103" s="36">
        <v>654</v>
      </c>
      <c r="S103" s="36">
        <v>1414</v>
      </c>
      <c r="T103" s="36">
        <v>1068</v>
      </c>
      <c r="U103" s="36">
        <v>2122</v>
      </c>
      <c r="V103" s="36">
        <v>26</v>
      </c>
      <c r="W103" s="36">
        <v>551</v>
      </c>
      <c r="X103" s="36">
        <v>1</v>
      </c>
      <c r="Y103" s="36">
        <v>20</v>
      </c>
      <c r="Z103" s="36">
        <v>576</v>
      </c>
      <c r="AA103" s="36">
        <v>2574</v>
      </c>
      <c r="AB103" s="36">
        <v>76</v>
      </c>
      <c r="AC103" s="36">
        <v>1612</v>
      </c>
      <c r="AD103" s="36">
        <f t="shared" si="20"/>
        <v>24694</v>
      </c>
      <c r="AE103" s="36">
        <f t="shared" si="15"/>
        <v>62282</v>
      </c>
      <c r="AF103" s="36">
        <f t="shared" si="16"/>
        <v>21166</v>
      </c>
      <c r="AG103" s="41">
        <f t="shared" si="17"/>
        <v>-14.3</v>
      </c>
      <c r="AH103" s="36">
        <f t="shared" si="18"/>
        <v>63801</v>
      </c>
      <c r="AI103" s="41">
        <f t="shared" si="19"/>
        <v>2.4</v>
      </c>
    </row>
    <row r="104" spans="1:35" ht="19.5" hidden="1" customHeight="1">
      <c r="A104" s="33" t="s">
        <v>72</v>
      </c>
      <c r="B104" s="36">
        <v>2702</v>
      </c>
      <c r="C104" s="36">
        <v>11568</v>
      </c>
      <c r="D104" s="36">
        <v>1136</v>
      </c>
      <c r="E104" s="36">
        <v>5773</v>
      </c>
      <c r="F104" s="36">
        <v>1374</v>
      </c>
      <c r="G104" s="36">
        <v>15992</v>
      </c>
      <c r="H104" s="36">
        <v>1143</v>
      </c>
      <c r="I104" s="36">
        <v>16639</v>
      </c>
      <c r="J104" s="36">
        <v>17727</v>
      </c>
      <c r="K104" s="36">
        <v>34797</v>
      </c>
      <c r="L104" s="36">
        <v>4648</v>
      </c>
      <c r="M104" s="36">
        <v>7684</v>
      </c>
      <c r="N104" s="36">
        <v>0</v>
      </c>
      <c r="O104" s="36">
        <v>0</v>
      </c>
      <c r="P104" s="36">
        <v>0</v>
      </c>
      <c r="Q104" s="36">
        <v>0</v>
      </c>
      <c r="R104" s="36">
        <v>142</v>
      </c>
      <c r="S104" s="36">
        <v>443</v>
      </c>
      <c r="T104" s="36">
        <v>907</v>
      </c>
      <c r="U104" s="36">
        <v>1854</v>
      </c>
      <c r="V104" s="36">
        <v>0</v>
      </c>
      <c r="W104" s="36">
        <v>1</v>
      </c>
      <c r="X104" s="36">
        <v>0</v>
      </c>
      <c r="Y104" s="36">
        <v>10</v>
      </c>
      <c r="Z104" s="36">
        <v>242</v>
      </c>
      <c r="AA104" s="36">
        <v>824</v>
      </c>
      <c r="AB104" s="36">
        <v>39</v>
      </c>
      <c r="AC104" s="36">
        <v>1887</v>
      </c>
      <c r="AD104" s="36">
        <f t="shared" si="20"/>
        <v>22187</v>
      </c>
      <c r="AE104" s="36">
        <f t="shared" si="15"/>
        <v>63625</v>
      </c>
      <c r="AF104" s="36">
        <f t="shared" si="16"/>
        <v>7873</v>
      </c>
      <c r="AG104" s="41">
        <f t="shared" si="17"/>
        <v>-64.5</v>
      </c>
      <c r="AH104" s="36">
        <f t="shared" si="18"/>
        <v>33847</v>
      </c>
      <c r="AI104" s="41">
        <f t="shared" si="19"/>
        <v>-46.8</v>
      </c>
    </row>
    <row r="105" spans="1:35" ht="19.5" hidden="1" customHeight="1">
      <c r="A105" s="33" t="s">
        <v>87</v>
      </c>
      <c r="B105" s="36">
        <v>929</v>
      </c>
      <c r="C105" s="36">
        <v>5295</v>
      </c>
      <c r="D105" s="36">
        <v>801</v>
      </c>
      <c r="E105" s="36">
        <v>4348</v>
      </c>
      <c r="F105" s="36">
        <v>0</v>
      </c>
      <c r="G105" s="36">
        <v>0</v>
      </c>
      <c r="H105" s="36">
        <v>0</v>
      </c>
      <c r="I105" s="36">
        <v>0</v>
      </c>
      <c r="J105" s="36">
        <v>23069</v>
      </c>
      <c r="K105" s="36">
        <v>49300</v>
      </c>
      <c r="L105" s="36">
        <v>19466</v>
      </c>
      <c r="M105" s="36">
        <v>37888</v>
      </c>
      <c r="N105" s="36">
        <v>52</v>
      </c>
      <c r="O105" s="36">
        <v>76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11</v>
      </c>
      <c r="AA105" s="36">
        <v>55</v>
      </c>
      <c r="AB105" s="36">
        <v>0</v>
      </c>
      <c r="AC105" s="36">
        <v>0</v>
      </c>
      <c r="AD105" s="36">
        <f t="shared" si="20"/>
        <v>24061</v>
      </c>
      <c r="AE105" s="36">
        <f t="shared" si="15"/>
        <v>54726</v>
      </c>
      <c r="AF105" s="36">
        <f t="shared" si="16"/>
        <v>20267</v>
      </c>
      <c r="AG105" s="41">
        <f t="shared" si="17"/>
        <v>-15.8</v>
      </c>
      <c r="AH105" s="36">
        <f t="shared" si="18"/>
        <v>42236</v>
      </c>
      <c r="AI105" s="41">
        <f t="shared" si="19"/>
        <v>-22.8</v>
      </c>
    </row>
    <row r="106" spans="1:35" ht="19.5" hidden="1" customHeight="1">
      <c r="A106" s="33" t="s">
        <v>59</v>
      </c>
      <c r="B106" s="36">
        <v>8125</v>
      </c>
      <c r="C106" s="36">
        <v>47991</v>
      </c>
      <c r="D106" s="36">
        <v>7133</v>
      </c>
      <c r="E106" s="36">
        <v>42524</v>
      </c>
      <c r="F106" s="36">
        <v>431</v>
      </c>
      <c r="G106" s="36">
        <v>269</v>
      </c>
      <c r="H106" s="36">
        <v>13</v>
      </c>
      <c r="I106" s="36">
        <v>11</v>
      </c>
      <c r="J106" s="36">
        <v>5541</v>
      </c>
      <c r="K106" s="36">
        <v>7636</v>
      </c>
      <c r="L106" s="36">
        <v>6649</v>
      </c>
      <c r="M106" s="36">
        <v>8008</v>
      </c>
      <c r="N106" s="36">
        <v>552</v>
      </c>
      <c r="O106" s="36">
        <v>1075</v>
      </c>
      <c r="P106" s="36">
        <v>668</v>
      </c>
      <c r="Q106" s="36">
        <v>1252</v>
      </c>
      <c r="R106" s="36">
        <v>43</v>
      </c>
      <c r="S106" s="36">
        <v>84</v>
      </c>
      <c r="T106" s="36">
        <v>7</v>
      </c>
      <c r="U106" s="36">
        <v>15</v>
      </c>
      <c r="V106" s="36">
        <v>16</v>
      </c>
      <c r="W106" s="36">
        <v>393</v>
      </c>
      <c r="X106" s="36">
        <v>1</v>
      </c>
      <c r="Y106" s="36">
        <v>22</v>
      </c>
      <c r="Z106" s="36">
        <v>24</v>
      </c>
      <c r="AA106" s="36">
        <v>59</v>
      </c>
      <c r="AB106" s="36">
        <v>1</v>
      </c>
      <c r="AC106" s="36">
        <v>105</v>
      </c>
      <c r="AD106" s="36">
        <f t="shared" si="20"/>
        <v>14732</v>
      </c>
      <c r="AE106" s="36">
        <f t="shared" si="15"/>
        <v>57507</v>
      </c>
      <c r="AF106" s="36">
        <f t="shared" si="16"/>
        <v>14472</v>
      </c>
      <c r="AG106" s="41">
        <f t="shared" si="17"/>
        <v>-1.8</v>
      </c>
      <c r="AH106" s="36">
        <f t="shared" si="18"/>
        <v>51937</v>
      </c>
      <c r="AI106" s="41">
        <f t="shared" si="19"/>
        <v>-9.6999999999999993</v>
      </c>
    </row>
    <row r="107" spans="1:35" ht="19.5" hidden="1" customHeight="1">
      <c r="A107" s="33" t="s">
        <v>90</v>
      </c>
      <c r="B107" s="36">
        <v>121</v>
      </c>
      <c r="C107" s="36">
        <v>723</v>
      </c>
      <c r="D107" s="36">
        <v>384</v>
      </c>
      <c r="E107" s="36">
        <v>2091</v>
      </c>
      <c r="F107" s="36">
        <v>0</v>
      </c>
      <c r="G107" s="36">
        <v>0</v>
      </c>
      <c r="H107" s="36">
        <v>0</v>
      </c>
      <c r="I107" s="36">
        <v>0</v>
      </c>
      <c r="J107" s="36">
        <v>16647</v>
      </c>
      <c r="K107" s="36">
        <v>35762</v>
      </c>
      <c r="L107" s="36">
        <v>11265</v>
      </c>
      <c r="M107" s="36">
        <v>21545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f t="shared" si="20"/>
        <v>16768</v>
      </c>
      <c r="AE107" s="36">
        <f t="shared" si="15"/>
        <v>36485</v>
      </c>
      <c r="AF107" s="36">
        <f t="shared" si="16"/>
        <v>11649</v>
      </c>
      <c r="AG107" s="41">
        <f t="shared" si="17"/>
        <v>-30.5</v>
      </c>
      <c r="AH107" s="36">
        <f t="shared" si="18"/>
        <v>23636</v>
      </c>
      <c r="AI107" s="41">
        <f t="shared" si="19"/>
        <v>-35.200000000000003</v>
      </c>
    </row>
    <row r="108" spans="1:35" ht="19.5" hidden="1" customHeight="1">
      <c r="A108" s="33" t="s">
        <v>76</v>
      </c>
      <c r="B108" s="36">
        <v>150</v>
      </c>
      <c r="C108" s="36">
        <v>1101</v>
      </c>
      <c r="D108" s="36">
        <v>45</v>
      </c>
      <c r="E108" s="36">
        <v>972</v>
      </c>
      <c r="F108" s="36">
        <v>261</v>
      </c>
      <c r="G108" s="36">
        <v>6381</v>
      </c>
      <c r="H108" s="36">
        <v>350</v>
      </c>
      <c r="I108" s="36">
        <v>8514</v>
      </c>
      <c r="J108" s="36">
        <v>1931</v>
      </c>
      <c r="K108" s="36">
        <v>24684</v>
      </c>
      <c r="L108" s="36">
        <v>2090</v>
      </c>
      <c r="M108" s="36">
        <v>25495</v>
      </c>
      <c r="N108" s="36">
        <v>0</v>
      </c>
      <c r="O108" s="36">
        <v>0</v>
      </c>
      <c r="P108" s="36">
        <v>0</v>
      </c>
      <c r="Q108" s="36">
        <v>0</v>
      </c>
      <c r="R108" s="36">
        <v>159</v>
      </c>
      <c r="S108" s="36">
        <v>766</v>
      </c>
      <c r="T108" s="36">
        <v>183</v>
      </c>
      <c r="U108" s="36">
        <v>850</v>
      </c>
      <c r="V108" s="36">
        <v>7</v>
      </c>
      <c r="W108" s="36">
        <v>142</v>
      </c>
      <c r="X108" s="36">
        <v>6</v>
      </c>
      <c r="Y108" s="36">
        <v>140</v>
      </c>
      <c r="Z108" s="36">
        <v>61</v>
      </c>
      <c r="AA108" s="36">
        <v>3626</v>
      </c>
      <c r="AB108" s="36">
        <v>28</v>
      </c>
      <c r="AC108" s="36">
        <v>2322</v>
      </c>
      <c r="AD108" s="36">
        <f t="shared" si="20"/>
        <v>2569</v>
      </c>
      <c r="AE108" s="36">
        <f t="shared" si="15"/>
        <v>36700</v>
      </c>
      <c r="AF108" s="36">
        <f t="shared" si="16"/>
        <v>2702</v>
      </c>
      <c r="AG108" s="41">
        <f t="shared" si="17"/>
        <v>5.2</v>
      </c>
      <c r="AH108" s="36">
        <f t="shared" si="18"/>
        <v>38293</v>
      </c>
      <c r="AI108" s="41">
        <f t="shared" si="19"/>
        <v>4.3</v>
      </c>
    </row>
    <row r="109" spans="1:35" ht="19.5" hidden="1" customHeight="1">
      <c r="A109" s="33" t="s">
        <v>91</v>
      </c>
      <c r="B109" s="36">
        <v>261</v>
      </c>
      <c r="C109" s="36">
        <v>1492</v>
      </c>
      <c r="D109" s="36">
        <v>275</v>
      </c>
      <c r="E109" s="36">
        <v>1524</v>
      </c>
      <c r="F109" s="36">
        <v>0</v>
      </c>
      <c r="G109" s="36">
        <v>0</v>
      </c>
      <c r="H109" s="36">
        <v>0</v>
      </c>
      <c r="I109" s="36">
        <v>0</v>
      </c>
      <c r="J109" s="36">
        <v>8621</v>
      </c>
      <c r="K109" s="36">
        <v>18607</v>
      </c>
      <c r="L109" s="36">
        <v>16902</v>
      </c>
      <c r="M109" s="36">
        <v>32217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f t="shared" si="20"/>
        <v>8882</v>
      </c>
      <c r="AE109" s="36">
        <f t="shared" si="15"/>
        <v>20099</v>
      </c>
      <c r="AF109" s="36">
        <f t="shared" si="16"/>
        <v>17177</v>
      </c>
      <c r="AG109" s="41">
        <f t="shared" si="17"/>
        <v>93.4</v>
      </c>
      <c r="AH109" s="36">
        <f t="shared" si="18"/>
        <v>33741</v>
      </c>
      <c r="AI109" s="41">
        <f t="shared" si="19"/>
        <v>67.900000000000006</v>
      </c>
    </row>
    <row r="110" spans="1:35" ht="19.5" hidden="1" customHeight="1">
      <c r="A110" s="33" t="s">
        <v>308</v>
      </c>
      <c r="B110" s="36">
        <v>0</v>
      </c>
      <c r="C110" s="36">
        <v>0</v>
      </c>
      <c r="D110" s="36">
        <v>0</v>
      </c>
      <c r="E110" s="36">
        <v>0</v>
      </c>
      <c r="F110" s="36">
        <v>1958</v>
      </c>
      <c r="G110" s="36">
        <v>23034</v>
      </c>
      <c r="H110" s="36">
        <v>2258</v>
      </c>
      <c r="I110" s="36">
        <v>32628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f t="shared" si="20"/>
        <v>1958</v>
      </c>
      <c r="AE110" s="36">
        <f t="shared" si="15"/>
        <v>23034</v>
      </c>
      <c r="AF110" s="36">
        <f t="shared" si="16"/>
        <v>2258</v>
      </c>
      <c r="AG110" s="41">
        <f t="shared" si="17"/>
        <v>15.3</v>
      </c>
      <c r="AH110" s="36">
        <f t="shared" si="18"/>
        <v>32628</v>
      </c>
      <c r="AI110" s="41">
        <f t="shared" si="19"/>
        <v>41.7</v>
      </c>
    </row>
    <row r="111" spans="1:35" ht="19.5" hidden="1" customHeight="1">
      <c r="A111" s="33" t="s">
        <v>71</v>
      </c>
      <c r="B111" s="36">
        <v>712</v>
      </c>
      <c r="C111" s="36">
        <v>5421</v>
      </c>
      <c r="D111" s="36">
        <v>1090</v>
      </c>
      <c r="E111" s="36">
        <v>7023</v>
      </c>
      <c r="F111" s="36">
        <v>62</v>
      </c>
      <c r="G111" s="36">
        <v>2059</v>
      </c>
      <c r="H111" s="36">
        <v>126</v>
      </c>
      <c r="I111" s="36">
        <v>3250</v>
      </c>
      <c r="J111" s="36">
        <v>6304</v>
      </c>
      <c r="K111" s="36">
        <v>11378</v>
      </c>
      <c r="L111" s="36">
        <v>6143</v>
      </c>
      <c r="M111" s="36">
        <v>10306</v>
      </c>
      <c r="N111" s="36">
        <v>0</v>
      </c>
      <c r="O111" s="36">
        <v>2</v>
      </c>
      <c r="P111" s="36">
        <v>3</v>
      </c>
      <c r="Q111" s="36">
        <v>22</v>
      </c>
      <c r="R111" s="36">
        <v>0</v>
      </c>
      <c r="S111" s="36">
        <v>2</v>
      </c>
      <c r="T111" s="36">
        <v>1</v>
      </c>
      <c r="U111" s="36">
        <v>28</v>
      </c>
      <c r="V111" s="36">
        <v>2</v>
      </c>
      <c r="W111" s="36">
        <v>54</v>
      </c>
      <c r="X111" s="36">
        <v>6</v>
      </c>
      <c r="Y111" s="36">
        <v>125</v>
      </c>
      <c r="Z111" s="36">
        <v>140</v>
      </c>
      <c r="AA111" s="36">
        <v>4482</v>
      </c>
      <c r="AB111" s="36">
        <v>236</v>
      </c>
      <c r="AC111" s="36">
        <v>3596</v>
      </c>
      <c r="AD111" s="36">
        <f t="shared" si="20"/>
        <v>7220</v>
      </c>
      <c r="AE111" s="36">
        <f t="shared" si="15"/>
        <v>23398</v>
      </c>
      <c r="AF111" s="36">
        <f t="shared" si="16"/>
        <v>7605</v>
      </c>
      <c r="AG111" s="41">
        <f t="shared" si="17"/>
        <v>5.3</v>
      </c>
      <c r="AH111" s="36">
        <f t="shared" si="18"/>
        <v>24350</v>
      </c>
      <c r="AI111" s="41">
        <f t="shared" si="19"/>
        <v>4.0999999999999996</v>
      </c>
    </row>
    <row r="112" spans="1:35" ht="19.5" hidden="1" customHeight="1">
      <c r="A112" s="33" t="s">
        <v>88</v>
      </c>
      <c r="B112" s="36">
        <v>3811</v>
      </c>
      <c r="C112" s="36">
        <v>20837</v>
      </c>
      <c r="D112" s="36">
        <v>2975</v>
      </c>
      <c r="E112" s="36">
        <v>15173</v>
      </c>
      <c r="F112" s="36">
        <v>0</v>
      </c>
      <c r="G112" s="36">
        <v>0</v>
      </c>
      <c r="H112" s="36">
        <v>0</v>
      </c>
      <c r="I112" s="36">
        <v>0</v>
      </c>
      <c r="J112" s="36">
        <v>3063</v>
      </c>
      <c r="K112" s="36">
        <v>5051</v>
      </c>
      <c r="L112" s="36">
        <v>631</v>
      </c>
      <c r="M112" s="36">
        <v>904</v>
      </c>
      <c r="N112" s="36">
        <v>1220</v>
      </c>
      <c r="O112" s="36">
        <v>2373</v>
      </c>
      <c r="P112" s="36">
        <v>2500</v>
      </c>
      <c r="Q112" s="36">
        <v>4805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f t="shared" si="20"/>
        <v>8094</v>
      </c>
      <c r="AE112" s="36">
        <f t="shared" si="15"/>
        <v>28261</v>
      </c>
      <c r="AF112" s="36">
        <f t="shared" si="16"/>
        <v>6106</v>
      </c>
      <c r="AG112" s="41">
        <f t="shared" si="17"/>
        <v>-24.6</v>
      </c>
      <c r="AH112" s="36">
        <f t="shared" si="18"/>
        <v>20882</v>
      </c>
      <c r="AI112" s="41">
        <f t="shared" si="19"/>
        <v>-26.1</v>
      </c>
    </row>
    <row r="113" spans="1:35" ht="19.5" hidden="1" customHeight="1">
      <c r="A113" s="33" t="s">
        <v>65</v>
      </c>
      <c r="B113" s="36">
        <v>1744</v>
      </c>
      <c r="C113" s="36">
        <v>8357</v>
      </c>
      <c r="D113" s="36">
        <v>3987</v>
      </c>
      <c r="E113" s="36">
        <v>14338</v>
      </c>
      <c r="F113" s="36">
        <v>2</v>
      </c>
      <c r="G113" s="36">
        <v>289</v>
      </c>
      <c r="H113" s="36">
        <v>5</v>
      </c>
      <c r="I113" s="36">
        <v>565</v>
      </c>
      <c r="J113" s="36">
        <v>3098</v>
      </c>
      <c r="K113" s="36">
        <v>4435</v>
      </c>
      <c r="L113" s="36">
        <v>10574</v>
      </c>
      <c r="M113" s="36">
        <v>13344</v>
      </c>
      <c r="N113" s="36">
        <v>0</v>
      </c>
      <c r="O113" s="36">
        <v>2</v>
      </c>
      <c r="P113" s="36">
        <v>0</v>
      </c>
      <c r="Q113" s="36">
        <v>2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21</v>
      </c>
      <c r="AA113" s="36">
        <v>443</v>
      </c>
      <c r="AB113" s="36">
        <v>24</v>
      </c>
      <c r="AC113" s="36">
        <v>317</v>
      </c>
      <c r="AD113" s="36">
        <f t="shared" si="20"/>
        <v>4865</v>
      </c>
      <c r="AE113" s="36">
        <f t="shared" si="15"/>
        <v>13526</v>
      </c>
      <c r="AF113" s="36">
        <f t="shared" si="16"/>
        <v>14590</v>
      </c>
      <c r="AG113" s="41">
        <f t="shared" si="17"/>
        <v>199.9</v>
      </c>
      <c r="AH113" s="36">
        <f t="shared" si="18"/>
        <v>28566</v>
      </c>
      <c r="AI113" s="41">
        <f t="shared" si="19"/>
        <v>111.2</v>
      </c>
    </row>
    <row r="114" spans="1:35" ht="19.5" hidden="1" customHeight="1">
      <c r="A114" s="33" t="s">
        <v>66</v>
      </c>
      <c r="B114" s="36">
        <v>3201</v>
      </c>
      <c r="C114" s="36">
        <v>16391</v>
      </c>
      <c r="D114" s="36">
        <v>4056</v>
      </c>
      <c r="E114" s="36">
        <v>20566</v>
      </c>
      <c r="F114" s="36">
        <v>39</v>
      </c>
      <c r="G114" s="36">
        <v>290</v>
      </c>
      <c r="H114" s="36">
        <v>92</v>
      </c>
      <c r="I114" s="36">
        <v>171</v>
      </c>
      <c r="J114" s="36">
        <v>1662</v>
      </c>
      <c r="K114" s="36">
        <v>2995</v>
      </c>
      <c r="L114" s="36">
        <v>1078</v>
      </c>
      <c r="M114" s="36">
        <v>2831</v>
      </c>
      <c r="N114" s="36">
        <v>1</v>
      </c>
      <c r="O114" s="36">
        <v>153</v>
      </c>
      <c r="P114" s="36">
        <v>25</v>
      </c>
      <c r="Q114" s="36">
        <v>227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1</v>
      </c>
      <c r="Y114" s="36">
        <v>33</v>
      </c>
      <c r="Z114" s="36">
        <v>314</v>
      </c>
      <c r="AA114" s="36">
        <v>1107</v>
      </c>
      <c r="AB114" s="36">
        <v>54</v>
      </c>
      <c r="AC114" s="36">
        <v>335</v>
      </c>
      <c r="AD114" s="36">
        <f t="shared" si="20"/>
        <v>5217</v>
      </c>
      <c r="AE114" s="36">
        <f t="shared" si="15"/>
        <v>20936</v>
      </c>
      <c r="AF114" s="36">
        <f t="shared" si="16"/>
        <v>5306</v>
      </c>
      <c r="AG114" s="41">
        <f t="shared" si="17"/>
        <v>1.7</v>
      </c>
      <c r="AH114" s="36">
        <f t="shared" si="18"/>
        <v>24163</v>
      </c>
      <c r="AI114" s="41">
        <f t="shared" si="19"/>
        <v>15.4</v>
      </c>
    </row>
    <row r="115" spans="1:35" ht="19.5" hidden="1" customHeight="1">
      <c r="A115" s="33" t="s">
        <v>89</v>
      </c>
      <c r="B115" s="36">
        <v>1848</v>
      </c>
      <c r="C115" s="36">
        <v>10716</v>
      </c>
      <c r="D115" s="36">
        <v>4097</v>
      </c>
      <c r="E115" s="36">
        <v>6867</v>
      </c>
      <c r="F115" s="36">
        <v>89</v>
      </c>
      <c r="G115" s="36">
        <v>1211</v>
      </c>
      <c r="H115" s="36">
        <v>82</v>
      </c>
      <c r="I115" s="36">
        <v>1303</v>
      </c>
      <c r="J115" s="36">
        <v>1750</v>
      </c>
      <c r="K115" s="36">
        <v>3029</v>
      </c>
      <c r="L115" s="36">
        <v>2942</v>
      </c>
      <c r="M115" s="36">
        <v>5114</v>
      </c>
      <c r="N115" s="36">
        <v>247</v>
      </c>
      <c r="O115" s="36">
        <v>523</v>
      </c>
      <c r="P115" s="36">
        <v>1</v>
      </c>
      <c r="Q115" s="36">
        <v>1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60</v>
      </c>
      <c r="AA115" s="36">
        <v>346</v>
      </c>
      <c r="AB115" s="36">
        <v>44</v>
      </c>
      <c r="AC115" s="36">
        <v>303</v>
      </c>
      <c r="AD115" s="36">
        <f t="shared" si="20"/>
        <v>3994</v>
      </c>
      <c r="AE115" s="36">
        <f t="shared" si="15"/>
        <v>15825</v>
      </c>
      <c r="AF115" s="36">
        <f t="shared" si="16"/>
        <v>7166</v>
      </c>
      <c r="AG115" s="41">
        <f t="shared" si="17"/>
        <v>79.400000000000006</v>
      </c>
      <c r="AH115" s="36">
        <f t="shared" si="18"/>
        <v>13588</v>
      </c>
      <c r="AI115" s="41">
        <f t="shared" si="19"/>
        <v>-14.1</v>
      </c>
    </row>
    <row r="116" spans="1:35" ht="19.5" hidden="1" customHeight="1">
      <c r="A116" s="33" t="s">
        <v>309</v>
      </c>
      <c r="B116" s="36">
        <v>0</v>
      </c>
      <c r="C116" s="36">
        <v>8</v>
      </c>
      <c r="D116" s="36">
        <v>2</v>
      </c>
      <c r="E116" s="36">
        <v>16</v>
      </c>
      <c r="F116" s="36">
        <v>1355</v>
      </c>
      <c r="G116" s="36">
        <v>17557</v>
      </c>
      <c r="H116" s="36">
        <v>996</v>
      </c>
      <c r="I116" s="36">
        <v>14500</v>
      </c>
      <c r="J116" s="36">
        <v>1</v>
      </c>
      <c r="K116" s="36">
        <v>37</v>
      </c>
      <c r="L116" s="36">
        <v>56</v>
      </c>
      <c r="M116" s="36">
        <v>280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3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3</v>
      </c>
      <c r="AA116" s="36">
        <v>97</v>
      </c>
      <c r="AB116" s="36">
        <v>3</v>
      </c>
      <c r="AC116" s="36">
        <v>111</v>
      </c>
      <c r="AD116" s="36">
        <f t="shared" si="20"/>
        <v>1359</v>
      </c>
      <c r="AE116" s="36">
        <f t="shared" si="15"/>
        <v>17702</v>
      </c>
      <c r="AF116" s="36">
        <f t="shared" si="16"/>
        <v>1057</v>
      </c>
      <c r="AG116" s="41">
        <f t="shared" si="17"/>
        <v>-22.2</v>
      </c>
      <c r="AH116" s="36">
        <f t="shared" si="18"/>
        <v>14907</v>
      </c>
      <c r="AI116" s="41">
        <f t="shared" si="19"/>
        <v>-15.8</v>
      </c>
    </row>
    <row r="117" spans="1:35" ht="19.5" hidden="1" customHeight="1">
      <c r="A117" s="33" t="s">
        <v>92</v>
      </c>
      <c r="B117" s="36">
        <v>2399</v>
      </c>
      <c r="C117" s="36">
        <v>13217</v>
      </c>
      <c r="D117" s="36">
        <v>2416</v>
      </c>
      <c r="E117" s="36">
        <v>12822</v>
      </c>
      <c r="F117" s="36">
        <v>0</v>
      </c>
      <c r="G117" s="36">
        <v>1</v>
      </c>
      <c r="H117" s="36">
        <v>0</v>
      </c>
      <c r="I117" s="36">
        <v>13</v>
      </c>
      <c r="J117" s="36">
        <v>1959</v>
      </c>
      <c r="K117" s="36">
        <v>3386</v>
      </c>
      <c r="L117" s="36">
        <v>3483</v>
      </c>
      <c r="M117" s="36">
        <v>4625</v>
      </c>
      <c r="N117" s="36">
        <v>0</v>
      </c>
      <c r="O117" s="36">
        <v>0</v>
      </c>
      <c r="P117" s="36">
        <v>0</v>
      </c>
      <c r="Q117" s="36">
        <v>2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22</v>
      </c>
      <c r="AB117" s="36">
        <v>4</v>
      </c>
      <c r="AC117" s="36">
        <v>5</v>
      </c>
      <c r="AD117" s="36">
        <f t="shared" si="20"/>
        <v>4358</v>
      </c>
      <c r="AE117" s="36">
        <f t="shared" si="15"/>
        <v>16626</v>
      </c>
      <c r="AF117" s="36">
        <f t="shared" si="16"/>
        <v>5903</v>
      </c>
      <c r="AG117" s="41">
        <f t="shared" si="17"/>
        <v>35.5</v>
      </c>
      <c r="AH117" s="36">
        <f t="shared" si="18"/>
        <v>17467</v>
      </c>
      <c r="AI117" s="41">
        <f t="shared" si="19"/>
        <v>5.0999999999999996</v>
      </c>
    </row>
    <row r="118" spans="1:35" ht="19.5" hidden="1" customHeight="1">
      <c r="A118" s="34" t="s">
        <v>78</v>
      </c>
      <c r="B118" s="37">
        <f t="shared" ref="B118:M118" si="21">B119-SUM(B88:B117)</f>
        <v>41976</v>
      </c>
      <c r="C118" s="37">
        <f t="shared" si="21"/>
        <v>221977</v>
      </c>
      <c r="D118" s="37">
        <f t="shared" si="21"/>
        <v>37988</v>
      </c>
      <c r="E118" s="37">
        <f t="shared" si="21"/>
        <v>204283</v>
      </c>
      <c r="F118" s="37">
        <f t="shared" si="21"/>
        <v>1759</v>
      </c>
      <c r="G118" s="37">
        <f t="shared" si="21"/>
        <v>20706</v>
      </c>
      <c r="H118" s="37">
        <f t="shared" si="21"/>
        <v>2830</v>
      </c>
      <c r="I118" s="37">
        <f t="shared" si="21"/>
        <v>30926</v>
      </c>
      <c r="J118" s="37">
        <f t="shared" si="21"/>
        <v>32466</v>
      </c>
      <c r="K118" s="37">
        <f t="shared" si="21"/>
        <v>57847</v>
      </c>
      <c r="L118" s="37">
        <f t="shared" si="21"/>
        <v>29540</v>
      </c>
      <c r="M118" s="37">
        <f t="shared" si="21"/>
        <v>49841</v>
      </c>
      <c r="N118" s="37">
        <f>N119-SUM(N88:N117)</f>
        <v>3005</v>
      </c>
      <c r="O118" s="37">
        <f>O119-SUM(O88:O117)</f>
        <v>6152</v>
      </c>
      <c r="P118" s="37">
        <f>P119-SUM(P88:P117)</f>
        <v>5389</v>
      </c>
      <c r="Q118" s="37">
        <f>Q119-SUM(Q88:Q117)</f>
        <v>10146</v>
      </c>
      <c r="R118" s="37">
        <f t="shared" ref="R118:X118" si="22">R119-SUM(R88:R117)</f>
        <v>2115</v>
      </c>
      <c r="S118" s="37">
        <f t="shared" si="22"/>
        <v>6430</v>
      </c>
      <c r="T118" s="37">
        <f t="shared" si="22"/>
        <v>2896</v>
      </c>
      <c r="U118" s="37">
        <f t="shared" si="22"/>
        <v>7840</v>
      </c>
      <c r="V118" s="37">
        <f t="shared" si="22"/>
        <v>4</v>
      </c>
      <c r="W118" s="37">
        <f t="shared" si="22"/>
        <v>116</v>
      </c>
      <c r="X118" s="37">
        <f t="shared" si="22"/>
        <v>173</v>
      </c>
      <c r="Y118" s="37">
        <f>Y119-SUM(Y88:Y117)</f>
        <v>2930</v>
      </c>
      <c r="Z118" s="37">
        <f t="shared" ref="Z118:AF118" si="23">Z119-SUM(Z88:Z117)</f>
        <v>1290</v>
      </c>
      <c r="AA118" s="37">
        <f t="shared" si="23"/>
        <v>18331</v>
      </c>
      <c r="AB118" s="37">
        <f t="shared" si="23"/>
        <v>1415</v>
      </c>
      <c r="AC118" s="37">
        <f t="shared" si="23"/>
        <v>23008</v>
      </c>
      <c r="AD118" s="37">
        <f t="shared" si="23"/>
        <v>82615</v>
      </c>
      <c r="AE118" s="37">
        <f t="shared" si="23"/>
        <v>331559</v>
      </c>
      <c r="AF118" s="37">
        <f t="shared" si="23"/>
        <v>80231</v>
      </c>
      <c r="AG118" s="42">
        <f t="shared" si="17"/>
        <v>-2.9</v>
      </c>
      <c r="AH118" s="37">
        <f>AH119-SUM(AH88:AH117)</f>
        <v>328974</v>
      </c>
      <c r="AI118" s="42">
        <f t="shared" si="19"/>
        <v>-0.8</v>
      </c>
    </row>
    <row r="119" spans="1:35" ht="19.5" hidden="1" customHeight="1">
      <c r="A119" s="35" t="s">
        <v>79</v>
      </c>
      <c r="B119" s="39">
        <v>234649</v>
      </c>
      <c r="C119" s="40">
        <v>1487436</v>
      </c>
      <c r="D119" s="40">
        <v>224243</v>
      </c>
      <c r="E119" s="40">
        <v>1348091</v>
      </c>
      <c r="F119" s="40">
        <v>15470</v>
      </c>
      <c r="G119" s="40">
        <v>252049</v>
      </c>
      <c r="H119" s="40">
        <v>14697</v>
      </c>
      <c r="I119" s="40">
        <v>263188</v>
      </c>
      <c r="J119" s="40">
        <v>701388</v>
      </c>
      <c r="K119" s="40">
        <v>1553250</v>
      </c>
      <c r="L119" s="40">
        <v>697742</v>
      </c>
      <c r="M119" s="40">
        <v>1442677</v>
      </c>
      <c r="N119" s="40">
        <v>32886</v>
      </c>
      <c r="O119" s="40">
        <v>67070</v>
      </c>
      <c r="P119" s="40">
        <v>33881</v>
      </c>
      <c r="Q119" s="40">
        <v>68720</v>
      </c>
      <c r="R119" s="40">
        <v>14796</v>
      </c>
      <c r="S119" s="40">
        <v>43094</v>
      </c>
      <c r="T119" s="40">
        <v>16149</v>
      </c>
      <c r="U119" s="40">
        <v>41202</v>
      </c>
      <c r="V119" s="40">
        <v>3411</v>
      </c>
      <c r="W119" s="40">
        <v>69989</v>
      </c>
      <c r="X119" s="40">
        <v>4176</v>
      </c>
      <c r="Y119" s="40">
        <v>74850</v>
      </c>
      <c r="Z119" s="40">
        <v>35510</v>
      </c>
      <c r="AA119" s="40">
        <v>284089</v>
      </c>
      <c r="AB119" s="40">
        <v>36442</v>
      </c>
      <c r="AC119" s="40">
        <v>244237</v>
      </c>
      <c r="AD119" s="40">
        <f>SUM(B119+F119+J119+N119+R119+V119+Z119)</f>
        <v>1038110</v>
      </c>
      <c r="AE119" s="39">
        <f>SUM(C119+G119+K119+O119+S119+W119+AA119)</f>
        <v>3756977</v>
      </c>
      <c r="AF119" s="40">
        <f>SUM(D119+H119+L119+P119+T119+X119+AB119)</f>
        <v>1027330</v>
      </c>
      <c r="AG119" s="42">
        <f t="shared" si="17"/>
        <v>-1</v>
      </c>
      <c r="AH119" s="39">
        <f>SUM(E119+I119+M119+Q119+U119+Y119+AC119)</f>
        <v>3482965</v>
      </c>
      <c r="AI119" s="42">
        <f t="shared" si="19"/>
        <v>-7.3</v>
      </c>
    </row>
    <row r="120" spans="1:35" hidden="1"/>
    <row r="121" spans="1:35" ht="22.5" hidden="1" customHeight="1">
      <c r="A121" s="1095" t="s">
        <v>550</v>
      </c>
      <c r="B121" s="1095"/>
      <c r="C121" s="1095"/>
      <c r="D121" s="1095"/>
      <c r="E121" s="1095"/>
      <c r="F121" s="1095"/>
      <c r="G121" s="1095"/>
      <c r="H121" s="1095"/>
      <c r="I121" s="1095"/>
      <c r="J121" s="1095"/>
      <c r="K121" s="1095"/>
      <c r="L121" s="1095"/>
      <c r="M121" s="1095"/>
      <c r="N121" s="1095"/>
      <c r="O121" s="1095"/>
      <c r="P121" s="1095"/>
      <c r="Q121" s="1095"/>
      <c r="R121" s="1095"/>
      <c r="S121" s="1095"/>
      <c r="T121" s="1095"/>
      <c r="U121" s="1095"/>
      <c r="V121" s="1095"/>
      <c r="W121" s="1095"/>
      <c r="X121" s="1095"/>
      <c r="Y121" s="1095"/>
      <c r="Z121" s="1095"/>
      <c r="AA121" s="1095"/>
      <c r="AB121" s="1095"/>
      <c r="AC121" s="1095"/>
      <c r="AD121" s="1095"/>
      <c r="AE121" s="1095"/>
      <c r="AF121" s="1095"/>
      <c r="AG121" s="1095"/>
      <c r="AH121" s="1095"/>
      <c r="AI121" s="1095"/>
    </row>
    <row r="122" spans="1:35" ht="16.5" hidden="1" customHeight="1">
      <c r="A122" s="509"/>
      <c r="B122" s="509"/>
      <c r="C122" s="509"/>
      <c r="D122" s="509"/>
      <c r="E122" s="509"/>
      <c r="F122" s="509"/>
      <c r="G122" s="509"/>
      <c r="H122" s="509"/>
      <c r="I122" s="509"/>
      <c r="J122" s="509"/>
      <c r="K122" s="509"/>
      <c r="L122" s="509"/>
      <c r="M122" s="509"/>
      <c r="N122" s="509"/>
      <c r="O122" s="509"/>
      <c r="P122" s="509"/>
      <c r="Q122" s="509"/>
      <c r="R122" s="509"/>
      <c r="S122" s="509"/>
      <c r="T122" s="509"/>
      <c r="U122" s="509"/>
      <c r="V122" s="509"/>
      <c r="W122" s="509"/>
      <c r="X122" s="509"/>
      <c r="Y122" s="509"/>
      <c r="Z122" s="509"/>
      <c r="AA122" s="509"/>
      <c r="AB122" s="509"/>
      <c r="AC122" s="509"/>
      <c r="AD122" s="509"/>
      <c r="AE122" s="509"/>
      <c r="AF122" s="509"/>
      <c r="AG122" s="509"/>
      <c r="AH122" s="509"/>
      <c r="AI122" s="509"/>
    </row>
    <row r="123" spans="1:35" hidden="1"/>
    <row r="124" spans="1:35" ht="21.75" hidden="1" customHeight="1">
      <c r="A124" s="1149" t="s">
        <v>43</v>
      </c>
      <c r="B124" s="1151" t="s">
        <v>541</v>
      </c>
      <c r="C124" s="1153"/>
      <c r="D124" s="1153"/>
      <c r="E124" s="1152"/>
      <c r="F124" s="1151" t="s">
        <v>542</v>
      </c>
      <c r="G124" s="1153"/>
      <c r="H124" s="1153"/>
      <c r="I124" s="1152"/>
      <c r="J124" s="1151" t="s">
        <v>543</v>
      </c>
      <c r="K124" s="1153"/>
      <c r="L124" s="1153"/>
      <c r="M124" s="1152"/>
      <c r="N124" s="1151" t="s">
        <v>544</v>
      </c>
      <c r="O124" s="1153"/>
      <c r="P124" s="1153"/>
      <c r="Q124" s="1152"/>
      <c r="R124" s="1151" t="s">
        <v>545</v>
      </c>
      <c r="S124" s="1153"/>
      <c r="T124" s="1153"/>
      <c r="U124" s="1152"/>
      <c r="V124" s="1151" t="s">
        <v>546</v>
      </c>
      <c r="W124" s="1153"/>
      <c r="X124" s="1153"/>
      <c r="Y124" s="1152"/>
      <c r="Z124" s="1151" t="s">
        <v>547</v>
      </c>
      <c r="AA124" s="1153"/>
      <c r="AB124" s="1153"/>
      <c r="AC124" s="1152"/>
      <c r="AD124" s="1151" t="s">
        <v>548</v>
      </c>
      <c r="AE124" s="1153"/>
      <c r="AF124" s="1153"/>
      <c r="AG124" s="1153"/>
      <c r="AH124" s="1153"/>
      <c r="AI124" s="1152"/>
    </row>
    <row r="125" spans="1:35" ht="21" hidden="1" customHeight="1">
      <c r="A125" s="1154"/>
      <c r="B125" s="1151" t="s">
        <v>315</v>
      </c>
      <c r="C125" s="1152"/>
      <c r="D125" s="1151" t="s">
        <v>459</v>
      </c>
      <c r="E125" s="1152"/>
      <c r="F125" s="1151" t="s">
        <v>315</v>
      </c>
      <c r="G125" s="1152"/>
      <c r="H125" s="1151" t="s">
        <v>459</v>
      </c>
      <c r="I125" s="1152"/>
      <c r="J125" s="1151" t="s">
        <v>315</v>
      </c>
      <c r="K125" s="1152"/>
      <c r="L125" s="1151" t="s">
        <v>459</v>
      </c>
      <c r="M125" s="1152"/>
      <c r="N125" s="1151" t="s">
        <v>315</v>
      </c>
      <c r="O125" s="1152"/>
      <c r="P125" s="1151" t="s">
        <v>459</v>
      </c>
      <c r="Q125" s="1152"/>
      <c r="R125" s="1151" t="s">
        <v>315</v>
      </c>
      <c r="S125" s="1152"/>
      <c r="T125" s="1151" t="s">
        <v>459</v>
      </c>
      <c r="U125" s="1152"/>
      <c r="V125" s="1151" t="s">
        <v>315</v>
      </c>
      <c r="W125" s="1152"/>
      <c r="X125" s="1151" t="s">
        <v>459</v>
      </c>
      <c r="Y125" s="1152"/>
      <c r="Z125" s="1151" t="s">
        <v>315</v>
      </c>
      <c r="AA125" s="1152"/>
      <c r="AB125" s="1151" t="s">
        <v>459</v>
      </c>
      <c r="AC125" s="1152"/>
      <c r="AD125" s="1151" t="s">
        <v>315</v>
      </c>
      <c r="AE125" s="1152"/>
      <c r="AF125" s="1151" t="s">
        <v>459</v>
      </c>
      <c r="AG125" s="1153"/>
      <c r="AH125" s="1153"/>
      <c r="AI125" s="1152"/>
    </row>
    <row r="126" spans="1:35" ht="16.5" hidden="1" customHeight="1">
      <c r="A126" s="1154"/>
      <c r="B126" s="1149" t="s">
        <v>44</v>
      </c>
      <c r="C126" s="1149" t="s">
        <v>45</v>
      </c>
      <c r="D126" s="1149" t="s">
        <v>46</v>
      </c>
      <c r="E126" s="1149" t="s">
        <v>45</v>
      </c>
      <c r="F126" s="1149" t="s">
        <v>47</v>
      </c>
      <c r="G126" s="1149" t="s">
        <v>45</v>
      </c>
      <c r="H126" s="1149" t="s">
        <v>46</v>
      </c>
      <c r="I126" s="1149" t="s">
        <v>45</v>
      </c>
      <c r="J126" s="1149" t="s">
        <v>44</v>
      </c>
      <c r="K126" s="1149" t="s">
        <v>45</v>
      </c>
      <c r="L126" s="1149" t="s">
        <v>46</v>
      </c>
      <c r="M126" s="1149" t="s">
        <v>45</v>
      </c>
      <c r="N126" s="1149" t="s">
        <v>44</v>
      </c>
      <c r="O126" s="1149" t="s">
        <v>45</v>
      </c>
      <c r="P126" s="1149" t="s">
        <v>46</v>
      </c>
      <c r="Q126" s="1149" t="s">
        <v>45</v>
      </c>
      <c r="R126" s="1149" t="s">
        <v>44</v>
      </c>
      <c r="S126" s="1149" t="s">
        <v>45</v>
      </c>
      <c r="T126" s="1149" t="s">
        <v>46</v>
      </c>
      <c r="U126" s="1149" t="s">
        <v>45</v>
      </c>
      <c r="V126" s="1149" t="s">
        <v>44</v>
      </c>
      <c r="W126" s="1149" t="s">
        <v>45</v>
      </c>
      <c r="X126" s="1149" t="s">
        <v>48</v>
      </c>
      <c r="Y126" s="1149" t="s">
        <v>45</v>
      </c>
      <c r="Z126" s="1149" t="s">
        <v>44</v>
      </c>
      <c r="AA126" s="1149" t="s">
        <v>45</v>
      </c>
      <c r="AB126" s="1149" t="s">
        <v>46</v>
      </c>
      <c r="AC126" s="1149" t="s">
        <v>45</v>
      </c>
      <c r="AD126" s="1149" t="s">
        <v>44</v>
      </c>
      <c r="AE126" s="1149" t="s">
        <v>45</v>
      </c>
      <c r="AF126" s="1147" t="s">
        <v>46</v>
      </c>
      <c r="AG126" s="31"/>
      <c r="AH126" s="1147" t="s">
        <v>45</v>
      </c>
      <c r="AI126" s="31"/>
    </row>
    <row r="127" spans="1:35" ht="16.5" hidden="1" customHeight="1" thickBot="1">
      <c r="A127" s="1150"/>
      <c r="B127" s="1150"/>
      <c r="C127" s="1150"/>
      <c r="D127" s="1150"/>
      <c r="E127" s="1150"/>
      <c r="F127" s="1150"/>
      <c r="G127" s="1150"/>
      <c r="H127" s="1150"/>
      <c r="I127" s="1150"/>
      <c r="J127" s="1150"/>
      <c r="K127" s="1150"/>
      <c r="L127" s="1150"/>
      <c r="M127" s="1150"/>
      <c r="N127" s="1150"/>
      <c r="O127" s="1150"/>
      <c r="P127" s="1150"/>
      <c r="Q127" s="1150"/>
      <c r="R127" s="1150"/>
      <c r="S127" s="1150"/>
      <c r="T127" s="1150"/>
      <c r="U127" s="1150"/>
      <c r="V127" s="1150"/>
      <c r="W127" s="1150"/>
      <c r="X127" s="1150"/>
      <c r="Y127" s="1150"/>
      <c r="Z127" s="1150"/>
      <c r="AA127" s="1150"/>
      <c r="AB127" s="1150"/>
      <c r="AC127" s="1150"/>
      <c r="AD127" s="1150"/>
      <c r="AE127" s="1150"/>
      <c r="AF127" s="1148"/>
      <c r="AG127" s="32" t="s">
        <v>49</v>
      </c>
      <c r="AH127" s="1148"/>
      <c r="AI127" s="32" t="s">
        <v>49</v>
      </c>
    </row>
    <row r="128" spans="1:35" ht="19.5" hidden="1" customHeight="1" thickTop="1">
      <c r="A128" s="33" t="s">
        <v>50</v>
      </c>
      <c r="B128" s="36">
        <v>25571</v>
      </c>
      <c r="C128" s="36">
        <v>168995</v>
      </c>
      <c r="D128" s="36">
        <v>24163</v>
      </c>
      <c r="E128" s="36">
        <v>153137</v>
      </c>
      <c r="F128" s="36">
        <v>389</v>
      </c>
      <c r="G128" s="36">
        <v>22884</v>
      </c>
      <c r="H128" s="36">
        <v>452</v>
      </c>
      <c r="I128" s="36">
        <v>24654</v>
      </c>
      <c r="J128" s="36">
        <v>165816</v>
      </c>
      <c r="K128" s="36">
        <v>469759</v>
      </c>
      <c r="L128" s="36">
        <v>118426</v>
      </c>
      <c r="M128" s="36">
        <v>367265</v>
      </c>
      <c r="N128" s="36">
        <v>35</v>
      </c>
      <c r="O128" s="36">
        <v>99</v>
      </c>
      <c r="P128" s="36">
        <v>598</v>
      </c>
      <c r="Q128" s="36">
        <v>1322</v>
      </c>
      <c r="R128" s="36">
        <v>241</v>
      </c>
      <c r="S128" s="36">
        <v>2399</v>
      </c>
      <c r="T128" s="36">
        <v>106</v>
      </c>
      <c r="U128" s="36">
        <v>1574</v>
      </c>
      <c r="V128" s="36">
        <v>116</v>
      </c>
      <c r="W128" s="36">
        <v>1181</v>
      </c>
      <c r="X128" s="36">
        <v>220</v>
      </c>
      <c r="Y128" s="36">
        <v>3093</v>
      </c>
      <c r="Z128" s="36">
        <v>41458</v>
      </c>
      <c r="AA128" s="36">
        <v>174934</v>
      </c>
      <c r="AB128" s="36">
        <v>41566</v>
      </c>
      <c r="AC128" s="36">
        <v>143310</v>
      </c>
      <c r="AD128" s="36">
        <f>SUM(B128+F128+J128+N128+R128+V128+Z128)</f>
        <v>233626</v>
      </c>
      <c r="AE128" s="36">
        <f>SUM(C128+G128+K128+O128+S128+W128+AA128)</f>
        <v>840251</v>
      </c>
      <c r="AF128" s="36">
        <f>SUM(D128+H128+L128+P128+T128+X128+AB128)</f>
        <v>185531</v>
      </c>
      <c r="AG128" s="41">
        <f>ROUND(((AF128/AD128-1)*100),1)</f>
        <v>-20.6</v>
      </c>
      <c r="AH128" s="36">
        <f>SUM(E128+I128+M128+Q128+U128+Y128+AC128)</f>
        <v>694355</v>
      </c>
      <c r="AI128" s="41">
        <f>ROUND(((AH128/AE128-1)*100),1)</f>
        <v>-17.399999999999999</v>
      </c>
    </row>
    <row r="129" spans="1:35" ht="19.5" hidden="1" customHeight="1">
      <c r="A129" s="33" t="s">
        <v>53</v>
      </c>
      <c r="B129" s="36">
        <v>29118</v>
      </c>
      <c r="C129" s="36">
        <v>186638</v>
      </c>
      <c r="D129" s="36">
        <v>34224</v>
      </c>
      <c r="E129" s="36">
        <v>190645</v>
      </c>
      <c r="F129" s="36">
        <v>490</v>
      </c>
      <c r="G129" s="36">
        <v>28675</v>
      </c>
      <c r="H129" s="36">
        <v>1072</v>
      </c>
      <c r="I129" s="36">
        <v>28859</v>
      </c>
      <c r="J129" s="36">
        <v>95394</v>
      </c>
      <c r="K129" s="36">
        <v>224396</v>
      </c>
      <c r="L129" s="36">
        <v>103292</v>
      </c>
      <c r="M129" s="36">
        <v>198227</v>
      </c>
      <c r="N129" s="36">
        <v>1062</v>
      </c>
      <c r="O129" s="36">
        <v>2039</v>
      </c>
      <c r="P129" s="36">
        <v>453</v>
      </c>
      <c r="Q129" s="36">
        <v>873</v>
      </c>
      <c r="R129" s="36">
        <v>111</v>
      </c>
      <c r="S129" s="36">
        <v>284</v>
      </c>
      <c r="T129" s="36">
        <v>155</v>
      </c>
      <c r="U129" s="36">
        <v>307</v>
      </c>
      <c r="V129" s="36">
        <v>2</v>
      </c>
      <c r="W129" s="36">
        <v>162</v>
      </c>
      <c r="X129" s="36">
        <v>2</v>
      </c>
      <c r="Y129" s="36">
        <v>134</v>
      </c>
      <c r="Z129" s="36">
        <v>933</v>
      </c>
      <c r="AA129" s="36">
        <v>83954</v>
      </c>
      <c r="AB129" s="36">
        <v>924</v>
      </c>
      <c r="AC129" s="36">
        <v>84773</v>
      </c>
      <c r="AD129" s="36">
        <f>SUM(B129+F129+J129+N129+R129+V129+Z129)</f>
        <v>127110</v>
      </c>
      <c r="AE129" s="36">
        <f t="shared" ref="AE129:AE157" si="24">SUM(C129+G129+K129+O129+S129+W129+AA129)</f>
        <v>526148</v>
      </c>
      <c r="AF129" s="36">
        <f t="shared" ref="AF129:AF157" si="25">SUM(D129+H129+L129+P129+T129+X129+AB129)</f>
        <v>140122</v>
      </c>
      <c r="AG129" s="41">
        <f t="shared" ref="AG129:AG159" si="26">ROUND(((AF129/AD129-1)*100),1)</f>
        <v>10.199999999999999</v>
      </c>
      <c r="AH129" s="36">
        <f t="shared" ref="AH129:AH157" si="27">SUM(E129+I129+M129+Q129+U129+Y129+AC129)</f>
        <v>503818</v>
      </c>
      <c r="AI129" s="41">
        <f t="shared" ref="AI129:AI159" si="28">ROUND(((AH129/AE129-1)*100),1)</f>
        <v>-4.2</v>
      </c>
    </row>
    <row r="130" spans="1:35" ht="19.5" hidden="1" customHeight="1">
      <c r="A130" s="33" t="s">
        <v>54</v>
      </c>
      <c r="B130" s="36">
        <v>13709</v>
      </c>
      <c r="C130" s="36">
        <v>176598</v>
      </c>
      <c r="D130" s="36">
        <v>16024</v>
      </c>
      <c r="E130" s="36">
        <v>189911</v>
      </c>
      <c r="F130" s="36">
        <v>1980</v>
      </c>
      <c r="G130" s="36">
        <v>60146</v>
      </c>
      <c r="H130" s="36">
        <v>2107</v>
      </c>
      <c r="I130" s="36">
        <v>71910</v>
      </c>
      <c r="J130" s="36">
        <v>41719</v>
      </c>
      <c r="K130" s="36">
        <v>103796</v>
      </c>
      <c r="L130" s="36">
        <v>49007</v>
      </c>
      <c r="M130" s="36">
        <v>111618</v>
      </c>
      <c r="N130" s="36">
        <v>1612</v>
      </c>
      <c r="O130" s="36">
        <v>3403</v>
      </c>
      <c r="P130" s="36">
        <v>2150</v>
      </c>
      <c r="Q130" s="36">
        <v>4212</v>
      </c>
      <c r="R130" s="36">
        <v>208</v>
      </c>
      <c r="S130" s="36">
        <v>342</v>
      </c>
      <c r="T130" s="36">
        <v>167</v>
      </c>
      <c r="U130" s="36">
        <v>308</v>
      </c>
      <c r="V130" s="36">
        <v>131</v>
      </c>
      <c r="W130" s="36">
        <v>5440</v>
      </c>
      <c r="X130" s="36">
        <v>76</v>
      </c>
      <c r="Y130" s="36">
        <v>4855</v>
      </c>
      <c r="Z130" s="36">
        <v>1742</v>
      </c>
      <c r="AA130" s="36">
        <v>55362</v>
      </c>
      <c r="AB130" s="36">
        <v>1123</v>
      </c>
      <c r="AC130" s="36">
        <v>37341</v>
      </c>
      <c r="AD130" s="36">
        <f t="shared" ref="AD130:AD157" si="29">SUM(B130+F130+J130+N130+R130+V130+Z130)</f>
        <v>61101</v>
      </c>
      <c r="AE130" s="36">
        <f t="shared" si="24"/>
        <v>405087</v>
      </c>
      <c r="AF130" s="36">
        <f t="shared" si="25"/>
        <v>70654</v>
      </c>
      <c r="AG130" s="41">
        <f t="shared" si="26"/>
        <v>15.6</v>
      </c>
      <c r="AH130" s="36">
        <f t="shared" si="27"/>
        <v>420155</v>
      </c>
      <c r="AI130" s="41">
        <f t="shared" si="28"/>
        <v>3.7</v>
      </c>
    </row>
    <row r="131" spans="1:35" ht="19.5" hidden="1" customHeight="1">
      <c r="A131" s="33" t="s">
        <v>84</v>
      </c>
      <c r="B131" s="36">
        <v>81599</v>
      </c>
      <c r="C131" s="36">
        <v>496723</v>
      </c>
      <c r="D131" s="36">
        <v>56871</v>
      </c>
      <c r="E131" s="36">
        <v>328097</v>
      </c>
      <c r="F131" s="36">
        <v>0</v>
      </c>
      <c r="G131" s="36">
        <v>0</v>
      </c>
      <c r="H131" s="36">
        <v>0</v>
      </c>
      <c r="I131" s="36">
        <v>0</v>
      </c>
      <c r="J131" s="36">
        <v>748</v>
      </c>
      <c r="K131" s="36">
        <v>929</v>
      </c>
      <c r="L131" s="36">
        <v>892</v>
      </c>
      <c r="M131" s="36">
        <v>1038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5</v>
      </c>
      <c r="AD131" s="36">
        <f t="shared" si="29"/>
        <v>82347</v>
      </c>
      <c r="AE131" s="36">
        <f t="shared" si="24"/>
        <v>497652</v>
      </c>
      <c r="AF131" s="36">
        <f t="shared" si="25"/>
        <v>57763</v>
      </c>
      <c r="AG131" s="41">
        <f t="shared" si="26"/>
        <v>-29.9</v>
      </c>
      <c r="AH131" s="36">
        <f t="shared" si="27"/>
        <v>329140</v>
      </c>
      <c r="AI131" s="41">
        <f t="shared" si="28"/>
        <v>-33.9</v>
      </c>
    </row>
    <row r="132" spans="1:35" ht="19.5" hidden="1" customHeight="1">
      <c r="A132" s="33" t="s">
        <v>52</v>
      </c>
      <c r="B132" s="36">
        <v>1253</v>
      </c>
      <c r="C132" s="36">
        <v>4608</v>
      </c>
      <c r="D132" s="36">
        <v>1730</v>
      </c>
      <c r="E132" s="36">
        <v>3952</v>
      </c>
      <c r="F132" s="36">
        <v>117</v>
      </c>
      <c r="G132" s="36">
        <v>3116</v>
      </c>
      <c r="H132" s="36">
        <v>49</v>
      </c>
      <c r="I132" s="36">
        <v>896</v>
      </c>
      <c r="J132" s="36">
        <v>107344</v>
      </c>
      <c r="K132" s="36">
        <v>212869</v>
      </c>
      <c r="L132" s="36">
        <v>152558</v>
      </c>
      <c r="M132" s="36">
        <v>275371</v>
      </c>
      <c r="N132" s="36">
        <v>20551</v>
      </c>
      <c r="O132" s="36">
        <v>43060</v>
      </c>
      <c r="P132" s="36">
        <v>15791</v>
      </c>
      <c r="Q132" s="36">
        <v>32997</v>
      </c>
      <c r="R132" s="36">
        <v>14745</v>
      </c>
      <c r="S132" s="36">
        <v>41829</v>
      </c>
      <c r="T132" s="36">
        <v>12160</v>
      </c>
      <c r="U132" s="36">
        <v>29874</v>
      </c>
      <c r="V132" s="36">
        <v>78</v>
      </c>
      <c r="W132" s="36">
        <v>917</v>
      </c>
      <c r="X132" s="36">
        <v>82</v>
      </c>
      <c r="Y132" s="36">
        <v>815</v>
      </c>
      <c r="Z132" s="36">
        <v>97</v>
      </c>
      <c r="AA132" s="36">
        <v>534</v>
      </c>
      <c r="AB132" s="36">
        <v>51</v>
      </c>
      <c r="AC132" s="36">
        <v>435</v>
      </c>
      <c r="AD132" s="36">
        <f t="shared" si="29"/>
        <v>144185</v>
      </c>
      <c r="AE132" s="36">
        <f t="shared" si="24"/>
        <v>306933</v>
      </c>
      <c r="AF132" s="36">
        <f t="shared" si="25"/>
        <v>182421</v>
      </c>
      <c r="AG132" s="41">
        <f t="shared" si="26"/>
        <v>26.5</v>
      </c>
      <c r="AH132" s="36">
        <f t="shared" si="27"/>
        <v>344340</v>
      </c>
      <c r="AI132" s="41">
        <f t="shared" si="28"/>
        <v>12.2</v>
      </c>
    </row>
    <row r="133" spans="1:35" ht="19.5" hidden="1" customHeight="1">
      <c r="A133" s="33" t="s">
        <v>61</v>
      </c>
      <c r="B133" s="36">
        <v>7688</v>
      </c>
      <c r="C133" s="36">
        <v>47906</v>
      </c>
      <c r="D133" s="36">
        <v>6780</v>
      </c>
      <c r="E133" s="36">
        <v>37858</v>
      </c>
      <c r="F133" s="36">
        <v>6854</v>
      </c>
      <c r="G133" s="36">
        <v>86410</v>
      </c>
      <c r="H133" s="36">
        <v>4990</v>
      </c>
      <c r="I133" s="36">
        <v>68036</v>
      </c>
      <c r="J133" s="36">
        <v>126372</v>
      </c>
      <c r="K133" s="36">
        <v>248820</v>
      </c>
      <c r="L133" s="36">
        <v>140679</v>
      </c>
      <c r="M133" s="36">
        <v>246550</v>
      </c>
      <c r="N133" s="36">
        <v>7701</v>
      </c>
      <c r="O133" s="36">
        <v>13550</v>
      </c>
      <c r="P133" s="36">
        <v>5215</v>
      </c>
      <c r="Q133" s="36">
        <v>9300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1044</v>
      </c>
      <c r="AA133" s="36">
        <v>4220</v>
      </c>
      <c r="AB133" s="36">
        <v>568</v>
      </c>
      <c r="AC133" s="36">
        <v>1794</v>
      </c>
      <c r="AD133" s="36">
        <f t="shared" si="29"/>
        <v>149659</v>
      </c>
      <c r="AE133" s="36">
        <f t="shared" si="24"/>
        <v>400906</v>
      </c>
      <c r="AF133" s="36">
        <f t="shared" si="25"/>
        <v>158232</v>
      </c>
      <c r="AG133" s="41">
        <f t="shared" si="26"/>
        <v>5.7</v>
      </c>
      <c r="AH133" s="36">
        <f t="shared" si="27"/>
        <v>363538</v>
      </c>
      <c r="AI133" s="41">
        <f t="shared" si="28"/>
        <v>-9.3000000000000007</v>
      </c>
    </row>
    <row r="134" spans="1:35" ht="19.5" hidden="1" customHeight="1">
      <c r="A134" s="33" t="s">
        <v>56</v>
      </c>
      <c r="B134" s="36">
        <v>7320</v>
      </c>
      <c r="C134" s="36">
        <v>47852</v>
      </c>
      <c r="D134" s="36">
        <v>10548</v>
      </c>
      <c r="E134" s="36">
        <v>63445</v>
      </c>
      <c r="F134" s="36">
        <v>10</v>
      </c>
      <c r="G134" s="36">
        <v>108</v>
      </c>
      <c r="H134" s="36">
        <v>100</v>
      </c>
      <c r="I134" s="36">
        <v>291</v>
      </c>
      <c r="J134" s="36">
        <v>58331</v>
      </c>
      <c r="K134" s="36">
        <v>112559</v>
      </c>
      <c r="L134" s="36">
        <v>53358</v>
      </c>
      <c r="M134" s="36">
        <v>96626</v>
      </c>
      <c r="N134" s="36">
        <v>119</v>
      </c>
      <c r="O134" s="36">
        <v>232</v>
      </c>
      <c r="P134" s="36">
        <v>70</v>
      </c>
      <c r="Q134" s="36">
        <v>126</v>
      </c>
      <c r="R134" s="36">
        <v>150</v>
      </c>
      <c r="S134" s="36">
        <v>457</v>
      </c>
      <c r="T134" s="36">
        <v>111</v>
      </c>
      <c r="U134" s="36">
        <v>307</v>
      </c>
      <c r="V134" s="36">
        <v>915</v>
      </c>
      <c r="W134" s="36">
        <v>18700</v>
      </c>
      <c r="X134" s="36">
        <v>426</v>
      </c>
      <c r="Y134" s="36">
        <v>7099</v>
      </c>
      <c r="Z134" s="36">
        <v>58</v>
      </c>
      <c r="AA134" s="36">
        <v>259</v>
      </c>
      <c r="AB134" s="36">
        <v>207</v>
      </c>
      <c r="AC134" s="36">
        <v>402</v>
      </c>
      <c r="AD134" s="36">
        <f t="shared" si="29"/>
        <v>66903</v>
      </c>
      <c r="AE134" s="36">
        <f t="shared" si="24"/>
        <v>180167</v>
      </c>
      <c r="AF134" s="36">
        <f t="shared" si="25"/>
        <v>64820</v>
      </c>
      <c r="AG134" s="41">
        <f t="shared" si="26"/>
        <v>-3.1</v>
      </c>
      <c r="AH134" s="36">
        <f t="shared" si="27"/>
        <v>168296</v>
      </c>
      <c r="AI134" s="41">
        <f t="shared" si="28"/>
        <v>-6.6</v>
      </c>
    </row>
    <row r="135" spans="1:35" ht="19.5" hidden="1" customHeight="1">
      <c r="A135" s="33" t="s">
        <v>85</v>
      </c>
      <c r="B135" s="36">
        <v>22993</v>
      </c>
      <c r="C135" s="36">
        <v>144116</v>
      </c>
      <c r="D135" s="36">
        <v>22263</v>
      </c>
      <c r="E135" s="36">
        <v>127007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111</v>
      </c>
      <c r="AA135" s="36">
        <v>1598</v>
      </c>
      <c r="AB135" s="36">
        <v>684</v>
      </c>
      <c r="AC135" s="36">
        <v>4332</v>
      </c>
      <c r="AD135" s="36">
        <f t="shared" si="29"/>
        <v>23104</v>
      </c>
      <c r="AE135" s="36">
        <f t="shared" si="24"/>
        <v>145714</v>
      </c>
      <c r="AF135" s="36">
        <f t="shared" si="25"/>
        <v>22947</v>
      </c>
      <c r="AG135" s="41">
        <f t="shared" si="26"/>
        <v>-0.7</v>
      </c>
      <c r="AH135" s="36">
        <f t="shared" si="27"/>
        <v>131339</v>
      </c>
      <c r="AI135" s="41">
        <f t="shared" si="28"/>
        <v>-9.9</v>
      </c>
    </row>
    <row r="136" spans="1:35" ht="19.5" hidden="1" customHeight="1">
      <c r="A136" s="33" t="s">
        <v>86</v>
      </c>
      <c r="B136" s="36">
        <v>24</v>
      </c>
      <c r="C136" s="36">
        <v>167</v>
      </c>
      <c r="D136" s="36">
        <v>498</v>
      </c>
      <c r="E136" s="36">
        <v>2402</v>
      </c>
      <c r="F136" s="36">
        <v>437</v>
      </c>
      <c r="G136" s="36">
        <v>5277</v>
      </c>
      <c r="H136" s="36">
        <v>25</v>
      </c>
      <c r="I136" s="36">
        <v>569</v>
      </c>
      <c r="J136" s="36">
        <v>32164</v>
      </c>
      <c r="K136" s="36">
        <v>64365</v>
      </c>
      <c r="L136" s="36">
        <v>35405</v>
      </c>
      <c r="M136" s="36">
        <v>67118</v>
      </c>
      <c r="N136" s="36">
        <v>523</v>
      </c>
      <c r="O136" s="36">
        <v>1108</v>
      </c>
      <c r="P136" s="36">
        <v>350</v>
      </c>
      <c r="Q136" s="36">
        <v>785</v>
      </c>
      <c r="R136" s="36">
        <v>0</v>
      </c>
      <c r="S136" s="36">
        <v>0</v>
      </c>
      <c r="T136" s="36">
        <v>0</v>
      </c>
      <c r="U136" s="36">
        <v>0</v>
      </c>
      <c r="V136" s="36">
        <v>1</v>
      </c>
      <c r="W136" s="36">
        <v>56</v>
      </c>
      <c r="X136" s="36">
        <v>1</v>
      </c>
      <c r="Y136" s="36">
        <v>56</v>
      </c>
      <c r="Z136" s="36">
        <v>887</v>
      </c>
      <c r="AA136" s="36">
        <v>9701</v>
      </c>
      <c r="AB136" s="36">
        <v>1281</v>
      </c>
      <c r="AC136" s="36">
        <v>10967</v>
      </c>
      <c r="AD136" s="36">
        <f t="shared" si="29"/>
        <v>34036</v>
      </c>
      <c r="AE136" s="36">
        <f t="shared" si="24"/>
        <v>80674</v>
      </c>
      <c r="AF136" s="36">
        <f t="shared" si="25"/>
        <v>37560</v>
      </c>
      <c r="AG136" s="41">
        <f t="shared" si="26"/>
        <v>10.4</v>
      </c>
      <c r="AH136" s="36">
        <f t="shared" si="27"/>
        <v>81897</v>
      </c>
      <c r="AI136" s="41">
        <f t="shared" si="28"/>
        <v>1.5</v>
      </c>
    </row>
    <row r="137" spans="1:35" ht="19.5" hidden="1" customHeight="1">
      <c r="A137" s="33" t="s">
        <v>64</v>
      </c>
      <c r="B137" s="36">
        <v>6932</v>
      </c>
      <c r="C137" s="36">
        <v>45096</v>
      </c>
      <c r="D137" s="36">
        <v>2846</v>
      </c>
      <c r="E137" s="36">
        <v>15434</v>
      </c>
      <c r="F137" s="36">
        <v>20</v>
      </c>
      <c r="G137" s="36">
        <v>145</v>
      </c>
      <c r="H137" s="36">
        <v>0</v>
      </c>
      <c r="I137" s="36">
        <v>0</v>
      </c>
      <c r="J137" s="36">
        <v>39614</v>
      </c>
      <c r="K137" s="36">
        <v>73811</v>
      </c>
      <c r="L137" s="36">
        <v>39241</v>
      </c>
      <c r="M137" s="36">
        <v>68367</v>
      </c>
      <c r="N137" s="36">
        <v>3487</v>
      </c>
      <c r="O137" s="36">
        <v>7141</v>
      </c>
      <c r="P137" s="36">
        <v>5263</v>
      </c>
      <c r="Q137" s="36">
        <v>10515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65</v>
      </c>
      <c r="AA137" s="36">
        <v>320</v>
      </c>
      <c r="AB137" s="36">
        <v>32</v>
      </c>
      <c r="AC137" s="36">
        <v>138</v>
      </c>
      <c r="AD137" s="36">
        <f t="shared" si="29"/>
        <v>50118</v>
      </c>
      <c r="AE137" s="36">
        <f t="shared" si="24"/>
        <v>126513</v>
      </c>
      <c r="AF137" s="36">
        <f t="shared" si="25"/>
        <v>47382</v>
      </c>
      <c r="AG137" s="41">
        <f t="shared" si="26"/>
        <v>-5.5</v>
      </c>
      <c r="AH137" s="36">
        <f t="shared" si="27"/>
        <v>94454</v>
      </c>
      <c r="AI137" s="41">
        <f t="shared" si="28"/>
        <v>-25.3</v>
      </c>
    </row>
    <row r="138" spans="1:35" ht="19.5" hidden="1" customHeight="1">
      <c r="A138" s="33" t="s">
        <v>68</v>
      </c>
      <c r="B138" s="36">
        <v>3220</v>
      </c>
      <c r="C138" s="36">
        <v>25942</v>
      </c>
      <c r="D138" s="36">
        <v>3005</v>
      </c>
      <c r="E138" s="36">
        <v>22186</v>
      </c>
      <c r="F138" s="36">
        <v>414</v>
      </c>
      <c r="G138" s="36">
        <v>12586</v>
      </c>
      <c r="H138" s="36">
        <v>279</v>
      </c>
      <c r="I138" s="36">
        <v>9148</v>
      </c>
      <c r="J138" s="36">
        <v>18098</v>
      </c>
      <c r="K138" s="36">
        <v>69105</v>
      </c>
      <c r="L138" s="36">
        <v>7673</v>
      </c>
      <c r="M138" s="36">
        <v>45263</v>
      </c>
      <c r="N138" s="36">
        <v>90</v>
      </c>
      <c r="O138" s="36">
        <v>597</v>
      </c>
      <c r="P138" s="36">
        <v>65</v>
      </c>
      <c r="Q138" s="36">
        <v>430</v>
      </c>
      <c r="R138" s="36">
        <v>301</v>
      </c>
      <c r="S138" s="36">
        <v>1172</v>
      </c>
      <c r="T138" s="36">
        <v>346</v>
      </c>
      <c r="U138" s="36">
        <v>1426</v>
      </c>
      <c r="V138" s="36">
        <v>8</v>
      </c>
      <c r="W138" s="36">
        <v>236</v>
      </c>
      <c r="X138" s="36">
        <v>11</v>
      </c>
      <c r="Y138" s="36">
        <v>259</v>
      </c>
      <c r="Z138" s="36">
        <v>135</v>
      </c>
      <c r="AA138" s="36">
        <v>10714</v>
      </c>
      <c r="AB138" s="36">
        <v>274</v>
      </c>
      <c r="AC138" s="36">
        <v>8545</v>
      </c>
      <c r="AD138" s="36">
        <f t="shared" si="29"/>
        <v>22266</v>
      </c>
      <c r="AE138" s="36">
        <f t="shared" si="24"/>
        <v>120352</v>
      </c>
      <c r="AF138" s="36">
        <f t="shared" si="25"/>
        <v>11653</v>
      </c>
      <c r="AG138" s="41">
        <f t="shared" si="26"/>
        <v>-47.7</v>
      </c>
      <c r="AH138" s="36">
        <f t="shared" si="27"/>
        <v>87257</v>
      </c>
      <c r="AI138" s="41">
        <f t="shared" si="28"/>
        <v>-27.5</v>
      </c>
    </row>
    <row r="139" spans="1:35" ht="19.5" hidden="1" customHeight="1">
      <c r="A139" s="33" t="s">
        <v>57</v>
      </c>
      <c r="B139" s="36">
        <v>8738</v>
      </c>
      <c r="C139" s="36">
        <v>78764</v>
      </c>
      <c r="D139" s="36">
        <v>9868</v>
      </c>
      <c r="E139" s="36">
        <v>74665</v>
      </c>
      <c r="F139" s="36">
        <v>218</v>
      </c>
      <c r="G139" s="36">
        <v>331</v>
      </c>
      <c r="H139" s="36">
        <v>22</v>
      </c>
      <c r="I139" s="36">
        <v>85</v>
      </c>
      <c r="J139" s="36">
        <v>12388</v>
      </c>
      <c r="K139" s="36">
        <v>21477</v>
      </c>
      <c r="L139" s="36">
        <v>13460</v>
      </c>
      <c r="M139" s="36">
        <v>24641</v>
      </c>
      <c r="N139" s="36">
        <v>97</v>
      </c>
      <c r="O139" s="36">
        <v>213</v>
      </c>
      <c r="P139" s="36">
        <v>40</v>
      </c>
      <c r="Q139" s="36">
        <v>73</v>
      </c>
      <c r="R139" s="36">
        <v>21</v>
      </c>
      <c r="S139" s="36">
        <v>54</v>
      </c>
      <c r="T139" s="36">
        <v>0</v>
      </c>
      <c r="U139" s="36">
        <v>10</v>
      </c>
      <c r="V139" s="36">
        <v>7</v>
      </c>
      <c r="W139" s="36">
        <v>234</v>
      </c>
      <c r="X139" s="36">
        <v>5</v>
      </c>
      <c r="Y139" s="36">
        <v>129</v>
      </c>
      <c r="Z139" s="36">
        <v>254</v>
      </c>
      <c r="AA139" s="36">
        <v>3463</v>
      </c>
      <c r="AB139" s="36">
        <v>328</v>
      </c>
      <c r="AC139" s="36">
        <v>3381</v>
      </c>
      <c r="AD139" s="36">
        <f t="shared" si="29"/>
        <v>21723</v>
      </c>
      <c r="AE139" s="36">
        <f t="shared" si="24"/>
        <v>104536</v>
      </c>
      <c r="AF139" s="36">
        <f t="shared" si="25"/>
        <v>23723</v>
      </c>
      <c r="AG139" s="41">
        <f t="shared" si="26"/>
        <v>9.1999999999999993</v>
      </c>
      <c r="AH139" s="36">
        <f t="shared" si="27"/>
        <v>102984</v>
      </c>
      <c r="AI139" s="41">
        <f t="shared" si="28"/>
        <v>-1.5</v>
      </c>
    </row>
    <row r="140" spans="1:35" ht="19.5" hidden="1" customHeight="1">
      <c r="A140" s="33" t="s">
        <v>58</v>
      </c>
      <c r="B140" s="36">
        <v>3432</v>
      </c>
      <c r="C140" s="36">
        <v>19484</v>
      </c>
      <c r="D140" s="36">
        <v>4391</v>
      </c>
      <c r="E140" s="36">
        <v>23037</v>
      </c>
      <c r="F140" s="36">
        <v>0</v>
      </c>
      <c r="G140" s="36">
        <v>11</v>
      </c>
      <c r="H140" s="36">
        <v>661</v>
      </c>
      <c r="I140" s="36">
        <v>5745</v>
      </c>
      <c r="J140" s="36">
        <v>2326</v>
      </c>
      <c r="K140" s="36">
        <v>3945</v>
      </c>
      <c r="L140" s="36">
        <v>3619</v>
      </c>
      <c r="M140" s="36">
        <v>5570</v>
      </c>
      <c r="N140" s="36">
        <v>100</v>
      </c>
      <c r="O140" s="36">
        <v>1092</v>
      </c>
      <c r="P140" s="36">
        <v>100</v>
      </c>
      <c r="Q140" s="36">
        <v>903</v>
      </c>
      <c r="R140" s="36">
        <v>18</v>
      </c>
      <c r="S140" s="36">
        <v>7</v>
      </c>
      <c r="T140" s="36">
        <v>0</v>
      </c>
      <c r="U140" s="36">
        <v>0</v>
      </c>
      <c r="V140" s="36">
        <v>2936</v>
      </c>
      <c r="W140" s="36">
        <v>59967</v>
      </c>
      <c r="X140" s="36">
        <v>3655</v>
      </c>
      <c r="Y140" s="36">
        <v>61830</v>
      </c>
      <c r="Z140" s="36">
        <v>23</v>
      </c>
      <c r="AA140" s="36">
        <v>99</v>
      </c>
      <c r="AB140" s="36">
        <v>75</v>
      </c>
      <c r="AC140" s="36">
        <v>328</v>
      </c>
      <c r="AD140" s="36">
        <f t="shared" si="29"/>
        <v>8835</v>
      </c>
      <c r="AE140" s="36">
        <f t="shared" si="24"/>
        <v>84605</v>
      </c>
      <c r="AF140" s="36">
        <f t="shared" si="25"/>
        <v>12501</v>
      </c>
      <c r="AG140" s="41">
        <f t="shared" si="26"/>
        <v>41.5</v>
      </c>
      <c r="AH140" s="36">
        <f t="shared" si="27"/>
        <v>97413</v>
      </c>
      <c r="AI140" s="41">
        <f t="shared" si="28"/>
        <v>15.1</v>
      </c>
    </row>
    <row r="141" spans="1:35" ht="19.5" hidden="1" customHeight="1">
      <c r="A141" s="33" t="s">
        <v>63</v>
      </c>
      <c r="B141" s="36">
        <v>9506</v>
      </c>
      <c r="C141" s="36">
        <v>54163</v>
      </c>
      <c r="D141" s="36">
        <v>8591</v>
      </c>
      <c r="E141" s="36">
        <v>45354</v>
      </c>
      <c r="F141" s="36">
        <v>0</v>
      </c>
      <c r="G141" s="36">
        <v>0</v>
      </c>
      <c r="H141" s="36">
        <v>0</v>
      </c>
      <c r="I141" s="36">
        <v>0</v>
      </c>
      <c r="J141" s="36">
        <v>30204</v>
      </c>
      <c r="K141" s="36">
        <v>54207</v>
      </c>
      <c r="L141" s="36">
        <v>19120</v>
      </c>
      <c r="M141" s="36">
        <v>26296</v>
      </c>
      <c r="N141" s="36">
        <v>2591</v>
      </c>
      <c r="O141" s="36">
        <v>5178</v>
      </c>
      <c r="P141" s="36">
        <v>1122</v>
      </c>
      <c r="Q141" s="36">
        <v>2179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13</v>
      </c>
      <c r="AC141" s="36">
        <v>76</v>
      </c>
      <c r="AD141" s="36">
        <f t="shared" si="29"/>
        <v>42301</v>
      </c>
      <c r="AE141" s="36">
        <f t="shared" si="24"/>
        <v>113548</v>
      </c>
      <c r="AF141" s="36">
        <f t="shared" si="25"/>
        <v>28846</v>
      </c>
      <c r="AG141" s="41">
        <f t="shared" si="26"/>
        <v>-31.8</v>
      </c>
      <c r="AH141" s="36">
        <f t="shared" si="27"/>
        <v>73905</v>
      </c>
      <c r="AI141" s="41">
        <f t="shared" si="28"/>
        <v>-34.9</v>
      </c>
    </row>
    <row r="142" spans="1:35" ht="19.5" hidden="1" customHeight="1">
      <c r="A142" s="33" t="s">
        <v>55</v>
      </c>
      <c r="B142" s="36">
        <v>2716</v>
      </c>
      <c r="C142" s="36">
        <v>17370</v>
      </c>
      <c r="D142" s="36">
        <v>5464</v>
      </c>
      <c r="E142" s="36">
        <v>30783</v>
      </c>
      <c r="F142" s="36">
        <v>0</v>
      </c>
      <c r="G142" s="36">
        <v>0</v>
      </c>
      <c r="H142" s="36">
        <v>0</v>
      </c>
      <c r="I142" s="36">
        <v>1</v>
      </c>
      <c r="J142" s="36">
        <v>36723</v>
      </c>
      <c r="K142" s="36">
        <v>60341</v>
      </c>
      <c r="L142" s="36">
        <v>37786</v>
      </c>
      <c r="M142" s="36">
        <v>59167</v>
      </c>
      <c r="N142" s="36">
        <v>120</v>
      </c>
      <c r="O142" s="36">
        <v>260</v>
      </c>
      <c r="P142" s="36">
        <v>94</v>
      </c>
      <c r="Q142" s="36">
        <v>163</v>
      </c>
      <c r="R142" s="36">
        <v>90</v>
      </c>
      <c r="S142" s="36">
        <v>200</v>
      </c>
      <c r="T142" s="36">
        <v>0</v>
      </c>
      <c r="U142" s="36">
        <v>0</v>
      </c>
      <c r="V142" s="36">
        <v>445</v>
      </c>
      <c r="W142" s="36">
        <v>9513</v>
      </c>
      <c r="X142" s="36">
        <v>550</v>
      </c>
      <c r="Y142" s="36">
        <v>10829</v>
      </c>
      <c r="Z142" s="36">
        <v>0</v>
      </c>
      <c r="AA142" s="36">
        <v>1</v>
      </c>
      <c r="AB142" s="36">
        <v>0</v>
      </c>
      <c r="AC142" s="36">
        <v>3</v>
      </c>
      <c r="AD142" s="36">
        <f t="shared" si="29"/>
        <v>40094</v>
      </c>
      <c r="AE142" s="36">
        <f t="shared" si="24"/>
        <v>87685</v>
      </c>
      <c r="AF142" s="36">
        <f t="shared" si="25"/>
        <v>43894</v>
      </c>
      <c r="AG142" s="41">
        <f t="shared" si="26"/>
        <v>9.5</v>
      </c>
      <c r="AH142" s="36">
        <f t="shared" si="27"/>
        <v>100946</v>
      </c>
      <c r="AI142" s="41">
        <f t="shared" si="28"/>
        <v>15.1</v>
      </c>
    </row>
    <row r="143" spans="1:35" ht="19.5" hidden="1" customHeight="1">
      <c r="A143" s="33" t="s">
        <v>51</v>
      </c>
      <c r="B143" s="36">
        <v>2374</v>
      </c>
      <c r="C143" s="36">
        <v>15428</v>
      </c>
      <c r="D143" s="36">
        <v>3317</v>
      </c>
      <c r="E143" s="36">
        <v>21846</v>
      </c>
      <c r="F143" s="36">
        <v>22</v>
      </c>
      <c r="G143" s="36">
        <v>210</v>
      </c>
      <c r="H143" s="36">
        <v>67</v>
      </c>
      <c r="I143" s="36">
        <v>113</v>
      </c>
      <c r="J143" s="36">
        <v>28682</v>
      </c>
      <c r="K143" s="36">
        <v>63758</v>
      </c>
      <c r="L143" s="36">
        <v>23051</v>
      </c>
      <c r="M143" s="36">
        <v>57975</v>
      </c>
      <c r="N143" s="36">
        <v>3</v>
      </c>
      <c r="O143" s="36">
        <v>8</v>
      </c>
      <c r="P143" s="36">
        <v>6</v>
      </c>
      <c r="Q143" s="36">
        <v>2</v>
      </c>
      <c r="R143" s="36">
        <v>793</v>
      </c>
      <c r="S143" s="36">
        <v>1737</v>
      </c>
      <c r="T143" s="36">
        <v>1254</v>
      </c>
      <c r="U143" s="36">
        <v>2496</v>
      </c>
      <c r="V143" s="36">
        <v>36</v>
      </c>
      <c r="W143" s="36">
        <v>772</v>
      </c>
      <c r="X143" s="36">
        <v>2</v>
      </c>
      <c r="Y143" s="36">
        <v>32</v>
      </c>
      <c r="Z143" s="36">
        <v>614</v>
      </c>
      <c r="AA143" s="36">
        <v>2795</v>
      </c>
      <c r="AB143" s="36">
        <v>137</v>
      </c>
      <c r="AC143" s="36">
        <v>2215</v>
      </c>
      <c r="AD143" s="36">
        <f t="shared" si="29"/>
        <v>32524</v>
      </c>
      <c r="AE143" s="36">
        <f t="shared" si="24"/>
        <v>84708</v>
      </c>
      <c r="AF143" s="36">
        <f t="shared" si="25"/>
        <v>27834</v>
      </c>
      <c r="AG143" s="41">
        <f t="shared" si="26"/>
        <v>-14.4</v>
      </c>
      <c r="AH143" s="36">
        <f t="shared" si="27"/>
        <v>84679</v>
      </c>
      <c r="AI143" s="41">
        <f t="shared" si="28"/>
        <v>0</v>
      </c>
    </row>
    <row r="144" spans="1:35" ht="19.5" hidden="1" customHeight="1">
      <c r="A144" s="33" t="s">
        <v>72</v>
      </c>
      <c r="B144" s="36">
        <v>3621</v>
      </c>
      <c r="C144" s="36">
        <v>15962</v>
      </c>
      <c r="D144" s="36">
        <v>1830</v>
      </c>
      <c r="E144" s="36">
        <v>8640</v>
      </c>
      <c r="F144" s="36">
        <v>1887</v>
      </c>
      <c r="G144" s="36">
        <v>22348</v>
      </c>
      <c r="H144" s="36">
        <v>1595</v>
      </c>
      <c r="I144" s="36">
        <v>22648</v>
      </c>
      <c r="J144" s="36">
        <v>25567</v>
      </c>
      <c r="K144" s="36">
        <v>50282</v>
      </c>
      <c r="L144" s="36">
        <v>5600</v>
      </c>
      <c r="M144" s="36">
        <v>8863</v>
      </c>
      <c r="N144" s="36">
        <v>0</v>
      </c>
      <c r="O144" s="36">
        <v>0</v>
      </c>
      <c r="P144" s="36">
        <v>0</v>
      </c>
      <c r="Q144" s="36">
        <v>0</v>
      </c>
      <c r="R144" s="36">
        <v>486</v>
      </c>
      <c r="S144" s="36">
        <v>1474</v>
      </c>
      <c r="T144" s="36">
        <v>981</v>
      </c>
      <c r="U144" s="36">
        <v>1999</v>
      </c>
      <c r="V144" s="36">
        <v>0</v>
      </c>
      <c r="W144" s="36">
        <v>1</v>
      </c>
      <c r="X144" s="36">
        <v>0</v>
      </c>
      <c r="Y144" s="36">
        <v>19</v>
      </c>
      <c r="Z144" s="36">
        <v>248</v>
      </c>
      <c r="AA144" s="36">
        <v>1050</v>
      </c>
      <c r="AB144" s="36">
        <v>51</v>
      </c>
      <c r="AC144" s="36">
        <v>2420</v>
      </c>
      <c r="AD144" s="36">
        <f t="shared" si="29"/>
        <v>31809</v>
      </c>
      <c r="AE144" s="36">
        <f t="shared" si="24"/>
        <v>91117</v>
      </c>
      <c r="AF144" s="36">
        <f t="shared" si="25"/>
        <v>10057</v>
      </c>
      <c r="AG144" s="41">
        <f t="shared" si="26"/>
        <v>-68.400000000000006</v>
      </c>
      <c r="AH144" s="36">
        <f t="shared" si="27"/>
        <v>44589</v>
      </c>
      <c r="AI144" s="41">
        <f t="shared" si="28"/>
        <v>-51.1</v>
      </c>
    </row>
    <row r="145" spans="1:35" ht="19.5" hidden="1" customHeight="1">
      <c r="A145" s="33" t="s">
        <v>87</v>
      </c>
      <c r="B145" s="36">
        <v>1437</v>
      </c>
      <c r="C145" s="36">
        <v>8305</v>
      </c>
      <c r="D145" s="36">
        <v>939</v>
      </c>
      <c r="E145" s="36">
        <v>4984</v>
      </c>
      <c r="F145" s="36">
        <v>0</v>
      </c>
      <c r="G145" s="36">
        <v>0</v>
      </c>
      <c r="H145" s="36">
        <v>0</v>
      </c>
      <c r="I145" s="36">
        <v>0</v>
      </c>
      <c r="J145" s="36">
        <v>30426</v>
      </c>
      <c r="K145" s="36">
        <v>64518</v>
      </c>
      <c r="L145" s="36">
        <v>27058</v>
      </c>
      <c r="M145" s="36">
        <v>52152</v>
      </c>
      <c r="N145" s="36">
        <v>52</v>
      </c>
      <c r="O145" s="36">
        <v>76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11</v>
      </c>
      <c r="AA145" s="36">
        <v>55</v>
      </c>
      <c r="AB145" s="36">
        <v>0</v>
      </c>
      <c r="AC145" s="36">
        <v>0</v>
      </c>
      <c r="AD145" s="36">
        <f t="shared" si="29"/>
        <v>31926</v>
      </c>
      <c r="AE145" s="36">
        <f t="shared" si="24"/>
        <v>72954</v>
      </c>
      <c r="AF145" s="36">
        <f t="shared" si="25"/>
        <v>27997</v>
      </c>
      <c r="AG145" s="41">
        <f t="shared" si="26"/>
        <v>-12.3</v>
      </c>
      <c r="AH145" s="36">
        <f t="shared" si="27"/>
        <v>57136</v>
      </c>
      <c r="AI145" s="41">
        <f t="shared" si="28"/>
        <v>-21.7</v>
      </c>
    </row>
    <row r="146" spans="1:35" ht="19.5" hidden="1" customHeight="1">
      <c r="A146" s="33" t="s">
        <v>59</v>
      </c>
      <c r="B146" s="36">
        <v>9936</v>
      </c>
      <c r="C146" s="36">
        <v>58613</v>
      </c>
      <c r="D146" s="36">
        <v>8038</v>
      </c>
      <c r="E146" s="36">
        <v>48158</v>
      </c>
      <c r="F146" s="36">
        <v>431</v>
      </c>
      <c r="G146" s="36">
        <v>272</v>
      </c>
      <c r="H146" s="36">
        <v>17</v>
      </c>
      <c r="I146" s="36">
        <v>236</v>
      </c>
      <c r="J146" s="36">
        <v>7693</v>
      </c>
      <c r="K146" s="36">
        <v>10449</v>
      </c>
      <c r="L146" s="36">
        <v>7499</v>
      </c>
      <c r="M146" s="36">
        <v>8985</v>
      </c>
      <c r="N146" s="36">
        <v>849</v>
      </c>
      <c r="O146" s="36">
        <v>1651</v>
      </c>
      <c r="P146" s="36">
        <v>1091</v>
      </c>
      <c r="Q146" s="36">
        <v>1969</v>
      </c>
      <c r="R146" s="36">
        <v>43</v>
      </c>
      <c r="S146" s="36">
        <v>84</v>
      </c>
      <c r="T146" s="36">
        <v>7</v>
      </c>
      <c r="U146" s="36">
        <v>15</v>
      </c>
      <c r="V146" s="36">
        <v>35</v>
      </c>
      <c r="W146" s="36">
        <v>429</v>
      </c>
      <c r="X146" s="36">
        <v>1</v>
      </c>
      <c r="Y146" s="36">
        <v>25</v>
      </c>
      <c r="Z146" s="36">
        <v>24</v>
      </c>
      <c r="AA146" s="36">
        <v>59</v>
      </c>
      <c r="AB146" s="36">
        <v>1</v>
      </c>
      <c r="AC146" s="36">
        <v>105</v>
      </c>
      <c r="AD146" s="36">
        <f t="shared" si="29"/>
        <v>19011</v>
      </c>
      <c r="AE146" s="36">
        <f t="shared" si="24"/>
        <v>71557</v>
      </c>
      <c r="AF146" s="36">
        <f t="shared" si="25"/>
        <v>16654</v>
      </c>
      <c r="AG146" s="41">
        <f t="shared" si="26"/>
        <v>-12.4</v>
      </c>
      <c r="AH146" s="36">
        <f t="shared" si="27"/>
        <v>59493</v>
      </c>
      <c r="AI146" s="41">
        <f t="shared" si="28"/>
        <v>-16.899999999999999</v>
      </c>
    </row>
    <row r="147" spans="1:35" ht="19.5" hidden="1" customHeight="1">
      <c r="A147" s="33" t="s">
        <v>90</v>
      </c>
      <c r="B147" s="36">
        <v>163</v>
      </c>
      <c r="C147" s="36">
        <v>977</v>
      </c>
      <c r="D147" s="36">
        <v>428</v>
      </c>
      <c r="E147" s="36">
        <v>2315</v>
      </c>
      <c r="F147" s="36">
        <v>0</v>
      </c>
      <c r="G147" s="36">
        <v>0</v>
      </c>
      <c r="H147" s="36">
        <v>0</v>
      </c>
      <c r="I147" s="36">
        <v>0</v>
      </c>
      <c r="J147" s="36">
        <v>21835</v>
      </c>
      <c r="K147" s="36">
        <v>46640</v>
      </c>
      <c r="L147" s="36">
        <v>15912</v>
      </c>
      <c r="M147" s="36">
        <v>30080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f t="shared" si="29"/>
        <v>21998</v>
      </c>
      <c r="AE147" s="36">
        <f t="shared" si="24"/>
        <v>47617</v>
      </c>
      <c r="AF147" s="36">
        <f t="shared" si="25"/>
        <v>16340</v>
      </c>
      <c r="AG147" s="41">
        <f t="shared" si="26"/>
        <v>-25.7</v>
      </c>
      <c r="AH147" s="36">
        <f t="shared" si="27"/>
        <v>32395</v>
      </c>
      <c r="AI147" s="41">
        <f t="shared" si="28"/>
        <v>-32</v>
      </c>
    </row>
    <row r="148" spans="1:35" ht="19.5" hidden="1" customHeight="1">
      <c r="A148" s="33" t="s">
        <v>76</v>
      </c>
      <c r="B148" s="36">
        <v>160</v>
      </c>
      <c r="C148" s="36">
        <v>1353</v>
      </c>
      <c r="D148" s="36">
        <v>61</v>
      </c>
      <c r="E148" s="36">
        <v>1262</v>
      </c>
      <c r="F148" s="36">
        <v>352</v>
      </c>
      <c r="G148" s="36">
        <v>8612</v>
      </c>
      <c r="H148" s="36">
        <v>564</v>
      </c>
      <c r="I148" s="36">
        <v>12481</v>
      </c>
      <c r="J148" s="36">
        <v>2532</v>
      </c>
      <c r="K148" s="36">
        <v>31404</v>
      </c>
      <c r="L148" s="36">
        <v>2727</v>
      </c>
      <c r="M148" s="36">
        <v>33165</v>
      </c>
      <c r="N148" s="36">
        <v>0</v>
      </c>
      <c r="O148" s="36">
        <v>0</v>
      </c>
      <c r="P148" s="36">
        <v>151</v>
      </c>
      <c r="Q148" s="36">
        <v>277</v>
      </c>
      <c r="R148" s="36">
        <v>226</v>
      </c>
      <c r="S148" s="36">
        <v>1085</v>
      </c>
      <c r="T148" s="36">
        <v>289</v>
      </c>
      <c r="U148" s="36">
        <v>1292</v>
      </c>
      <c r="V148" s="36">
        <v>9</v>
      </c>
      <c r="W148" s="36">
        <v>211</v>
      </c>
      <c r="X148" s="36">
        <v>10</v>
      </c>
      <c r="Y148" s="36">
        <v>249</v>
      </c>
      <c r="Z148" s="36">
        <v>67</v>
      </c>
      <c r="AA148" s="36">
        <v>4586</v>
      </c>
      <c r="AB148" s="36">
        <v>35</v>
      </c>
      <c r="AC148" s="36">
        <v>3547</v>
      </c>
      <c r="AD148" s="36">
        <f t="shared" si="29"/>
        <v>3346</v>
      </c>
      <c r="AE148" s="36">
        <f t="shared" si="24"/>
        <v>47251</v>
      </c>
      <c r="AF148" s="36">
        <f t="shared" si="25"/>
        <v>3837</v>
      </c>
      <c r="AG148" s="41">
        <f t="shared" si="26"/>
        <v>14.7</v>
      </c>
      <c r="AH148" s="36">
        <f t="shared" si="27"/>
        <v>52273</v>
      </c>
      <c r="AI148" s="41">
        <f t="shared" si="28"/>
        <v>10.6</v>
      </c>
    </row>
    <row r="149" spans="1:35" ht="19.5" hidden="1" customHeight="1">
      <c r="A149" s="33" t="s">
        <v>91</v>
      </c>
      <c r="B149" s="36">
        <v>377</v>
      </c>
      <c r="C149" s="36">
        <v>2159</v>
      </c>
      <c r="D149" s="36">
        <v>380</v>
      </c>
      <c r="E149" s="36">
        <v>2094</v>
      </c>
      <c r="F149" s="36">
        <v>0</v>
      </c>
      <c r="G149" s="36">
        <v>0</v>
      </c>
      <c r="H149" s="36">
        <v>0</v>
      </c>
      <c r="I149" s="36">
        <v>0</v>
      </c>
      <c r="J149" s="36">
        <v>11416</v>
      </c>
      <c r="K149" s="36">
        <v>24320</v>
      </c>
      <c r="L149" s="36">
        <v>23524</v>
      </c>
      <c r="M149" s="36">
        <v>44357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f t="shared" si="29"/>
        <v>11793</v>
      </c>
      <c r="AE149" s="36">
        <f t="shared" si="24"/>
        <v>26479</v>
      </c>
      <c r="AF149" s="36">
        <f t="shared" si="25"/>
        <v>23904</v>
      </c>
      <c r="AG149" s="41">
        <f t="shared" si="26"/>
        <v>102.7</v>
      </c>
      <c r="AH149" s="36">
        <f t="shared" si="27"/>
        <v>46451</v>
      </c>
      <c r="AI149" s="41">
        <f t="shared" si="28"/>
        <v>75.400000000000006</v>
      </c>
    </row>
    <row r="150" spans="1:35" ht="19.5" hidden="1" customHeight="1">
      <c r="A150" s="33" t="s">
        <v>308</v>
      </c>
      <c r="B150" s="36">
        <v>0</v>
      </c>
      <c r="C150" s="36">
        <v>0</v>
      </c>
      <c r="D150" s="36">
        <v>0</v>
      </c>
      <c r="E150" s="36">
        <v>0</v>
      </c>
      <c r="F150" s="36">
        <v>2424</v>
      </c>
      <c r="G150" s="36">
        <v>28716</v>
      </c>
      <c r="H150" s="36">
        <v>2552</v>
      </c>
      <c r="I150" s="36">
        <v>36361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f t="shared" si="29"/>
        <v>2424</v>
      </c>
      <c r="AE150" s="36">
        <f t="shared" si="24"/>
        <v>28716</v>
      </c>
      <c r="AF150" s="36">
        <f t="shared" si="25"/>
        <v>2552</v>
      </c>
      <c r="AG150" s="41">
        <f t="shared" si="26"/>
        <v>5.3</v>
      </c>
      <c r="AH150" s="36">
        <f t="shared" si="27"/>
        <v>36361</v>
      </c>
      <c r="AI150" s="41">
        <f t="shared" si="28"/>
        <v>26.6</v>
      </c>
    </row>
    <row r="151" spans="1:35" ht="19.5" hidden="1" customHeight="1">
      <c r="A151" s="33" t="s">
        <v>71</v>
      </c>
      <c r="B151" s="36">
        <v>1044</v>
      </c>
      <c r="C151" s="36">
        <v>7805</v>
      </c>
      <c r="D151" s="36">
        <v>1382</v>
      </c>
      <c r="E151" s="36">
        <v>8621</v>
      </c>
      <c r="F151" s="36">
        <v>78</v>
      </c>
      <c r="G151" s="36">
        <v>2592</v>
      </c>
      <c r="H151" s="36">
        <v>130</v>
      </c>
      <c r="I151" s="36">
        <v>3428</v>
      </c>
      <c r="J151" s="36">
        <v>7926</v>
      </c>
      <c r="K151" s="36">
        <v>14786</v>
      </c>
      <c r="L151" s="36">
        <v>8462</v>
      </c>
      <c r="M151" s="36">
        <v>14245</v>
      </c>
      <c r="N151" s="36">
        <v>2</v>
      </c>
      <c r="O151" s="36">
        <v>13</v>
      </c>
      <c r="P151" s="36">
        <v>3</v>
      </c>
      <c r="Q151" s="36">
        <v>22</v>
      </c>
      <c r="R151" s="36">
        <v>0</v>
      </c>
      <c r="S151" s="36">
        <v>2</v>
      </c>
      <c r="T151" s="36">
        <v>1</v>
      </c>
      <c r="U151" s="36">
        <v>29</v>
      </c>
      <c r="V151" s="36">
        <v>2</v>
      </c>
      <c r="W151" s="36">
        <v>59</v>
      </c>
      <c r="X151" s="36">
        <v>6</v>
      </c>
      <c r="Y151" s="36">
        <v>125</v>
      </c>
      <c r="Z151" s="36">
        <v>189</v>
      </c>
      <c r="AA151" s="36">
        <v>6154</v>
      </c>
      <c r="AB151" s="36">
        <v>295</v>
      </c>
      <c r="AC151" s="36">
        <v>4491</v>
      </c>
      <c r="AD151" s="36">
        <f t="shared" si="29"/>
        <v>9241</v>
      </c>
      <c r="AE151" s="36">
        <f t="shared" si="24"/>
        <v>31411</v>
      </c>
      <c r="AF151" s="36">
        <f t="shared" si="25"/>
        <v>10279</v>
      </c>
      <c r="AG151" s="41">
        <f t="shared" si="26"/>
        <v>11.2</v>
      </c>
      <c r="AH151" s="36">
        <f t="shared" si="27"/>
        <v>30961</v>
      </c>
      <c r="AI151" s="41">
        <f t="shared" si="28"/>
        <v>-1.4</v>
      </c>
    </row>
    <row r="152" spans="1:35" ht="19.5" hidden="1" customHeight="1">
      <c r="A152" s="33" t="s">
        <v>88</v>
      </c>
      <c r="B152" s="36">
        <v>4543</v>
      </c>
      <c r="C152" s="36">
        <v>24874</v>
      </c>
      <c r="D152" s="36">
        <v>3516</v>
      </c>
      <c r="E152" s="36">
        <v>17985</v>
      </c>
      <c r="F152" s="36">
        <v>0</v>
      </c>
      <c r="G152" s="36">
        <v>0</v>
      </c>
      <c r="H152" s="36">
        <v>0</v>
      </c>
      <c r="I152" s="36">
        <v>0</v>
      </c>
      <c r="J152" s="36">
        <v>3426</v>
      </c>
      <c r="K152" s="36">
        <v>5648</v>
      </c>
      <c r="L152" s="36">
        <v>746</v>
      </c>
      <c r="M152" s="36">
        <v>1077</v>
      </c>
      <c r="N152" s="36">
        <v>2106</v>
      </c>
      <c r="O152" s="36">
        <v>4137</v>
      </c>
      <c r="P152" s="36">
        <v>3438</v>
      </c>
      <c r="Q152" s="36">
        <v>6364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f t="shared" si="29"/>
        <v>10075</v>
      </c>
      <c r="AE152" s="36">
        <f t="shared" si="24"/>
        <v>34659</v>
      </c>
      <c r="AF152" s="36">
        <f t="shared" si="25"/>
        <v>7700</v>
      </c>
      <c r="AG152" s="41">
        <f t="shared" si="26"/>
        <v>-23.6</v>
      </c>
      <c r="AH152" s="36">
        <f t="shared" si="27"/>
        <v>25426</v>
      </c>
      <c r="AI152" s="41">
        <f t="shared" si="28"/>
        <v>-26.6</v>
      </c>
    </row>
    <row r="153" spans="1:35" ht="19.5" hidden="1" customHeight="1">
      <c r="A153" s="33" t="s">
        <v>65</v>
      </c>
      <c r="B153" s="36">
        <v>2278</v>
      </c>
      <c r="C153" s="36">
        <v>10941</v>
      </c>
      <c r="D153" s="36">
        <v>5028</v>
      </c>
      <c r="E153" s="36">
        <v>18590</v>
      </c>
      <c r="F153" s="36">
        <v>4</v>
      </c>
      <c r="G153" s="36">
        <v>556</v>
      </c>
      <c r="H153" s="36">
        <v>6</v>
      </c>
      <c r="I153" s="36">
        <v>612</v>
      </c>
      <c r="J153" s="36">
        <v>5664</v>
      </c>
      <c r="K153" s="36">
        <v>7946</v>
      </c>
      <c r="L153" s="36">
        <v>12372</v>
      </c>
      <c r="M153" s="36">
        <v>15641</v>
      </c>
      <c r="N153" s="36">
        <v>0</v>
      </c>
      <c r="O153" s="36">
        <v>2</v>
      </c>
      <c r="P153" s="36">
        <v>64</v>
      </c>
      <c r="Q153" s="36">
        <v>140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21</v>
      </c>
      <c r="AA153" s="36">
        <v>506</v>
      </c>
      <c r="AB153" s="36">
        <v>25</v>
      </c>
      <c r="AC153" s="36">
        <v>371</v>
      </c>
      <c r="AD153" s="36">
        <f t="shared" si="29"/>
        <v>7967</v>
      </c>
      <c r="AE153" s="36">
        <f t="shared" si="24"/>
        <v>19951</v>
      </c>
      <c r="AF153" s="36">
        <f t="shared" si="25"/>
        <v>17495</v>
      </c>
      <c r="AG153" s="41">
        <f t="shared" si="26"/>
        <v>119.6</v>
      </c>
      <c r="AH153" s="36">
        <f t="shared" si="27"/>
        <v>35354</v>
      </c>
      <c r="AI153" s="41">
        <f t="shared" si="28"/>
        <v>77.2</v>
      </c>
    </row>
    <row r="154" spans="1:35" ht="19.5" hidden="1" customHeight="1">
      <c r="A154" s="33" t="s">
        <v>66</v>
      </c>
      <c r="B154" s="36">
        <v>4362</v>
      </c>
      <c r="C154" s="36">
        <v>21745</v>
      </c>
      <c r="D154" s="36">
        <v>5218</v>
      </c>
      <c r="E154" s="36">
        <v>26666</v>
      </c>
      <c r="F154" s="36">
        <v>39</v>
      </c>
      <c r="G154" s="36">
        <v>291</v>
      </c>
      <c r="H154" s="36">
        <v>101</v>
      </c>
      <c r="I154" s="36">
        <v>222</v>
      </c>
      <c r="J154" s="36">
        <v>2240</v>
      </c>
      <c r="K154" s="36">
        <v>4071</v>
      </c>
      <c r="L154" s="36">
        <v>1408</v>
      </c>
      <c r="M154" s="36">
        <v>3930</v>
      </c>
      <c r="N154" s="36">
        <v>2</v>
      </c>
      <c r="O154" s="36">
        <v>234</v>
      </c>
      <c r="P154" s="36">
        <v>361</v>
      </c>
      <c r="Q154" s="36">
        <v>850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1</v>
      </c>
      <c r="Y154" s="36">
        <v>33</v>
      </c>
      <c r="Z154" s="36">
        <v>499</v>
      </c>
      <c r="AA154" s="36">
        <v>1441</v>
      </c>
      <c r="AB154" s="36">
        <v>119</v>
      </c>
      <c r="AC154" s="36">
        <v>670</v>
      </c>
      <c r="AD154" s="36">
        <f t="shared" si="29"/>
        <v>7142</v>
      </c>
      <c r="AE154" s="36">
        <f t="shared" si="24"/>
        <v>27782</v>
      </c>
      <c r="AF154" s="36">
        <f t="shared" si="25"/>
        <v>7208</v>
      </c>
      <c r="AG154" s="41">
        <f t="shared" si="26"/>
        <v>0.9</v>
      </c>
      <c r="AH154" s="36">
        <f t="shared" si="27"/>
        <v>32371</v>
      </c>
      <c r="AI154" s="41">
        <f t="shared" si="28"/>
        <v>16.5</v>
      </c>
    </row>
    <row r="155" spans="1:35" ht="19.5" hidden="1" customHeight="1">
      <c r="A155" s="33" t="s">
        <v>89</v>
      </c>
      <c r="B155" s="36">
        <v>2102</v>
      </c>
      <c r="C155" s="36">
        <v>12247</v>
      </c>
      <c r="D155" s="36">
        <v>5632</v>
      </c>
      <c r="E155" s="36">
        <v>8202</v>
      </c>
      <c r="F155" s="36">
        <v>177</v>
      </c>
      <c r="G155" s="36">
        <v>2381</v>
      </c>
      <c r="H155" s="36">
        <v>88</v>
      </c>
      <c r="I155" s="36">
        <v>1391</v>
      </c>
      <c r="J155" s="36">
        <v>2499</v>
      </c>
      <c r="K155" s="36">
        <v>4224</v>
      </c>
      <c r="L155" s="36">
        <v>4057</v>
      </c>
      <c r="M155" s="36">
        <v>6852</v>
      </c>
      <c r="N155" s="36">
        <v>389</v>
      </c>
      <c r="O155" s="36">
        <v>805</v>
      </c>
      <c r="P155" s="36">
        <v>1</v>
      </c>
      <c r="Q155" s="36">
        <v>1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80</v>
      </c>
      <c r="AA155" s="36">
        <v>405</v>
      </c>
      <c r="AB155" s="36">
        <v>82</v>
      </c>
      <c r="AC155" s="36">
        <v>423</v>
      </c>
      <c r="AD155" s="36">
        <f t="shared" si="29"/>
        <v>5247</v>
      </c>
      <c r="AE155" s="36">
        <f t="shared" si="24"/>
        <v>20062</v>
      </c>
      <c r="AF155" s="36">
        <f t="shared" si="25"/>
        <v>9860</v>
      </c>
      <c r="AG155" s="41">
        <f t="shared" si="26"/>
        <v>87.9</v>
      </c>
      <c r="AH155" s="36">
        <f t="shared" si="27"/>
        <v>16869</v>
      </c>
      <c r="AI155" s="41">
        <f t="shared" si="28"/>
        <v>-15.9</v>
      </c>
    </row>
    <row r="156" spans="1:35" ht="19.5" hidden="1" customHeight="1">
      <c r="A156" s="33" t="s">
        <v>309</v>
      </c>
      <c r="B156" s="36">
        <v>1</v>
      </c>
      <c r="C156" s="36">
        <v>32</v>
      </c>
      <c r="D156" s="36">
        <v>2</v>
      </c>
      <c r="E156" s="36">
        <v>22</v>
      </c>
      <c r="F156" s="36">
        <v>1773</v>
      </c>
      <c r="G156" s="36">
        <v>23573</v>
      </c>
      <c r="H156" s="36">
        <v>1472</v>
      </c>
      <c r="I156" s="36">
        <v>20717</v>
      </c>
      <c r="J156" s="36">
        <v>1</v>
      </c>
      <c r="K156" s="36">
        <v>38</v>
      </c>
      <c r="L156" s="36">
        <v>75</v>
      </c>
      <c r="M156" s="36">
        <v>380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4</v>
      </c>
      <c r="T156" s="36">
        <v>0</v>
      </c>
      <c r="U156" s="36">
        <v>1</v>
      </c>
      <c r="V156" s="36">
        <v>0</v>
      </c>
      <c r="W156" s="36">
        <v>0</v>
      </c>
      <c r="X156" s="36">
        <v>0</v>
      </c>
      <c r="Y156" s="36">
        <v>0</v>
      </c>
      <c r="Z156" s="36">
        <v>7</v>
      </c>
      <c r="AA156" s="36">
        <v>229</v>
      </c>
      <c r="AB156" s="36">
        <v>3</v>
      </c>
      <c r="AC156" s="36">
        <v>111</v>
      </c>
      <c r="AD156" s="36">
        <f t="shared" si="29"/>
        <v>1782</v>
      </c>
      <c r="AE156" s="36">
        <f t="shared" si="24"/>
        <v>23876</v>
      </c>
      <c r="AF156" s="36">
        <f t="shared" si="25"/>
        <v>1552</v>
      </c>
      <c r="AG156" s="41">
        <f t="shared" si="26"/>
        <v>-12.9</v>
      </c>
      <c r="AH156" s="36">
        <f t="shared" si="27"/>
        <v>21231</v>
      </c>
      <c r="AI156" s="41">
        <f t="shared" si="28"/>
        <v>-11.1</v>
      </c>
    </row>
    <row r="157" spans="1:35" ht="19.5" hidden="1" customHeight="1">
      <c r="A157" s="33" t="s">
        <v>92</v>
      </c>
      <c r="B157" s="36">
        <v>3029</v>
      </c>
      <c r="C157" s="36">
        <v>16740</v>
      </c>
      <c r="D157" s="36">
        <v>2776</v>
      </c>
      <c r="E157" s="36">
        <v>14575</v>
      </c>
      <c r="F157" s="36">
        <v>0</v>
      </c>
      <c r="G157" s="36">
        <v>1</v>
      </c>
      <c r="H157" s="36">
        <v>0</v>
      </c>
      <c r="I157" s="36">
        <v>13</v>
      </c>
      <c r="J157" s="36">
        <v>3226</v>
      </c>
      <c r="K157" s="36">
        <v>5245</v>
      </c>
      <c r="L157" s="36">
        <v>4493</v>
      </c>
      <c r="M157" s="36">
        <v>5732</v>
      </c>
      <c r="N157" s="36">
        <v>0</v>
      </c>
      <c r="O157" s="36">
        <v>0</v>
      </c>
      <c r="P157" s="36">
        <v>0</v>
      </c>
      <c r="Q157" s="36">
        <v>2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22</v>
      </c>
      <c r="AB157" s="36">
        <v>4</v>
      </c>
      <c r="AC157" s="36">
        <v>15</v>
      </c>
      <c r="AD157" s="36">
        <f t="shared" si="29"/>
        <v>6255</v>
      </c>
      <c r="AE157" s="36">
        <f t="shared" si="24"/>
        <v>22008</v>
      </c>
      <c r="AF157" s="36">
        <f t="shared" si="25"/>
        <v>7273</v>
      </c>
      <c r="AG157" s="41">
        <f t="shared" si="26"/>
        <v>16.3</v>
      </c>
      <c r="AH157" s="36">
        <f t="shared" si="27"/>
        <v>20337</v>
      </c>
      <c r="AI157" s="41">
        <f t="shared" si="28"/>
        <v>-7.6</v>
      </c>
    </row>
    <row r="158" spans="1:35" ht="19.5" hidden="1" customHeight="1">
      <c r="A158" s="34" t="s">
        <v>78</v>
      </c>
      <c r="B158" s="37">
        <f t="shared" ref="B158:M158" si="30">B159-SUM(B128:B157)</f>
        <v>52415</v>
      </c>
      <c r="C158" s="37">
        <f t="shared" si="30"/>
        <v>277652</v>
      </c>
      <c r="D158" s="37">
        <f t="shared" si="30"/>
        <v>48275</v>
      </c>
      <c r="E158" s="37">
        <f t="shared" si="30"/>
        <v>249490</v>
      </c>
      <c r="F158" s="37">
        <f t="shared" si="30"/>
        <v>2434</v>
      </c>
      <c r="G158" s="37">
        <f t="shared" si="30"/>
        <v>27545</v>
      </c>
      <c r="H158" s="37">
        <f t="shared" si="30"/>
        <v>3709</v>
      </c>
      <c r="I158" s="37">
        <f t="shared" si="30"/>
        <v>39577</v>
      </c>
      <c r="J158" s="37">
        <f t="shared" si="30"/>
        <v>48425</v>
      </c>
      <c r="K158" s="37">
        <f t="shared" si="30"/>
        <v>87079</v>
      </c>
      <c r="L158" s="37">
        <f t="shared" si="30"/>
        <v>39923</v>
      </c>
      <c r="M158" s="37">
        <f t="shared" si="30"/>
        <v>66246</v>
      </c>
      <c r="N158" s="37">
        <f>N159-SUM(N128:N157)</f>
        <v>5175</v>
      </c>
      <c r="O158" s="37">
        <f>O159-SUM(O128:O157)</f>
        <v>10390</v>
      </c>
      <c r="P158" s="37">
        <f>P159-SUM(P128:P157)</f>
        <v>7752</v>
      </c>
      <c r="Q158" s="37">
        <f>Q159-SUM(Q128:Q157)</f>
        <v>14483</v>
      </c>
      <c r="R158" s="37">
        <f t="shared" ref="R158:X158" si="31">R159-SUM(R128:R157)</f>
        <v>2880</v>
      </c>
      <c r="S158" s="37">
        <f t="shared" si="31"/>
        <v>8810</v>
      </c>
      <c r="T158" s="37">
        <f t="shared" si="31"/>
        <v>3649</v>
      </c>
      <c r="U158" s="37">
        <f t="shared" si="31"/>
        <v>9572</v>
      </c>
      <c r="V158" s="37">
        <f>V159-SUM(V128:V157)</f>
        <v>5</v>
      </c>
      <c r="W158" s="37">
        <f t="shared" si="31"/>
        <v>139</v>
      </c>
      <c r="X158" s="37">
        <f t="shared" si="31"/>
        <v>174</v>
      </c>
      <c r="Y158" s="37">
        <f>Y159-SUM(Y128:Y157)</f>
        <v>2947</v>
      </c>
      <c r="Z158" s="37">
        <f t="shared" ref="Z158:AF158" si="32">Z159-SUM(Z128:Z157)</f>
        <v>1986</v>
      </c>
      <c r="AA158" s="37">
        <f t="shared" si="32"/>
        <v>27208</v>
      </c>
      <c r="AB158" s="37">
        <f t="shared" si="32"/>
        <v>1815</v>
      </c>
      <c r="AC158" s="37">
        <f t="shared" si="32"/>
        <v>28472</v>
      </c>
      <c r="AD158" s="37">
        <f t="shared" si="32"/>
        <v>113320</v>
      </c>
      <c r="AE158" s="37">
        <f t="shared" si="32"/>
        <v>438823</v>
      </c>
      <c r="AF158" s="37">
        <f t="shared" si="32"/>
        <v>105297</v>
      </c>
      <c r="AG158" s="42">
        <f t="shared" si="26"/>
        <v>-7.1</v>
      </c>
      <c r="AH158" s="37">
        <f>AH159-SUM(AH128:AH157)</f>
        <v>410787</v>
      </c>
      <c r="AI158" s="42">
        <f t="shared" si="28"/>
        <v>-6.4</v>
      </c>
    </row>
    <row r="159" spans="1:35" ht="19.5" hidden="1" customHeight="1">
      <c r="A159" s="35" t="s">
        <v>79</v>
      </c>
      <c r="B159" s="39">
        <v>311661</v>
      </c>
      <c r="C159" s="40">
        <v>1989255</v>
      </c>
      <c r="D159" s="40">
        <v>294088</v>
      </c>
      <c r="E159" s="40">
        <v>1741363</v>
      </c>
      <c r="F159" s="40">
        <v>20550</v>
      </c>
      <c r="G159" s="40">
        <v>336786</v>
      </c>
      <c r="H159" s="40">
        <v>20058</v>
      </c>
      <c r="I159" s="40">
        <v>347993</v>
      </c>
      <c r="J159" s="40">
        <v>968799</v>
      </c>
      <c r="K159" s="40">
        <v>2140787</v>
      </c>
      <c r="L159" s="40">
        <v>951423</v>
      </c>
      <c r="M159" s="40">
        <v>1942797</v>
      </c>
      <c r="N159" s="40">
        <v>46666</v>
      </c>
      <c r="O159" s="40">
        <v>95288</v>
      </c>
      <c r="P159" s="40">
        <v>44178</v>
      </c>
      <c r="Q159" s="40">
        <v>87988</v>
      </c>
      <c r="R159" s="40">
        <v>20313</v>
      </c>
      <c r="S159" s="40">
        <v>59940</v>
      </c>
      <c r="T159" s="40">
        <v>19226</v>
      </c>
      <c r="U159" s="40">
        <v>49210</v>
      </c>
      <c r="V159" s="40">
        <v>4726</v>
      </c>
      <c r="W159" s="40">
        <v>98017</v>
      </c>
      <c r="X159" s="40">
        <v>5222</v>
      </c>
      <c r="Y159" s="40">
        <v>92529</v>
      </c>
      <c r="Z159" s="40">
        <v>50553</v>
      </c>
      <c r="AA159" s="40">
        <v>389669</v>
      </c>
      <c r="AB159" s="40">
        <v>49693</v>
      </c>
      <c r="AC159" s="40">
        <v>338670</v>
      </c>
      <c r="AD159" s="40">
        <f>SUM(B159+F159+J159+N159+R159+V159+Z159)</f>
        <v>1423268</v>
      </c>
      <c r="AE159" s="39">
        <f>SUM(C159+G159+K159+O159+S159+W159+AA159)</f>
        <v>5109742</v>
      </c>
      <c r="AF159" s="40">
        <f>SUM(D159+H159+L159+P159+T159+X159+AB159)</f>
        <v>1383888</v>
      </c>
      <c r="AG159" s="42">
        <f t="shared" si="26"/>
        <v>-2.8</v>
      </c>
      <c r="AH159" s="39">
        <f>SUM(E159+I159+M159+Q159+U159+Y159+AC159)</f>
        <v>4600550</v>
      </c>
      <c r="AI159" s="42">
        <f t="shared" si="28"/>
        <v>-10</v>
      </c>
    </row>
    <row r="160" spans="1:35" hidden="1"/>
    <row r="161" spans="1:35" ht="22.5" hidden="1" customHeight="1">
      <c r="A161" s="1095" t="s">
        <v>567</v>
      </c>
      <c r="B161" s="1095"/>
      <c r="C161" s="1095"/>
      <c r="D161" s="1095"/>
      <c r="E161" s="1095"/>
      <c r="F161" s="1095"/>
      <c r="G161" s="1095"/>
      <c r="H161" s="1095"/>
      <c r="I161" s="1095"/>
      <c r="J161" s="1095"/>
      <c r="K161" s="1095"/>
      <c r="L161" s="1095"/>
      <c r="M161" s="1095"/>
      <c r="N161" s="1095"/>
      <c r="O161" s="1095"/>
      <c r="P161" s="1095"/>
      <c r="Q161" s="1095"/>
      <c r="R161" s="1095"/>
      <c r="S161" s="1095"/>
      <c r="T161" s="1095"/>
      <c r="U161" s="1095"/>
      <c r="V161" s="1095"/>
      <c r="W161" s="1095"/>
      <c r="X161" s="1095"/>
      <c r="Y161" s="1095"/>
      <c r="Z161" s="1095"/>
      <c r="AA161" s="1095"/>
      <c r="AB161" s="1095"/>
      <c r="AC161" s="1095"/>
      <c r="AD161" s="1095"/>
      <c r="AE161" s="1095"/>
      <c r="AF161" s="1095"/>
      <c r="AG161" s="1095"/>
      <c r="AH161" s="1095"/>
      <c r="AI161" s="1095"/>
    </row>
    <row r="162" spans="1:35" ht="16.5" hidden="1" customHeight="1">
      <c r="A162" s="537"/>
      <c r="B162" s="537"/>
      <c r="C162" s="537"/>
      <c r="D162" s="537"/>
      <c r="E162" s="537"/>
      <c r="F162" s="537"/>
      <c r="G162" s="537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</row>
    <row r="163" spans="1:35" hidden="1"/>
    <row r="164" spans="1:35" ht="21.75" hidden="1" customHeight="1">
      <c r="A164" s="1149" t="s">
        <v>43</v>
      </c>
      <c r="B164" s="1151" t="s">
        <v>568</v>
      </c>
      <c r="C164" s="1153"/>
      <c r="D164" s="1153"/>
      <c r="E164" s="1152"/>
      <c r="F164" s="1151" t="s">
        <v>569</v>
      </c>
      <c r="G164" s="1153"/>
      <c r="H164" s="1153"/>
      <c r="I164" s="1152"/>
      <c r="J164" s="1151" t="s">
        <v>570</v>
      </c>
      <c r="K164" s="1153"/>
      <c r="L164" s="1153"/>
      <c r="M164" s="1152"/>
      <c r="N164" s="1151" t="s">
        <v>571</v>
      </c>
      <c r="O164" s="1153"/>
      <c r="P164" s="1153"/>
      <c r="Q164" s="1152"/>
      <c r="R164" s="1151" t="s">
        <v>572</v>
      </c>
      <c r="S164" s="1153"/>
      <c r="T164" s="1153"/>
      <c r="U164" s="1152"/>
      <c r="V164" s="1151" t="s">
        <v>573</v>
      </c>
      <c r="W164" s="1153"/>
      <c r="X164" s="1153"/>
      <c r="Y164" s="1152"/>
      <c r="Z164" s="1151" t="s">
        <v>574</v>
      </c>
      <c r="AA164" s="1153"/>
      <c r="AB164" s="1153"/>
      <c r="AC164" s="1152"/>
      <c r="AD164" s="1151" t="s">
        <v>562</v>
      </c>
      <c r="AE164" s="1153"/>
      <c r="AF164" s="1153"/>
      <c r="AG164" s="1153"/>
      <c r="AH164" s="1153"/>
      <c r="AI164" s="1152"/>
    </row>
    <row r="165" spans="1:35" ht="21" hidden="1" customHeight="1">
      <c r="A165" s="1154"/>
      <c r="B165" s="1151" t="s">
        <v>315</v>
      </c>
      <c r="C165" s="1152"/>
      <c r="D165" s="1151" t="s">
        <v>459</v>
      </c>
      <c r="E165" s="1152"/>
      <c r="F165" s="1151" t="s">
        <v>315</v>
      </c>
      <c r="G165" s="1152"/>
      <c r="H165" s="1151" t="s">
        <v>459</v>
      </c>
      <c r="I165" s="1152"/>
      <c r="J165" s="1151" t="s">
        <v>315</v>
      </c>
      <c r="K165" s="1152"/>
      <c r="L165" s="1151" t="s">
        <v>459</v>
      </c>
      <c r="M165" s="1152"/>
      <c r="N165" s="1151" t="s">
        <v>315</v>
      </c>
      <c r="O165" s="1152"/>
      <c r="P165" s="1151" t="s">
        <v>459</v>
      </c>
      <c r="Q165" s="1152"/>
      <c r="R165" s="1151" t="s">
        <v>315</v>
      </c>
      <c r="S165" s="1152"/>
      <c r="T165" s="1151" t="s">
        <v>459</v>
      </c>
      <c r="U165" s="1152"/>
      <c r="V165" s="1151" t="s">
        <v>315</v>
      </c>
      <c r="W165" s="1152"/>
      <c r="X165" s="1151" t="s">
        <v>459</v>
      </c>
      <c r="Y165" s="1152"/>
      <c r="Z165" s="1151" t="s">
        <v>315</v>
      </c>
      <c r="AA165" s="1152"/>
      <c r="AB165" s="1151" t="s">
        <v>459</v>
      </c>
      <c r="AC165" s="1152"/>
      <c r="AD165" s="1151" t="s">
        <v>315</v>
      </c>
      <c r="AE165" s="1152"/>
      <c r="AF165" s="1151" t="s">
        <v>459</v>
      </c>
      <c r="AG165" s="1153"/>
      <c r="AH165" s="1153"/>
      <c r="AI165" s="1152"/>
    </row>
    <row r="166" spans="1:35" ht="16.5" hidden="1" customHeight="1">
      <c r="A166" s="1154"/>
      <c r="B166" s="1149" t="s">
        <v>44</v>
      </c>
      <c r="C166" s="1149" t="s">
        <v>45</v>
      </c>
      <c r="D166" s="1149" t="s">
        <v>46</v>
      </c>
      <c r="E166" s="1149" t="s">
        <v>45</v>
      </c>
      <c r="F166" s="1149" t="s">
        <v>47</v>
      </c>
      <c r="G166" s="1149" t="s">
        <v>45</v>
      </c>
      <c r="H166" s="1149" t="s">
        <v>46</v>
      </c>
      <c r="I166" s="1149" t="s">
        <v>45</v>
      </c>
      <c r="J166" s="1149" t="s">
        <v>44</v>
      </c>
      <c r="K166" s="1149" t="s">
        <v>45</v>
      </c>
      <c r="L166" s="1149" t="s">
        <v>46</v>
      </c>
      <c r="M166" s="1149" t="s">
        <v>45</v>
      </c>
      <c r="N166" s="1149" t="s">
        <v>44</v>
      </c>
      <c r="O166" s="1149" t="s">
        <v>45</v>
      </c>
      <c r="P166" s="1149" t="s">
        <v>46</v>
      </c>
      <c r="Q166" s="1149" t="s">
        <v>45</v>
      </c>
      <c r="R166" s="1149" t="s">
        <v>44</v>
      </c>
      <c r="S166" s="1149" t="s">
        <v>45</v>
      </c>
      <c r="T166" s="1149" t="s">
        <v>46</v>
      </c>
      <c r="U166" s="1149" t="s">
        <v>45</v>
      </c>
      <c r="V166" s="1149" t="s">
        <v>44</v>
      </c>
      <c r="W166" s="1149" t="s">
        <v>45</v>
      </c>
      <c r="X166" s="1149" t="s">
        <v>48</v>
      </c>
      <c r="Y166" s="1149" t="s">
        <v>45</v>
      </c>
      <c r="Z166" s="1149" t="s">
        <v>44</v>
      </c>
      <c r="AA166" s="1149" t="s">
        <v>45</v>
      </c>
      <c r="AB166" s="1149" t="s">
        <v>46</v>
      </c>
      <c r="AC166" s="1149" t="s">
        <v>45</v>
      </c>
      <c r="AD166" s="1149" t="s">
        <v>44</v>
      </c>
      <c r="AE166" s="1149" t="s">
        <v>45</v>
      </c>
      <c r="AF166" s="1147" t="s">
        <v>46</v>
      </c>
      <c r="AG166" s="31"/>
      <c r="AH166" s="1147" t="s">
        <v>45</v>
      </c>
      <c r="AI166" s="31"/>
    </row>
    <row r="167" spans="1:35" ht="16.5" hidden="1" customHeight="1" thickBot="1">
      <c r="A167" s="1150"/>
      <c r="B167" s="1150"/>
      <c r="C167" s="1150"/>
      <c r="D167" s="1150"/>
      <c r="E167" s="1150"/>
      <c r="F167" s="1150"/>
      <c r="G167" s="1150"/>
      <c r="H167" s="1150"/>
      <c r="I167" s="1150"/>
      <c r="J167" s="1150"/>
      <c r="K167" s="1150"/>
      <c r="L167" s="1150"/>
      <c r="M167" s="1150"/>
      <c r="N167" s="1150"/>
      <c r="O167" s="1150"/>
      <c r="P167" s="1150"/>
      <c r="Q167" s="1150"/>
      <c r="R167" s="1150"/>
      <c r="S167" s="1150"/>
      <c r="T167" s="1150"/>
      <c r="U167" s="1150"/>
      <c r="V167" s="1150"/>
      <c r="W167" s="1150"/>
      <c r="X167" s="1150"/>
      <c r="Y167" s="1150"/>
      <c r="Z167" s="1150"/>
      <c r="AA167" s="1150"/>
      <c r="AB167" s="1150"/>
      <c r="AC167" s="1150"/>
      <c r="AD167" s="1150"/>
      <c r="AE167" s="1150"/>
      <c r="AF167" s="1148"/>
      <c r="AG167" s="32" t="s">
        <v>49</v>
      </c>
      <c r="AH167" s="1148"/>
      <c r="AI167" s="32" t="s">
        <v>49</v>
      </c>
    </row>
    <row r="168" spans="1:35" ht="19.5" hidden="1" customHeight="1" thickTop="1">
      <c r="A168" s="33" t="s">
        <v>50</v>
      </c>
      <c r="B168" s="36">
        <v>31498</v>
      </c>
      <c r="C168" s="36">
        <v>210383</v>
      </c>
      <c r="D168" s="36">
        <v>29030</v>
      </c>
      <c r="E168" s="36">
        <v>184106</v>
      </c>
      <c r="F168" s="36">
        <v>558</v>
      </c>
      <c r="G168" s="36">
        <v>30407</v>
      </c>
      <c r="H168" s="36">
        <v>544</v>
      </c>
      <c r="I168" s="36">
        <v>32004</v>
      </c>
      <c r="J168" s="36">
        <v>202365</v>
      </c>
      <c r="K168" s="36">
        <v>580608</v>
      </c>
      <c r="L168" s="36">
        <v>152202</v>
      </c>
      <c r="M168" s="36">
        <v>460093</v>
      </c>
      <c r="N168" s="36">
        <v>37</v>
      </c>
      <c r="O168" s="36">
        <v>133</v>
      </c>
      <c r="P168" s="36">
        <v>626</v>
      </c>
      <c r="Q168" s="36">
        <v>1430</v>
      </c>
      <c r="R168" s="36">
        <v>321</v>
      </c>
      <c r="S168" s="36">
        <v>3184</v>
      </c>
      <c r="T168" s="36">
        <v>143</v>
      </c>
      <c r="U168" s="36">
        <v>2329</v>
      </c>
      <c r="V168" s="36">
        <v>142</v>
      </c>
      <c r="W168" s="36">
        <v>1418</v>
      </c>
      <c r="X168" s="36">
        <v>336</v>
      </c>
      <c r="Y168" s="36">
        <v>4719</v>
      </c>
      <c r="Z168" s="36">
        <v>52258</v>
      </c>
      <c r="AA168" s="36">
        <v>217348</v>
      </c>
      <c r="AB168" s="36">
        <v>53070</v>
      </c>
      <c r="AC168" s="36">
        <v>181198</v>
      </c>
      <c r="AD168" s="36">
        <f>SUM(B168+F168+J168+N168+R168+V168+Z168)</f>
        <v>287179</v>
      </c>
      <c r="AE168" s="36">
        <f>SUM(C168+G168+K168+O168+S168+W168+AA168)</f>
        <v>1043481</v>
      </c>
      <c r="AF168" s="36">
        <f>SUM(D168+H168+L168+P168+T168+X168+AB168)</f>
        <v>235951</v>
      </c>
      <c r="AG168" s="41">
        <f>ROUND(((AF168/AD168-1)*100),1)</f>
        <v>-17.8</v>
      </c>
      <c r="AH168" s="36">
        <f>SUM(E168+I168+M168+Q168+U168+Y168+AC168)</f>
        <v>865879</v>
      </c>
      <c r="AI168" s="41">
        <f>ROUND(((AH168/AE168-1)*100),1)</f>
        <v>-17</v>
      </c>
    </row>
    <row r="169" spans="1:35" ht="19.5" hidden="1" customHeight="1">
      <c r="A169" s="33" t="s">
        <v>53</v>
      </c>
      <c r="B169" s="36">
        <v>35098</v>
      </c>
      <c r="C169" s="36">
        <v>222015</v>
      </c>
      <c r="D169" s="36">
        <v>41604</v>
      </c>
      <c r="E169" s="36">
        <v>227551</v>
      </c>
      <c r="F169" s="36">
        <v>623</v>
      </c>
      <c r="G169" s="36">
        <v>35455</v>
      </c>
      <c r="H169" s="36">
        <v>1334</v>
      </c>
      <c r="I169" s="36">
        <v>35946</v>
      </c>
      <c r="J169" s="36">
        <v>119762</v>
      </c>
      <c r="K169" s="36">
        <v>279754</v>
      </c>
      <c r="L169" s="36">
        <v>129065</v>
      </c>
      <c r="M169" s="36">
        <v>250539</v>
      </c>
      <c r="N169" s="36">
        <v>1724</v>
      </c>
      <c r="O169" s="36">
        <v>3278</v>
      </c>
      <c r="P169" s="36">
        <v>498</v>
      </c>
      <c r="Q169" s="36">
        <v>1053</v>
      </c>
      <c r="R169" s="36">
        <v>197</v>
      </c>
      <c r="S169" s="36">
        <v>467</v>
      </c>
      <c r="T169" s="36">
        <v>175</v>
      </c>
      <c r="U169" s="36">
        <v>347</v>
      </c>
      <c r="V169" s="36">
        <v>2</v>
      </c>
      <c r="W169" s="36">
        <v>191</v>
      </c>
      <c r="X169" s="36">
        <v>2</v>
      </c>
      <c r="Y169" s="36">
        <v>158</v>
      </c>
      <c r="Z169" s="36">
        <v>1248</v>
      </c>
      <c r="AA169" s="36">
        <v>106971</v>
      </c>
      <c r="AB169" s="36">
        <v>1129</v>
      </c>
      <c r="AC169" s="36">
        <v>99706</v>
      </c>
      <c r="AD169" s="36">
        <f>SUM(B169+F169+J169+N169+R169+V169+Z169)</f>
        <v>158654</v>
      </c>
      <c r="AE169" s="36">
        <f t="shared" ref="AE169:AF197" si="33">SUM(C169+G169+K169+O169+S169+W169+AA169)</f>
        <v>648131</v>
      </c>
      <c r="AF169" s="36">
        <f t="shared" si="33"/>
        <v>173807</v>
      </c>
      <c r="AG169" s="41">
        <f t="shared" ref="AG169:AG199" si="34">ROUND(((AF169/AD169-1)*100),1)</f>
        <v>9.6</v>
      </c>
      <c r="AH169" s="36">
        <f t="shared" ref="AH169:AH197" si="35">SUM(E169+I169+M169+Q169+U169+Y169+AC169)</f>
        <v>615300</v>
      </c>
      <c r="AI169" s="41">
        <f t="shared" ref="AI169:AI199" si="36">ROUND(((AH169/AE169-1)*100),1)</f>
        <v>-5.0999999999999996</v>
      </c>
    </row>
    <row r="170" spans="1:35" ht="19.5" hidden="1" customHeight="1">
      <c r="A170" s="33" t="s">
        <v>54</v>
      </c>
      <c r="B170" s="36">
        <v>16260</v>
      </c>
      <c r="C170" s="36">
        <v>214720</v>
      </c>
      <c r="D170" s="36">
        <v>19558</v>
      </c>
      <c r="E170" s="36">
        <v>232663</v>
      </c>
      <c r="F170" s="36">
        <v>2782</v>
      </c>
      <c r="G170" s="36">
        <v>81974</v>
      </c>
      <c r="H170" s="36">
        <v>2587</v>
      </c>
      <c r="I170" s="36">
        <v>83121</v>
      </c>
      <c r="J170" s="36">
        <v>50129</v>
      </c>
      <c r="K170" s="36">
        <v>123058</v>
      </c>
      <c r="L170" s="36">
        <v>60116</v>
      </c>
      <c r="M170" s="36">
        <v>135863</v>
      </c>
      <c r="N170" s="36">
        <v>2127</v>
      </c>
      <c r="O170" s="36">
        <v>4427</v>
      </c>
      <c r="P170" s="36">
        <v>2720</v>
      </c>
      <c r="Q170" s="36">
        <v>5263</v>
      </c>
      <c r="R170" s="36">
        <v>251</v>
      </c>
      <c r="S170" s="36">
        <v>433</v>
      </c>
      <c r="T170" s="36">
        <v>204</v>
      </c>
      <c r="U170" s="36">
        <v>387</v>
      </c>
      <c r="V170" s="36">
        <v>142</v>
      </c>
      <c r="W170" s="36">
        <v>6130</v>
      </c>
      <c r="X170" s="36">
        <v>97</v>
      </c>
      <c r="Y170" s="36">
        <v>5835</v>
      </c>
      <c r="Z170" s="36">
        <v>2019</v>
      </c>
      <c r="AA170" s="36">
        <v>65317</v>
      </c>
      <c r="AB170" s="36">
        <v>1377</v>
      </c>
      <c r="AC170" s="36">
        <v>45508</v>
      </c>
      <c r="AD170" s="36">
        <f t="shared" ref="AD170:AD197" si="37">SUM(B170+F170+J170+N170+R170+V170+Z170)</f>
        <v>73710</v>
      </c>
      <c r="AE170" s="36">
        <f t="shared" si="33"/>
        <v>496059</v>
      </c>
      <c r="AF170" s="36">
        <f t="shared" si="33"/>
        <v>86659</v>
      </c>
      <c r="AG170" s="41">
        <f t="shared" si="34"/>
        <v>17.600000000000001</v>
      </c>
      <c r="AH170" s="36">
        <f t="shared" si="35"/>
        <v>508640</v>
      </c>
      <c r="AI170" s="41">
        <f t="shared" si="36"/>
        <v>2.5</v>
      </c>
    </row>
    <row r="171" spans="1:35" ht="19.5" hidden="1" customHeight="1">
      <c r="A171" s="33" t="s">
        <v>84</v>
      </c>
      <c r="B171" s="36">
        <v>98110</v>
      </c>
      <c r="C171" s="36">
        <v>597810</v>
      </c>
      <c r="D171" s="36">
        <v>72303</v>
      </c>
      <c r="E171" s="36">
        <v>402483</v>
      </c>
      <c r="F171" s="36">
        <v>0</v>
      </c>
      <c r="G171" s="36">
        <v>0</v>
      </c>
      <c r="H171" s="36">
        <v>0</v>
      </c>
      <c r="I171" s="36">
        <v>0</v>
      </c>
      <c r="J171" s="36">
        <v>886</v>
      </c>
      <c r="K171" s="36">
        <v>1099</v>
      </c>
      <c r="L171" s="36">
        <v>1218</v>
      </c>
      <c r="M171" s="36">
        <v>1382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24</v>
      </c>
      <c r="AB171" s="36">
        <v>0</v>
      </c>
      <c r="AC171" s="36">
        <v>5</v>
      </c>
      <c r="AD171" s="36">
        <f t="shared" si="37"/>
        <v>98996</v>
      </c>
      <c r="AE171" s="36">
        <f t="shared" si="33"/>
        <v>598933</v>
      </c>
      <c r="AF171" s="36">
        <f t="shared" si="33"/>
        <v>73521</v>
      </c>
      <c r="AG171" s="41">
        <f t="shared" si="34"/>
        <v>-25.7</v>
      </c>
      <c r="AH171" s="36">
        <f t="shared" si="35"/>
        <v>403870</v>
      </c>
      <c r="AI171" s="41">
        <f t="shared" si="36"/>
        <v>-32.6</v>
      </c>
    </row>
    <row r="172" spans="1:35" ht="19.5" hidden="1" customHeight="1">
      <c r="A172" s="33" t="s">
        <v>52</v>
      </c>
      <c r="B172" s="36">
        <v>1670</v>
      </c>
      <c r="C172" s="36">
        <v>5791</v>
      </c>
      <c r="D172" s="36">
        <v>1748</v>
      </c>
      <c r="E172" s="36">
        <v>4031</v>
      </c>
      <c r="F172" s="36">
        <v>126</v>
      </c>
      <c r="G172" s="36">
        <v>3312</v>
      </c>
      <c r="H172" s="36">
        <v>69</v>
      </c>
      <c r="I172" s="36">
        <v>1188</v>
      </c>
      <c r="J172" s="36">
        <v>141175</v>
      </c>
      <c r="K172" s="36">
        <v>278613</v>
      </c>
      <c r="L172" s="36">
        <v>186676</v>
      </c>
      <c r="M172" s="36">
        <v>330649</v>
      </c>
      <c r="N172" s="36">
        <v>26775</v>
      </c>
      <c r="O172" s="36">
        <v>56312</v>
      </c>
      <c r="P172" s="36">
        <v>17937</v>
      </c>
      <c r="Q172" s="36">
        <v>37078</v>
      </c>
      <c r="R172" s="36">
        <v>18663</v>
      </c>
      <c r="S172" s="36">
        <v>53492</v>
      </c>
      <c r="T172" s="36">
        <v>13847</v>
      </c>
      <c r="U172" s="36">
        <v>33678</v>
      </c>
      <c r="V172" s="36">
        <v>100</v>
      </c>
      <c r="W172" s="36">
        <v>1182</v>
      </c>
      <c r="X172" s="36">
        <v>103</v>
      </c>
      <c r="Y172" s="36">
        <v>998</v>
      </c>
      <c r="Z172" s="36">
        <v>120</v>
      </c>
      <c r="AA172" s="36">
        <v>668</v>
      </c>
      <c r="AB172" s="36">
        <v>95</v>
      </c>
      <c r="AC172" s="36">
        <v>605</v>
      </c>
      <c r="AD172" s="36">
        <f t="shared" si="37"/>
        <v>188629</v>
      </c>
      <c r="AE172" s="36">
        <f t="shared" si="33"/>
        <v>399370</v>
      </c>
      <c r="AF172" s="36">
        <f t="shared" si="33"/>
        <v>220475</v>
      </c>
      <c r="AG172" s="41">
        <f t="shared" si="34"/>
        <v>16.899999999999999</v>
      </c>
      <c r="AH172" s="36">
        <f t="shared" si="35"/>
        <v>408227</v>
      </c>
      <c r="AI172" s="41">
        <f t="shared" si="36"/>
        <v>2.2000000000000002</v>
      </c>
    </row>
    <row r="173" spans="1:35" ht="19.5" hidden="1" customHeight="1">
      <c r="A173" s="33" t="s">
        <v>61</v>
      </c>
      <c r="B173" s="36">
        <v>8585</v>
      </c>
      <c r="C173" s="36">
        <v>53452</v>
      </c>
      <c r="D173" s="36">
        <v>8182</v>
      </c>
      <c r="E173" s="36">
        <v>44347</v>
      </c>
      <c r="F173" s="36">
        <v>8731</v>
      </c>
      <c r="G173" s="36">
        <v>109895</v>
      </c>
      <c r="H173" s="36">
        <v>6270</v>
      </c>
      <c r="I173" s="36">
        <v>83275</v>
      </c>
      <c r="J173" s="36">
        <v>151890</v>
      </c>
      <c r="K173" s="36">
        <v>297598</v>
      </c>
      <c r="L173" s="36">
        <v>175081</v>
      </c>
      <c r="M173" s="36">
        <v>300626</v>
      </c>
      <c r="N173" s="36">
        <v>9255</v>
      </c>
      <c r="O173" s="36">
        <v>15921</v>
      </c>
      <c r="P173" s="36">
        <v>6623</v>
      </c>
      <c r="Q173" s="36">
        <v>11296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1147</v>
      </c>
      <c r="AA173" s="36">
        <v>5192</v>
      </c>
      <c r="AB173" s="36">
        <v>718</v>
      </c>
      <c r="AC173" s="36">
        <v>1977</v>
      </c>
      <c r="AD173" s="36">
        <f t="shared" si="37"/>
        <v>179608</v>
      </c>
      <c r="AE173" s="36">
        <f t="shared" si="33"/>
        <v>482058</v>
      </c>
      <c r="AF173" s="36">
        <f t="shared" si="33"/>
        <v>196874</v>
      </c>
      <c r="AG173" s="41">
        <f t="shared" si="34"/>
        <v>9.6</v>
      </c>
      <c r="AH173" s="36">
        <f t="shared" si="35"/>
        <v>441521</v>
      </c>
      <c r="AI173" s="41">
        <f t="shared" si="36"/>
        <v>-8.4</v>
      </c>
    </row>
    <row r="174" spans="1:35" ht="19.5" hidden="1" customHeight="1">
      <c r="A174" s="33" t="s">
        <v>56</v>
      </c>
      <c r="B174" s="36">
        <v>9202</v>
      </c>
      <c r="C174" s="36">
        <v>61140</v>
      </c>
      <c r="D174" s="36">
        <v>11467</v>
      </c>
      <c r="E174" s="36">
        <v>70924</v>
      </c>
      <c r="F174" s="36">
        <v>11</v>
      </c>
      <c r="G174" s="36">
        <v>124</v>
      </c>
      <c r="H174" s="36">
        <v>100</v>
      </c>
      <c r="I174" s="36">
        <v>293</v>
      </c>
      <c r="J174" s="36">
        <v>76672</v>
      </c>
      <c r="K174" s="36">
        <v>147968</v>
      </c>
      <c r="L174" s="36">
        <v>63758</v>
      </c>
      <c r="M174" s="36">
        <v>113553</v>
      </c>
      <c r="N174" s="36">
        <v>119</v>
      </c>
      <c r="O174" s="36">
        <v>232</v>
      </c>
      <c r="P174" s="36">
        <v>622</v>
      </c>
      <c r="Q174" s="36">
        <v>1091</v>
      </c>
      <c r="R174" s="36">
        <v>170</v>
      </c>
      <c r="S174" s="36">
        <v>525</v>
      </c>
      <c r="T174" s="36">
        <v>171</v>
      </c>
      <c r="U174" s="36">
        <v>458</v>
      </c>
      <c r="V174" s="36">
        <v>1115</v>
      </c>
      <c r="W174" s="36">
        <v>23006</v>
      </c>
      <c r="X174" s="36">
        <v>576</v>
      </c>
      <c r="Y174" s="36">
        <v>9499</v>
      </c>
      <c r="Z174" s="36">
        <v>58</v>
      </c>
      <c r="AA174" s="36">
        <v>262</v>
      </c>
      <c r="AB174" s="36">
        <v>390</v>
      </c>
      <c r="AC174" s="36">
        <v>962</v>
      </c>
      <c r="AD174" s="36">
        <f t="shared" si="37"/>
        <v>87347</v>
      </c>
      <c r="AE174" s="36">
        <f t="shared" si="33"/>
        <v>233257</v>
      </c>
      <c r="AF174" s="36">
        <f t="shared" si="33"/>
        <v>77084</v>
      </c>
      <c r="AG174" s="41">
        <f t="shared" si="34"/>
        <v>-11.7</v>
      </c>
      <c r="AH174" s="36">
        <f t="shared" si="35"/>
        <v>196780</v>
      </c>
      <c r="AI174" s="41">
        <f t="shared" si="36"/>
        <v>-15.6</v>
      </c>
    </row>
    <row r="175" spans="1:35" ht="19.5" hidden="1" customHeight="1">
      <c r="A175" s="33" t="s">
        <v>85</v>
      </c>
      <c r="B175" s="36">
        <v>27403</v>
      </c>
      <c r="C175" s="36">
        <v>171292</v>
      </c>
      <c r="D175" s="36">
        <v>27956</v>
      </c>
      <c r="E175" s="36">
        <v>155707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462</v>
      </c>
      <c r="AA175" s="36">
        <v>4779</v>
      </c>
      <c r="AB175" s="36">
        <v>684</v>
      </c>
      <c r="AC175" s="36">
        <v>4332</v>
      </c>
      <c r="AD175" s="36">
        <f t="shared" si="37"/>
        <v>27865</v>
      </c>
      <c r="AE175" s="36">
        <f t="shared" si="33"/>
        <v>176071</v>
      </c>
      <c r="AF175" s="36">
        <f t="shared" si="33"/>
        <v>28640</v>
      </c>
      <c r="AG175" s="41">
        <f t="shared" si="34"/>
        <v>2.8</v>
      </c>
      <c r="AH175" s="36">
        <f t="shared" si="35"/>
        <v>160039</v>
      </c>
      <c r="AI175" s="41">
        <f t="shared" si="36"/>
        <v>-9.1</v>
      </c>
    </row>
    <row r="176" spans="1:35" ht="19.5" hidden="1" customHeight="1">
      <c r="A176" s="33" t="s">
        <v>86</v>
      </c>
      <c r="B176" s="36">
        <v>649</v>
      </c>
      <c r="C176" s="36">
        <v>2976</v>
      </c>
      <c r="D176" s="36">
        <v>498</v>
      </c>
      <c r="E176" s="36">
        <v>2402</v>
      </c>
      <c r="F176" s="36">
        <v>439</v>
      </c>
      <c r="G176" s="36">
        <v>5312</v>
      </c>
      <c r="H176" s="36">
        <v>27</v>
      </c>
      <c r="I176" s="36">
        <v>603</v>
      </c>
      <c r="J176" s="36">
        <v>53620</v>
      </c>
      <c r="K176" s="36">
        <v>105598</v>
      </c>
      <c r="L176" s="36">
        <v>45310</v>
      </c>
      <c r="M176" s="36">
        <v>84539</v>
      </c>
      <c r="N176" s="36">
        <v>896</v>
      </c>
      <c r="O176" s="36">
        <v>1897</v>
      </c>
      <c r="P176" s="36">
        <v>1339</v>
      </c>
      <c r="Q176" s="36">
        <v>2764</v>
      </c>
      <c r="R176" s="36">
        <v>0</v>
      </c>
      <c r="S176" s="36">
        <v>0</v>
      </c>
      <c r="T176" s="36">
        <v>0</v>
      </c>
      <c r="U176" s="36">
        <v>0</v>
      </c>
      <c r="V176" s="36">
        <v>1</v>
      </c>
      <c r="W176" s="36">
        <v>56</v>
      </c>
      <c r="X176" s="36">
        <v>1</v>
      </c>
      <c r="Y176" s="36">
        <v>56</v>
      </c>
      <c r="Z176" s="36">
        <v>1223</v>
      </c>
      <c r="AA176" s="36">
        <v>12950</v>
      </c>
      <c r="AB176" s="36">
        <v>1710</v>
      </c>
      <c r="AC176" s="36">
        <v>14162</v>
      </c>
      <c r="AD176" s="36">
        <f t="shared" si="37"/>
        <v>56828</v>
      </c>
      <c r="AE176" s="36">
        <f t="shared" si="33"/>
        <v>128789</v>
      </c>
      <c r="AF176" s="36">
        <f t="shared" si="33"/>
        <v>48885</v>
      </c>
      <c r="AG176" s="41">
        <f t="shared" si="34"/>
        <v>-14</v>
      </c>
      <c r="AH176" s="36">
        <f t="shared" si="35"/>
        <v>104526</v>
      </c>
      <c r="AI176" s="41">
        <f t="shared" si="36"/>
        <v>-18.8</v>
      </c>
    </row>
    <row r="177" spans="1:35" ht="19.5" hidden="1" customHeight="1">
      <c r="A177" s="33" t="s">
        <v>64</v>
      </c>
      <c r="B177" s="36">
        <v>8910</v>
      </c>
      <c r="C177" s="36">
        <v>56827</v>
      </c>
      <c r="D177" s="36">
        <v>3196</v>
      </c>
      <c r="E177" s="36">
        <v>17114</v>
      </c>
      <c r="F177" s="36">
        <v>20</v>
      </c>
      <c r="G177" s="36">
        <v>145</v>
      </c>
      <c r="H177" s="36">
        <v>0</v>
      </c>
      <c r="I177" s="36">
        <v>0</v>
      </c>
      <c r="J177" s="36">
        <v>51598</v>
      </c>
      <c r="K177" s="36">
        <v>96377</v>
      </c>
      <c r="L177" s="36">
        <v>49596</v>
      </c>
      <c r="M177" s="36">
        <v>85523</v>
      </c>
      <c r="N177" s="36">
        <v>4360</v>
      </c>
      <c r="O177" s="36">
        <v>8862</v>
      </c>
      <c r="P177" s="36">
        <v>6534</v>
      </c>
      <c r="Q177" s="36">
        <v>12784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111</v>
      </c>
      <c r="AA177" s="36">
        <v>542</v>
      </c>
      <c r="AB177" s="36">
        <v>46</v>
      </c>
      <c r="AC177" s="36">
        <v>180</v>
      </c>
      <c r="AD177" s="36">
        <f t="shared" si="37"/>
        <v>64999</v>
      </c>
      <c r="AE177" s="36">
        <f t="shared" si="33"/>
        <v>162753</v>
      </c>
      <c r="AF177" s="36">
        <f t="shared" si="33"/>
        <v>59372</v>
      </c>
      <c r="AG177" s="41">
        <f t="shared" si="34"/>
        <v>-8.6999999999999993</v>
      </c>
      <c r="AH177" s="36">
        <f t="shared" si="35"/>
        <v>115601</v>
      </c>
      <c r="AI177" s="41">
        <f t="shared" si="36"/>
        <v>-29</v>
      </c>
    </row>
    <row r="178" spans="1:35" ht="19.5" hidden="1" customHeight="1">
      <c r="A178" s="33" t="s">
        <v>68</v>
      </c>
      <c r="B178" s="36">
        <v>4124</v>
      </c>
      <c r="C178" s="36">
        <v>32648</v>
      </c>
      <c r="D178" s="36">
        <v>3702</v>
      </c>
      <c r="E178" s="36">
        <v>28506</v>
      </c>
      <c r="F178" s="36">
        <v>509</v>
      </c>
      <c r="G178" s="36">
        <v>15241</v>
      </c>
      <c r="H178" s="36">
        <v>380</v>
      </c>
      <c r="I178" s="36">
        <v>12248</v>
      </c>
      <c r="J178" s="36">
        <v>20541</v>
      </c>
      <c r="K178" s="36">
        <v>81647</v>
      </c>
      <c r="L178" s="36">
        <v>9601</v>
      </c>
      <c r="M178" s="36">
        <v>55678</v>
      </c>
      <c r="N178" s="36">
        <v>116</v>
      </c>
      <c r="O178" s="36">
        <v>784</v>
      </c>
      <c r="P178" s="36">
        <v>414</v>
      </c>
      <c r="Q178" s="36">
        <v>1122</v>
      </c>
      <c r="R178" s="36">
        <v>431</v>
      </c>
      <c r="S178" s="36">
        <v>1712</v>
      </c>
      <c r="T178" s="36">
        <v>441</v>
      </c>
      <c r="U178" s="36">
        <v>1769</v>
      </c>
      <c r="V178" s="36">
        <v>11</v>
      </c>
      <c r="W178" s="36">
        <v>295</v>
      </c>
      <c r="X178" s="36">
        <v>13</v>
      </c>
      <c r="Y178" s="36">
        <v>310</v>
      </c>
      <c r="Z178" s="36">
        <v>165</v>
      </c>
      <c r="AA178" s="36">
        <v>13078</v>
      </c>
      <c r="AB178" s="36">
        <v>292</v>
      </c>
      <c r="AC178" s="36">
        <v>10097</v>
      </c>
      <c r="AD178" s="36">
        <f t="shared" si="37"/>
        <v>25897</v>
      </c>
      <c r="AE178" s="36">
        <f t="shared" si="33"/>
        <v>145405</v>
      </c>
      <c r="AF178" s="36">
        <f t="shared" si="33"/>
        <v>14843</v>
      </c>
      <c r="AG178" s="41">
        <f t="shared" si="34"/>
        <v>-42.7</v>
      </c>
      <c r="AH178" s="36">
        <f t="shared" si="35"/>
        <v>109730</v>
      </c>
      <c r="AI178" s="41">
        <f t="shared" si="36"/>
        <v>-24.5</v>
      </c>
    </row>
    <row r="179" spans="1:35" ht="19.5" hidden="1" customHeight="1">
      <c r="A179" s="33" t="s">
        <v>57</v>
      </c>
      <c r="B179" s="36">
        <v>11215</v>
      </c>
      <c r="C179" s="36">
        <v>100109</v>
      </c>
      <c r="D179" s="36">
        <v>11347</v>
      </c>
      <c r="E179" s="36">
        <v>87898</v>
      </c>
      <c r="F179" s="36">
        <v>299</v>
      </c>
      <c r="G179" s="36">
        <v>408</v>
      </c>
      <c r="H179" s="36">
        <v>40</v>
      </c>
      <c r="I179" s="36">
        <v>166</v>
      </c>
      <c r="J179" s="36">
        <v>15379</v>
      </c>
      <c r="K179" s="36">
        <v>27754</v>
      </c>
      <c r="L179" s="36">
        <v>16043</v>
      </c>
      <c r="M179" s="36">
        <v>28967</v>
      </c>
      <c r="N179" s="36">
        <v>140</v>
      </c>
      <c r="O179" s="36">
        <v>294</v>
      </c>
      <c r="P179" s="36">
        <v>40</v>
      </c>
      <c r="Q179" s="36">
        <v>73</v>
      </c>
      <c r="R179" s="36">
        <v>21</v>
      </c>
      <c r="S179" s="36">
        <v>54</v>
      </c>
      <c r="T179" s="36">
        <v>0</v>
      </c>
      <c r="U179" s="36">
        <v>10</v>
      </c>
      <c r="V179" s="36">
        <v>8</v>
      </c>
      <c r="W179" s="36">
        <v>267</v>
      </c>
      <c r="X179" s="36">
        <v>5</v>
      </c>
      <c r="Y179" s="36">
        <v>144</v>
      </c>
      <c r="Z179" s="36">
        <v>320</v>
      </c>
      <c r="AA179" s="36">
        <v>4441</v>
      </c>
      <c r="AB179" s="36">
        <v>466</v>
      </c>
      <c r="AC179" s="36">
        <v>4139</v>
      </c>
      <c r="AD179" s="36">
        <f t="shared" si="37"/>
        <v>27382</v>
      </c>
      <c r="AE179" s="36">
        <f t="shared" si="33"/>
        <v>133327</v>
      </c>
      <c r="AF179" s="36">
        <f t="shared" si="33"/>
        <v>27941</v>
      </c>
      <c r="AG179" s="41">
        <f t="shared" si="34"/>
        <v>2</v>
      </c>
      <c r="AH179" s="36">
        <f t="shared" si="35"/>
        <v>121397</v>
      </c>
      <c r="AI179" s="41">
        <f t="shared" si="36"/>
        <v>-8.9</v>
      </c>
    </row>
    <row r="180" spans="1:35" ht="19.5" hidden="1" customHeight="1">
      <c r="A180" s="33" t="s">
        <v>58</v>
      </c>
      <c r="B180" s="36">
        <v>4217</v>
      </c>
      <c r="C180" s="36">
        <v>24154</v>
      </c>
      <c r="D180" s="36">
        <v>6047</v>
      </c>
      <c r="E180" s="36">
        <v>30857</v>
      </c>
      <c r="F180" s="36">
        <v>0</v>
      </c>
      <c r="G180" s="36">
        <v>12</v>
      </c>
      <c r="H180" s="36">
        <v>661</v>
      </c>
      <c r="I180" s="36">
        <v>5745</v>
      </c>
      <c r="J180" s="36">
        <v>3144</v>
      </c>
      <c r="K180" s="36">
        <v>5317</v>
      </c>
      <c r="L180" s="36">
        <v>4049</v>
      </c>
      <c r="M180" s="36">
        <v>6138</v>
      </c>
      <c r="N180" s="36">
        <v>100</v>
      </c>
      <c r="O180" s="36">
        <v>1092</v>
      </c>
      <c r="P180" s="36">
        <v>120</v>
      </c>
      <c r="Q180" s="36">
        <v>1067</v>
      </c>
      <c r="R180" s="36">
        <v>18</v>
      </c>
      <c r="S180" s="36">
        <v>7</v>
      </c>
      <c r="T180" s="36">
        <v>0</v>
      </c>
      <c r="U180" s="36">
        <v>0</v>
      </c>
      <c r="V180" s="36">
        <v>3362</v>
      </c>
      <c r="W180" s="36">
        <v>68903</v>
      </c>
      <c r="X180" s="36">
        <v>4575</v>
      </c>
      <c r="Y180" s="36">
        <v>76400</v>
      </c>
      <c r="Z180" s="36">
        <v>47</v>
      </c>
      <c r="AA180" s="36">
        <v>197</v>
      </c>
      <c r="AB180" s="36">
        <v>140</v>
      </c>
      <c r="AC180" s="36">
        <v>382</v>
      </c>
      <c r="AD180" s="36">
        <f t="shared" si="37"/>
        <v>10888</v>
      </c>
      <c r="AE180" s="36">
        <f t="shared" si="33"/>
        <v>99682</v>
      </c>
      <c r="AF180" s="36">
        <f t="shared" si="33"/>
        <v>15592</v>
      </c>
      <c r="AG180" s="41">
        <f t="shared" si="34"/>
        <v>43.2</v>
      </c>
      <c r="AH180" s="36">
        <f t="shared" si="35"/>
        <v>120589</v>
      </c>
      <c r="AI180" s="41">
        <f t="shared" si="36"/>
        <v>21</v>
      </c>
    </row>
    <row r="181" spans="1:35" ht="19.5" hidden="1" customHeight="1">
      <c r="A181" s="33" t="s">
        <v>63</v>
      </c>
      <c r="B181" s="36">
        <v>12298</v>
      </c>
      <c r="C181" s="36">
        <v>70306</v>
      </c>
      <c r="D181" s="36">
        <v>9153</v>
      </c>
      <c r="E181" s="36">
        <v>47930</v>
      </c>
      <c r="F181" s="36">
        <v>0</v>
      </c>
      <c r="G181" s="36">
        <v>0</v>
      </c>
      <c r="H181" s="36">
        <v>0</v>
      </c>
      <c r="I181" s="36">
        <v>0</v>
      </c>
      <c r="J181" s="36">
        <v>36748</v>
      </c>
      <c r="K181" s="36">
        <v>64844</v>
      </c>
      <c r="L181" s="36">
        <v>23110</v>
      </c>
      <c r="M181" s="36">
        <v>32001</v>
      </c>
      <c r="N181" s="36">
        <v>3333</v>
      </c>
      <c r="O181" s="36">
        <v>6596</v>
      </c>
      <c r="P181" s="36">
        <v>1226</v>
      </c>
      <c r="Q181" s="36">
        <v>2344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13</v>
      </c>
      <c r="AC181" s="36">
        <v>76</v>
      </c>
      <c r="AD181" s="36">
        <f t="shared" si="37"/>
        <v>52379</v>
      </c>
      <c r="AE181" s="36">
        <f t="shared" si="33"/>
        <v>141746</v>
      </c>
      <c r="AF181" s="36">
        <f t="shared" si="33"/>
        <v>33502</v>
      </c>
      <c r="AG181" s="41">
        <f t="shared" si="34"/>
        <v>-36</v>
      </c>
      <c r="AH181" s="36">
        <f t="shared" si="35"/>
        <v>82351</v>
      </c>
      <c r="AI181" s="41">
        <f t="shared" si="36"/>
        <v>-41.9</v>
      </c>
    </row>
    <row r="182" spans="1:35" ht="19.5" hidden="1" customHeight="1">
      <c r="A182" s="33" t="s">
        <v>55</v>
      </c>
      <c r="B182" s="36">
        <v>3242</v>
      </c>
      <c r="C182" s="36">
        <v>20837</v>
      </c>
      <c r="D182" s="36">
        <v>6392</v>
      </c>
      <c r="E182" s="36">
        <v>36059</v>
      </c>
      <c r="F182" s="36">
        <v>0</v>
      </c>
      <c r="G182" s="36">
        <v>0</v>
      </c>
      <c r="H182" s="36">
        <v>0</v>
      </c>
      <c r="I182" s="36">
        <v>1</v>
      </c>
      <c r="J182" s="36">
        <v>46855</v>
      </c>
      <c r="K182" s="36">
        <v>76614</v>
      </c>
      <c r="L182" s="36">
        <v>45081</v>
      </c>
      <c r="M182" s="36">
        <v>70064</v>
      </c>
      <c r="N182" s="36">
        <v>120</v>
      </c>
      <c r="O182" s="36">
        <v>260</v>
      </c>
      <c r="P182" s="36">
        <v>94</v>
      </c>
      <c r="Q182" s="36">
        <v>163</v>
      </c>
      <c r="R182" s="36">
        <v>90</v>
      </c>
      <c r="S182" s="36">
        <v>200</v>
      </c>
      <c r="T182" s="36">
        <v>25</v>
      </c>
      <c r="U182" s="36">
        <v>9</v>
      </c>
      <c r="V182" s="36">
        <v>562</v>
      </c>
      <c r="W182" s="36">
        <v>12103</v>
      </c>
      <c r="X182" s="36">
        <v>695</v>
      </c>
      <c r="Y182" s="36">
        <v>13360</v>
      </c>
      <c r="Z182" s="36">
        <v>0</v>
      </c>
      <c r="AA182" s="36">
        <v>1</v>
      </c>
      <c r="AB182" s="36">
        <v>22</v>
      </c>
      <c r="AC182" s="36">
        <v>33</v>
      </c>
      <c r="AD182" s="36">
        <f t="shared" si="37"/>
        <v>50869</v>
      </c>
      <c r="AE182" s="36">
        <f t="shared" si="33"/>
        <v>110015</v>
      </c>
      <c r="AF182" s="36">
        <f t="shared" si="33"/>
        <v>52309</v>
      </c>
      <c r="AG182" s="41">
        <f t="shared" si="34"/>
        <v>2.8</v>
      </c>
      <c r="AH182" s="36">
        <f t="shared" si="35"/>
        <v>119689</v>
      </c>
      <c r="AI182" s="41">
        <f t="shared" si="36"/>
        <v>8.8000000000000007</v>
      </c>
    </row>
    <row r="183" spans="1:35" ht="19.5" hidden="1" customHeight="1">
      <c r="A183" s="33" t="s">
        <v>51</v>
      </c>
      <c r="B183" s="36">
        <v>2966</v>
      </c>
      <c r="C183" s="36">
        <v>19483</v>
      </c>
      <c r="D183" s="36">
        <v>4151</v>
      </c>
      <c r="E183" s="36">
        <v>27146</v>
      </c>
      <c r="F183" s="36">
        <v>31</v>
      </c>
      <c r="G183" s="36">
        <v>235</v>
      </c>
      <c r="H183" s="36">
        <v>88</v>
      </c>
      <c r="I183" s="36">
        <v>142</v>
      </c>
      <c r="J183" s="36">
        <v>37118</v>
      </c>
      <c r="K183" s="36">
        <v>81278</v>
      </c>
      <c r="L183" s="36">
        <v>28456</v>
      </c>
      <c r="M183" s="36">
        <v>71548</v>
      </c>
      <c r="N183" s="36">
        <v>3</v>
      </c>
      <c r="O183" s="36">
        <v>8</v>
      </c>
      <c r="P183" s="36">
        <v>6</v>
      </c>
      <c r="Q183" s="36">
        <v>5</v>
      </c>
      <c r="R183" s="36">
        <v>944</v>
      </c>
      <c r="S183" s="36">
        <v>2100</v>
      </c>
      <c r="T183" s="36">
        <v>1335</v>
      </c>
      <c r="U183" s="36">
        <v>2685</v>
      </c>
      <c r="V183" s="36">
        <v>58</v>
      </c>
      <c r="W183" s="36">
        <v>1140</v>
      </c>
      <c r="X183" s="36">
        <v>2</v>
      </c>
      <c r="Y183" s="36">
        <v>32</v>
      </c>
      <c r="Z183" s="36">
        <v>668</v>
      </c>
      <c r="AA183" s="36">
        <v>3238</v>
      </c>
      <c r="AB183" s="36">
        <v>160</v>
      </c>
      <c r="AC183" s="36">
        <v>2554</v>
      </c>
      <c r="AD183" s="36">
        <f t="shared" si="37"/>
        <v>41788</v>
      </c>
      <c r="AE183" s="36">
        <f t="shared" si="33"/>
        <v>107482</v>
      </c>
      <c r="AF183" s="36">
        <f t="shared" si="33"/>
        <v>34198</v>
      </c>
      <c r="AG183" s="41">
        <f t="shared" si="34"/>
        <v>-18.2</v>
      </c>
      <c r="AH183" s="36">
        <f t="shared" si="35"/>
        <v>104112</v>
      </c>
      <c r="AI183" s="41">
        <f t="shared" si="36"/>
        <v>-3.1</v>
      </c>
    </row>
    <row r="184" spans="1:35" ht="19.5" hidden="1" customHeight="1">
      <c r="A184" s="33" t="s">
        <v>72</v>
      </c>
      <c r="B184" s="36">
        <v>4740</v>
      </c>
      <c r="C184" s="36">
        <v>20525</v>
      </c>
      <c r="D184" s="36">
        <v>2794</v>
      </c>
      <c r="E184" s="36">
        <v>12694</v>
      </c>
      <c r="F184" s="36">
        <v>2508</v>
      </c>
      <c r="G184" s="36">
        <v>30134</v>
      </c>
      <c r="H184" s="36">
        <v>1986</v>
      </c>
      <c r="I184" s="36">
        <v>27526</v>
      </c>
      <c r="J184" s="36">
        <v>29495</v>
      </c>
      <c r="K184" s="36">
        <v>57840</v>
      </c>
      <c r="L184" s="36">
        <v>8530</v>
      </c>
      <c r="M184" s="36">
        <v>13583</v>
      </c>
      <c r="N184" s="36">
        <v>0</v>
      </c>
      <c r="O184" s="36">
        <v>0</v>
      </c>
      <c r="P184" s="36">
        <v>0</v>
      </c>
      <c r="Q184" s="36">
        <v>0</v>
      </c>
      <c r="R184" s="36">
        <v>487</v>
      </c>
      <c r="S184" s="36">
        <v>1485</v>
      </c>
      <c r="T184" s="36">
        <v>981</v>
      </c>
      <c r="U184" s="36">
        <v>1999</v>
      </c>
      <c r="V184" s="36">
        <v>0</v>
      </c>
      <c r="W184" s="36">
        <v>2</v>
      </c>
      <c r="X184" s="36">
        <v>0</v>
      </c>
      <c r="Y184" s="36">
        <v>29</v>
      </c>
      <c r="Z184" s="36">
        <v>255</v>
      </c>
      <c r="AA184" s="36">
        <v>1491</v>
      </c>
      <c r="AB184" s="36">
        <v>58</v>
      </c>
      <c r="AC184" s="36">
        <v>3023</v>
      </c>
      <c r="AD184" s="36">
        <f t="shared" si="37"/>
        <v>37485</v>
      </c>
      <c r="AE184" s="36">
        <f t="shared" si="33"/>
        <v>111477</v>
      </c>
      <c r="AF184" s="36">
        <f t="shared" si="33"/>
        <v>14349</v>
      </c>
      <c r="AG184" s="41">
        <f t="shared" si="34"/>
        <v>-61.7</v>
      </c>
      <c r="AH184" s="36">
        <f t="shared" si="35"/>
        <v>58854</v>
      </c>
      <c r="AI184" s="41">
        <f t="shared" si="36"/>
        <v>-47.2</v>
      </c>
    </row>
    <row r="185" spans="1:35" ht="19.5" hidden="1" customHeight="1">
      <c r="A185" s="33" t="s">
        <v>87</v>
      </c>
      <c r="B185" s="36">
        <v>1861</v>
      </c>
      <c r="C185" s="36">
        <v>10774</v>
      </c>
      <c r="D185" s="36">
        <v>1337</v>
      </c>
      <c r="E185" s="36">
        <v>6741</v>
      </c>
      <c r="F185" s="36">
        <v>0</v>
      </c>
      <c r="G185" s="36">
        <v>0</v>
      </c>
      <c r="H185" s="36">
        <v>0</v>
      </c>
      <c r="I185" s="36">
        <v>0</v>
      </c>
      <c r="J185" s="36">
        <v>38712</v>
      </c>
      <c r="K185" s="36">
        <v>81400</v>
      </c>
      <c r="L185" s="36">
        <v>31934</v>
      </c>
      <c r="M185" s="36">
        <v>60674</v>
      </c>
      <c r="N185" s="36">
        <v>2004</v>
      </c>
      <c r="O185" s="36">
        <v>2306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11</v>
      </c>
      <c r="AA185" s="36">
        <v>55</v>
      </c>
      <c r="AB185" s="36">
        <v>0</v>
      </c>
      <c r="AC185" s="36">
        <v>0</v>
      </c>
      <c r="AD185" s="36">
        <f t="shared" si="37"/>
        <v>42588</v>
      </c>
      <c r="AE185" s="36">
        <f t="shared" si="33"/>
        <v>94535</v>
      </c>
      <c r="AF185" s="36">
        <f t="shared" si="33"/>
        <v>33271</v>
      </c>
      <c r="AG185" s="41">
        <f t="shared" si="34"/>
        <v>-21.9</v>
      </c>
      <c r="AH185" s="36">
        <f t="shared" si="35"/>
        <v>67415</v>
      </c>
      <c r="AI185" s="41">
        <f t="shared" si="36"/>
        <v>-28.7</v>
      </c>
    </row>
    <row r="186" spans="1:35" ht="19.5" hidden="1" customHeight="1">
      <c r="A186" s="33" t="s">
        <v>59</v>
      </c>
      <c r="B186" s="36">
        <v>12724</v>
      </c>
      <c r="C186" s="36">
        <v>78100</v>
      </c>
      <c r="D186" s="36">
        <v>9201</v>
      </c>
      <c r="E186" s="36">
        <v>54932</v>
      </c>
      <c r="F186" s="36">
        <v>452</v>
      </c>
      <c r="G186" s="36">
        <v>339</v>
      </c>
      <c r="H186" s="36">
        <v>17</v>
      </c>
      <c r="I186" s="36">
        <v>236</v>
      </c>
      <c r="J186" s="36">
        <v>9803</v>
      </c>
      <c r="K186" s="36">
        <v>13185</v>
      </c>
      <c r="L186" s="36">
        <v>7802</v>
      </c>
      <c r="M186" s="36">
        <v>9432</v>
      </c>
      <c r="N186" s="36">
        <v>1120</v>
      </c>
      <c r="O186" s="36">
        <v>2172</v>
      </c>
      <c r="P186" s="36">
        <v>1091</v>
      </c>
      <c r="Q186" s="36">
        <v>1972</v>
      </c>
      <c r="R186" s="36">
        <v>43</v>
      </c>
      <c r="S186" s="36">
        <v>84</v>
      </c>
      <c r="T186" s="36">
        <v>7</v>
      </c>
      <c r="U186" s="36">
        <v>15</v>
      </c>
      <c r="V186" s="36">
        <v>40</v>
      </c>
      <c r="W186" s="36">
        <v>543</v>
      </c>
      <c r="X186" s="36">
        <v>1</v>
      </c>
      <c r="Y186" s="36">
        <v>28</v>
      </c>
      <c r="Z186" s="36">
        <v>24</v>
      </c>
      <c r="AA186" s="36">
        <v>59</v>
      </c>
      <c r="AB186" s="36">
        <v>1</v>
      </c>
      <c r="AC186" s="36">
        <v>105</v>
      </c>
      <c r="AD186" s="36">
        <f t="shared" si="37"/>
        <v>24206</v>
      </c>
      <c r="AE186" s="36">
        <f t="shared" si="33"/>
        <v>94482</v>
      </c>
      <c r="AF186" s="36">
        <f t="shared" si="33"/>
        <v>18120</v>
      </c>
      <c r="AG186" s="41">
        <f t="shared" si="34"/>
        <v>-25.1</v>
      </c>
      <c r="AH186" s="36">
        <f t="shared" si="35"/>
        <v>66720</v>
      </c>
      <c r="AI186" s="41">
        <f t="shared" si="36"/>
        <v>-29.4</v>
      </c>
    </row>
    <row r="187" spans="1:35" ht="19.5" hidden="1" customHeight="1">
      <c r="A187" s="33" t="s">
        <v>90</v>
      </c>
      <c r="B187" s="36">
        <v>262</v>
      </c>
      <c r="C187" s="36">
        <v>1578</v>
      </c>
      <c r="D187" s="36">
        <v>487</v>
      </c>
      <c r="E187" s="36">
        <v>2622</v>
      </c>
      <c r="F187" s="36">
        <v>0</v>
      </c>
      <c r="G187" s="36">
        <v>0</v>
      </c>
      <c r="H187" s="36">
        <v>0</v>
      </c>
      <c r="I187" s="36">
        <v>0</v>
      </c>
      <c r="J187" s="36">
        <v>28803</v>
      </c>
      <c r="K187" s="36">
        <v>60640</v>
      </c>
      <c r="L187" s="36">
        <v>21270</v>
      </c>
      <c r="M187" s="36">
        <v>39551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f t="shared" si="37"/>
        <v>29065</v>
      </c>
      <c r="AE187" s="36">
        <f t="shared" si="33"/>
        <v>62218</v>
      </c>
      <c r="AF187" s="36">
        <f t="shared" si="33"/>
        <v>21757</v>
      </c>
      <c r="AG187" s="41">
        <f t="shared" si="34"/>
        <v>-25.1</v>
      </c>
      <c r="AH187" s="36">
        <f t="shared" si="35"/>
        <v>42173</v>
      </c>
      <c r="AI187" s="41">
        <f t="shared" si="36"/>
        <v>-32.200000000000003</v>
      </c>
    </row>
    <row r="188" spans="1:35" ht="19.5" hidden="1" customHeight="1">
      <c r="A188" s="33" t="s">
        <v>76</v>
      </c>
      <c r="B188" s="36">
        <v>178</v>
      </c>
      <c r="C188" s="36">
        <v>1682</v>
      </c>
      <c r="D188" s="36">
        <v>76</v>
      </c>
      <c r="E188" s="36">
        <v>1502</v>
      </c>
      <c r="F188" s="36">
        <v>515</v>
      </c>
      <c r="G188" s="36">
        <v>11929</v>
      </c>
      <c r="H188" s="36">
        <v>711</v>
      </c>
      <c r="I188" s="36">
        <v>15033</v>
      </c>
      <c r="J188" s="36">
        <v>3383</v>
      </c>
      <c r="K188" s="36">
        <v>40912</v>
      </c>
      <c r="L188" s="36">
        <v>3193</v>
      </c>
      <c r="M188" s="36">
        <v>38960</v>
      </c>
      <c r="N188" s="36">
        <v>0</v>
      </c>
      <c r="O188" s="36">
        <v>0</v>
      </c>
      <c r="P188" s="36">
        <v>151</v>
      </c>
      <c r="Q188" s="36">
        <v>277</v>
      </c>
      <c r="R188" s="36">
        <v>268</v>
      </c>
      <c r="S188" s="36">
        <v>1294</v>
      </c>
      <c r="T188" s="36">
        <v>319</v>
      </c>
      <c r="U188" s="36">
        <v>1419</v>
      </c>
      <c r="V188" s="36">
        <v>10</v>
      </c>
      <c r="W188" s="36">
        <v>226</v>
      </c>
      <c r="X188" s="36">
        <v>13</v>
      </c>
      <c r="Y188" s="36">
        <v>291</v>
      </c>
      <c r="Z188" s="36">
        <v>72</v>
      </c>
      <c r="AA188" s="36">
        <v>5180</v>
      </c>
      <c r="AB188" s="36">
        <v>42</v>
      </c>
      <c r="AC188" s="36">
        <v>4073</v>
      </c>
      <c r="AD188" s="36">
        <f t="shared" si="37"/>
        <v>4426</v>
      </c>
      <c r="AE188" s="36">
        <f t="shared" si="33"/>
        <v>61223</v>
      </c>
      <c r="AF188" s="36">
        <f t="shared" si="33"/>
        <v>4505</v>
      </c>
      <c r="AG188" s="41">
        <f t="shared" si="34"/>
        <v>1.8</v>
      </c>
      <c r="AH188" s="36">
        <f t="shared" si="35"/>
        <v>61555</v>
      </c>
      <c r="AI188" s="41">
        <f t="shared" si="36"/>
        <v>0.5</v>
      </c>
    </row>
    <row r="189" spans="1:35" ht="19.5" hidden="1" customHeight="1">
      <c r="A189" s="33" t="s">
        <v>91</v>
      </c>
      <c r="B189" s="36">
        <v>507</v>
      </c>
      <c r="C189" s="36">
        <v>2918</v>
      </c>
      <c r="D189" s="36">
        <v>418</v>
      </c>
      <c r="E189" s="36">
        <v>2264</v>
      </c>
      <c r="F189" s="36">
        <v>0</v>
      </c>
      <c r="G189" s="36">
        <v>0</v>
      </c>
      <c r="H189" s="36">
        <v>0</v>
      </c>
      <c r="I189" s="36">
        <v>0</v>
      </c>
      <c r="J189" s="36">
        <v>19119</v>
      </c>
      <c r="K189" s="36">
        <v>39451</v>
      </c>
      <c r="L189" s="36">
        <v>28341</v>
      </c>
      <c r="M189" s="36">
        <v>52807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f t="shared" si="37"/>
        <v>19626</v>
      </c>
      <c r="AE189" s="36">
        <f t="shared" si="33"/>
        <v>42369</v>
      </c>
      <c r="AF189" s="36">
        <f t="shared" si="33"/>
        <v>28759</v>
      </c>
      <c r="AG189" s="41">
        <f t="shared" si="34"/>
        <v>46.5</v>
      </c>
      <c r="AH189" s="36">
        <f t="shared" si="35"/>
        <v>55071</v>
      </c>
      <c r="AI189" s="41">
        <f t="shared" si="36"/>
        <v>30</v>
      </c>
    </row>
    <row r="190" spans="1:35" ht="19.5" hidden="1" customHeight="1">
      <c r="A190" s="33" t="s">
        <v>308</v>
      </c>
      <c r="B190" s="36">
        <v>0</v>
      </c>
      <c r="C190" s="36">
        <v>0</v>
      </c>
      <c r="D190" s="36">
        <v>0</v>
      </c>
      <c r="E190" s="36">
        <v>0</v>
      </c>
      <c r="F190" s="36">
        <v>3438</v>
      </c>
      <c r="G190" s="36">
        <v>41737</v>
      </c>
      <c r="H190" s="36">
        <v>2742</v>
      </c>
      <c r="I190" s="36">
        <v>38707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f t="shared" si="37"/>
        <v>3438</v>
      </c>
      <c r="AE190" s="36">
        <f t="shared" si="33"/>
        <v>41737</v>
      </c>
      <c r="AF190" s="36">
        <f t="shared" si="33"/>
        <v>2742</v>
      </c>
      <c r="AG190" s="41">
        <f t="shared" si="34"/>
        <v>-20.2</v>
      </c>
      <c r="AH190" s="36">
        <f t="shared" si="35"/>
        <v>38707</v>
      </c>
      <c r="AI190" s="41">
        <f t="shared" si="36"/>
        <v>-7.3</v>
      </c>
    </row>
    <row r="191" spans="1:35" ht="19.5" hidden="1" customHeight="1">
      <c r="A191" s="33" t="s">
        <v>71</v>
      </c>
      <c r="B191" s="36">
        <v>1365</v>
      </c>
      <c r="C191" s="36">
        <v>10283</v>
      </c>
      <c r="D191" s="36">
        <v>1748</v>
      </c>
      <c r="E191" s="36">
        <v>10624</v>
      </c>
      <c r="F191" s="36">
        <v>110</v>
      </c>
      <c r="G191" s="36">
        <v>3454</v>
      </c>
      <c r="H191" s="36">
        <v>208</v>
      </c>
      <c r="I191" s="36">
        <v>5111</v>
      </c>
      <c r="J191" s="36">
        <v>10397</v>
      </c>
      <c r="K191" s="36">
        <v>19177</v>
      </c>
      <c r="L191" s="36">
        <v>12931</v>
      </c>
      <c r="M191" s="36">
        <v>20522</v>
      </c>
      <c r="N191" s="36">
        <v>2</v>
      </c>
      <c r="O191" s="36">
        <v>16</v>
      </c>
      <c r="P191" s="36">
        <v>3</v>
      </c>
      <c r="Q191" s="36">
        <v>26</v>
      </c>
      <c r="R191" s="36">
        <v>2</v>
      </c>
      <c r="S191" s="36">
        <v>22</v>
      </c>
      <c r="T191" s="36">
        <v>1</v>
      </c>
      <c r="U191" s="36">
        <v>30</v>
      </c>
      <c r="V191" s="36">
        <v>9</v>
      </c>
      <c r="W191" s="36">
        <v>212</v>
      </c>
      <c r="X191" s="36">
        <v>7</v>
      </c>
      <c r="Y191" s="36">
        <v>146</v>
      </c>
      <c r="Z191" s="36">
        <v>271</v>
      </c>
      <c r="AA191" s="36">
        <v>8056</v>
      </c>
      <c r="AB191" s="36">
        <v>380</v>
      </c>
      <c r="AC191" s="36">
        <v>5787</v>
      </c>
      <c r="AD191" s="36">
        <f t="shared" si="37"/>
        <v>12156</v>
      </c>
      <c r="AE191" s="36">
        <f t="shared" si="33"/>
        <v>41220</v>
      </c>
      <c r="AF191" s="36">
        <f t="shared" si="33"/>
        <v>15278</v>
      </c>
      <c r="AG191" s="41">
        <f t="shared" si="34"/>
        <v>25.7</v>
      </c>
      <c r="AH191" s="36">
        <f t="shared" si="35"/>
        <v>42246</v>
      </c>
      <c r="AI191" s="41">
        <f t="shared" si="36"/>
        <v>2.5</v>
      </c>
    </row>
    <row r="192" spans="1:35" ht="19.5" hidden="1" customHeight="1">
      <c r="A192" s="33" t="s">
        <v>88</v>
      </c>
      <c r="B192" s="36">
        <v>5318</v>
      </c>
      <c r="C192" s="36">
        <v>29109</v>
      </c>
      <c r="D192" s="36">
        <v>4182</v>
      </c>
      <c r="E192" s="36">
        <v>20866</v>
      </c>
      <c r="F192" s="36">
        <v>0</v>
      </c>
      <c r="G192" s="36">
        <v>0</v>
      </c>
      <c r="H192" s="36">
        <v>0</v>
      </c>
      <c r="I192" s="36">
        <v>0</v>
      </c>
      <c r="J192" s="36">
        <v>3689</v>
      </c>
      <c r="K192" s="36">
        <v>6105</v>
      </c>
      <c r="L192" s="36">
        <v>953</v>
      </c>
      <c r="M192" s="36">
        <v>1388</v>
      </c>
      <c r="N192" s="36">
        <v>2325</v>
      </c>
      <c r="O192" s="36">
        <v>4553</v>
      </c>
      <c r="P192" s="36">
        <v>4348</v>
      </c>
      <c r="Q192" s="36">
        <v>7892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f t="shared" si="37"/>
        <v>11332</v>
      </c>
      <c r="AE192" s="36">
        <f t="shared" si="33"/>
        <v>39767</v>
      </c>
      <c r="AF192" s="36">
        <f t="shared" si="33"/>
        <v>9483</v>
      </c>
      <c r="AG192" s="41">
        <f t="shared" si="34"/>
        <v>-16.3</v>
      </c>
      <c r="AH192" s="36">
        <f t="shared" si="35"/>
        <v>30146</v>
      </c>
      <c r="AI192" s="41">
        <f t="shared" si="36"/>
        <v>-24.2</v>
      </c>
    </row>
    <row r="193" spans="1:35" ht="19.5" hidden="1" customHeight="1">
      <c r="A193" s="33" t="s">
        <v>65</v>
      </c>
      <c r="B193" s="36">
        <v>3019</v>
      </c>
      <c r="C193" s="36">
        <v>14999</v>
      </c>
      <c r="D193" s="36">
        <v>6378</v>
      </c>
      <c r="E193" s="36">
        <v>24284</v>
      </c>
      <c r="F193" s="36">
        <v>4</v>
      </c>
      <c r="G193" s="36">
        <v>570</v>
      </c>
      <c r="H193" s="36">
        <v>6</v>
      </c>
      <c r="I193" s="36">
        <v>612</v>
      </c>
      <c r="J193" s="36">
        <v>8199</v>
      </c>
      <c r="K193" s="36">
        <v>11483</v>
      </c>
      <c r="L193" s="36">
        <v>17121</v>
      </c>
      <c r="M193" s="36">
        <v>21186</v>
      </c>
      <c r="N193" s="36">
        <v>0</v>
      </c>
      <c r="O193" s="36">
        <v>3</v>
      </c>
      <c r="P193" s="36">
        <v>64</v>
      </c>
      <c r="Q193" s="36">
        <v>140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42</v>
      </c>
      <c r="AA193" s="36">
        <v>885</v>
      </c>
      <c r="AB193" s="36">
        <v>27</v>
      </c>
      <c r="AC193" s="36">
        <v>509</v>
      </c>
      <c r="AD193" s="36">
        <f t="shared" si="37"/>
        <v>11264</v>
      </c>
      <c r="AE193" s="36">
        <f t="shared" si="33"/>
        <v>27940</v>
      </c>
      <c r="AF193" s="36">
        <f t="shared" si="33"/>
        <v>23596</v>
      </c>
      <c r="AG193" s="41">
        <f t="shared" si="34"/>
        <v>109.5</v>
      </c>
      <c r="AH193" s="36">
        <f t="shared" si="35"/>
        <v>46731</v>
      </c>
      <c r="AI193" s="41">
        <f t="shared" si="36"/>
        <v>67.3</v>
      </c>
    </row>
    <row r="194" spans="1:35" ht="19.5" hidden="1" customHeight="1">
      <c r="A194" s="33" t="s">
        <v>66</v>
      </c>
      <c r="B194" s="36">
        <v>5186</v>
      </c>
      <c r="C194" s="36">
        <v>26136</v>
      </c>
      <c r="D194" s="36">
        <v>5699</v>
      </c>
      <c r="E194" s="36">
        <v>29595</v>
      </c>
      <c r="F194" s="36">
        <v>41</v>
      </c>
      <c r="G194" s="36">
        <v>305</v>
      </c>
      <c r="H194" s="36">
        <v>101</v>
      </c>
      <c r="I194" s="36">
        <v>222</v>
      </c>
      <c r="J194" s="36">
        <v>2717</v>
      </c>
      <c r="K194" s="36">
        <v>4995</v>
      </c>
      <c r="L194" s="36">
        <v>1679</v>
      </c>
      <c r="M194" s="36">
        <v>4648</v>
      </c>
      <c r="N194" s="36">
        <v>2</v>
      </c>
      <c r="O194" s="36">
        <v>288</v>
      </c>
      <c r="P194" s="36">
        <v>361</v>
      </c>
      <c r="Q194" s="36">
        <v>903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6</v>
      </c>
      <c r="X194" s="36">
        <v>2</v>
      </c>
      <c r="Y194" s="36">
        <v>39</v>
      </c>
      <c r="Z194" s="36">
        <v>554</v>
      </c>
      <c r="AA194" s="36">
        <v>1572</v>
      </c>
      <c r="AB194" s="36">
        <v>119</v>
      </c>
      <c r="AC194" s="36">
        <v>682</v>
      </c>
      <c r="AD194" s="36">
        <f t="shared" si="37"/>
        <v>8500</v>
      </c>
      <c r="AE194" s="36">
        <f t="shared" si="33"/>
        <v>33302</v>
      </c>
      <c r="AF194" s="36">
        <f t="shared" si="33"/>
        <v>7961</v>
      </c>
      <c r="AG194" s="41">
        <f t="shared" si="34"/>
        <v>-6.3</v>
      </c>
      <c r="AH194" s="36">
        <f t="shared" si="35"/>
        <v>36089</v>
      </c>
      <c r="AI194" s="41">
        <f t="shared" si="36"/>
        <v>8.4</v>
      </c>
    </row>
    <row r="195" spans="1:35" ht="19.5" hidden="1" customHeight="1">
      <c r="A195" s="33" t="s">
        <v>89</v>
      </c>
      <c r="B195" s="36">
        <v>2462</v>
      </c>
      <c r="C195" s="36">
        <v>14417</v>
      </c>
      <c r="D195" s="36">
        <v>5671</v>
      </c>
      <c r="E195" s="36">
        <v>8366</v>
      </c>
      <c r="F195" s="36">
        <v>297</v>
      </c>
      <c r="G195" s="36">
        <v>3958</v>
      </c>
      <c r="H195" s="36">
        <v>94</v>
      </c>
      <c r="I195" s="36">
        <v>1480</v>
      </c>
      <c r="J195" s="36">
        <v>3556</v>
      </c>
      <c r="K195" s="36">
        <v>5988</v>
      </c>
      <c r="L195" s="36">
        <v>4236</v>
      </c>
      <c r="M195" s="36">
        <v>7162</v>
      </c>
      <c r="N195" s="36">
        <v>412</v>
      </c>
      <c r="O195" s="36">
        <v>859</v>
      </c>
      <c r="P195" s="36">
        <v>1</v>
      </c>
      <c r="Q195" s="36">
        <v>2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127</v>
      </c>
      <c r="AA195" s="36">
        <v>863</v>
      </c>
      <c r="AB195" s="36">
        <v>82</v>
      </c>
      <c r="AC195" s="36">
        <v>423</v>
      </c>
      <c r="AD195" s="36">
        <f t="shared" si="37"/>
        <v>6854</v>
      </c>
      <c r="AE195" s="36">
        <f t="shared" si="33"/>
        <v>26085</v>
      </c>
      <c r="AF195" s="36">
        <f t="shared" si="33"/>
        <v>10084</v>
      </c>
      <c r="AG195" s="41">
        <f t="shared" si="34"/>
        <v>47.1</v>
      </c>
      <c r="AH195" s="36">
        <f t="shared" si="35"/>
        <v>17433</v>
      </c>
      <c r="AI195" s="41">
        <f t="shared" si="36"/>
        <v>-33.200000000000003</v>
      </c>
    </row>
    <row r="196" spans="1:35" ht="19.5" hidden="1" customHeight="1">
      <c r="A196" s="33" t="s">
        <v>309</v>
      </c>
      <c r="B196" s="36">
        <v>1</v>
      </c>
      <c r="C196" s="36">
        <v>36</v>
      </c>
      <c r="D196" s="36">
        <v>4</v>
      </c>
      <c r="E196" s="36">
        <v>41</v>
      </c>
      <c r="F196" s="36">
        <v>2255</v>
      </c>
      <c r="G196" s="36">
        <v>30031</v>
      </c>
      <c r="H196" s="36">
        <v>1804</v>
      </c>
      <c r="I196" s="36">
        <v>25005</v>
      </c>
      <c r="J196" s="36">
        <v>1</v>
      </c>
      <c r="K196" s="36">
        <v>39</v>
      </c>
      <c r="L196" s="36">
        <v>94</v>
      </c>
      <c r="M196" s="36">
        <v>479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4</v>
      </c>
      <c r="T196" s="36">
        <v>0</v>
      </c>
      <c r="U196" s="36">
        <v>2</v>
      </c>
      <c r="V196" s="36">
        <v>0</v>
      </c>
      <c r="W196" s="36">
        <v>0</v>
      </c>
      <c r="X196" s="36">
        <v>0</v>
      </c>
      <c r="Y196" s="36">
        <v>0</v>
      </c>
      <c r="Z196" s="36">
        <v>7</v>
      </c>
      <c r="AA196" s="36">
        <v>229</v>
      </c>
      <c r="AB196" s="36">
        <v>3</v>
      </c>
      <c r="AC196" s="36">
        <v>111</v>
      </c>
      <c r="AD196" s="36">
        <f t="shared" si="37"/>
        <v>2264</v>
      </c>
      <c r="AE196" s="36">
        <f t="shared" si="33"/>
        <v>30339</v>
      </c>
      <c r="AF196" s="36">
        <f t="shared" si="33"/>
        <v>1905</v>
      </c>
      <c r="AG196" s="41">
        <f t="shared" si="34"/>
        <v>-15.9</v>
      </c>
      <c r="AH196" s="36">
        <f t="shared" si="35"/>
        <v>25638</v>
      </c>
      <c r="AI196" s="41">
        <f t="shared" si="36"/>
        <v>-15.5</v>
      </c>
    </row>
    <row r="197" spans="1:35" ht="19.5" hidden="1" customHeight="1">
      <c r="A197" s="33" t="s">
        <v>92</v>
      </c>
      <c r="B197" s="36">
        <v>3842</v>
      </c>
      <c r="C197" s="36">
        <v>21337</v>
      </c>
      <c r="D197" s="36">
        <v>3199</v>
      </c>
      <c r="E197" s="36">
        <v>16579</v>
      </c>
      <c r="F197" s="36">
        <v>0</v>
      </c>
      <c r="G197" s="36">
        <v>1</v>
      </c>
      <c r="H197" s="36">
        <v>0</v>
      </c>
      <c r="I197" s="36">
        <v>13</v>
      </c>
      <c r="J197" s="36">
        <v>4092</v>
      </c>
      <c r="K197" s="36">
        <v>6444</v>
      </c>
      <c r="L197" s="36">
        <v>5509</v>
      </c>
      <c r="M197" s="36">
        <v>7184</v>
      </c>
      <c r="N197" s="36">
        <v>0</v>
      </c>
      <c r="O197" s="36">
        <v>0</v>
      </c>
      <c r="P197" s="36">
        <v>0</v>
      </c>
      <c r="Q197" s="36">
        <v>2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49</v>
      </c>
      <c r="AB197" s="36">
        <v>4</v>
      </c>
      <c r="AC197" s="36">
        <v>15</v>
      </c>
      <c r="AD197" s="36">
        <f t="shared" si="37"/>
        <v>7934</v>
      </c>
      <c r="AE197" s="36">
        <f t="shared" si="33"/>
        <v>27831</v>
      </c>
      <c r="AF197" s="36">
        <f t="shared" si="33"/>
        <v>8712</v>
      </c>
      <c r="AG197" s="41">
        <f t="shared" si="34"/>
        <v>9.8000000000000007</v>
      </c>
      <c r="AH197" s="36">
        <f t="shared" si="35"/>
        <v>23793</v>
      </c>
      <c r="AI197" s="41">
        <f t="shared" si="36"/>
        <v>-14.5</v>
      </c>
    </row>
    <row r="198" spans="1:35" ht="19.5" hidden="1" customHeight="1">
      <c r="A198" s="34" t="s">
        <v>78</v>
      </c>
      <c r="B198" s="37">
        <f t="shared" ref="B198:M198" si="38">B199-SUM(B168:B197)</f>
        <v>63514</v>
      </c>
      <c r="C198" s="37">
        <f t="shared" si="38"/>
        <v>341763</v>
      </c>
      <c r="D198" s="37">
        <f t="shared" si="38"/>
        <v>54769</v>
      </c>
      <c r="E198" s="37">
        <f t="shared" si="38"/>
        <v>279591</v>
      </c>
      <c r="F198" s="37">
        <f t="shared" si="38"/>
        <v>2640</v>
      </c>
      <c r="G198" s="37">
        <f t="shared" si="38"/>
        <v>31164</v>
      </c>
      <c r="H198" s="37">
        <f t="shared" si="38"/>
        <v>4573</v>
      </c>
      <c r="I198" s="37">
        <f t="shared" si="38"/>
        <v>46030</v>
      </c>
      <c r="J198" s="37">
        <f t="shared" si="38"/>
        <v>62401</v>
      </c>
      <c r="K198" s="37">
        <f t="shared" si="38"/>
        <v>110651</v>
      </c>
      <c r="L198" s="37">
        <f t="shared" si="38"/>
        <v>51218</v>
      </c>
      <c r="M198" s="37">
        <f t="shared" si="38"/>
        <v>89559</v>
      </c>
      <c r="N198" s="37">
        <f>N199-SUM(N168:N197)</f>
        <v>6322</v>
      </c>
      <c r="O198" s="37">
        <f>O199-SUM(O168:O197)</f>
        <v>12636</v>
      </c>
      <c r="P198" s="37">
        <f>P199-SUM(P168:P197)</f>
        <v>8351</v>
      </c>
      <c r="Q198" s="37">
        <f>Q199-SUM(Q168:Q197)</f>
        <v>15421</v>
      </c>
      <c r="R198" s="37">
        <f t="shared" ref="R198:U198" si="39">R199-SUM(R168:R197)</f>
        <v>3693</v>
      </c>
      <c r="S198" s="37">
        <f t="shared" si="39"/>
        <v>11583</v>
      </c>
      <c r="T198" s="37">
        <f t="shared" si="39"/>
        <v>4979</v>
      </c>
      <c r="U198" s="37">
        <f t="shared" si="39"/>
        <v>12586</v>
      </c>
      <c r="V198" s="37">
        <f>V199-SUM(V168:V197)</f>
        <v>4</v>
      </c>
      <c r="W198" s="37">
        <f t="shared" ref="W198:X198" si="40">W199-SUM(W168:W197)</f>
        <v>157</v>
      </c>
      <c r="X198" s="37">
        <f t="shared" si="40"/>
        <v>174</v>
      </c>
      <c r="Y198" s="37">
        <f>Y199-SUM(Y168:Y197)</f>
        <v>2929</v>
      </c>
      <c r="Z198" s="37">
        <f t="shared" ref="Z198:AF198" si="41">Z199-SUM(Z168:Z197)</f>
        <v>2495</v>
      </c>
      <c r="AA198" s="37">
        <f t="shared" si="41"/>
        <v>33930</v>
      </c>
      <c r="AB198" s="37">
        <f t="shared" si="41"/>
        <v>2336</v>
      </c>
      <c r="AC198" s="37">
        <f t="shared" si="41"/>
        <v>34461</v>
      </c>
      <c r="AD198" s="37">
        <f t="shared" si="41"/>
        <v>141069</v>
      </c>
      <c r="AE198" s="37">
        <f t="shared" si="41"/>
        <v>541884</v>
      </c>
      <c r="AF198" s="37">
        <f t="shared" si="41"/>
        <v>126400</v>
      </c>
      <c r="AG198" s="42">
        <f t="shared" si="34"/>
        <v>-10.4</v>
      </c>
      <c r="AH198" s="37">
        <f>AH199-SUM(AH168:AH197)</f>
        <v>480577</v>
      </c>
      <c r="AI198" s="42">
        <f t="shared" si="36"/>
        <v>-11.3</v>
      </c>
    </row>
    <row r="199" spans="1:35" ht="19.5" hidden="1" customHeight="1">
      <c r="A199" s="35" t="s">
        <v>79</v>
      </c>
      <c r="B199" s="39">
        <v>380426</v>
      </c>
      <c r="C199" s="40">
        <v>2437600</v>
      </c>
      <c r="D199" s="40">
        <v>352297</v>
      </c>
      <c r="E199" s="40">
        <v>2070425</v>
      </c>
      <c r="F199" s="40">
        <v>26389</v>
      </c>
      <c r="G199" s="40">
        <v>436142</v>
      </c>
      <c r="H199" s="40">
        <v>24342</v>
      </c>
      <c r="I199" s="40">
        <v>414707</v>
      </c>
      <c r="J199" s="40">
        <v>1232249</v>
      </c>
      <c r="K199" s="40">
        <v>2706437</v>
      </c>
      <c r="L199" s="40">
        <v>1184173</v>
      </c>
      <c r="M199" s="40">
        <v>2394298</v>
      </c>
      <c r="N199" s="40">
        <v>61292</v>
      </c>
      <c r="O199" s="40">
        <v>122929</v>
      </c>
      <c r="P199" s="40">
        <v>53169</v>
      </c>
      <c r="Q199" s="40">
        <v>104168</v>
      </c>
      <c r="R199" s="40">
        <v>25599</v>
      </c>
      <c r="S199" s="40">
        <v>76646</v>
      </c>
      <c r="T199" s="40">
        <v>22628</v>
      </c>
      <c r="U199" s="40">
        <v>57723</v>
      </c>
      <c r="V199" s="40">
        <v>5566</v>
      </c>
      <c r="W199" s="40">
        <v>115837</v>
      </c>
      <c r="X199" s="40">
        <v>6602</v>
      </c>
      <c r="Y199" s="40">
        <v>114973</v>
      </c>
      <c r="Z199" s="40">
        <v>63704</v>
      </c>
      <c r="AA199" s="40">
        <v>487377</v>
      </c>
      <c r="AB199" s="40">
        <v>63364</v>
      </c>
      <c r="AC199" s="40">
        <v>415105</v>
      </c>
      <c r="AD199" s="40">
        <f>SUM(B199+F199+J199+N199+R199+V199+Z199)</f>
        <v>1795225</v>
      </c>
      <c r="AE199" s="39">
        <f>SUM(C199+G199+K199+O199+S199+W199+AA199)</f>
        <v>6382968</v>
      </c>
      <c r="AF199" s="40">
        <f>SUM(D199+H199+L199+P199+T199+X199+AB199)</f>
        <v>1706575</v>
      </c>
      <c r="AG199" s="42">
        <f t="shared" si="34"/>
        <v>-4.9000000000000004</v>
      </c>
      <c r="AH199" s="39">
        <f>SUM(E199+I199+M199+Q199+U199+Y199+AC199)</f>
        <v>5571399</v>
      </c>
      <c r="AI199" s="42">
        <f t="shared" si="36"/>
        <v>-12.7</v>
      </c>
    </row>
    <row r="200" spans="1:35" hidden="1"/>
    <row r="201" spans="1:35" ht="22.5" hidden="1">
      <c r="A201" s="1095" t="s">
        <v>599</v>
      </c>
      <c r="B201" s="1095"/>
      <c r="C201" s="1095"/>
      <c r="D201" s="1095"/>
      <c r="E201" s="1095"/>
      <c r="F201" s="1095"/>
      <c r="G201" s="1095"/>
      <c r="H201" s="1095"/>
      <c r="I201" s="1095"/>
      <c r="J201" s="1095"/>
      <c r="K201" s="1095"/>
      <c r="L201" s="1095"/>
      <c r="M201" s="1095"/>
      <c r="N201" s="1095"/>
      <c r="O201" s="1095"/>
      <c r="P201" s="1095"/>
      <c r="Q201" s="1095"/>
      <c r="R201" s="1095"/>
      <c r="S201" s="1095"/>
      <c r="T201" s="1095"/>
      <c r="U201" s="1095"/>
      <c r="V201" s="1095"/>
      <c r="W201" s="1095"/>
      <c r="X201" s="1095"/>
      <c r="Y201" s="1095"/>
      <c r="Z201" s="1095"/>
      <c r="AA201" s="1095"/>
      <c r="AB201" s="1095"/>
      <c r="AC201" s="1095"/>
      <c r="AD201" s="1095"/>
      <c r="AE201" s="1095"/>
      <c r="AF201" s="1095"/>
      <c r="AG201" s="1095"/>
      <c r="AH201" s="1095"/>
      <c r="AI201" s="1095"/>
    </row>
    <row r="202" spans="1:35" ht="22.5" hidden="1">
      <c r="A202" s="889"/>
      <c r="B202" s="889"/>
      <c r="C202" s="889"/>
      <c r="D202" s="889"/>
      <c r="E202" s="889"/>
      <c r="F202" s="889"/>
      <c r="G202" s="889"/>
      <c r="H202" s="889"/>
      <c r="I202" s="889"/>
      <c r="J202" s="889"/>
      <c r="K202" s="889"/>
      <c r="L202" s="889"/>
      <c r="M202" s="889"/>
      <c r="N202" s="889"/>
      <c r="O202" s="889"/>
      <c r="P202" s="889"/>
      <c r="Q202" s="889"/>
      <c r="R202" s="889"/>
      <c r="S202" s="889"/>
      <c r="T202" s="889"/>
      <c r="U202" s="889"/>
      <c r="V202" s="889"/>
      <c r="W202" s="889"/>
      <c r="X202" s="889"/>
      <c r="Y202" s="889"/>
      <c r="Z202" s="889"/>
      <c r="AA202" s="889"/>
      <c r="AB202" s="889"/>
      <c r="AC202" s="889"/>
      <c r="AD202" s="889"/>
      <c r="AE202" s="889"/>
      <c r="AF202" s="889"/>
      <c r="AG202" s="889"/>
      <c r="AH202" s="889"/>
      <c r="AI202" s="889"/>
    </row>
    <row r="203" spans="1:35" hidden="1">
      <c r="A203" s="871"/>
      <c r="B203" s="871"/>
      <c r="C203" s="872"/>
      <c r="D203" s="873"/>
      <c r="E203" s="881"/>
      <c r="F203" s="872"/>
      <c r="G203" s="872"/>
      <c r="H203" s="872"/>
      <c r="I203" s="872"/>
      <c r="J203" s="872"/>
      <c r="K203" s="872"/>
      <c r="L203" s="872"/>
      <c r="M203" s="872"/>
      <c r="N203" s="872"/>
      <c r="O203" s="872"/>
      <c r="P203" s="872"/>
      <c r="Q203" s="872"/>
      <c r="R203" s="872"/>
      <c r="S203" s="872"/>
      <c r="T203" s="872"/>
      <c r="U203" s="872"/>
      <c r="V203" s="887"/>
      <c r="W203" s="887"/>
      <c r="X203" s="872"/>
      <c r="Y203" s="872"/>
      <c r="Z203" s="872"/>
      <c r="AA203" s="872"/>
      <c r="AB203" s="872"/>
      <c r="AC203" s="872"/>
      <c r="AD203" s="872"/>
      <c r="AE203" s="872"/>
      <c r="AF203" s="872"/>
      <c r="AG203" s="872"/>
      <c r="AH203" s="872"/>
      <c r="AI203" s="872"/>
    </row>
    <row r="204" spans="1:35" ht="21.75" hidden="1" customHeight="1">
      <c r="A204" s="1149" t="s">
        <v>43</v>
      </c>
      <c r="B204" s="1151" t="s">
        <v>591</v>
      </c>
      <c r="C204" s="1153"/>
      <c r="D204" s="1153"/>
      <c r="E204" s="1152"/>
      <c r="F204" s="1151" t="s">
        <v>592</v>
      </c>
      <c r="G204" s="1153"/>
      <c r="H204" s="1153"/>
      <c r="I204" s="1152"/>
      <c r="J204" s="1151" t="s">
        <v>593</v>
      </c>
      <c r="K204" s="1153"/>
      <c r="L204" s="1153"/>
      <c r="M204" s="1152"/>
      <c r="N204" s="1151" t="s">
        <v>594</v>
      </c>
      <c r="O204" s="1153"/>
      <c r="P204" s="1153"/>
      <c r="Q204" s="1152"/>
      <c r="R204" s="1151" t="s">
        <v>595</v>
      </c>
      <c r="S204" s="1153"/>
      <c r="T204" s="1153"/>
      <c r="U204" s="1152"/>
      <c r="V204" s="1151" t="s">
        <v>596</v>
      </c>
      <c r="W204" s="1153"/>
      <c r="X204" s="1153"/>
      <c r="Y204" s="1152"/>
      <c r="Z204" s="1151" t="s">
        <v>597</v>
      </c>
      <c r="AA204" s="1153"/>
      <c r="AB204" s="1153"/>
      <c r="AC204" s="1152"/>
      <c r="AD204" s="1151" t="s">
        <v>600</v>
      </c>
      <c r="AE204" s="1153"/>
      <c r="AF204" s="1153"/>
      <c r="AG204" s="1153"/>
      <c r="AH204" s="1153"/>
      <c r="AI204" s="1152"/>
    </row>
    <row r="205" spans="1:35" ht="21" hidden="1" customHeight="1">
      <c r="A205" s="1154"/>
      <c r="B205" s="1151" t="s">
        <v>315</v>
      </c>
      <c r="C205" s="1152"/>
      <c r="D205" s="1151" t="s">
        <v>459</v>
      </c>
      <c r="E205" s="1152"/>
      <c r="F205" s="1151" t="s">
        <v>315</v>
      </c>
      <c r="G205" s="1152"/>
      <c r="H205" s="1151" t="s">
        <v>459</v>
      </c>
      <c r="I205" s="1152"/>
      <c r="J205" s="1151" t="s">
        <v>315</v>
      </c>
      <c r="K205" s="1152"/>
      <c r="L205" s="1151" t="s">
        <v>459</v>
      </c>
      <c r="M205" s="1152"/>
      <c r="N205" s="1151" t="s">
        <v>315</v>
      </c>
      <c r="O205" s="1152"/>
      <c r="P205" s="1151" t="s">
        <v>459</v>
      </c>
      <c r="Q205" s="1152"/>
      <c r="R205" s="1151" t="s">
        <v>315</v>
      </c>
      <c r="S205" s="1152"/>
      <c r="T205" s="1151" t="s">
        <v>459</v>
      </c>
      <c r="U205" s="1152"/>
      <c r="V205" s="1151" t="s">
        <v>315</v>
      </c>
      <c r="W205" s="1152"/>
      <c r="X205" s="1151" t="s">
        <v>459</v>
      </c>
      <c r="Y205" s="1152"/>
      <c r="Z205" s="1151" t="s">
        <v>315</v>
      </c>
      <c r="AA205" s="1152"/>
      <c r="AB205" s="1151" t="s">
        <v>459</v>
      </c>
      <c r="AC205" s="1152"/>
      <c r="AD205" s="1151" t="s">
        <v>315</v>
      </c>
      <c r="AE205" s="1152"/>
      <c r="AF205" s="1151" t="s">
        <v>459</v>
      </c>
      <c r="AG205" s="1153"/>
      <c r="AH205" s="1153"/>
      <c r="AI205" s="1152"/>
    </row>
    <row r="206" spans="1:35" ht="16.5" hidden="1" customHeight="1">
      <c r="A206" s="1154"/>
      <c r="B206" s="1149" t="s">
        <v>44</v>
      </c>
      <c r="C206" s="1149" t="s">
        <v>45</v>
      </c>
      <c r="D206" s="1149" t="s">
        <v>46</v>
      </c>
      <c r="E206" s="1149" t="s">
        <v>45</v>
      </c>
      <c r="F206" s="1149" t="s">
        <v>47</v>
      </c>
      <c r="G206" s="1149" t="s">
        <v>45</v>
      </c>
      <c r="H206" s="1149" t="s">
        <v>46</v>
      </c>
      <c r="I206" s="1149" t="s">
        <v>45</v>
      </c>
      <c r="J206" s="1149" t="s">
        <v>44</v>
      </c>
      <c r="K206" s="1149" t="s">
        <v>45</v>
      </c>
      <c r="L206" s="1149" t="s">
        <v>46</v>
      </c>
      <c r="M206" s="1149" t="s">
        <v>45</v>
      </c>
      <c r="N206" s="1149" t="s">
        <v>44</v>
      </c>
      <c r="O206" s="1149" t="s">
        <v>45</v>
      </c>
      <c r="P206" s="1149" t="s">
        <v>46</v>
      </c>
      <c r="Q206" s="1149" t="s">
        <v>45</v>
      </c>
      <c r="R206" s="1149" t="s">
        <v>44</v>
      </c>
      <c r="S206" s="1149" t="s">
        <v>45</v>
      </c>
      <c r="T206" s="1149" t="s">
        <v>46</v>
      </c>
      <c r="U206" s="1149" t="s">
        <v>45</v>
      </c>
      <c r="V206" s="1149" t="s">
        <v>44</v>
      </c>
      <c r="W206" s="1149" t="s">
        <v>45</v>
      </c>
      <c r="X206" s="1149" t="s">
        <v>48</v>
      </c>
      <c r="Y206" s="1149" t="s">
        <v>45</v>
      </c>
      <c r="Z206" s="1149" t="s">
        <v>44</v>
      </c>
      <c r="AA206" s="1149" t="s">
        <v>45</v>
      </c>
      <c r="AB206" s="1149" t="s">
        <v>46</v>
      </c>
      <c r="AC206" s="1149" t="s">
        <v>45</v>
      </c>
      <c r="AD206" s="1149" t="s">
        <v>44</v>
      </c>
      <c r="AE206" s="1149" t="s">
        <v>45</v>
      </c>
      <c r="AF206" s="1147" t="s">
        <v>46</v>
      </c>
      <c r="AG206" s="874"/>
      <c r="AH206" s="1147" t="s">
        <v>45</v>
      </c>
      <c r="AI206" s="874"/>
    </row>
    <row r="207" spans="1:35" ht="16.5" hidden="1" customHeight="1" thickBot="1">
      <c r="A207" s="1150"/>
      <c r="B207" s="1150"/>
      <c r="C207" s="1150"/>
      <c r="D207" s="1150"/>
      <c r="E207" s="1150"/>
      <c r="F207" s="1150"/>
      <c r="G207" s="1150"/>
      <c r="H207" s="1150"/>
      <c r="I207" s="1150"/>
      <c r="J207" s="1150"/>
      <c r="K207" s="1150"/>
      <c r="L207" s="1150"/>
      <c r="M207" s="1150"/>
      <c r="N207" s="1150"/>
      <c r="O207" s="1150"/>
      <c r="P207" s="1150"/>
      <c r="Q207" s="1150"/>
      <c r="R207" s="1150"/>
      <c r="S207" s="1150"/>
      <c r="T207" s="1150"/>
      <c r="U207" s="1150"/>
      <c r="V207" s="1150"/>
      <c r="W207" s="1150"/>
      <c r="X207" s="1150"/>
      <c r="Y207" s="1150"/>
      <c r="Z207" s="1150"/>
      <c r="AA207" s="1150"/>
      <c r="AB207" s="1150"/>
      <c r="AC207" s="1150"/>
      <c r="AD207" s="1150"/>
      <c r="AE207" s="1150"/>
      <c r="AF207" s="1148"/>
      <c r="AG207" s="875" t="s">
        <v>49</v>
      </c>
      <c r="AH207" s="1148"/>
      <c r="AI207" s="875" t="s">
        <v>49</v>
      </c>
    </row>
    <row r="208" spans="1:35" ht="19.5" hidden="1" customHeight="1" thickTop="1">
      <c r="A208" s="876" t="s">
        <v>50</v>
      </c>
      <c r="B208" s="890">
        <v>37736</v>
      </c>
      <c r="C208" s="890">
        <v>252531</v>
      </c>
      <c r="D208" s="890">
        <v>35006</v>
      </c>
      <c r="E208" s="890">
        <v>222163</v>
      </c>
      <c r="F208" s="890">
        <v>668</v>
      </c>
      <c r="G208" s="890">
        <v>36642</v>
      </c>
      <c r="H208" s="890">
        <v>655</v>
      </c>
      <c r="I208" s="890">
        <v>38999</v>
      </c>
      <c r="J208" s="890">
        <v>233193</v>
      </c>
      <c r="K208" s="890">
        <v>674607</v>
      </c>
      <c r="L208" s="890">
        <v>183326</v>
      </c>
      <c r="M208" s="890">
        <v>550973</v>
      </c>
      <c r="N208" s="890">
        <v>40</v>
      </c>
      <c r="O208" s="890">
        <v>157</v>
      </c>
      <c r="P208" s="890">
        <v>657</v>
      </c>
      <c r="Q208" s="890">
        <v>1516</v>
      </c>
      <c r="R208" s="890">
        <v>371</v>
      </c>
      <c r="S208" s="890">
        <v>3651</v>
      </c>
      <c r="T208" s="890">
        <v>176</v>
      </c>
      <c r="U208" s="890">
        <v>2878</v>
      </c>
      <c r="V208" s="890">
        <v>171</v>
      </c>
      <c r="W208" s="890">
        <v>1652</v>
      </c>
      <c r="X208" s="890">
        <v>404</v>
      </c>
      <c r="Y208" s="890">
        <v>5789</v>
      </c>
      <c r="Z208" s="890">
        <v>63590</v>
      </c>
      <c r="AA208" s="890">
        <v>259225</v>
      </c>
      <c r="AB208" s="879">
        <v>61473</v>
      </c>
      <c r="AC208" s="879">
        <v>212261</v>
      </c>
      <c r="AD208" s="879">
        <f>SUM(B208+F208+J208+N208+R208+V208+Z208)</f>
        <v>335769</v>
      </c>
      <c r="AE208" s="879">
        <f>SUM(C208+G208+K208+O208+S208+W208+AA208)</f>
        <v>1228465</v>
      </c>
      <c r="AF208" s="879">
        <f>SUM(D208+H208+L208+P208+T208+X208+AB208)</f>
        <v>281697</v>
      </c>
      <c r="AG208" s="884">
        <f>ROUND(((AF208/AD208-1)*100),1)</f>
        <v>-16.100000000000001</v>
      </c>
      <c r="AH208" s="879">
        <f>SUM(E208+I208+M208+Q208+U208+Y208+AC208)</f>
        <v>1034579</v>
      </c>
      <c r="AI208" s="884">
        <f>ROUND(((AH208/AE208-1)*100),1)</f>
        <v>-15.8</v>
      </c>
    </row>
    <row r="209" spans="1:35" ht="19.5" hidden="1" customHeight="1">
      <c r="A209" s="876" t="s">
        <v>53</v>
      </c>
      <c r="B209" s="890">
        <v>40047</v>
      </c>
      <c r="C209" s="890">
        <v>252083</v>
      </c>
      <c r="D209" s="890">
        <v>47994</v>
      </c>
      <c r="E209" s="890">
        <v>260344</v>
      </c>
      <c r="F209" s="890">
        <v>723</v>
      </c>
      <c r="G209" s="890">
        <v>40816</v>
      </c>
      <c r="H209" s="890">
        <v>1489</v>
      </c>
      <c r="I209" s="890">
        <v>46887</v>
      </c>
      <c r="J209" s="890">
        <v>139593</v>
      </c>
      <c r="K209" s="890">
        <v>326078</v>
      </c>
      <c r="L209" s="890">
        <v>155185</v>
      </c>
      <c r="M209" s="890">
        <v>299481</v>
      </c>
      <c r="N209" s="890">
        <v>2519</v>
      </c>
      <c r="O209" s="890">
        <v>4850</v>
      </c>
      <c r="P209" s="890">
        <v>563</v>
      </c>
      <c r="Q209" s="890">
        <v>1178</v>
      </c>
      <c r="R209" s="890">
        <v>216</v>
      </c>
      <c r="S209" s="890">
        <v>509</v>
      </c>
      <c r="T209" s="890">
        <v>176</v>
      </c>
      <c r="U209" s="890">
        <v>356</v>
      </c>
      <c r="V209" s="890">
        <v>3</v>
      </c>
      <c r="W209" s="890">
        <v>252</v>
      </c>
      <c r="X209" s="890">
        <v>3</v>
      </c>
      <c r="Y209" s="890">
        <v>194</v>
      </c>
      <c r="Z209" s="890">
        <v>1385</v>
      </c>
      <c r="AA209" s="890">
        <v>121480</v>
      </c>
      <c r="AB209" s="890">
        <v>1421</v>
      </c>
      <c r="AC209" s="890">
        <v>120481</v>
      </c>
      <c r="AD209" s="879">
        <f>SUM(B209+F209+J209+N209+R209+V209+Z209)</f>
        <v>184486</v>
      </c>
      <c r="AE209" s="879">
        <f t="shared" ref="AE209:AE237" si="42">SUM(C209+G209+K209+O209+S209+W209+AA209)</f>
        <v>746068</v>
      </c>
      <c r="AF209" s="879">
        <f t="shared" ref="AF209:AF237" si="43">SUM(D209+H209+L209+P209+T209+X209+AB209)</f>
        <v>206831</v>
      </c>
      <c r="AG209" s="884">
        <f t="shared" ref="AG209:AG239" si="44">ROUND(((AF209/AD209-1)*100),1)</f>
        <v>12.1</v>
      </c>
      <c r="AH209" s="879">
        <f t="shared" ref="AH209:AH237" si="45">SUM(E209+I209+M209+Q209+U209+Y209+AC209)</f>
        <v>728921</v>
      </c>
      <c r="AI209" s="884">
        <f t="shared" ref="AI209:AI239" si="46">ROUND(((AH209/AE209-1)*100),1)</f>
        <v>-2.2999999999999998</v>
      </c>
    </row>
    <row r="210" spans="1:35" ht="19.5" hidden="1" customHeight="1">
      <c r="A210" s="876" t="s">
        <v>54</v>
      </c>
      <c r="B210" s="890">
        <v>19334</v>
      </c>
      <c r="C210" s="890">
        <v>259016</v>
      </c>
      <c r="D210" s="890">
        <v>24257</v>
      </c>
      <c r="E210" s="890">
        <v>283880</v>
      </c>
      <c r="F210" s="890">
        <v>3277</v>
      </c>
      <c r="G210" s="890">
        <v>98865</v>
      </c>
      <c r="H210" s="890">
        <v>2937</v>
      </c>
      <c r="I210" s="890">
        <v>100788</v>
      </c>
      <c r="J210" s="890">
        <v>59280</v>
      </c>
      <c r="K210" s="890">
        <v>145608</v>
      </c>
      <c r="L210" s="890">
        <v>73395</v>
      </c>
      <c r="M210" s="890">
        <v>162785</v>
      </c>
      <c r="N210" s="890">
        <v>2584</v>
      </c>
      <c r="O210" s="890">
        <v>5356</v>
      </c>
      <c r="P210" s="890">
        <v>3807</v>
      </c>
      <c r="Q210" s="890">
        <v>7142</v>
      </c>
      <c r="R210" s="890">
        <v>291</v>
      </c>
      <c r="S210" s="890">
        <v>550</v>
      </c>
      <c r="T210" s="890">
        <v>244</v>
      </c>
      <c r="U210" s="890">
        <v>454</v>
      </c>
      <c r="V210" s="890">
        <v>168</v>
      </c>
      <c r="W210" s="890">
        <v>7396</v>
      </c>
      <c r="X210" s="890">
        <v>127</v>
      </c>
      <c r="Y210" s="890">
        <v>7006</v>
      </c>
      <c r="Z210" s="890">
        <v>2345</v>
      </c>
      <c r="AA210" s="890">
        <v>77585</v>
      </c>
      <c r="AB210" s="890">
        <v>1694</v>
      </c>
      <c r="AC210" s="890">
        <v>56556</v>
      </c>
      <c r="AD210" s="879">
        <f t="shared" ref="AD210:AD237" si="47">SUM(B210+F210+J210+N210+R210+V210+Z210)</f>
        <v>87279</v>
      </c>
      <c r="AE210" s="879">
        <f t="shared" si="42"/>
        <v>594376</v>
      </c>
      <c r="AF210" s="879">
        <f t="shared" si="43"/>
        <v>106461</v>
      </c>
      <c r="AG210" s="884">
        <f t="shared" si="44"/>
        <v>22</v>
      </c>
      <c r="AH210" s="879">
        <f t="shared" si="45"/>
        <v>618611</v>
      </c>
      <c r="AI210" s="884">
        <f t="shared" si="46"/>
        <v>4.0999999999999996</v>
      </c>
    </row>
    <row r="211" spans="1:35" ht="19.5" hidden="1" customHeight="1">
      <c r="A211" s="876" t="s">
        <v>84</v>
      </c>
      <c r="B211" s="890">
        <v>113098</v>
      </c>
      <c r="C211" s="890">
        <v>687581</v>
      </c>
      <c r="D211" s="890">
        <v>83551</v>
      </c>
      <c r="E211" s="890">
        <v>459906</v>
      </c>
      <c r="F211" s="890">
        <v>0</v>
      </c>
      <c r="G211" s="890">
        <v>0</v>
      </c>
      <c r="H211" s="890">
        <v>0</v>
      </c>
      <c r="I211" s="890">
        <v>0</v>
      </c>
      <c r="J211" s="890">
        <v>1048</v>
      </c>
      <c r="K211" s="890">
        <v>1328</v>
      </c>
      <c r="L211" s="890">
        <v>2248</v>
      </c>
      <c r="M211" s="890">
        <v>2487</v>
      </c>
      <c r="N211" s="890">
        <v>148</v>
      </c>
      <c r="O211" s="890">
        <v>271</v>
      </c>
      <c r="P211" s="890">
        <v>0</v>
      </c>
      <c r="Q211" s="890">
        <v>0</v>
      </c>
      <c r="R211" s="890">
        <v>0</v>
      </c>
      <c r="S211" s="890">
        <v>0</v>
      </c>
      <c r="T211" s="890">
        <v>0</v>
      </c>
      <c r="U211" s="890">
        <v>0</v>
      </c>
      <c r="V211" s="890">
        <v>0</v>
      </c>
      <c r="W211" s="890">
        <v>0</v>
      </c>
      <c r="X211" s="890">
        <v>0</v>
      </c>
      <c r="Y211" s="890">
        <v>0</v>
      </c>
      <c r="Z211" s="890">
        <v>0</v>
      </c>
      <c r="AA211" s="890">
        <v>24</v>
      </c>
      <c r="AB211" s="890">
        <v>10</v>
      </c>
      <c r="AC211" s="890">
        <v>65</v>
      </c>
      <c r="AD211" s="879">
        <f t="shared" si="47"/>
        <v>114294</v>
      </c>
      <c r="AE211" s="879">
        <f t="shared" si="42"/>
        <v>689204</v>
      </c>
      <c r="AF211" s="879">
        <f t="shared" si="43"/>
        <v>85809</v>
      </c>
      <c r="AG211" s="884">
        <f t="shared" si="44"/>
        <v>-24.9</v>
      </c>
      <c r="AH211" s="879">
        <f t="shared" si="45"/>
        <v>462458</v>
      </c>
      <c r="AI211" s="884">
        <f t="shared" si="46"/>
        <v>-32.9</v>
      </c>
    </row>
    <row r="212" spans="1:35" ht="19.5" hidden="1" customHeight="1">
      <c r="A212" s="876" t="s">
        <v>52</v>
      </c>
      <c r="B212" s="890">
        <v>1783</v>
      </c>
      <c r="C212" s="890">
        <v>6069</v>
      </c>
      <c r="D212" s="890">
        <v>2825</v>
      </c>
      <c r="E212" s="890">
        <v>5716</v>
      </c>
      <c r="F212" s="890">
        <v>147</v>
      </c>
      <c r="G212" s="890">
        <v>3620</v>
      </c>
      <c r="H212" s="890">
        <v>79</v>
      </c>
      <c r="I212" s="890">
        <v>1377</v>
      </c>
      <c r="J212" s="890">
        <v>177582</v>
      </c>
      <c r="K212" s="890">
        <v>347260</v>
      </c>
      <c r="L212" s="890">
        <v>220410</v>
      </c>
      <c r="M212" s="890">
        <v>383294</v>
      </c>
      <c r="N212" s="890">
        <v>30396</v>
      </c>
      <c r="O212" s="890">
        <v>63727</v>
      </c>
      <c r="P212" s="890">
        <v>23920</v>
      </c>
      <c r="Q212" s="890">
        <v>47976</v>
      </c>
      <c r="R212" s="890">
        <v>21682</v>
      </c>
      <c r="S212" s="890">
        <v>62268</v>
      </c>
      <c r="T212" s="890">
        <v>15233</v>
      </c>
      <c r="U212" s="890">
        <v>36403</v>
      </c>
      <c r="V212" s="890">
        <v>121</v>
      </c>
      <c r="W212" s="890">
        <v>1434</v>
      </c>
      <c r="X212" s="890">
        <v>125</v>
      </c>
      <c r="Y212" s="890">
        <v>1194</v>
      </c>
      <c r="Z212" s="890">
        <v>148</v>
      </c>
      <c r="AA212" s="890">
        <v>738</v>
      </c>
      <c r="AB212" s="890">
        <v>95</v>
      </c>
      <c r="AC212" s="890">
        <v>624</v>
      </c>
      <c r="AD212" s="879">
        <f t="shared" si="47"/>
        <v>231859</v>
      </c>
      <c r="AE212" s="879">
        <f t="shared" si="42"/>
        <v>485116</v>
      </c>
      <c r="AF212" s="879">
        <f t="shared" si="43"/>
        <v>262687</v>
      </c>
      <c r="AG212" s="884">
        <f t="shared" si="44"/>
        <v>13.3</v>
      </c>
      <c r="AH212" s="879">
        <f t="shared" si="45"/>
        <v>476584</v>
      </c>
      <c r="AI212" s="884">
        <f t="shared" si="46"/>
        <v>-1.8</v>
      </c>
    </row>
    <row r="213" spans="1:35" ht="19.5" hidden="1" customHeight="1">
      <c r="A213" s="876" t="s">
        <v>61</v>
      </c>
      <c r="B213" s="890">
        <v>10529</v>
      </c>
      <c r="C213" s="890">
        <v>65201</v>
      </c>
      <c r="D213" s="890">
        <v>10788</v>
      </c>
      <c r="E213" s="890">
        <v>57841</v>
      </c>
      <c r="F213" s="890">
        <v>9620</v>
      </c>
      <c r="G213" s="890">
        <v>121791</v>
      </c>
      <c r="H213" s="890">
        <v>7691</v>
      </c>
      <c r="I213" s="890">
        <v>100692</v>
      </c>
      <c r="J213" s="890">
        <v>176560</v>
      </c>
      <c r="K213" s="890">
        <v>344420</v>
      </c>
      <c r="L213" s="890">
        <v>218569</v>
      </c>
      <c r="M213" s="890">
        <v>367537</v>
      </c>
      <c r="N213" s="890">
        <v>10931</v>
      </c>
      <c r="O213" s="890">
        <v>19090</v>
      </c>
      <c r="P213" s="890">
        <v>7254</v>
      </c>
      <c r="Q213" s="890">
        <v>12381</v>
      </c>
      <c r="R213" s="890">
        <v>0</v>
      </c>
      <c r="S213" s="890">
        <v>0</v>
      </c>
      <c r="T213" s="890">
        <v>0</v>
      </c>
      <c r="U213" s="890">
        <v>0</v>
      </c>
      <c r="V213" s="890">
        <v>0</v>
      </c>
      <c r="W213" s="890">
        <v>0</v>
      </c>
      <c r="X213" s="890">
        <v>0</v>
      </c>
      <c r="Y213" s="890">
        <v>0</v>
      </c>
      <c r="Z213" s="890">
        <v>1481</v>
      </c>
      <c r="AA213" s="890">
        <v>6196</v>
      </c>
      <c r="AB213" s="890">
        <v>965</v>
      </c>
      <c r="AC213" s="890">
        <v>2456</v>
      </c>
      <c r="AD213" s="879">
        <f t="shared" si="47"/>
        <v>209121</v>
      </c>
      <c r="AE213" s="879">
        <f t="shared" si="42"/>
        <v>556698</v>
      </c>
      <c r="AF213" s="879">
        <f t="shared" si="43"/>
        <v>245267</v>
      </c>
      <c r="AG213" s="884">
        <f t="shared" si="44"/>
        <v>17.3</v>
      </c>
      <c r="AH213" s="879">
        <f t="shared" si="45"/>
        <v>540907</v>
      </c>
      <c r="AI213" s="884">
        <f t="shared" si="46"/>
        <v>-2.8</v>
      </c>
    </row>
    <row r="214" spans="1:35" ht="19.5" hidden="1" customHeight="1">
      <c r="A214" s="876" t="s">
        <v>56</v>
      </c>
      <c r="B214" s="890">
        <v>10422</v>
      </c>
      <c r="C214" s="890">
        <v>69369</v>
      </c>
      <c r="D214" s="890">
        <v>13544</v>
      </c>
      <c r="E214" s="890">
        <v>83757</v>
      </c>
      <c r="F214" s="890">
        <v>19</v>
      </c>
      <c r="G214" s="890">
        <v>170</v>
      </c>
      <c r="H214" s="890">
        <v>101</v>
      </c>
      <c r="I214" s="890">
        <v>306</v>
      </c>
      <c r="J214" s="890">
        <v>89555</v>
      </c>
      <c r="K214" s="890">
        <v>172445</v>
      </c>
      <c r="L214" s="890">
        <v>71872</v>
      </c>
      <c r="M214" s="890">
        <v>125180</v>
      </c>
      <c r="N214" s="890">
        <v>119</v>
      </c>
      <c r="O214" s="890">
        <v>236</v>
      </c>
      <c r="P214" s="890">
        <v>920</v>
      </c>
      <c r="Q214" s="890">
        <v>1631</v>
      </c>
      <c r="R214" s="890">
        <v>190</v>
      </c>
      <c r="S214" s="890">
        <v>591</v>
      </c>
      <c r="T214" s="890">
        <v>212</v>
      </c>
      <c r="U214" s="890">
        <v>558</v>
      </c>
      <c r="V214" s="890">
        <v>1295</v>
      </c>
      <c r="W214" s="890">
        <v>26813</v>
      </c>
      <c r="X214" s="890">
        <v>631</v>
      </c>
      <c r="Y214" s="890">
        <v>10359</v>
      </c>
      <c r="Z214" s="890">
        <v>79</v>
      </c>
      <c r="AA214" s="890">
        <v>366</v>
      </c>
      <c r="AB214" s="890">
        <v>390</v>
      </c>
      <c r="AC214" s="890">
        <v>962</v>
      </c>
      <c r="AD214" s="879">
        <f t="shared" si="47"/>
        <v>101679</v>
      </c>
      <c r="AE214" s="879">
        <f t="shared" si="42"/>
        <v>269990</v>
      </c>
      <c r="AF214" s="879">
        <f t="shared" si="43"/>
        <v>87670</v>
      </c>
      <c r="AG214" s="884">
        <f t="shared" si="44"/>
        <v>-13.8</v>
      </c>
      <c r="AH214" s="879">
        <f t="shared" si="45"/>
        <v>222753</v>
      </c>
      <c r="AI214" s="884">
        <f t="shared" si="46"/>
        <v>-17.5</v>
      </c>
    </row>
    <row r="215" spans="1:35" ht="19.5" hidden="1" customHeight="1">
      <c r="A215" s="876" t="s">
        <v>85</v>
      </c>
      <c r="B215" s="890">
        <v>33522</v>
      </c>
      <c r="C215" s="890">
        <v>208288</v>
      </c>
      <c r="D215" s="890">
        <v>33259</v>
      </c>
      <c r="E215" s="890">
        <v>183729</v>
      </c>
      <c r="F215" s="890">
        <v>0</v>
      </c>
      <c r="G215" s="890">
        <v>0</v>
      </c>
      <c r="H215" s="890">
        <v>0</v>
      </c>
      <c r="I215" s="890">
        <v>0</v>
      </c>
      <c r="J215" s="890">
        <v>0</v>
      </c>
      <c r="K215" s="890">
        <v>0</v>
      </c>
      <c r="L215" s="890">
        <v>0</v>
      </c>
      <c r="M215" s="890">
        <v>0</v>
      </c>
      <c r="N215" s="890">
        <v>0</v>
      </c>
      <c r="O215" s="890">
        <v>0</v>
      </c>
      <c r="P215" s="890">
        <v>0</v>
      </c>
      <c r="Q215" s="890">
        <v>0</v>
      </c>
      <c r="R215" s="890">
        <v>0</v>
      </c>
      <c r="S215" s="890">
        <v>0</v>
      </c>
      <c r="T215" s="890">
        <v>0</v>
      </c>
      <c r="U215" s="890">
        <v>0</v>
      </c>
      <c r="V215" s="890">
        <v>0</v>
      </c>
      <c r="W215" s="890">
        <v>0</v>
      </c>
      <c r="X215" s="890">
        <v>0</v>
      </c>
      <c r="Y215" s="890">
        <v>0</v>
      </c>
      <c r="Z215" s="890">
        <v>463</v>
      </c>
      <c r="AA215" s="890">
        <v>4810</v>
      </c>
      <c r="AB215" s="890">
        <v>884</v>
      </c>
      <c r="AC215" s="890">
        <v>5433</v>
      </c>
      <c r="AD215" s="879">
        <f t="shared" si="47"/>
        <v>33985</v>
      </c>
      <c r="AE215" s="879">
        <f t="shared" si="42"/>
        <v>213098</v>
      </c>
      <c r="AF215" s="879">
        <f t="shared" si="43"/>
        <v>34143</v>
      </c>
      <c r="AG215" s="884">
        <f t="shared" si="44"/>
        <v>0.5</v>
      </c>
      <c r="AH215" s="879">
        <f t="shared" si="45"/>
        <v>189162</v>
      </c>
      <c r="AI215" s="884">
        <f t="shared" si="46"/>
        <v>-11.2</v>
      </c>
    </row>
    <row r="216" spans="1:35" ht="19.5" hidden="1" customHeight="1">
      <c r="A216" s="876" t="s">
        <v>86</v>
      </c>
      <c r="B216" s="890">
        <v>1294</v>
      </c>
      <c r="C216" s="890">
        <v>5971</v>
      </c>
      <c r="D216" s="890">
        <v>498</v>
      </c>
      <c r="E216" s="890">
        <v>2402</v>
      </c>
      <c r="F216" s="890">
        <v>521</v>
      </c>
      <c r="G216" s="890">
        <v>6441</v>
      </c>
      <c r="H216" s="890">
        <v>27</v>
      </c>
      <c r="I216" s="890">
        <v>616</v>
      </c>
      <c r="J216" s="890">
        <v>73862</v>
      </c>
      <c r="K216" s="890">
        <v>144010</v>
      </c>
      <c r="L216" s="890">
        <v>54460</v>
      </c>
      <c r="M216" s="890">
        <v>100916</v>
      </c>
      <c r="N216" s="890">
        <v>896</v>
      </c>
      <c r="O216" s="890">
        <v>1897</v>
      </c>
      <c r="P216" s="890">
        <v>1339</v>
      </c>
      <c r="Q216" s="890">
        <v>2764</v>
      </c>
      <c r="R216" s="890">
        <v>0</v>
      </c>
      <c r="S216" s="890">
        <v>0</v>
      </c>
      <c r="T216" s="890">
        <v>0</v>
      </c>
      <c r="U216" s="890">
        <v>0</v>
      </c>
      <c r="V216" s="890">
        <v>1</v>
      </c>
      <c r="W216" s="890">
        <v>113</v>
      </c>
      <c r="X216" s="890">
        <v>1</v>
      </c>
      <c r="Y216" s="890">
        <v>113</v>
      </c>
      <c r="Z216" s="890">
        <v>1557</v>
      </c>
      <c r="AA216" s="890">
        <v>16370</v>
      </c>
      <c r="AB216" s="890">
        <v>2088</v>
      </c>
      <c r="AC216" s="890">
        <v>17603</v>
      </c>
      <c r="AD216" s="879">
        <f t="shared" si="47"/>
        <v>78131</v>
      </c>
      <c r="AE216" s="879">
        <f t="shared" si="42"/>
        <v>174802</v>
      </c>
      <c r="AF216" s="879">
        <f t="shared" si="43"/>
        <v>58413</v>
      </c>
      <c r="AG216" s="884">
        <f t="shared" si="44"/>
        <v>-25.2</v>
      </c>
      <c r="AH216" s="879">
        <f t="shared" si="45"/>
        <v>124414</v>
      </c>
      <c r="AI216" s="884">
        <f t="shared" si="46"/>
        <v>-28.8</v>
      </c>
    </row>
    <row r="217" spans="1:35" ht="19.5" hidden="1" customHeight="1">
      <c r="A217" s="876" t="s">
        <v>64</v>
      </c>
      <c r="B217" s="890">
        <v>10766</v>
      </c>
      <c r="C217" s="890">
        <v>67598</v>
      </c>
      <c r="D217" s="890">
        <v>3507</v>
      </c>
      <c r="E217" s="890">
        <v>18556</v>
      </c>
      <c r="F217" s="890">
        <v>20</v>
      </c>
      <c r="G217" s="890">
        <v>145</v>
      </c>
      <c r="H217" s="890">
        <v>0</v>
      </c>
      <c r="I217" s="890">
        <v>0</v>
      </c>
      <c r="J217" s="890">
        <v>61647</v>
      </c>
      <c r="K217" s="890">
        <v>115866</v>
      </c>
      <c r="L217" s="890">
        <v>58677</v>
      </c>
      <c r="M217" s="890">
        <v>99567</v>
      </c>
      <c r="N217" s="890">
        <v>5425</v>
      </c>
      <c r="O217" s="890">
        <v>10849</v>
      </c>
      <c r="P217" s="890">
        <v>7016</v>
      </c>
      <c r="Q217" s="890">
        <v>13602</v>
      </c>
      <c r="R217" s="890">
        <v>0</v>
      </c>
      <c r="S217" s="890">
        <v>0</v>
      </c>
      <c r="T217" s="890">
        <v>0</v>
      </c>
      <c r="U217" s="890">
        <v>0</v>
      </c>
      <c r="V217" s="890">
        <v>0</v>
      </c>
      <c r="W217" s="890">
        <v>0</v>
      </c>
      <c r="X217" s="890">
        <v>0</v>
      </c>
      <c r="Y217" s="890">
        <v>0</v>
      </c>
      <c r="Z217" s="890">
        <v>125</v>
      </c>
      <c r="AA217" s="890">
        <v>624</v>
      </c>
      <c r="AB217" s="890">
        <v>46</v>
      </c>
      <c r="AC217" s="890">
        <v>180</v>
      </c>
      <c r="AD217" s="879">
        <f t="shared" si="47"/>
        <v>77983</v>
      </c>
      <c r="AE217" s="879">
        <f t="shared" si="42"/>
        <v>195082</v>
      </c>
      <c r="AF217" s="879">
        <f t="shared" si="43"/>
        <v>69246</v>
      </c>
      <c r="AG217" s="884">
        <f t="shared" si="44"/>
        <v>-11.2</v>
      </c>
      <c r="AH217" s="879">
        <f t="shared" si="45"/>
        <v>131905</v>
      </c>
      <c r="AI217" s="884">
        <f t="shared" si="46"/>
        <v>-32.4</v>
      </c>
    </row>
    <row r="218" spans="1:35" ht="19.5" hidden="1" customHeight="1">
      <c r="A218" s="876" t="s">
        <v>68</v>
      </c>
      <c r="B218" s="890">
        <v>4998</v>
      </c>
      <c r="C218" s="890">
        <v>39911</v>
      </c>
      <c r="D218" s="890">
        <v>4353</v>
      </c>
      <c r="E218" s="890">
        <v>34062</v>
      </c>
      <c r="F218" s="890">
        <v>603</v>
      </c>
      <c r="G218" s="890">
        <v>17928</v>
      </c>
      <c r="H218" s="890">
        <v>504</v>
      </c>
      <c r="I218" s="890">
        <v>15655</v>
      </c>
      <c r="J218" s="890">
        <v>25452</v>
      </c>
      <c r="K218" s="890">
        <v>100198</v>
      </c>
      <c r="L218" s="890">
        <v>11279</v>
      </c>
      <c r="M218" s="890">
        <v>65587</v>
      </c>
      <c r="N218" s="890">
        <v>143</v>
      </c>
      <c r="O218" s="890">
        <v>991</v>
      </c>
      <c r="P218" s="890">
        <v>442</v>
      </c>
      <c r="Q218" s="890">
        <v>1298</v>
      </c>
      <c r="R218" s="890">
        <v>503</v>
      </c>
      <c r="S218" s="890">
        <v>2027</v>
      </c>
      <c r="T218" s="890">
        <v>541</v>
      </c>
      <c r="U218" s="890">
        <v>2102</v>
      </c>
      <c r="V218" s="890">
        <v>13</v>
      </c>
      <c r="W218" s="890">
        <v>346</v>
      </c>
      <c r="X218" s="890">
        <v>18</v>
      </c>
      <c r="Y218" s="890">
        <v>444</v>
      </c>
      <c r="Z218" s="890">
        <v>188</v>
      </c>
      <c r="AA218" s="890">
        <v>14612</v>
      </c>
      <c r="AB218" s="890">
        <v>337</v>
      </c>
      <c r="AC218" s="890">
        <v>12346</v>
      </c>
      <c r="AD218" s="879">
        <f t="shared" si="47"/>
        <v>31900</v>
      </c>
      <c r="AE218" s="879">
        <f t="shared" si="42"/>
        <v>176013</v>
      </c>
      <c r="AF218" s="879">
        <f t="shared" si="43"/>
        <v>17474</v>
      </c>
      <c r="AG218" s="884">
        <f t="shared" si="44"/>
        <v>-45.2</v>
      </c>
      <c r="AH218" s="879">
        <f t="shared" si="45"/>
        <v>131494</v>
      </c>
      <c r="AI218" s="884">
        <f t="shared" si="46"/>
        <v>-25.3</v>
      </c>
    </row>
    <row r="219" spans="1:35" ht="19.5" hidden="1" customHeight="1">
      <c r="A219" s="876" t="s">
        <v>57</v>
      </c>
      <c r="B219" s="890">
        <v>13164</v>
      </c>
      <c r="C219" s="890">
        <v>117919</v>
      </c>
      <c r="D219" s="890">
        <v>13782</v>
      </c>
      <c r="E219" s="890">
        <v>106340</v>
      </c>
      <c r="F219" s="890">
        <v>299</v>
      </c>
      <c r="G219" s="890">
        <v>418</v>
      </c>
      <c r="H219" s="890">
        <v>40</v>
      </c>
      <c r="I219" s="890">
        <v>240</v>
      </c>
      <c r="J219" s="890">
        <v>18076</v>
      </c>
      <c r="K219" s="890">
        <v>32632</v>
      </c>
      <c r="L219" s="890">
        <v>18443</v>
      </c>
      <c r="M219" s="890">
        <v>32998</v>
      </c>
      <c r="N219" s="890">
        <v>501</v>
      </c>
      <c r="O219" s="890">
        <v>980</v>
      </c>
      <c r="P219" s="890">
        <v>40</v>
      </c>
      <c r="Q219" s="890">
        <v>75</v>
      </c>
      <c r="R219" s="890">
        <v>21</v>
      </c>
      <c r="S219" s="890">
        <v>54</v>
      </c>
      <c r="T219" s="890">
        <v>0</v>
      </c>
      <c r="U219" s="890">
        <v>13</v>
      </c>
      <c r="V219" s="890">
        <v>9</v>
      </c>
      <c r="W219" s="890">
        <v>305</v>
      </c>
      <c r="X219" s="890">
        <v>5</v>
      </c>
      <c r="Y219" s="890">
        <v>156</v>
      </c>
      <c r="Z219" s="890">
        <v>411</v>
      </c>
      <c r="AA219" s="890">
        <v>5403</v>
      </c>
      <c r="AB219" s="890">
        <v>823</v>
      </c>
      <c r="AC219" s="890">
        <v>5298</v>
      </c>
      <c r="AD219" s="879">
        <f t="shared" si="47"/>
        <v>32481</v>
      </c>
      <c r="AE219" s="879">
        <f t="shared" si="42"/>
        <v>157711</v>
      </c>
      <c r="AF219" s="879">
        <f t="shared" si="43"/>
        <v>33133</v>
      </c>
      <c r="AG219" s="884">
        <f t="shared" si="44"/>
        <v>2</v>
      </c>
      <c r="AH219" s="879">
        <f t="shared" si="45"/>
        <v>145120</v>
      </c>
      <c r="AI219" s="884">
        <f t="shared" si="46"/>
        <v>-8</v>
      </c>
    </row>
    <row r="220" spans="1:35" ht="19.5" hidden="1" customHeight="1">
      <c r="A220" s="876" t="s">
        <v>58</v>
      </c>
      <c r="B220" s="890">
        <v>5181</v>
      </c>
      <c r="C220" s="890">
        <v>29168</v>
      </c>
      <c r="D220" s="890">
        <v>7221</v>
      </c>
      <c r="E220" s="890">
        <v>36626</v>
      </c>
      <c r="F220" s="890">
        <v>0</v>
      </c>
      <c r="G220" s="890">
        <v>15</v>
      </c>
      <c r="H220" s="890">
        <v>661</v>
      </c>
      <c r="I220" s="890">
        <v>5745</v>
      </c>
      <c r="J220" s="890">
        <v>3693</v>
      </c>
      <c r="K220" s="890">
        <v>6190</v>
      </c>
      <c r="L220" s="890">
        <v>4511</v>
      </c>
      <c r="M220" s="890">
        <v>6734</v>
      </c>
      <c r="N220" s="890">
        <v>140</v>
      </c>
      <c r="O220" s="890">
        <v>1532</v>
      </c>
      <c r="P220" s="890">
        <v>141</v>
      </c>
      <c r="Q220" s="890">
        <v>1232</v>
      </c>
      <c r="R220" s="890">
        <v>18</v>
      </c>
      <c r="S220" s="890">
        <v>7</v>
      </c>
      <c r="T220" s="890">
        <v>0</v>
      </c>
      <c r="U220" s="890">
        <v>0</v>
      </c>
      <c r="V220" s="890">
        <v>4350</v>
      </c>
      <c r="W220" s="890">
        <v>89698</v>
      </c>
      <c r="X220" s="890">
        <v>5085</v>
      </c>
      <c r="Y220" s="890">
        <v>84279</v>
      </c>
      <c r="Z220" s="890">
        <v>92</v>
      </c>
      <c r="AA220" s="890">
        <v>363</v>
      </c>
      <c r="AB220" s="890">
        <v>203</v>
      </c>
      <c r="AC220" s="890">
        <v>507</v>
      </c>
      <c r="AD220" s="879">
        <f t="shared" si="47"/>
        <v>13474</v>
      </c>
      <c r="AE220" s="879">
        <f t="shared" si="42"/>
        <v>126973</v>
      </c>
      <c r="AF220" s="879">
        <f t="shared" si="43"/>
        <v>17822</v>
      </c>
      <c r="AG220" s="884">
        <f t="shared" si="44"/>
        <v>32.299999999999997</v>
      </c>
      <c r="AH220" s="879">
        <f t="shared" si="45"/>
        <v>135123</v>
      </c>
      <c r="AI220" s="884">
        <f t="shared" si="46"/>
        <v>6.4</v>
      </c>
    </row>
    <row r="221" spans="1:35" ht="19.5" hidden="1" customHeight="1">
      <c r="A221" s="876" t="s">
        <v>63</v>
      </c>
      <c r="B221" s="890">
        <v>14688</v>
      </c>
      <c r="C221" s="890">
        <v>84144</v>
      </c>
      <c r="D221" s="890">
        <v>9687</v>
      </c>
      <c r="E221" s="890">
        <v>50483</v>
      </c>
      <c r="F221" s="890">
        <v>0</v>
      </c>
      <c r="G221" s="890">
        <v>0</v>
      </c>
      <c r="H221" s="890">
        <v>0</v>
      </c>
      <c r="I221" s="890">
        <v>0</v>
      </c>
      <c r="J221" s="890">
        <v>37763</v>
      </c>
      <c r="K221" s="890">
        <v>66115</v>
      </c>
      <c r="L221" s="890">
        <v>31578</v>
      </c>
      <c r="M221" s="890">
        <v>45143</v>
      </c>
      <c r="N221" s="890">
        <v>3626</v>
      </c>
      <c r="O221" s="890">
        <v>7183</v>
      </c>
      <c r="P221" s="890">
        <v>1226</v>
      </c>
      <c r="Q221" s="890">
        <v>2344</v>
      </c>
      <c r="R221" s="890">
        <v>0</v>
      </c>
      <c r="S221" s="890">
        <v>0</v>
      </c>
      <c r="T221" s="890">
        <v>0</v>
      </c>
      <c r="U221" s="890">
        <v>0</v>
      </c>
      <c r="V221" s="890">
        <v>0</v>
      </c>
      <c r="W221" s="890">
        <v>0</v>
      </c>
      <c r="X221" s="890">
        <v>0</v>
      </c>
      <c r="Y221" s="890">
        <v>0</v>
      </c>
      <c r="Z221" s="890">
        <v>0</v>
      </c>
      <c r="AA221" s="890">
        <v>0</v>
      </c>
      <c r="AB221" s="890">
        <v>29</v>
      </c>
      <c r="AC221" s="890">
        <v>158</v>
      </c>
      <c r="AD221" s="879">
        <f t="shared" si="47"/>
        <v>56077</v>
      </c>
      <c r="AE221" s="879">
        <f t="shared" si="42"/>
        <v>157442</v>
      </c>
      <c r="AF221" s="879">
        <f t="shared" si="43"/>
        <v>42520</v>
      </c>
      <c r="AG221" s="884">
        <f t="shared" si="44"/>
        <v>-24.2</v>
      </c>
      <c r="AH221" s="879">
        <f t="shared" si="45"/>
        <v>98128</v>
      </c>
      <c r="AI221" s="884">
        <f t="shared" si="46"/>
        <v>-37.700000000000003</v>
      </c>
    </row>
    <row r="222" spans="1:35" ht="19.5" hidden="1" customHeight="1">
      <c r="A222" s="876" t="s">
        <v>55</v>
      </c>
      <c r="B222" s="890">
        <v>3601</v>
      </c>
      <c r="C222" s="890">
        <v>23481</v>
      </c>
      <c r="D222" s="890">
        <v>7871</v>
      </c>
      <c r="E222" s="890">
        <v>43845</v>
      </c>
      <c r="F222" s="890">
        <v>0</v>
      </c>
      <c r="G222" s="890">
        <v>4</v>
      </c>
      <c r="H222" s="890">
        <v>0</v>
      </c>
      <c r="I222" s="890">
        <v>1</v>
      </c>
      <c r="J222" s="890">
        <v>58065</v>
      </c>
      <c r="K222" s="890">
        <v>94405</v>
      </c>
      <c r="L222" s="890">
        <v>55191</v>
      </c>
      <c r="M222" s="890">
        <v>83458</v>
      </c>
      <c r="N222" s="890">
        <v>120</v>
      </c>
      <c r="O222" s="890">
        <v>260</v>
      </c>
      <c r="P222" s="890">
        <v>143</v>
      </c>
      <c r="Q222" s="890">
        <v>242</v>
      </c>
      <c r="R222" s="890">
        <v>90</v>
      </c>
      <c r="S222" s="890">
        <v>201</v>
      </c>
      <c r="T222" s="890">
        <v>25</v>
      </c>
      <c r="U222" s="890">
        <v>9</v>
      </c>
      <c r="V222" s="890">
        <v>603</v>
      </c>
      <c r="W222" s="890">
        <v>12977</v>
      </c>
      <c r="X222" s="890">
        <v>780</v>
      </c>
      <c r="Y222" s="890">
        <v>14972</v>
      </c>
      <c r="Z222" s="890">
        <v>25</v>
      </c>
      <c r="AA222" s="890">
        <v>544</v>
      </c>
      <c r="AB222" s="890">
        <v>22</v>
      </c>
      <c r="AC222" s="890">
        <v>33</v>
      </c>
      <c r="AD222" s="879">
        <f t="shared" si="47"/>
        <v>62504</v>
      </c>
      <c r="AE222" s="879">
        <f t="shared" si="42"/>
        <v>131872</v>
      </c>
      <c r="AF222" s="879">
        <f t="shared" si="43"/>
        <v>64032</v>
      </c>
      <c r="AG222" s="884">
        <f t="shared" si="44"/>
        <v>2.4</v>
      </c>
      <c r="AH222" s="879">
        <f t="shared" si="45"/>
        <v>142560</v>
      </c>
      <c r="AI222" s="884">
        <f t="shared" si="46"/>
        <v>8.1</v>
      </c>
    </row>
    <row r="223" spans="1:35" ht="19.5" hidden="1" customHeight="1">
      <c r="A223" s="876" t="s">
        <v>51</v>
      </c>
      <c r="B223" s="890">
        <v>3477</v>
      </c>
      <c r="C223" s="890">
        <v>22898</v>
      </c>
      <c r="D223" s="890">
        <v>5126</v>
      </c>
      <c r="E223" s="890">
        <v>32985</v>
      </c>
      <c r="F223" s="890">
        <v>48</v>
      </c>
      <c r="G223" s="890">
        <v>264</v>
      </c>
      <c r="H223" s="890">
        <v>102</v>
      </c>
      <c r="I223" s="890">
        <v>161</v>
      </c>
      <c r="J223" s="890">
        <v>43556</v>
      </c>
      <c r="K223" s="890">
        <v>96712</v>
      </c>
      <c r="L223" s="890">
        <v>35021</v>
      </c>
      <c r="M223" s="890">
        <v>86774</v>
      </c>
      <c r="N223" s="890">
        <v>4</v>
      </c>
      <c r="O223" s="890">
        <v>8</v>
      </c>
      <c r="P223" s="890">
        <v>9</v>
      </c>
      <c r="Q223" s="890">
        <v>16</v>
      </c>
      <c r="R223" s="890">
        <v>1199</v>
      </c>
      <c r="S223" s="890">
        <v>2675</v>
      </c>
      <c r="T223" s="890">
        <v>1503</v>
      </c>
      <c r="U223" s="890">
        <v>3084</v>
      </c>
      <c r="V223" s="890">
        <v>69</v>
      </c>
      <c r="W223" s="890">
        <v>1351</v>
      </c>
      <c r="X223" s="890">
        <v>2</v>
      </c>
      <c r="Y223" s="890">
        <v>32</v>
      </c>
      <c r="Z223" s="890">
        <v>740</v>
      </c>
      <c r="AA223" s="890">
        <v>4057</v>
      </c>
      <c r="AB223" s="890">
        <v>261</v>
      </c>
      <c r="AC223" s="890">
        <v>3435</v>
      </c>
      <c r="AD223" s="879">
        <f t="shared" si="47"/>
        <v>49093</v>
      </c>
      <c r="AE223" s="879">
        <f t="shared" si="42"/>
        <v>127965</v>
      </c>
      <c r="AF223" s="879">
        <f t="shared" si="43"/>
        <v>42024</v>
      </c>
      <c r="AG223" s="884">
        <f t="shared" si="44"/>
        <v>-14.4</v>
      </c>
      <c r="AH223" s="879">
        <f t="shared" si="45"/>
        <v>126487</v>
      </c>
      <c r="AI223" s="884">
        <f t="shared" si="46"/>
        <v>-1.2</v>
      </c>
    </row>
    <row r="224" spans="1:35" ht="19.5" hidden="1" customHeight="1">
      <c r="A224" s="876" t="s">
        <v>72</v>
      </c>
      <c r="B224" s="890">
        <v>5534</v>
      </c>
      <c r="C224" s="890">
        <v>24114</v>
      </c>
      <c r="D224" s="890">
        <v>3666</v>
      </c>
      <c r="E224" s="890">
        <v>15937</v>
      </c>
      <c r="F224" s="890">
        <v>2901</v>
      </c>
      <c r="G224" s="890">
        <v>35284</v>
      </c>
      <c r="H224" s="890">
        <v>2597</v>
      </c>
      <c r="I224" s="890">
        <v>34931</v>
      </c>
      <c r="J224" s="890">
        <v>35288</v>
      </c>
      <c r="K224" s="890">
        <v>69252</v>
      </c>
      <c r="L224" s="890">
        <v>11750</v>
      </c>
      <c r="M224" s="890">
        <v>17360</v>
      </c>
      <c r="N224" s="890">
        <v>0</v>
      </c>
      <c r="O224" s="890">
        <v>0</v>
      </c>
      <c r="P224" s="890">
        <v>0</v>
      </c>
      <c r="Q224" s="890">
        <v>0</v>
      </c>
      <c r="R224" s="890">
        <v>487</v>
      </c>
      <c r="S224" s="890">
        <v>1489</v>
      </c>
      <c r="T224" s="890">
        <v>981</v>
      </c>
      <c r="U224" s="890">
        <v>2000</v>
      </c>
      <c r="V224" s="890">
        <v>0</v>
      </c>
      <c r="W224" s="890">
        <v>2</v>
      </c>
      <c r="X224" s="890">
        <v>0</v>
      </c>
      <c r="Y224" s="890">
        <v>29</v>
      </c>
      <c r="Z224" s="890">
        <v>261</v>
      </c>
      <c r="AA224" s="890">
        <v>1718</v>
      </c>
      <c r="AB224" s="890">
        <v>108</v>
      </c>
      <c r="AC224" s="890">
        <v>4994</v>
      </c>
      <c r="AD224" s="879">
        <f t="shared" si="47"/>
        <v>44471</v>
      </c>
      <c r="AE224" s="879">
        <f t="shared" si="42"/>
        <v>131859</v>
      </c>
      <c r="AF224" s="879">
        <f t="shared" si="43"/>
        <v>19102</v>
      </c>
      <c r="AG224" s="884">
        <f t="shared" si="44"/>
        <v>-57</v>
      </c>
      <c r="AH224" s="879">
        <f t="shared" si="45"/>
        <v>75251</v>
      </c>
      <c r="AI224" s="884">
        <f t="shared" si="46"/>
        <v>-42.9</v>
      </c>
    </row>
    <row r="225" spans="1:35" ht="19.5" hidden="1" customHeight="1">
      <c r="A225" s="876" t="s">
        <v>87</v>
      </c>
      <c r="B225" s="890">
        <v>2125</v>
      </c>
      <c r="C225" s="890">
        <v>12299</v>
      </c>
      <c r="D225" s="890">
        <v>1375</v>
      </c>
      <c r="E225" s="890">
        <v>6838</v>
      </c>
      <c r="F225" s="890">
        <v>0</v>
      </c>
      <c r="G225" s="890">
        <v>0</v>
      </c>
      <c r="H225" s="890">
        <v>0</v>
      </c>
      <c r="I225" s="890">
        <v>0</v>
      </c>
      <c r="J225" s="890">
        <v>44309</v>
      </c>
      <c r="K225" s="890">
        <v>92156</v>
      </c>
      <c r="L225" s="890">
        <v>37426</v>
      </c>
      <c r="M225" s="890">
        <v>70170</v>
      </c>
      <c r="N225" s="890">
        <v>3229</v>
      </c>
      <c r="O225" s="890">
        <v>3555</v>
      </c>
      <c r="P225" s="890">
        <v>0</v>
      </c>
      <c r="Q225" s="890">
        <v>0</v>
      </c>
      <c r="R225" s="890">
        <v>0</v>
      </c>
      <c r="S225" s="890">
        <v>0</v>
      </c>
      <c r="T225" s="890">
        <v>0</v>
      </c>
      <c r="U225" s="890">
        <v>0</v>
      </c>
      <c r="V225" s="890">
        <v>0</v>
      </c>
      <c r="W225" s="890">
        <v>0</v>
      </c>
      <c r="X225" s="890">
        <v>0</v>
      </c>
      <c r="Y225" s="890">
        <v>0</v>
      </c>
      <c r="Z225" s="890">
        <v>11</v>
      </c>
      <c r="AA225" s="890">
        <v>55</v>
      </c>
      <c r="AB225" s="890">
        <v>0</v>
      </c>
      <c r="AC225" s="890">
        <v>0</v>
      </c>
      <c r="AD225" s="879">
        <f t="shared" si="47"/>
        <v>49674</v>
      </c>
      <c r="AE225" s="879">
        <f t="shared" si="42"/>
        <v>108065</v>
      </c>
      <c r="AF225" s="879">
        <f t="shared" si="43"/>
        <v>38801</v>
      </c>
      <c r="AG225" s="884">
        <f t="shared" si="44"/>
        <v>-21.9</v>
      </c>
      <c r="AH225" s="879">
        <f t="shared" si="45"/>
        <v>77008</v>
      </c>
      <c r="AI225" s="884">
        <f t="shared" si="46"/>
        <v>-28.7</v>
      </c>
    </row>
    <row r="226" spans="1:35" ht="19.5" hidden="1" customHeight="1">
      <c r="A226" s="876" t="s">
        <v>59</v>
      </c>
      <c r="B226" s="890">
        <v>13814</v>
      </c>
      <c r="C226" s="890">
        <v>85034</v>
      </c>
      <c r="D226" s="890">
        <v>10973</v>
      </c>
      <c r="E226" s="890">
        <v>64881</v>
      </c>
      <c r="F226" s="890">
        <v>472</v>
      </c>
      <c r="G226" s="890">
        <v>357</v>
      </c>
      <c r="H226" s="890">
        <v>23</v>
      </c>
      <c r="I226" s="890">
        <v>283</v>
      </c>
      <c r="J226" s="890">
        <v>12015</v>
      </c>
      <c r="K226" s="890">
        <v>16030</v>
      </c>
      <c r="L226" s="890">
        <v>8647</v>
      </c>
      <c r="M226" s="890">
        <v>10440</v>
      </c>
      <c r="N226" s="890">
        <v>1402</v>
      </c>
      <c r="O226" s="890">
        <v>2693</v>
      </c>
      <c r="P226" s="890">
        <v>1091</v>
      </c>
      <c r="Q226" s="890">
        <v>1972</v>
      </c>
      <c r="R226" s="890">
        <v>85</v>
      </c>
      <c r="S226" s="890">
        <v>164</v>
      </c>
      <c r="T226" s="890">
        <v>7</v>
      </c>
      <c r="U226" s="890">
        <v>15</v>
      </c>
      <c r="V226" s="890">
        <v>42</v>
      </c>
      <c r="W226" s="890">
        <v>579</v>
      </c>
      <c r="X226" s="890">
        <v>1</v>
      </c>
      <c r="Y226" s="890">
        <v>41</v>
      </c>
      <c r="Z226" s="890">
        <v>25</v>
      </c>
      <c r="AA226" s="890">
        <v>260</v>
      </c>
      <c r="AB226" s="890">
        <v>7</v>
      </c>
      <c r="AC226" s="890">
        <v>140</v>
      </c>
      <c r="AD226" s="879">
        <f t="shared" si="47"/>
        <v>27855</v>
      </c>
      <c r="AE226" s="879">
        <f t="shared" si="42"/>
        <v>105117</v>
      </c>
      <c r="AF226" s="879">
        <f t="shared" si="43"/>
        <v>20749</v>
      </c>
      <c r="AG226" s="884">
        <f t="shared" si="44"/>
        <v>-25.5</v>
      </c>
      <c r="AH226" s="879">
        <f t="shared" si="45"/>
        <v>77772</v>
      </c>
      <c r="AI226" s="884">
        <f t="shared" si="46"/>
        <v>-26</v>
      </c>
    </row>
    <row r="227" spans="1:35" ht="19.5" hidden="1" customHeight="1">
      <c r="A227" s="876" t="s">
        <v>90</v>
      </c>
      <c r="B227" s="890">
        <v>264</v>
      </c>
      <c r="C227" s="890">
        <v>1706</v>
      </c>
      <c r="D227" s="890">
        <v>529</v>
      </c>
      <c r="E227" s="890">
        <v>2832</v>
      </c>
      <c r="F227" s="890">
        <v>0</v>
      </c>
      <c r="G227" s="890">
        <v>0</v>
      </c>
      <c r="H227" s="890">
        <v>0</v>
      </c>
      <c r="I227" s="890">
        <v>0</v>
      </c>
      <c r="J227" s="890">
        <v>42365</v>
      </c>
      <c r="K227" s="890">
        <v>89250</v>
      </c>
      <c r="L227" s="890">
        <v>27205</v>
      </c>
      <c r="M227" s="890">
        <v>49008</v>
      </c>
      <c r="N227" s="890">
        <v>0</v>
      </c>
      <c r="O227" s="890">
        <v>0</v>
      </c>
      <c r="P227" s="890">
        <v>0</v>
      </c>
      <c r="Q227" s="890">
        <v>0</v>
      </c>
      <c r="R227" s="890">
        <v>0</v>
      </c>
      <c r="S227" s="890">
        <v>0</v>
      </c>
      <c r="T227" s="890">
        <v>0</v>
      </c>
      <c r="U227" s="890">
        <v>0</v>
      </c>
      <c r="V227" s="890">
        <v>0</v>
      </c>
      <c r="W227" s="890">
        <v>0</v>
      </c>
      <c r="X227" s="890">
        <v>0</v>
      </c>
      <c r="Y227" s="890">
        <v>0</v>
      </c>
      <c r="Z227" s="890">
        <v>0</v>
      </c>
      <c r="AA227" s="890">
        <v>0</v>
      </c>
      <c r="AB227" s="890">
        <v>0</v>
      </c>
      <c r="AC227" s="890">
        <v>0</v>
      </c>
      <c r="AD227" s="879">
        <f t="shared" si="47"/>
        <v>42629</v>
      </c>
      <c r="AE227" s="879">
        <f t="shared" si="42"/>
        <v>90956</v>
      </c>
      <c r="AF227" s="879">
        <f t="shared" si="43"/>
        <v>27734</v>
      </c>
      <c r="AG227" s="884">
        <f t="shared" si="44"/>
        <v>-34.9</v>
      </c>
      <c r="AH227" s="879">
        <f t="shared" si="45"/>
        <v>51840</v>
      </c>
      <c r="AI227" s="884">
        <f t="shared" si="46"/>
        <v>-43</v>
      </c>
    </row>
    <row r="228" spans="1:35" ht="19.5" hidden="1" customHeight="1">
      <c r="A228" s="876" t="s">
        <v>76</v>
      </c>
      <c r="B228" s="890">
        <v>182</v>
      </c>
      <c r="C228" s="890">
        <v>1932</v>
      </c>
      <c r="D228" s="890">
        <v>94</v>
      </c>
      <c r="E228" s="890">
        <v>1997</v>
      </c>
      <c r="F228" s="890">
        <v>597</v>
      </c>
      <c r="G228" s="890">
        <v>13930</v>
      </c>
      <c r="H228" s="890">
        <v>764</v>
      </c>
      <c r="I228" s="890">
        <v>16437</v>
      </c>
      <c r="J228" s="890">
        <v>3823</v>
      </c>
      <c r="K228" s="890">
        <v>46683</v>
      </c>
      <c r="L228" s="890">
        <v>3602</v>
      </c>
      <c r="M228" s="890">
        <v>43154</v>
      </c>
      <c r="N228" s="890">
        <v>127</v>
      </c>
      <c r="O228" s="890">
        <v>238</v>
      </c>
      <c r="P228" s="890">
        <v>151</v>
      </c>
      <c r="Q228" s="890">
        <v>277</v>
      </c>
      <c r="R228" s="890">
        <v>376</v>
      </c>
      <c r="S228" s="890">
        <v>1827</v>
      </c>
      <c r="T228" s="890">
        <v>352</v>
      </c>
      <c r="U228" s="890">
        <v>1578</v>
      </c>
      <c r="V228" s="890">
        <v>12</v>
      </c>
      <c r="W228" s="890">
        <v>290</v>
      </c>
      <c r="X228" s="890">
        <v>14</v>
      </c>
      <c r="Y228" s="890">
        <v>320</v>
      </c>
      <c r="Z228" s="890">
        <v>79</v>
      </c>
      <c r="AA228" s="890">
        <v>6332</v>
      </c>
      <c r="AB228" s="890">
        <v>50</v>
      </c>
      <c r="AC228" s="890">
        <v>4989</v>
      </c>
      <c r="AD228" s="879">
        <f t="shared" si="47"/>
        <v>5196</v>
      </c>
      <c r="AE228" s="879">
        <f t="shared" si="42"/>
        <v>71232</v>
      </c>
      <c r="AF228" s="879">
        <f t="shared" si="43"/>
        <v>5027</v>
      </c>
      <c r="AG228" s="884">
        <f t="shared" si="44"/>
        <v>-3.3</v>
      </c>
      <c r="AH228" s="879">
        <f t="shared" si="45"/>
        <v>68752</v>
      </c>
      <c r="AI228" s="884">
        <f t="shared" si="46"/>
        <v>-3.5</v>
      </c>
    </row>
    <row r="229" spans="1:35" ht="19.5" hidden="1" customHeight="1">
      <c r="A229" s="876" t="s">
        <v>91</v>
      </c>
      <c r="B229" s="890">
        <v>585</v>
      </c>
      <c r="C229" s="890">
        <v>3357</v>
      </c>
      <c r="D229" s="890">
        <v>438</v>
      </c>
      <c r="E229" s="890">
        <v>2357</v>
      </c>
      <c r="F229" s="890">
        <v>0</v>
      </c>
      <c r="G229" s="890">
        <v>0</v>
      </c>
      <c r="H229" s="890">
        <v>0</v>
      </c>
      <c r="I229" s="890">
        <v>0</v>
      </c>
      <c r="J229" s="890">
        <v>24301</v>
      </c>
      <c r="K229" s="890">
        <v>51756</v>
      </c>
      <c r="L229" s="890">
        <v>32018</v>
      </c>
      <c r="M229" s="890">
        <v>59225</v>
      </c>
      <c r="N229" s="890">
        <v>0</v>
      </c>
      <c r="O229" s="890">
        <v>0</v>
      </c>
      <c r="P229" s="890">
        <v>0</v>
      </c>
      <c r="Q229" s="890">
        <v>0</v>
      </c>
      <c r="R229" s="890">
        <v>0</v>
      </c>
      <c r="S229" s="890">
        <v>0</v>
      </c>
      <c r="T229" s="890">
        <v>0</v>
      </c>
      <c r="U229" s="890">
        <v>0</v>
      </c>
      <c r="V229" s="890">
        <v>0</v>
      </c>
      <c r="W229" s="890">
        <v>0</v>
      </c>
      <c r="X229" s="890">
        <v>0</v>
      </c>
      <c r="Y229" s="890">
        <v>0</v>
      </c>
      <c r="Z229" s="890">
        <v>0</v>
      </c>
      <c r="AA229" s="890">
        <v>0</v>
      </c>
      <c r="AB229" s="890">
        <v>0</v>
      </c>
      <c r="AC229" s="890">
        <v>0</v>
      </c>
      <c r="AD229" s="879">
        <f t="shared" si="47"/>
        <v>24886</v>
      </c>
      <c r="AE229" s="879">
        <f t="shared" si="42"/>
        <v>55113</v>
      </c>
      <c r="AF229" s="879">
        <f t="shared" si="43"/>
        <v>32456</v>
      </c>
      <c r="AG229" s="884">
        <f t="shared" si="44"/>
        <v>30.4</v>
      </c>
      <c r="AH229" s="879">
        <f t="shared" si="45"/>
        <v>61582</v>
      </c>
      <c r="AI229" s="884">
        <f t="shared" si="46"/>
        <v>11.7</v>
      </c>
    </row>
    <row r="230" spans="1:35" ht="19.5" hidden="1" customHeight="1">
      <c r="A230" s="876" t="s">
        <v>308</v>
      </c>
      <c r="B230" s="890">
        <v>0</v>
      </c>
      <c r="C230" s="890">
        <v>0</v>
      </c>
      <c r="D230" s="890">
        <v>0</v>
      </c>
      <c r="E230" s="890">
        <v>0</v>
      </c>
      <c r="F230" s="890">
        <v>4018</v>
      </c>
      <c r="G230" s="890">
        <v>49152</v>
      </c>
      <c r="H230" s="890">
        <v>3202</v>
      </c>
      <c r="I230" s="890">
        <v>44378</v>
      </c>
      <c r="J230" s="890">
        <v>0</v>
      </c>
      <c r="K230" s="890">
        <v>0</v>
      </c>
      <c r="L230" s="890">
        <v>0</v>
      </c>
      <c r="M230" s="890">
        <v>0</v>
      </c>
      <c r="N230" s="890">
        <v>0</v>
      </c>
      <c r="O230" s="890">
        <v>0</v>
      </c>
      <c r="P230" s="890">
        <v>0</v>
      </c>
      <c r="Q230" s="890">
        <v>0</v>
      </c>
      <c r="R230" s="890">
        <v>0</v>
      </c>
      <c r="S230" s="890">
        <v>0</v>
      </c>
      <c r="T230" s="890">
        <v>0</v>
      </c>
      <c r="U230" s="890">
        <v>0</v>
      </c>
      <c r="V230" s="890">
        <v>0</v>
      </c>
      <c r="W230" s="890">
        <v>0</v>
      </c>
      <c r="X230" s="890">
        <v>0</v>
      </c>
      <c r="Y230" s="890">
        <v>0</v>
      </c>
      <c r="Z230" s="890">
        <v>0</v>
      </c>
      <c r="AA230" s="890">
        <v>0</v>
      </c>
      <c r="AB230" s="890">
        <v>0</v>
      </c>
      <c r="AC230" s="890">
        <v>0</v>
      </c>
      <c r="AD230" s="879">
        <f t="shared" si="47"/>
        <v>4018</v>
      </c>
      <c r="AE230" s="879">
        <f t="shared" si="42"/>
        <v>49152</v>
      </c>
      <c r="AF230" s="879">
        <f t="shared" si="43"/>
        <v>3202</v>
      </c>
      <c r="AG230" s="884">
        <f t="shared" si="44"/>
        <v>-20.3</v>
      </c>
      <c r="AH230" s="879">
        <f t="shared" si="45"/>
        <v>44378</v>
      </c>
      <c r="AI230" s="884">
        <f t="shared" si="46"/>
        <v>-9.6999999999999993</v>
      </c>
    </row>
    <row r="231" spans="1:35" ht="19.5" hidden="1" customHeight="1">
      <c r="A231" s="876" t="s">
        <v>71</v>
      </c>
      <c r="B231" s="890">
        <v>1573</v>
      </c>
      <c r="C231" s="890">
        <v>11837</v>
      </c>
      <c r="D231" s="890">
        <v>1946</v>
      </c>
      <c r="E231" s="890">
        <v>12246</v>
      </c>
      <c r="F231" s="890">
        <v>161</v>
      </c>
      <c r="G231" s="890">
        <v>4844</v>
      </c>
      <c r="H231" s="890">
        <v>232</v>
      </c>
      <c r="I231" s="890">
        <v>5893</v>
      </c>
      <c r="J231" s="890">
        <v>12880</v>
      </c>
      <c r="K231" s="890">
        <v>23331</v>
      </c>
      <c r="L231" s="890">
        <v>16639</v>
      </c>
      <c r="M231" s="890">
        <v>26664</v>
      </c>
      <c r="N231" s="890">
        <v>2</v>
      </c>
      <c r="O231" s="890">
        <v>16</v>
      </c>
      <c r="P231" s="890">
        <v>3</v>
      </c>
      <c r="Q231" s="890">
        <v>26</v>
      </c>
      <c r="R231" s="890">
        <v>2</v>
      </c>
      <c r="S231" s="890">
        <v>23</v>
      </c>
      <c r="T231" s="890">
        <v>1</v>
      </c>
      <c r="U231" s="890">
        <v>30</v>
      </c>
      <c r="V231" s="890">
        <v>9</v>
      </c>
      <c r="W231" s="890">
        <v>212</v>
      </c>
      <c r="X231" s="890">
        <v>13</v>
      </c>
      <c r="Y231" s="890">
        <v>246</v>
      </c>
      <c r="Z231" s="890">
        <v>389</v>
      </c>
      <c r="AA231" s="890">
        <v>10416</v>
      </c>
      <c r="AB231" s="890">
        <v>489</v>
      </c>
      <c r="AC231" s="890">
        <v>7259</v>
      </c>
      <c r="AD231" s="879">
        <f t="shared" si="47"/>
        <v>15016</v>
      </c>
      <c r="AE231" s="879">
        <f t="shared" si="42"/>
        <v>50679</v>
      </c>
      <c r="AF231" s="879">
        <f t="shared" si="43"/>
        <v>19323</v>
      </c>
      <c r="AG231" s="884">
        <f t="shared" si="44"/>
        <v>28.7</v>
      </c>
      <c r="AH231" s="879">
        <f t="shared" si="45"/>
        <v>52364</v>
      </c>
      <c r="AI231" s="884">
        <f t="shared" si="46"/>
        <v>3.3</v>
      </c>
    </row>
    <row r="232" spans="1:35" ht="19.5" hidden="1" customHeight="1">
      <c r="A232" s="876" t="s">
        <v>88</v>
      </c>
      <c r="B232" s="890">
        <v>6486</v>
      </c>
      <c r="C232" s="890">
        <v>35519</v>
      </c>
      <c r="D232" s="890">
        <v>4453</v>
      </c>
      <c r="E232" s="890">
        <v>22071</v>
      </c>
      <c r="F232" s="890">
        <v>0</v>
      </c>
      <c r="G232" s="890">
        <v>0</v>
      </c>
      <c r="H232" s="890">
        <v>0</v>
      </c>
      <c r="I232" s="890">
        <v>0</v>
      </c>
      <c r="J232" s="890">
        <v>3778</v>
      </c>
      <c r="K232" s="890">
        <v>6259</v>
      </c>
      <c r="L232" s="890">
        <v>1068</v>
      </c>
      <c r="M232" s="890">
        <v>1562</v>
      </c>
      <c r="N232" s="890">
        <v>2801</v>
      </c>
      <c r="O232" s="890">
        <v>5468</v>
      </c>
      <c r="P232" s="890">
        <v>5287</v>
      </c>
      <c r="Q232" s="890">
        <v>9371</v>
      </c>
      <c r="R232" s="890">
        <v>0</v>
      </c>
      <c r="S232" s="890">
        <v>0</v>
      </c>
      <c r="T232" s="890">
        <v>0</v>
      </c>
      <c r="U232" s="890">
        <v>0</v>
      </c>
      <c r="V232" s="890">
        <v>0</v>
      </c>
      <c r="W232" s="890">
        <v>0</v>
      </c>
      <c r="X232" s="890">
        <v>0</v>
      </c>
      <c r="Y232" s="890">
        <v>0</v>
      </c>
      <c r="Z232" s="890">
        <v>0</v>
      </c>
      <c r="AA232" s="890">
        <v>0</v>
      </c>
      <c r="AB232" s="890">
        <v>0</v>
      </c>
      <c r="AC232" s="890">
        <v>0</v>
      </c>
      <c r="AD232" s="879">
        <f t="shared" si="47"/>
        <v>13065</v>
      </c>
      <c r="AE232" s="879">
        <f t="shared" si="42"/>
        <v>47246</v>
      </c>
      <c r="AF232" s="879">
        <f t="shared" si="43"/>
        <v>10808</v>
      </c>
      <c r="AG232" s="884">
        <f t="shared" si="44"/>
        <v>-17.3</v>
      </c>
      <c r="AH232" s="879">
        <f t="shared" si="45"/>
        <v>33004</v>
      </c>
      <c r="AI232" s="884">
        <f t="shared" si="46"/>
        <v>-30.1</v>
      </c>
    </row>
    <row r="233" spans="1:35" ht="19.5" hidden="1" customHeight="1">
      <c r="A233" s="876" t="s">
        <v>65</v>
      </c>
      <c r="B233" s="890">
        <v>3707</v>
      </c>
      <c r="C233" s="890">
        <v>18835</v>
      </c>
      <c r="D233" s="890">
        <v>8545</v>
      </c>
      <c r="E233" s="890">
        <v>33576</v>
      </c>
      <c r="F233" s="890">
        <v>6</v>
      </c>
      <c r="G233" s="890">
        <v>743</v>
      </c>
      <c r="H233" s="890">
        <v>8</v>
      </c>
      <c r="I233" s="890">
        <v>889</v>
      </c>
      <c r="J233" s="890">
        <v>10073</v>
      </c>
      <c r="K233" s="890">
        <v>14124</v>
      </c>
      <c r="L233" s="890">
        <v>20987</v>
      </c>
      <c r="M233" s="890">
        <v>25725</v>
      </c>
      <c r="N233" s="890">
        <v>0</v>
      </c>
      <c r="O233" s="890">
        <v>3</v>
      </c>
      <c r="P233" s="890">
        <v>1017</v>
      </c>
      <c r="Q233" s="890">
        <v>1824</v>
      </c>
      <c r="R233" s="890">
        <v>0</v>
      </c>
      <c r="S233" s="890">
        <v>0</v>
      </c>
      <c r="T233" s="890">
        <v>0</v>
      </c>
      <c r="U233" s="890">
        <v>0</v>
      </c>
      <c r="V233" s="890">
        <v>0</v>
      </c>
      <c r="W233" s="890">
        <v>0</v>
      </c>
      <c r="X233" s="890">
        <v>0</v>
      </c>
      <c r="Y233" s="890">
        <v>0</v>
      </c>
      <c r="Z233" s="890">
        <v>62</v>
      </c>
      <c r="AA233" s="890">
        <v>1261</v>
      </c>
      <c r="AB233" s="890">
        <v>29</v>
      </c>
      <c r="AC233" s="890">
        <v>619</v>
      </c>
      <c r="AD233" s="879">
        <f t="shared" si="47"/>
        <v>13848</v>
      </c>
      <c r="AE233" s="879">
        <f t="shared" si="42"/>
        <v>34966</v>
      </c>
      <c r="AF233" s="879">
        <f t="shared" si="43"/>
        <v>30586</v>
      </c>
      <c r="AG233" s="884">
        <f t="shared" si="44"/>
        <v>120.9</v>
      </c>
      <c r="AH233" s="879">
        <f t="shared" si="45"/>
        <v>62633</v>
      </c>
      <c r="AI233" s="884">
        <f t="shared" si="46"/>
        <v>79.099999999999994</v>
      </c>
    </row>
    <row r="234" spans="1:35" ht="19.5" hidden="1" customHeight="1">
      <c r="A234" s="876" t="s">
        <v>66</v>
      </c>
      <c r="B234" s="890">
        <v>5885</v>
      </c>
      <c r="C234" s="890">
        <v>29664</v>
      </c>
      <c r="D234" s="890">
        <v>6380</v>
      </c>
      <c r="E234" s="890">
        <v>33051</v>
      </c>
      <c r="F234" s="890">
        <v>41</v>
      </c>
      <c r="G234" s="890">
        <v>308</v>
      </c>
      <c r="H234" s="890">
        <v>102</v>
      </c>
      <c r="I234" s="890">
        <v>229</v>
      </c>
      <c r="J234" s="890">
        <v>3215</v>
      </c>
      <c r="K234" s="890">
        <v>5898</v>
      </c>
      <c r="L234" s="890">
        <v>1900</v>
      </c>
      <c r="M234" s="890">
        <v>5758</v>
      </c>
      <c r="N234" s="890">
        <v>2</v>
      </c>
      <c r="O234" s="890">
        <v>337</v>
      </c>
      <c r="P234" s="890">
        <v>362</v>
      </c>
      <c r="Q234" s="890">
        <v>939</v>
      </c>
      <c r="R234" s="890">
        <v>0</v>
      </c>
      <c r="S234" s="890">
        <v>0</v>
      </c>
      <c r="T234" s="890">
        <v>0</v>
      </c>
      <c r="U234" s="890">
        <v>0</v>
      </c>
      <c r="V234" s="890">
        <v>0</v>
      </c>
      <c r="W234" s="890">
        <v>6</v>
      </c>
      <c r="X234" s="890">
        <v>2</v>
      </c>
      <c r="Y234" s="890">
        <v>39</v>
      </c>
      <c r="Z234" s="890">
        <v>674</v>
      </c>
      <c r="AA234" s="890">
        <v>1837</v>
      </c>
      <c r="AB234" s="890">
        <v>119</v>
      </c>
      <c r="AC234" s="890">
        <v>691</v>
      </c>
      <c r="AD234" s="879">
        <f t="shared" si="47"/>
        <v>9817</v>
      </c>
      <c r="AE234" s="879">
        <f t="shared" si="42"/>
        <v>38050</v>
      </c>
      <c r="AF234" s="879">
        <f t="shared" si="43"/>
        <v>8865</v>
      </c>
      <c r="AG234" s="884">
        <f t="shared" si="44"/>
        <v>-9.6999999999999993</v>
      </c>
      <c r="AH234" s="879">
        <f t="shared" si="45"/>
        <v>40707</v>
      </c>
      <c r="AI234" s="884">
        <f t="shared" si="46"/>
        <v>7</v>
      </c>
    </row>
    <row r="235" spans="1:35" ht="19.5" hidden="1" customHeight="1">
      <c r="A235" s="876" t="s">
        <v>89</v>
      </c>
      <c r="B235" s="890">
        <v>2777</v>
      </c>
      <c r="C235" s="890">
        <v>16260</v>
      </c>
      <c r="D235" s="890">
        <v>6439</v>
      </c>
      <c r="E235" s="890">
        <v>9528</v>
      </c>
      <c r="F235" s="890">
        <v>381</v>
      </c>
      <c r="G235" s="890">
        <v>5148</v>
      </c>
      <c r="H235" s="890">
        <v>94</v>
      </c>
      <c r="I235" s="890">
        <v>1480</v>
      </c>
      <c r="J235" s="890">
        <v>4079</v>
      </c>
      <c r="K235" s="890">
        <v>6854</v>
      </c>
      <c r="L235" s="890">
        <v>4591</v>
      </c>
      <c r="M235" s="890">
        <v>7657</v>
      </c>
      <c r="N235" s="890">
        <v>413</v>
      </c>
      <c r="O235" s="890">
        <v>860</v>
      </c>
      <c r="P235" s="890">
        <v>1</v>
      </c>
      <c r="Q235" s="890">
        <v>2</v>
      </c>
      <c r="R235" s="890">
        <v>0</v>
      </c>
      <c r="S235" s="890">
        <v>0</v>
      </c>
      <c r="T235" s="890">
        <v>0</v>
      </c>
      <c r="U235" s="890">
        <v>0</v>
      </c>
      <c r="V235" s="890">
        <v>0</v>
      </c>
      <c r="W235" s="890">
        <v>0</v>
      </c>
      <c r="X235" s="890">
        <v>0</v>
      </c>
      <c r="Y235" s="890">
        <v>0</v>
      </c>
      <c r="Z235" s="890">
        <v>147</v>
      </c>
      <c r="AA235" s="890">
        <v>922</v>
      </c>
      <c r="AB235" s="890">
        <v>82</v>
      </c>
      <c r="AC235" s="890">
        <v>423</v>
      </c>
      <c r="AD235" s="879">
        <f t="shared" si="47"/>
        <v>7797</v>
      </c>
      <c r="AE235" s="879">
        <f t="shared" si="42"/>
        <v>30044</v>
      </c>
      <c r="AF235" s="879">
        <f t="shared" si="43"/>
        <v>11207</v>
      </c>
      <c r="AG235" s="884">
        <f t="shared" si="44"/>
        <v>43.7</v>
      </c>
      <c r="AH235" s="879">
        <f t="shared" si="45"/>
        <v>19090</v>
      </c>
      <c r="AI235" s="884">
        <f t="shared" si="46"/>
        <v>-36.5</v>
      </c>
    </row>
    <row r="236" spans="1:35" ht="19.5" hidden="1" customHeight="1">
      <c r="A236" s="876" t="s">
        <v>309</v>
      </c>
      <c r="B236" s="890">
        <v>1</v>
      </c>
      <c r="C236" s="890">
        <v>42</v>
      </c>
      <c r="D236" s="890">
        <v>5</v>
      </c>
      <c r="E236" s="890">
        <v>56</v>
      </c>
      <c r="F236" s="890">
        <v>2739</v>
      </c>
      <c r="G236" s="890">
        <v>36650</v>
      </c>
      <c r="H236" s="890">
        <v>1969</v>
      </c>
      <c r="I236" s="890">
        <v>26893</v>
      </c>
      <c r="J236" s="890">
        <v>1</v>
      </c>
      <c r="K236" s="890">
        <v>52</v>
      </c>
      <c r="L236" s="890">
        <v>48</v>
      </c>
      <c r="M236" s="890">
        <v>263</v>
      </c>
      <c r="N236" s="890">
        <v>0</v>
      </c>
      <c r="O236" s="890">
        <v>0</v>
      </c>
      <c r="P236" s="890">
        <v>0</v>
      </c>
      <c r="Q236" s="890">
        <v>0</v>
      </c>
      <c r="R236" s="890">
        <v>0</v>
      </c>
      <c r="S236" s="890">
        <v>4</v>
      </c>
      <c r="T236" s="890">
        <v>0</v>
      </c>
      <c r="U236" s="890">
        <v>2</v>
      </c>
      <c r="V236" s="890">
        <v>0</v>
      </c>
      <c r="W236" s="890">
        <v>0</v>
      </c>
      <c r="X236" s="890">
        <v>0</v>
      </c>
      <c r="Y236" s="890">
        <v>0</v>
      </c>
      <c r="Z236" s="890">
        <v>7</v>
      </c>
      <c r="AA236" s="890">
        <v>229</v>
      </c>
      <c r="AB236" s="890">
        <v>4</v>
      </c>
      <c r="AC236" s="890">
        <v>148</v>
      </c>
      <c r="AD236" s="879">
        <f t="shared" si="47"/>
        <v>2748</v>
      </c>
      <c r="AE236" s="879">
        <f t="shared" si="42"/>
        <v>36977</v>
      </c>
      <c r="AF236" s="879">
        <f t="shared" si="43"/>
        <v>2026</v>
      </c>
      <c r="AG236" s="884">
        <f t="shared" si="44"/>
        <v>-26.3</v>
      </c>
      <c r="AH236" s="879">
        <f t="shared" si="45"/>
        <v>27362</v>
      </c>
      <c r="AI236" s="884">
        <f t="shared" si="46"/>
        <v>-26</v>
      </c>
    </row>
    <row r="237" spans="1:35" ht="19.5" hidden="1" customHeight="1">
      <c r="A237" s="876" t="s">
        <v>92</v>
      </c>
      <c r="B237" s="890">
        <v>4616</v>
      </c>
      <c r="C237" s="890">
        <v>25754</v>
      </c>
      <c r="D237" s="890">
        <v>3556</v>
      </c>
      <c r="E237" s="890">
        <v>18188</v>
      </c>
      <c r="F237" s="890">
        <v>0</v>
      </c>
      <c r="G237" s="890">
        <v>1</v>
      </c>
      <c r="H237" s="890">
        <v>0</v>
      </c>
      <c r="I237" s="890">
        <v>13</v>
      </c>
      <c r="J237" s="890">
        <v>4719</v>
      </c>
      <c r="K237" s="890">
        <v>7407</v>
      </c>
      <c r="L237" s="890">
        <v>7095</v>
      </c>
      <c r="M237" s="890">
        <v>10125</v>
      </c>
      <c r="N237" s="890">
        <v>0</v>
      </c>
      <c r="O237" s="890">
        <v>0</v>
      </c>
      <c r="P237" s="890">
        <v>0</v>
      </c>
      <c r="Q237" s="890">
        <v>2</v>
      </c>
      <c r="R237" s="890">
        <v>0</v>
      </c>
      <c r="S237" s="890">
        <v>0</v>
      </c>
      <c r="T237" s="890">
        <v>0</v>
      </c>
      <c r="U237" s="890">
        <v>0</v>
      </c>
      <c r="V237" s="890">
        <v>0</v>
      </c>
      <c r="W237" s="890">
        <v>0</v>
      </c>
      <c r="X237" s="890">
        <v>0</v>
      </c>
      <c r="Y237" s="890">
        <v>0</v>
      </c>
      <c r="Z237" s="890">
        <v>0</v>
      </c>
      <c r="AA237" s="890">
        <v>49</v>
      </c>
      <c r="AB237" s="890">
        <v>4</v>
      </c>
      <c r="AC237" s="890">
        <v>26</v>
      </c>
      <c r="AD237" s="879">
        <f t="shared" si="47"/>
        <v>9335</v>
      </c>
      <c r="AE237" s="879">
        <f t="shared" si="42"/>
        <v>33211</v>
      </c>
      <c r="AF237" s="879">
        <f t="shared" si="43"/>
        <v>10655</v>
      </c>
      <c r="AG237" s="884">
        <f t="shared" si="44"/>
        <v>14.1</v>
      </c>
      <c r="AH237" s="879">
        <f t="shared" si="45"/>
        <v>28354</v>
      </c>
      <c r="AI237" s="884">
        <f t="shared" si="46"/>
        <v>-14.6</v>
      </c>
    </row>
    <row r="238" spans="1:35" ht="19.5" hidden="1" customHeight="1">
      <c r="A238" s="877" t="s">
        <v>78</v>
      </c>
      <c r="B238" s="880">
        <f t="shared" ref="B238:M238" si="48">B239-SUM(B208:B237)</f>
        <v>74025</v>
      </c>
      <c r="C238" s="880">
        <f t="shared" si="48"/>
        <v>397591</v>
      </c>
      <c r="D238" s="880">
        <f t="shared" si="48"/>
        <v>61240</v>
      </c>
      <c r="E238" s="880">
        <f t="shared" si="48"/>
        <v>307936</v>
      </c>
      <c r="F238" s="880">
        <f t="shared" si="48"/>
        <v>2925</v>
      </c>
      <c r="G238" s="880">
        <f t="shared" si="48"/>
        <v>35318</v>
      </c>
      <c r="H238" s="880">
        <f t="shared" si="48"/>
        <v>5884</v>
      </c>
      <c r="I238" s="880">
        <f t="shared" si="48"/>
        <v>59869</v>
      </c>
      <c r="J238" s="880">
        <f t="shared" si="48"/>
        <v>72295</v>
      </c>
      <c r="K238" s="880">
        <f t="shared" si="48"/>
        <v>126589</v>
      </c>
      <c r="L238" s="880">
        <f t="shared" si="48"/>
        <v>61928</v>
      </c>
      <c r="M238" s="880">
        <f t="shared" si="48"/>
        <v>112274</v>
      </c>
      <c r="N238" s="880">
        <f>N239-SUM(N208:N237)</f>
        <v>8002</v>
      </c>
      <c r="O238" s="880">
        <f>O239-SUM(O208:O237)</f>
        <v>15787</v>
      </c>
      <c r="P238" s="880">
        <f>P239-SUM(P208:P237)</f>
        <v>9134</v>
      </c>
      <c r="Q238" s="880">
        <f>Q239-SUM(Q208:Q237)</f>
        <v>16710</v>
      </c>
      <c r="R238" s="880">
        <f t="shared" ref="R238:U238" si="49">R239-SUM(R208:R237)</f>
        <v>4655</v>
      </c>
      <c r="S238" s="880">
        <f t="shared" si="49"/>
        <v>14678</v>
      </c>
      <c r="T238" s="880">
        <f t="shared" si="49"/>
        <v>5492</v>
      </c>
      <c r="U238" s="880">
        <f t="shared" si="49"/>
        <v>13746</v>
      </c>
      <c r="V238" s="880">
        <f>V239-SUM(V208:V237)</f>
        <v>14</v>
      </c>
      <c r="W238" s="880">
        <f t="shared" ref="W238:X238" si="50">W239-SUM(W208:W237)</f>
        <v>374</v>
      </c>
      <c r="X238" s="880">
        <f t="shared" si="50"/>
        <v>174</v>
      </c>
      <c r="Y238" s="880">
        <f>Y239-SUM(Y208:Y237)</f>
        <v>2960</v>
      </c>
      <c r="Z238" s="880">
        <f t="shared" ref="Z238:AF238" si="51">Z239-SUM(Z208:Z237)</f>
        <v>2959</v>
      </c>
      <c r="AA238" s="880">
        <f t="shared" si="51"/>
        <v>40720</v>
      </c>
      <c r="AB238" s="880">
        <f t="shared" si="51"/>
        <v>3171</v>
      </c>
      <c r="AC238" s="880">
        <f t="shared" si="51"/>
        <v>44212</v>
      </c>
      <c r="AD238" s="880">
        <f t="shared" si="51"/>
        <v>164875</v>
      </c>
      <c r="AE238" s="880">
        <f t="shared" si="51"/>
        <v>631057</v>
      </c>
      <c r="AF238" s="880">
        <f t="shared" si="51"/>
        <v>147023</v>
      </c>
      <c r="AG238" s="885">
        <f t="shared" si="44"/>
        <v>-10.8</v>
      </c>
      <c r="AH238" s="880">
        <f>AH239-SUM(AH208:AH237)</f>
        <v>557707</v>
      </c>
      <c r="AI238" s="885">
        <f t="shared" si="46"/>
        <v>-11.6</v>
      </c>
    </row>
    <row r="239" spans="1:35" ht="19.5" hidden="1" customHeight="1">
      <c r="A239" s="878" t="s">
        <v>79</v>
      </c>
      <c r="B239" s="893">
        <v>445214</v>
      </c>
      <c r="C239" s="894">
        <v>2855172</v>
      </c>
      <c r="D239" s="894">
        <v>412908</v>
      </c>
      <c r="E239" s="894">
        <v>2414129</v>
      </c>
      <c r="F239" s="894">
        <v>30186</v>
      </c>
      <c r="G239" s="894">
        <v>508854</v>
      </c>
      <c r="H239" s="894">
        <v>29161</v>
      </c>
      <c r="I239" s="894">
        <v>502762</v>
      </c>
      <c r="J239" s="894">
        <v>1472066</v>
      </c>
      <c r="K239" s="894">
        <v>3223515</v>
      </c>
      <c r="L239" s="894">
        <v>1429069</v>
      </c>
      <c r="M239" s="894">
        <v>2852299</v>
      </c>
      <c r="N239" s="894">
        <v>73570</v>
      </c>
      <c r="O239" s="894">
        <v>146344</v>
      </c>
      <c r="P239" s="894">
        <v>64523</v>
      </c>
      <c r="Q239" s="894">
        <v>124520</v>
      </c>
      <c r="R239" s="894">
        <v>30186</v>
      </c>
      <c r="S239" s="894">
        <v>90718</v>
      </c>
      <c r="T239" s="894">
        <v>24943</v>
      </c>
      <c r="U239" s="894">
        <v>63228</v>
      </c>
      <c r="V239" s="894">
        <v>6880</v>
      </c>
      <c r="W239" s="894">
        <v>143800</v>
      </c>
      <c r="X239" s="894">
        <v>7385</v>
      </c>
      <c r="Y239" s="894">
        <v>128173</v>
      </c>
      <c r="Z239" s="894">
        <v>77243</v>
      </c>
      <c r="AA239" s="894">
        <v>576196</v>
      </c>
      <c r="AB239" s="894">
        <v>74804</v>
      </c>
      <c r="AC239" s="894">
        <v>501899</v>
      </c>
      <c r="AD239" s="883">
        <f>SUM(B239+F239+J239+N239+R239+V239+Z239)</f>
        <v>2135345</v>
      </c>
      <c r="AE239" s="882">
        <f>SUM(C239+G239+K239+O239+S239+W239+AA239)</f>
        <v>7544599</v>
      </c>
      <c r="AF239" s="883">
        <f>SUM(D239+H239+L239+P239+T239+X239+AB239)</f>
        <v>2042793</v>
      </c>
      <c r="AG239" s="885">
        <f t="shared" si="44"/>
        <v>-4.3</v>
      </c>
      <c r="AH239" s="882">
        <f>SUM(E239+I239+M239+Q239+U239+Y239+AC239)</f>
        <v>6587010</v>
      </c>
      <c r="AI239" s="885">
        <f t="shared" si="46"/>
        <v>-12.7</v>
      </c>
    </row>
    <row r="240" spans="1:35" hidden="1"/>
    <row r="241" spans="1:35" s="846" customFormat="1" ht="22.5" hidden="1">
      <c r="A241" s="1095" t="s">
        <v>620</v>
      </c>
      <c r="B241" s="1095"/>
      <c r="C241" s="1095"/>
      <c r="D241" s="1095"/>
      <c r="E241" s="1095"/>
      <c r="F241" s="1095"/>
      <c r="G241" s="1095"/>
      <c r="H241" s="1095"/>
      <c r="I241" s="1095"/>
      <c r="J241" s="1095"/>
      <c r="K241" s="1095"/>
      <c r="L241" s="1095"/>
      <c r="M241" s="1095"/>
      <c r="N241" s="1095"/>
      <c r="O241" s="1095"/>
      <c r="P241" s="1095"/>
      <c r="Q241" s="1095"/>
      <c r="R241" s="1095"/>
      <c r="S241" s="1095"/>
      <c r="T241" s="1095"/>
      <c r="U241" s="1095"/>
      <c r="V241" s="1095"/>
      <c r="W241" s="1095"/>
      <c r="X241" s="1095"/>
      <c r="Y241" s="1095"/>
      <c r="Z241" s="1095"/>
      <c r="AA241" s="1095"/>
      <c r="AB241" s="1095"/>
      <c r="AC241" s="1095"/>
      <c r="AD241" s="1095"/>
      <c r="AE241" s="1095"/>
      <c r="AF241" s="1095"/>
      <c r="AG241" s="1095"/>
      <c r="AH241" s="1095"/>
      <c r="AI241" s="1095"/>
    </row>
    <row r="242" spans="1:35" s="846" customFormat="1" ht="22.5" hidden="1">
      <c r="A242" s="913"/>
      <c r="B242" s="913"/>
      <c r="C242" s="913"/>
      <c r="D242" s="913"/>
      <c r="E242" s="913"/>
      <c r="F242" s="913"/>
      <c r="G242" s="913"/>
      <c r="H242" s="913"/>
      <c r="I242" s="913"/>
      <c r="J242" s="913"/>
      <c r="K242" s="913"/>
      <c r="L242" s="913"/>
      <c r="M242" s="913"/>
      <c r="N242" s="913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  <c r="Y242" s="913"/>
      <c r="Z242" s="913"/>
      <c r="AA242" s="913"/>
      <c r="AB242" s="913"/>
      <c r="AC242" s="913"/>
      <c r="AD242" s="913"/>
      <c r="AE242" s="913"/>
      <c r="AF242" s="913"/>
      <c r="AG242" s="913"/>
      <c r="AH242" s="913"/>
      <c r="AI242" s="913"/>
    </row>
    <row r="243" spans="1:35" s="846" customFormat="1" hidden="1">
      <c r="A243" s="871"/>
      <c r="B243" s="871"/>
      <c r="C243" s="872"/>
      <c r="D243" s="873"/>
      <c r="E243" s="881"/>
      <c r="F243" s="872"/>
      <c r="G243" s="872"/>
      <c r="H243" s="872"/>
      <c r="I243" s="872"/>
      <c r="J243" s="872"/>
      <c r="K243" s="872"/>
      <c r="L243" s="872"/>
      <c r="M243" s="872"/>
      <c r="N243" s="872"/>
      <c r="O243" s="872"/>
      <c r="P243" s="872"/>
      <c r="Q243" s="872"/>
      <c r="R243" s="872"/>
      <c r="S243" s="872"/>
      <c r="T243" s="872"/>
      <c r="U243" s="872"/>
      <c r="V243" s="887"/>
      <c r="W243" s="887"/>
      <c r="X243" s="872"/>
      <c r="Y243" s="872"/>
      <c r="Z243" s="872"/>
      <c r="AA243" s="872"/>
      <c r="AB243" s="872"/>
      <c r="AC243" s="872"/>
      <c r="AD243" s="872"/>
      <c r="AE243" s="872"/>
      <c r="AF243" s="872"/>
      <c r="AG243" s="872"/>
      <c r="AH243" s="872"/>
      <c r="AI243" s="872"/>
    </row>
    <row r="244" spans="1:35" s="846" customFormat="1" ht="21.75" hidden="1" customHeight="1">
      <c r="A244" s="1149" t="s">
        <v>43</v>
      </c>
      <c r="B244" s="1151" t="s">
        <v>610</v>
      </c>
      <c r="C244" s="1153"/>
      <c r="D244" s="1153"/>
      <c r="E244" s="1152"/>
      <c r="F244" s="1151" t="s">
        <v>611</v>
      </c>
      <c r="G244" s="1153"/>
      <c r="H244" s="1153"/>
      <c r="I244" s="1152"/>
      <c r="J244" s="1151" t="s">
        <v>612</v>
      </c>
      <c r="K244" s="1153"/>
      <c r="L244" s="1153"/>
      <c r="M244" s="1152"/>
      <c r="N244" s="1151" t="s">
        <v>613</v>
      </c>
      <c r="O244" s="1153"/>
      <c r="P244" s="1153"/>
      <c r="Q244" s="1152"/>
      <c r="R244" s="1151" t="s">
        <v>614</v>
      </c>
      <c r="S244" s="1153"/>
      <c r="T244" s="1153"/>
      <c r="U244" s="1152"/>
      <c r="V244" s="1151" t="s">
        <v>615</v>
      </c>
      <c r="W244" s="1153"/>
      <c r="X244" s="1153"/>
      <c r="Y244" s="1152"/>
      <c r="Z244" s="1151" t="s">
        <v>616</v>
      </c>
      <c r="AA244" s="1153"/>
      <c r="AB244" s="1153"/>
      <c r="AC244" s="1152"/>
      <c r="AD244" s="1151" t="s">
        <v>617</v>
      </c>
      <c r="AE244" s="1153"/>
      <c r="AF244" s="1153"/>
      <c r="AG244" s="1153"/>
      <c r="AH244" s="1153"/>
      <c r="AI244" s="1152"/>
    </row>
    <row r="245" spans="1:35" s="846" customFormat="1" ht="21" hidden="1" customHeight="1">
      <c r="A245" s="1154"/>
      <c r="B245" s="1151" t="s">
        <v>315</v>
      </c>
      <c r="C245" s="1152"/>
      <c r="D245" s="1151" t="s">
        <v>459</v>
      </c>
      <c r="E245" s="1152"/>
      <c r="F245" s="1151" t="s">
        <v>315</v>
      </c>
      <c r="G245" s="1152"/>
      <c r="H245" s="1151" t="s">
        <v>459</v>
      </c>
      <c r="I245" s="1152"/>
      <c r="J245" s="1151" t="s">
        <v>315</v>
      </c>
      <c r="K245" s="1152"/>
      <c r="L245" s="1151" t="s">
        <v>459</v>
      </c>
      <c r="M245" s="1152"/>
      <c r="N245" s="1151" t="s">
        <v>315</v>
      </c>
      <c r="O245" s="1152"/>
      <c r="P245" s="1151" t="s">
        <v>459</v>
      </c>
      <c r="Q245" s="1152"/>
      <c r="R245" s="1151" t="s">
        <v>315</v>
      </c>
      <c r="S245" s="1152"/>
      <c r="T245" s="1151" t="s">
        <v>459</v>
      </c>
      <c r="U245" s="1152"/>
      <c r="V245" s="1151" t="s">
        <v>315</v>
      </c>
      <c r="W245" s="1152"/>
      <c r="X245" s="1151" t="s">
        <v>459</v>
      </c>
      <c r="Y245" s="1152"/>
      <c r="Z245" s="1151" t="s">
        <v>315</v>
      </c>
      <c r="AA245" s="1152"/>
      <c r="AB245" s="1151" t="s">
        <v>459</v>
      </c>
      <c r="AC245" s="1152"/>
      <c r="AD245" s="1151" t="s">
        <v>315</v>
      </c>
      <c r="AE245" s="1152"/>
      <c r="AF245" s="1151" t="s">
        <v>459</v>
      </c>
      <c r="AG245" s="1153"/>
      <c r="AH245" s="1153"/>
      <c r="AI245" s="1152"/>
    </row>
    <row r="246" spans="1:35" s="846" customFormat="1" ht="16.5" hidden="1" customHeight="1">
      <c r="A246" s="1154"/>
      <c r="B246" s="1149" t="s">
        <v>44</v>
      </c>
      <c r="C246" s="1149" t="s">
        <v>45</v>
      </c>
      <c r="D246" s="1149" t="s">
        <v>46</v>
      </c>
      <c r="E246" s="1149" t="s">
        <v>45</v>
      </c>
      <c r="F246" s="1149" t="s">
        <v>47</v>
      </c>
      <c r="G246" s="1149" t="s">
        <v>45</v>
      </c>
      <c r="H246" s="1149" t="s">
        <v>46</v>
      </c>
      <c r="I246" s="1149" t="s">
        <v>45</v>
      </c>
      <c r="J246" s="1149" t="s">
        <v>44</v>
      </c>
      <c r="K246" s="1149" t="s">
        <v>45</v>
      </c>
      <c r="L246" s="1149" t="s">
        <v>46</v>
      </c>
      <c r="M246" s="1149" t="s">
        <v>45</v>
      </c>
      <c r="N246" s="1149" t="s">
        <v>44</v>
      </c>
      <c r="O246" s="1149" t="s">
        <v>45</v>
      </c>
      <c r="P246" s="1149" t="s">
        <v>46</v>
      </c>
      <c r="Q246" s="1149" t="s">
        <v>45</v>
      </c>
      <c r="R246" s="1149" t="s">
        <v>44</v>
      </c>
      <c r="S246" s="1149" t="s">
        <v>45</v>
      </c>
      <c r="T246" s="1149" t="s">
        <v>46</v>
      </c>
      <c r="U246" s="1149" t="s">
        <v>45</v>
      </c>
      <c r="V246" s="1149" t="s">
        <v>44</v>
      </c>
      <c r="W246" s="1149" t="s">
        <v>45</v>
      </c>
      <c r="X246" s="1149" t="s">
        <v>48</v>
      </c>
      <c r="Y246" s="1149" t="s">
        <v>45</v>
      </c>
      <c r="Z246" s="1149" t="s">
        <v>44</v>
      </c>
      <c r="AA246" s="1149" t="s">
        <v>45</v>
      </c>
      <c r="AB246" s="1149" t="s">
        <v>46</v>
      </c>
      <c r="AC246" s="1149" t="s">
        <v>45</v>
      </c>
      <c r="AD246" s="1149" t="s">
        <v>44</v>
      </c>
      <c r="AE246" s="1149" t="s">
        <v>45</v>
      </c>
      <c r="AF246" s="1147" t="s">
        <v>46</v>
      </c>
      <c r="AG246" s="874"/>
      <c r="AH246" s="1147" t="s">
        <v>45</v>
      </c>
      <c r="AI246" s="874"/>
    </row>
    <row r="247" spans="1:35" s="846" customFormat="1" ht="16.5" hidden="1" customHeight="1" thickBot="1">
      <c r="A247" s="1150"/>
      <c r="B247" s="1150"/>
      <c r="C247" s="1150"/>
      <c r="D247" s="1150"/>
      <c r="E247" s="1150"/>
      <c r="F247" s="1150"/>
      <c r="G247" s="1150"/>
      <c r="H247" s="1150"/>
      <c r="I247" s="1150"/>
      <c r="J247" s="1150"/>
      <c r="K247" s="1150"/>
      <c r="L247" s="1150"/>
      <c r="M247" s="1150"/>
      <c r="N247" s="1150"/>
      <c r="O247" s="1150"/>
      <c r="P247" s="1150"/>
      <c r="Q247" s="1150"/>
      <c r="R247" s="1150"/>
      <c r="S247" s="1150"/>
      <c r="T247" s="1150"/>
      <c r="U247" s="1150"/>
      <c r="V247" s="1150"/>
      <c r="W247" s="1150"/>
      <c r="X247" s="1150"/>
      <c r="Y247" s="1150"/>
      <c r="Z247" s="1150"/>
      <c r="AA247" s="1150"/>
      <c r="AB247" s="1150"/>
      <c r="AC247" s="1150"/>
      <c r="AD247" s="1150"/>
      <c r="AE247" s="1150"/>
      <c r="AF247" s="1148"/>
      <c r="AG247" s="875" t="s">
        <v>49</v>
      </c>
      <c r="AH247" s="1148"/>
      <c r="AI247" s="875" t="s">
        <v>49</v>
      </c>
    </row>
    <row r="248" spans="1:35" s="846" customFormat="1" ht="19.5" hidden="1" customHeight="1" thickTop="1">
      <c r="A248" s="891" t="s">
        <v>50</v>
      </c>
      <c r="B248" s="890">
        <v>43728</v>
      </c>
      <c r="C248" s="890">
        <v>294953</v>
      </c>
      <c r="D248" s="890">
        <v>41458</v>
      </c>
      <c r="E248" s="890">
        <v>260498</v>
      </c>
      <c r="F248" s="890">
        <v>786</v>
      </c>
      <c r="G248" s="890">
        <v>45180</v>
      </c>
      <c r="H248" s="890">
        <v>766</v>
      </c>
      <c r="I248" s="890">
        <v>46386</v>
      </c>
      <c r="J248" s="890">
        <v>265686</v>
      </c>
      <c r="K248" s="890">
        <v>776543</v>
      </c>
      <c r="L248" s="890">
        <v>213186</v>
      </c>
      <c r="M248" s="890">
        <v>642168</v>
      </c>
      <c r="N248" s="890">
        <v>197</v>
      </c>
      <c r="O248" s="890">
        <v>500</v>
      </c>
      <c r="P248" s="890">
        <v>663</v>
      </c>
      <c r="Q248" s="890">
        <v>1557</v>
      </c>
      <c r="R248" s="890">
        <v>413</v>
      </c>
      <c r="S248" s="890">
        <v>4043</v>
      </c>
      <c r="T248" s="890">
        <v>220</v>
      </c>
      <c r="U248" s="890">
        <v>3200</v>
      </c>
      <c r="V248" s="890">
        <v>207</v>
      </c>
      <c r="W248" s="890">
        <v>2448</v>
      </c>
      <c r="X248" s="890">
        <v>493</v>
      </c>
      <c r="Y248" s="890">
        <v>7130</v>
      </c>
      <c r="Z248" s="890">
        <v>77131</v>
      </c>
      <c r="AA248" s="890">
        <v>306406</v>
      </c>
      <c r="AB248" s="890">
        <v>70536</v>
      </c>
      <c r="AC248" s="890">
        <v>241576</v>
      </c>
      <c r="AD248" s="890">
        <f>SUM(B248+F248+J248+N248+R248+V248+Z248)</f>
        <v>388148</v>
      </c>
      <c r="AE248" s="890">
        <f>SUM(C248+G248+K248+O248+S248+W248+AA248)</f>
        <v>1430073</v>
      </c>
      <c r="AF248" s="890">
        <f>SUM(D248+H248+L248+P248+T248+X248+AB248)</f>
        <v>327322</v>
      </c>
      <c r="AG248" s="895">
        <f>ROUND(((AF248/AD248-1)*100),1)</f>
        <v>-15.7</v>
      </c>
      <c r="AH248" s="890">
        <f>SUM(E248+I248+M248+Q248+U248+Y248+AC248)</f>
        <v>1202515</v>
      </c>
      <c r="AI248" s="895">
        <f>ROUND(((AH248/AE248-1)*100),1)</f>
        <v>-15.9</v>
      </c>
    </row>
    <row r="249" spans="1:35" s="846" customFormat="1" ht="19.5" hidden="1" customHeight="1">
      <c r="A249" s="891" t="s">
        <v>53</v>
      </c>
      <c r="B249" s="890">
        <v>44032</v>
      </c>
      <c r="C249" s="890">
        <v>277958</v>
      </c>
      <c r="D249" s="890">
        <v>54013</v>
      </c>
      <c r="E249" s="890">
        <v>294999</v>
      </c>
      <c r="F249" s="890">
        <v>994</v>
      </c>
      <c r="G249" s="890">
        <v>47681</v>
      </c>
      <c r="H249" s="890">
        <v>1600</v>
      </c>
      <c r="I249" s="890">
        <v>52849</v>
      </c>
      <c r="J249" s="890">
        <v>166669</v>
      </c>
      <c r="K249" s="890">
        <v>379539</v>
      </c>
      <c r="L249" s="890">
        <v>182974</v>
      </c>
      <c r="M249" s="890">
        <v>349608</v>
      </c>
      <c r="N249" s="890">
        <v>3463</v>
      </c>
      <c r="O249" s="890">
        <v>6727</v>
      </c>
      <c r="P249" s="890">
        <v>839</v>
      </c>
      <c r="Q249" s="890">
        <v>1628</v>
      </c>
      <c r="R249" s="890">
        <v>232</v>
      </c>
      <c r="S249" s="890">
        <v>546</v>
      </c>
      <c r="T249" s="890">
        <v>247</v>
      </c>
      <c r="U249" s="890">
        <v>597</v>
      </c>
      <c r="V249" s="890">
        <v>3</v>
      </c>
      <c r="W249" s="890">
        <v>274</v>
      </c>
      <c r="X249" s="890">
        <v>3</v>
      </c>
      <c r="Y249" s="890">
        <v>203</v>
      </c>
      <c r="Z249" s="890">
        <v>1570</v>
      </c>
      <c r="AA249" s="890">
        <v>139726</v>
      </c>
      <c r="AB249" s="890">
        <v>1638</v>
      </c>
      <c r="AC249" s="890">
        <v>134871</v>
      </c>
      <c r="AD249" s="890">
        <f>SUM(B249+F249+J249+N249+R249+V249+Z249)</f>
        <v>216963</v>
      </c>
      <c r="AE249" s="890">
        <f t="shared" ref="AE249:AE277" si="52">SUM(C249+G249+K249+O249+S249+W249+AA249)</f>
        <v>852451</v>
      </c>
      <c r="AF249" s="890">
        <f t="shared" ref="AF249:AF277" si="53">SUM(D249+H249+L249+P249+T249+X249+AB249)</f>
        <v>241314</v>
      </c>
      <c r="AG249" s="895">
        <f t="shared" ref="AG249:AG279" si="54">ROUND(((AF249/AD249-1)*100),1)</f>
        <v>11.2</v>
      </c>
      <c r="AH249" s="890">
        <f t="shared" ref="AH249:AH277" si="55">SUM(E249+I249+M249+Q249+U249+Y249+AC249)</f>
        <v>834755</v>
      </c>
      <c r="AI249" s="895">
        <f t="shared" ref="AI249:AI279" si="56">ROUND(((AH249/AE249-1)*100),1)</f>
        <v>-2.1</v>
      </c>
    </row>
    <row r="250" spans="1:35" s="846" customFormat="1" ht="19.5" hidden="1" customHeight="1">
      <c r="A250" s="891" t="s">
        <v>54</v>
      </c>
      <c r="B250" s="890">
        <v>22713</v>
      </c>
      <c r="C250" s="890">
        <v>308877</v>
      </c>
      <c r="D250" s="890">
        <v>28467</v>
      </c>
      <c r="E250" s="890">
        <v>335463</v>
      </c>
      <c r="F250" s="890">
        <v>3776</v>
      </c>
      <c r="G250" s="890">
        <v>117915</v>
      </c>
      <c r="H250" s="890">
        <v>3240</v>
      </c>
      <c r="I250" s="890">
        <v>113405</v>
      </c>
      <c r="J250" s="890">
        <v>68081</v>
      </c>
      <c r="K250" s="890">
        <v>168741</v>
      </c>
      <c r="L250" s="890">
        <v>85607</v>
      </c>
      <c r="M250" s="890">
        <v>189083</v>
      </c>
      <c r="N250" s="890">
        <v>2901</v>
      </c>
      <c r="O250" s="890">
        <v>6070</v>
      </c>
      <c r="P250" s="890">
        <v>4771</v>
      </c>
      <c r="Q250" s="890">
        <v>8787</v>
      </c>
      <c r="R250" s="890">
        <v>294</v>
      </c>
      <c r="S250" s="890">
        <v>569</v>
      </c>
      <c r="T250" s="890">
        <v>311</v>
      </c>
      <c r="U250" s="890">
        <v>527</v>
      </c>
      <c r="V250" s="890">
        <v>184</v>
      </c>
      <c r="W250" s="890">
        <v>8458</v>
      </c>
      <c r="X250" s="890">
        <v>167</v>
      </c>
      <c r="Y250" s="890">
        <v>8137</v>
      </c>
      <c r="Z250" s="890">
        <v>2686</v>
      </c>
      <c r="AA250" s="890">
        <v>90201</v>
      </c>
      <c r="AB250" s="890">
        <v>2028</v>
      </c>
      <c r="AC250" s="890">
        <v>69097</v>
      </c>
      <c r="AD250" s="890">
        <f t="shared" ref="AD250:AD277" si="57">SUM(B250+F250+J250+N250+R250+V250+Z250)</f>
        <v>100635</v>
      </c>
      <c r="AE250" s="890">
        <f t="shared" si="52"/>
        <v>700831</v>
      </c>
      <c r="AF250" s="890">
        <f t="shared" si="53"/>
        <v>124591</v>
      </c>
      <c r="AG250" s="895">
        <f t="shared" si="54"/>
        <v>23.8</v>
      </c>
      <c r="AH250" s="890">
        <f t="shared" si="55"/>
        <v>724499</v>
      </c>
      <c r="AI250" s="895">
        <f t="shared" si="56"/>
        <v>3.4</v>
      </c>
    </row>
    <row r="251" spans="1:35" s="846" customFormat="1" ht="19.5" hidden="1" customHeight="1">
      <c r="A251" s="891" t="s">
        <v>84</v>
      </c>
      <c r="B251" s="890">
        <v>126464</v>
      </c>
      <c r="C251" s="890">
        <v>765215</v>
      </c>
      <c r="D251" s="890">
        <v>94354</v>
      </c>
      <c r="E251" s="890">
        <v>519708</v>
      </c>
      <c r="F251" s="890">
        <v>0</v>
      </c>
      <c r="G251" s="890">
        <v>0</v>
      </c>
      <c r="H251" s="890">
        <v>0</v>
      </c>
      <c r="I251" s="890">
        <v>0</v>
      </c>
      <c r="J251" s="890">
        <v>1202</v>
      </c>
      <c r="K251" s="890">
        <v>1555</v>
      </c>
      <c r="L251" s="890">
        <v>2301</v>
      </c>
      <c r="M251" s="890">
        <v>2739</v>
      </c>
      <c r="N251" s="890">
        <v>148</v>
      </c>
      <c r="O251" s="890">
        <v>271</v>
      </c>
      <c r="P251" s="890">
        <v>0</v>
      </c>
      <c r="Q251" s="890">
        <v>0</v>
      </c>
      <c r="R251" s="890">
        <v>0</v>
      </c>
      <c r="S251" s="890">
        <v>0</v>
      </c>
      <c r="T251" s="890">
        <v>0</v>
      </c>
      <c r="U251" s="890">
        <v>0</v>
      </c>
      <c r="V251" s="890">
        <v>0</v>
      </c>
      <c r="W251" s="890">
        <v>0</v>
      </c>
      <c r="X251" s="890">
        <v>0</v>
      </c>
      <c r="Y251" s="890">
        <v>0</v>
      </c>
      <c r="Z251" s="890">
        <v>0</v>
      </c>
      <c r="AA251" s="890">
        <v>24</v>
      </c>
      <c r="AB251" s="890">
        <v>10</v>
      </c>
      <c r="AC251" s="890">
        <v>65</v>
      </c>
      <c r="AD251" s="890">
        <f t="shared" si="57"/>
        <v>127814</v>
      </c>
      <c r="AE251" s="890">
        <f t="shared" si="52"/>
        <v>767065</v>
      </c>
      <c r="AF251" s="890">
        <f t="shared" si="53"/>
        <v>96665</v>
      </c>
      <c r="AG251" s="895">
        <f t="shared" si="54"/>
        <v>-24.4</v>
      </c>
      <c r="AH251" s="890">
        <f t="shared" si="55"/>
        <v>522512</v>
      </c>
      <c r="AI251" s="895">
        <f t="shared" si="56"/>
        <v>-31.9</v>
      </c>
    </row>
    <row r="252" spans="1:35" s="846" customFormat="1" ht="19.5" hidden="1" customHeight="1">
      <c r="A252" s="891" t="s">
        <v>52</v>
      </c>
      <c r="B252" s="890">
        <v>2579</v>
      </c>
      <c r="C252" s="890">
        <v>7664</v>
      </c>
      <c r="D252" s="890">
        <v>3251</v>
      </c>
      <c r="E252" s="890">
        <v>7981</v>
      </c>
      <c r="F252" s="890">
        <v>156</v>
      </c>
      <c r="G252" s="890">
        <v>3793</v>
      </c>
      <c r="H252" s="890">
        <v>89</v>
      </c>
      <c r="I252" s="890">
        <v>1588</v>
      </c>
      <c r="J252" s="890">
        <v>219035</v>
      </c>
      <c r="K252" s="890">
        <v>425951</v>
      </c>
      <c r="L252" s="890">
        <v>246268</v>
      </c>
      <c r="M252" s="890">
        <v>426149</v>
      </c>
      <c r="N252" s="890">
        <v>32199</v>
      </c>
      <c r="O252" s="890">
        <v>67337</v>
      </c>
      <c r="P252" s="890">
        <v>32476</v>
      </c>
      <c r="Q252" s="890">
        <v>63294</v>
      </c>
      <c r="R252" s="890">
        <v>25016</v>
      </c>
      <c r="S252" s="890">
        <v>71472</v>
      </c>
      <c r="T252" s="890">
        <v>16557</v>
      </c>
      <c r="U252" s="890">
        <v>39090</v>
      </c>
      <c r="V252" s="890">
        <v>163</v>
      </c>
      <c r="W252" s="890">
        <v>1916</v>
      </c>
      <c r="X252" s="890">
        <v>143</v>
      </c>
      <c r="Y252" s="890">
        <v>1361</v>
      </c>
      <c r="Z252" s="890">
        <v>161</v>
      </c>
      <c r="AA252" s="890">
        <v>878</v>
      </c>
      <c r="AB252" s="890">
        <v>98</v>
      </c>
      <c r="AC252" s="890">
        <v>720</v>
      </c>
      <c r="AD252" s="890">
        <f t="shared" si="57"/>
        <v>279309</v>
      </c>
      <c r="AE252" s="890">
        <f t="shared" si="52"/>
        <v>579011</v>
      </c>
      <c r="AF252" s="890">
        <f t="shared" si="53"/>
        <v>298882</v>
      </c>
      <c r="AG252" s="895">
        <f t="shared" si="54"/>
        <v>7</v>
      </c>
      <c r="AH252" s="890">
        <f t="shared" si="55"/>
        <v>540183</v>
      </c>
      <c r="AI252" s="895">
        <f t="shared" si="56"/>
        <v>-6.7</v>
      </c>
    </row>
    <row r="253" spans="1:35" s="846" customFormat="1" ht="19.5" hidden="1" customHeight="1">
      <c r="A253" s="891" t="s">
        <v>61</v>
      </c>
      <c r="B253" s="890">
        <v>13303</v>
      </c>
      <c r="C253" s="890">
        <v>80880</v>
      </c>
      <c r="D253" s="890">
        <v>12020</v>
      </c>
      <c r="E253" s="890">
        <v>65251</v>
      </c>
      <c r="F253" s="890">
        <v>11441</v>
      </c>
      <c r="G253" s="890">
        <v>145238</v>
      </c>
      <c r="H253" s="890">
        <v>8762</v>
      </c>
      <c r="I253" s="890">
        <v>114548</v>
      </c>
      <c r="J253" s="890">
        <v>200398</v>
      </c>
      <c r="K253" s="890">
        <v>389290</v>
      </c>
      <c r="L253" s="890">
        <v>248914</v>
      </c>
      <c r="M253" s="890">
        <v>415099</v>
      </c>
      <c r="N253" s="890">
        <v>12109</v>
      </c>
      <c r="O253" s="890">
        <v>20870</v>
      </c>
      <c r="P253" s="890">
        <v>7977</v>
      </c>
      <c r="Q253" s="890">
        <v>13596</v>
      </c>
      <c r="R253" s="890">
        <v>0</v>
      </c>
      <c r="S253" s="890">
        <v>0</v>
      </c>
      <c r="T253" s="890">
        <v>0</v>
      </c>
      <c r="U253" s="890">
        <v>0</v>
      </c>
      <c r="V253" s="890">
        <v>0</v>
      </c>
      <c r="W253" s="890">
        <v>0</v>
      </c>
      <c r="X253" s="890">
        <v>0</v>
      </c>
      <c r="Y253" s="890">
        <v>0</v>
      </c>
      <c r="Z253" s="890">
        <v>1766</v>
      </c>
      <c r="AA253" s="890">
        <v>7436</v>
      </c>
      <c r="AB253" s="890">
        <v>989</v>
      </c>
      <c r="AC253" s="890">
        <v>3208</v>
      </c>
      <c r="AD253" s="890">
        <f t="shared" si="57"/>
        <v>239017</v>
      </c>
      <c r="AE253" s="890">
        <f t="shared" si="52"/>
        <v>643714</v>
      </c>
      <c r="AF253" s="890">
        <f t="shared" si="53"/>
        <v>278662</v>
      </c>
      <c r="AG253" s="895">
        <f t="shared" si="54"/>
        <v>16.600000000000001</v>
      </c>
      <c r="AH253" s="890">
        <f t="shared" si="55"/>
        <v>611702</v>
      </c>
      <c r="AI253" s="895">
        <f t="shared" si="56"/>
        <v>-5</v>
      </c>
    </row>
    <row r="254" spans="1:35" s="846" customFormat="1" ht="19.5" hidden="1" customHeight="1">
      <c r="A254" s="891" t="s">
        <v>56</v>
      </c>
      <c r="B254" s="890">
        <v>12927</v>
      </c>
      <c r="C254" s="890">
        <v>82910</v>
      </c>
      <c r="D254" s="890">
        <v>15275</v>
      </c>
      <c r="E254" s="890">
        <v>95508</v>
      </c>
      <c r="F254" s="890">
        <v>39</v>
      </c>
      <c r="G254" s="890">
        <v>208</v>
      </c>
      <c r="H254" s="890">
        <v>124</v>
      </c>
      <c r="I254" s="890">
        <v>440</v>
      </c>
      <c r="J254" s="890">
        <v>101015</v>
      </c>
      <c r="K254" s="890">
        <v>194623</v>
      </c>
      <c r="L254" s="890">
        <v>83502</v>
      </c>
      <c r="M254" s="890">
        <v>144250</v>
      </c>
      <c r="N254" s="890">
        <v>119</v>
      </c>
      <c r="O254" s="890">
        <v>236</v>
      </c>
      <c r="P254" s="890">
        <v>920</v>
      </c>
      <c r="Q254" s="890">
        <v>1632</v>
      </c>
      <c r="R254" s="890">
        <v>211</v>
      </c>
      <c r="S254" s="890">
        <v>653</v>
      </c>
      <c r="T254" s="890">
        <v>273</v>
      </c>
      <c r="U254" s="890">
        <v>711</v>
      </c>
      <c r="V254" s="890">
        <v>1575</v>
      </c>
      <c r="W254" s="890">
        <v>32517</v>
      </c>
      <c r="X254" s="890">
        <v>741</v>
      </c>
      <c r="Y254" s="890">
        <v>12134</v>
      </c>
      <c r="Z254" s="890">
        <v>131</v>
      </c>
      <c r="AA254" s="890">
        <v>470</v>
      </c>
      <c r="AB254" s="890">
        <v>487</v>
      </c>
      <c r="AC254" s="890">
        <v>1110</v>
      </c>
      <c r="AD254" s="890">
        <f t="shared" si="57"/>
        <v>116017</v>
      </c>
      <c r="AE254" s="890">
        <f t="shared" si="52"/>
        <v>311617</v>
      </c>
      <c r="AF254" s="890">
        <f t="shared" si="53"/>
        <v>101322</v>
      </c>
      <c r="AG254" s="895">
        <f t="shared" si="54"/>
        <v>-12.7</v>
      </c>
      <c r="AH254" s="890">
        <f t="shared" si="55"/>
        <v>255785</v>
      </c>
      <c r="AI254" s="895">
        <f t="shared" si="56"/>
        <v>-17.899999999999999</v>
      </c>
    </row>
    <row r="255" spans="1:35" s="846" customFormat="1" ht="19.5" hidden="1" customHeight="1">
      <c r="A255" s="891" t="s">
        <v>85</v>
      </c>
      <c r="B255" s="890">
        <v>39763</v>
      </c>
      <c r="C255" s="890">
        <v>245164</v>
      </c>
      <c r="D255" s="890">
        <v>39164</v>
      </c>
      <c r="E255" s="890">
        <v>218316</v>
      </c>
      <c r="F255" s="890">
        <v>0</v>
      </c>
      <c r="G255" s="890">
        <v>0</v>
      </c>
      <c r="H255" s="890">
        <v>0</v>
      </c>
      <c r="I255" s="890">
        <v>0</v>
      </c>
      <c r="J255" s="890">
        <v>0</v>
      </c>
      <c r="K255" s="890">
        <v>0</v>
      </c>
      <c r="L255" s="890">
        <v>0</v>
      </c>
      <c r="M255" s="890">
        <v>0</v>
      </c>
      <c r="N255" s="890">
        <v>0</v>
      </c>
      <c r="O255" s="890">
        <v>0</v>
      </c>
      <c r="P255" s="890">
        <v>0</v>
      </c>
      <c r="Q255" s="890">
        <v>0</v>
      </c>
      <c r="R255" s="890">
        <v>0</v>
      </c>
      <c r="S255" s="890">
        <v>0</v>
      </c>
      <c r="T255" s="890">
        <v>0</v>
      </c>
      <c r="U255" s="890">
        <v>0</v>
      </c>
      <c r="V255" s="890">
        <v>0</v>
      </c>
      <c r="W255" s="890">
        <v>0</v>
      </c>
      <c r="X255" s="890">
        <v>0</v>
      </c>
      <c r="Y255" s="890">
        <v>0</v>
      </c>
      <c r="Z255" s="890">
        <v>512</v>
      </c>
      <c r="AA255" s="890">
        <v>5836</v>
      </c>
      <c r="AB255" s="890">
        <v>1095</v>
      </c>
      <c r="AC255" s="890">
        <v>6472</v>
      </c>
      <c r="AD255" s="890">
        <f t="shared" si="57"/>
        <v>40275</v>
      </c>
      <c r="AE255" s="890">
        <f t="shared" si="52"/>
        <v>251000</v>
      </c>
      <c r="AF255" s="890">
        <f t="shared" si="53"/>
        <v>40259</v>
      </c>
      <c r="AG255" s="895">
        <f t="shared" si="54"/>
        <v>0</v>
      </c>
      <c r="AH255" s="890">
        <f t="shared" si="55"/>
        <v>224788</v>
      </c>
      <c r="AI255" s="895">
        <f t="shared" si="56"/>
        <v>-10.4</v>
      </c>
    </row>
    <row r="256" spans="1:35" s="846" customFormat="1" ht="19.5" hidden="1" customHeight="1">
      <c r="A256" s="891" t="s">
        <v>86</v>
      </c>
      <c r="B256" s="890">
        <v>1942</v>
      </c>
      <c r="C256" s="890">
        <v>8816</v>
      </c>
      <c r="D256" s="890">
        <v>508</v>
      </c>
      <c r="E256" s="890">
        <v>2473</v>
      </c>
      <c r="F256" s="890">
        <v>523</v>
      </c>
      <c r="G256" s="890">
        <v>6476</v>
      </c>
      <c r="H256" s="890">
        <v>38</v>
      </c>
      <c r="I256" s="890">
        <v>809</v>
      </c>
      <c r="J256" s="890">
        <v>88955</v>
      </c>
      <c r="K256" s="890">
        <v>173042</v>
      </c>
      <c r="L256" s="890">
        <v>66941</v>
      </c>
      <c r="M256" s="890">
        <v>122333</v>
      </c>
      <c r="N256" s="890">
        <v>896</v>
      </c>
      <c r="O256" s="890">
        <v>1897</v>
      </c>
      <c r="P256" s="890">
        <v>3289</v>
      </c>
      <c r="Q256" s="890">
        <v>6262</v>
      </c>
      <c r="R256" s="890">
        <v>0</v>
      </c>
      <c r="S256" s="890">
        <v>0</v>
      </c>
      <c r="T256" s="890">
        <v>0</v>
      </c>
      <c r="U256" s="890">
        <v>0</v>
      </c>
      <c r="V256" s="890">
        <v>1</v>
      </c>
      <c r="W256" s="890">
        <v>113</v>
      </c>
      <c r="X256" s="890">
        <v>1</v>
      </c>
      <c r="Y256" s="890">
        <v>113</v>
      </c>
      <c r="Z256" s="890">
        <v>1943</v>
      </c>
      <c r="AA256" s="890">
        <v>20126</v>
      </c>
      <c r="AB256" s="890">
        <v>2462</v>
      </c>
      <c r="AC256" s="890">
        <v>20254</v>
      </c>
      <c r="AD256" s="890">
        <f t="shared" si="57"/>
        <v>94260</v>
      </c>
      <c r="AE256" s="890">
        <f t="shared" si="52"/>
        <v>210470</v>
      </c>
      <c r="AF256" s="890">
        <f t="shared" si="53"/>
        <v>73239</v>
      </c>
      <c r="AG256" s="895">
        <f t="shared" si="54"/>
        <v>-22.3</v>
      </c>
      <c r="AH256" s="890">
        <f t="shared" si="55"/>
        <v>152244</v>
      </c>
      <c r="AI256" s="895">
        <f t="shared" si="56"/>
        <v>-27.7</v>
      </c>
    </row>
    <row r="257" spans="1:35" s="846" customFormat="1" ht="19.5" hidden="1" customHeight="1">
      <c r="A257" s="891" t="s">
        <v>64</v>
      </c>
      <c r="B257" s="890">
        <v>11903</v>
      </c>
      <c r="C257" s="890">
        <v>73911</v>
      </c>
      <c r="D257" s="890">
        <v>4222</v>
      </c>
      <c r="E257" s="890">
        <v>22021</v>
      </c>
      <c r="F257" s="890">
        <v>20</v>
      </c>
      <c r="G257" s="890">
        <v>145</v>
      </c>
      <c r="H257" s="890">
        <v>0</v>
      </c>
      <c r="I257" s="890">
        <v>0</v>
      </c>
      <c r="J257" s="890">
        <v>72844</v>
      </c>
      <c r="K257" s="890">
        <v>136545</v>
      </c>
      <c r="L257" s="890">
        <v>70181</v>
      </c>
      <c r="M257" s="890">
        <v>117785</v>
      </c>
      <c r="N257" s="890">
        <v>5815</v>
      </c>
      <c r="O257" s="890">
        <v>11596</v>
      </c>
      <c r="P257" s="890">
        <v>7542</v>
      </c>
      <c r="Q257" s="890">
        <v>14508</v>
      </c>
      <c r="R257" s="890">
        <v>0</v>
      </c>
      <c r="S257" s="890">
        <v>0</v>
      </c>
      <c r="T257" s="890">
        <v>0</v>
      </c>
      <c r="U257" s="890">
        <v>0</v>
      </c>
      <c r="V257" s="890">
        <v>0</v>
      </c>
      <c r="W257" s="890">
        <v>0</v>
      </c>
      <c r="X257" s="890">
        <v>0</v>
      </c>
      <c r="Y257" s="890">
        <v>0</v>
      </c>
      <c r="Z257" s="890">
        <v>125</v>
      </c>
      <c r="AA257" s="890">
        <v>624</v>
      </c>
      <c r="AB257" s="890">
        <v>46</v>
      </c>
      <c r="AC257" s="890">
        <v>180</v>
      </c>
      <c r="AD257" s="890">
        <f t="shared" si="57"/>
        <v>90707</v>
      </c>
      <c r="AE257" s="890">
        <f t="shared" si="52"/>
        <v>222821</v>
      </c>
      <c r="AF257" s="890">
        <f t="shared" si="53"/>
        <v>81991</v>
      </c>
      <c r="AG257" s="895">
        <f t="shared" si="54"/>
        <v>-9.6</v>
      </c>
      <c r="AH257" s="890">
        <f t="shared" si="55"/>
        <v>154494</v>
      </c>
      <c r="AI257" s="895">
        <f t="shared" si="56"/>
        <v>-30.7</v>
      </c>
    </row>
    <row r="258" spans="1:35" s="846" customFormat="1" ht="19.5" hidden="1" customHeight="1">
      <c r="A258" s="891" t="s">
        <v>68</v>
      </c>
      <c r="B258" s="890">
        <v>5576</v>
      </c>
      <c r="C258" s="890">
        <v>45262</v>
      </c>
      <c r="D258" s="890">
        <v>4787</v>
      </c>
      <c r="E258" s="890">
        <v>37393</v>
      </c>
      <c r="F258" s="890">
        <v>738</v>
      </c>
      <c r="G258" s="890">
        <v>21529</v>
      </c>
      <c r="H258" s="890">
        <v>587</v>
      </c>
      <c r="I258" s="890">
        <v>18207</v>
      </c>
      <c r="J258" s="890">
        <v>30064</v>
      </c>
      <c r="K258" s="890">
        <v>119830</v>
      </c>
      <c r="L258" s="890">
        <v>13450</v>
      </c>
      <c r="M258" s="890">
        <v>78432</v>
      </c>
      <c r="N258" s="890">
        <v>143</v>
      </c>
      <c r="O258" s="890">
        <v>991</v>
      </c>
      <c r="P258" s="890">
        <v>615</v>
      </c>
      <c r="Q258" s="890">
        <v>1702</v>
      </c>
      <c r="R258" s="890">
        <v>645</v>
      </c>
      <c r="S258" s="890">
        <v>2659</v>
      </c>
      <c r="T258" s="890">
        <v>645</v>
      </c>
      <c r="U258" s="890">
        <v>2506</v>
      </c>
      <c r="V258" s="890">
        <v>14</v>
      </c>
      <c r="W258" s="890">
        <v>380</v>
      </c>
      <c r="X258" s="890">
        <v>22</v>
      </c>
      <c r="Y258" s="890">
        <v>531</v>
      </c>
      <c r="Z258" s="890">
        <v>223</v>
      </c>
      <c r="AA258" s="890">
        <v>17580</v>
      </c>
      <c r="AB258" s="890">
        <v>366</v>
      </c>
      <c r="AC258" s="890">
        <v>14561</v>
      </c>
      <c r="AD258" s="890">
        <f t="shared" si="57"/>
        <v>37403</v>
      </c>
      <c r="AE258" s="890">
        <f t="shared" si="52"/>
        <v>208231</v>
      </c>
      <c r="AF258" s="890">
        <f t="shared" si="53"/>
        <v>20472</v>
      </c>
      <c r="AG258" s="895">
        <f t="shared" si="54"/>
        <v>-45.3</v>
      </c>
      <c r="AH258" s="890">
        <f t="shared" si="55"/>
        <v>153332</v>
      </c>
      <c r="AI258" s="895">
        <f t="shared" si="56"/>
        <v>-26.4</v>
      </c>
    </row>
    <row r="259" spans="1:35" s="846" customFormat="1" ht="19.5" hidden="1" customHeight="1">
      <c r="A259" s="891" t="s">
        <v>57</v>
      </c>
      <c r="B259" s="890">
        <v>15140</v>
      </c>
      <c r="C259" s="890">
        <v>134855</v>
      </c>
      <c r="D259" s="890">
        <v>16462</v>
      </c>
      <c r="E259" s="890">
        <v>125951</v>
      </c>
      <c r="F259" s="890">
        <v>299</v>
      </c>
      <c r="G259" s="890">
        <v>422</v>
      </c>
      <c r="H259" s="890">
        <v>58</v>
      </c>
      <c r="I259" s="890">
        <v>424</v>
      </c>
      <c r="J259" s="890">
        <v>20730</v>
      </c>
      <c r="K259" s="890">
        <v>37540</v>
      </c>
      <c r="L259" s="890">
        <v>21760</v>
      </c>
      <c r="M259" s="890">
        <v>38761</v>
      </c>
      <c r="N259" s="890">
        <v>601</v>
      </c>
      <c r="O259" s="890">
        <v>1172</v>
      </c>
      <c r="P259" s="890">
        <v>91</v>
      </c>
      <c r="Q259" s="890">
        <v>173</v>
      </c>
      <c r="R259" s="890">
        <v>21</v>
      </c>
      <c r="S259" s="890">
        <v>54</v>
      </c>
      <c r="T259" s="890">
        <v>2</v>
      </c>
      <c r="U259" s="890">
        <v>16</v>
      </c>
      <c r="V259" s="890">
        <v>11</v>
      </c>
      <c r="W259" s="890">
        <v>361</v>
      </c>
      <c r="X259" s="890">
        <v>6</v>
      </c>
      <c r="Y259" s="890">
        <v>171</v>
      </c>
      <c r="Z259" s="890">
        <v>491</v>
      </c>
      <c r="AA259" s="890">
        <v>6314</v>
      </c>
      <c r="AB259" s="890">
        <v>847</v>
      </c>
      <c r="AC259" s="890">
        <v>5562</v>
      </c>
      <c r="AD259" s="890">
        <f t="shared" si="57"/>
        <v>37293</v>
      </c>
      <c r="AE259" s="890">
        <f t="shared" si="52"/>
        <v>180718</v>
      </c>
      <c r="AF259" s="890">
        <f t="shared" si="53"/>
        <v>39226</v>
      </c>
      <c r="AG259" s="895">
        <f t="shared" si="54"/>
        <v>5.2</v>
      </c>
      <c r="AH259" s="890">
        <f t="shared" si="55"/>
        <v>171058</v>
      </c>
      <c r="AI259" s="895">
        <f t="shared" si="56"/>
        <v>-5.3</v>
      </c>
    </row>
    <row r="260" spans="1:35" s="846" customFormat="1" ht="19.5" hidden="1" customHeight="1">
      <c r="A260" s="891" t="s">
        <v>58</v>
      </c>
      <c r="B260" s="890">
        <v>6084</v>
      </c>
      <c r="C260" s="890">
        <v>34114</v>
      </c>
      <c r="D260" s="890">
        <v>8252</v>
      </c>
      <c r="E260" s="890">
        <v>42162</v>
      </c>
      <c r="F260" s="890">
        <v>0</v>
      </c>
      <c r="G260" s="890">
        <v>15</v>
      </c>
      <c r="H260" s="890">
        <v>661</v>
      </c>
      <c r="I260" s="890">
        <v>5750</v>
      </c>
      <c r="J260" s="890">
        <v>4140</v>
      </c>
      <c r="K260" s="890">
        <v>7005</v>
      </c>
      <c r="L260" s="890">
        <v>4893</v>
      </c>
      <c r="M260" s="890">
        <v>7222</v>
      </c>
      <c r="N260" s="890">
        <v>160</v>
      </c>
      <c r="O260" s="890">
        <v>1739</v>
      </c>
      <c r="P260" s="890">
        <v>161</v>
      </c>
      <c r="Q260" s="890">
        <v>1406</v>
      </c>
      <c r="R260" s="890">
        <v>18</v>
      </c>
      <c r="S260" s="890">
        <v>7</v>
      </c>
      <c r="T260" s="890">
        <v>0</v>
      </c>
      <c r="U260" s="890">
        <v>0</v>
      </c>
      <c r="V260" s="890">
        <v>5275</v>
      </c>
      <c r="W260" s="890">
        <v>107905</v>
      </c>
      <c r="X260" s="890">
        <v>5980</v>
      </c>
      <c r="Y260" s="890">
        <v>98841</v>
      </c>
      <c r="Z260" s="890">
        <v>141</v>
      </c>
      <c r="AA260" s="890">
        <v>527</v>
      </c>
      <c r="AB260" s="890">
        <v>228</v>
      </c>
      <c r="AC260" s="890">
        <v>533</v>
      </c>
      <c r="AD260" s="890">
        <f t="shared" si="57"/>
        <v>15818</v>
      </c>
      <c r="AE260" s="890">
        <f t="shared" si="52"/>
        <v>151312</v>
      </c>
      <c r="AF260" s="890">
        <f t="shared" si="53"/>
        <v>20175</v>
      </c>
      <c r="AG260" s="895">
        <f t="shared" si="54"/>
        <v>27.5</v>
      </c>
      <c r="AH260" s="890">
        <f t="shared" si="55"/>
        <v>155914</v>
      </c>
      <c r="AI260" s="895">
        <f t="shared" si="56"/>
        <v>3</v>
      </c>
    </row>
    <row r="261" spans="1:35" s="846" customFormat="1" ht="19.5" hidden="1" customHeight="1">
      <c r="A261" s="891" t="s">
        <v>63</v>
      </c>
      <c r="B261" s="890">
        <v>16758</v>
      </c>
      <c r="C261" s="890">
        <v>95668</v>
      </c>
      <c r="D261" s="890">
        <v>10603</v>
      </c>
      <c r="E261" s="890">
        <v>54989</v>
      </c>
      <c r="F261" s="890">
        <v>0</v>
      </c>
      <c r="G261" s="890">
        <v>0</v>
      </c>
      <c r="H261" s="890">
        <v>0</v>
      </c>
      <c r="I261" s="890">
        <v>0</v>
      </c>
      <c r="J261" s="890">
        <v>40325</v>
      </c>
      <c r="K261" s="890">
        <v>70069</v>
      </c>
      <c r="L261" s="890">
        <v>36287</v>
      </c>
      <c r="M261" s="890">
        <v>51418</v>
      </c>
      <c r="N261" s="890">
        <v>3745</v>
      </c>
      <c r="O261" s="890">
        <v>7412</v>
      </c>
      <c r="P261" s="890">
        <v>1551</v>
      </c>
      <c r="Q261" s="890">
        <v>2869</v>
      </c>
      <c r="R261" s="890">
        <v>0</v>
      </c>
      <c r="S261" s="890">
        <v>0</v>
      </c>
      <c r="T261" s="890">
        <v>0</v>
      </c>
      <c r="U261" s="890">
        <v>0</v>
      </c>
      <c r="V261" s="890">
        <v>0</v>
      </c>
      <c r="W261" s="890">
        <v>0</v>
      </c>
      <c r="X261" s="890">
        <v>0</v>
      </c>
      <c r="Y261" s="890">
        <v>0</v>
      </c>
      <c r="Z261" s="890">
        <v>0</v>
      </c>
      <c r="AA261" s="890">
        <v>0</v>
      </c>
      <c r="AB261" s="890">
        <v>29</v>
      </c>
      <c r="AC261" s="890">
        <v>158</v>
      </c>
      <c r="AD261" s="890">
        <f t="shared" si="57"/>
        <v>60828</v>
      </c>
      <c r="AE261" s="890">
        <f t="shared" si="52"/>
        <v>173149</v>
      </c>
      <c r="AF261" s="890">
        <f t="shared" si="53"/>
        <v>48470</v>
      </c>
      <c r="AG261" s="895">
        <f t="shared" si="54"/>
        <v>-20.3</v>
      </c>
      <c r="AH261" s="890">
        <f t="shared" si="55"/>
        <v>109434</v>
      </c>
      <c r="AI261" s="895">
        <f t="shared" si="56"/>
        <v>-36.799999999999997</v>
      </c>
    </row>
    <row r="262" spans="1:35" s="846" customFormat="1" ht="19.5" hidden="1" customHeight="1">
      <c r="A262" s="891" t="s">
        <v>55</v>
      </c>
      <c r="B262" s="890">
        <v>4260</v>
      </c>
      <c r="C262" s="890">
        <v>27577</v>
      </c>
      <c r="D262" s="890">
        <v>9720</v>
      </c>
      <c r="E262" s="890">
        <v>54052</v>
      </c>
      <c r="F262" s="890">
        <v>0</v>
      </c>
      <c r="G262" s="890">
        <v>4</v>
      </c>
      <c r="H262" s="890">
        <v>0</v>
      </c>
      <c r="I262" s="890">
        <v>1</v>
      </c>
      <c r="J262" s="890">
        <v>67031</v>
      </c>
      <c r="K262" s="890">
        <v>108887</v>
      </c>
      <c r="L262" s="890">
        <v>62618</v>
      </c>
      <c r="M262" s="890">
        <v>94934</v>
      </c>
      <c r="N262" s="890">
        <v>120</v>
      </c>
      <c r="O262" s="890">
        <v>260</v>
      </c>
      <c r="P262" s="890">
        <v>293</v>
      </c>
      <c r="Q262" s="890">
        <v>515</v>
      </c>
      <c r="R262" s="890">
        <v>90</v>
      </c>
      <c r="S262" s="890">
        <v>201</v>
      </c>
      <c r="T262" s="890">
        <v>25</v>
      </c>
      <c r="U262" s="890">
        <v>9</v>
      </c>
      <c r="V262" s="890">
        <v>716</v>
      </c>
      <c r="W262" s="890">
        <v>15432</v>
      </c>
      <c r="X262" s="890">
        <v>945</v>
      </c>
      <c r="Y262" s="890">
        <v>18098</v>
      </c>
      <c r="Z262" s="890">
        <v>25</v>
      </c>
      <c r="AA262" s="890">
        <v>544</v>
      </c>
      <c r="AB262" s="890">
        <v>22</v>
      </c>
      <c r="AC262" s="890">
        <v>34</v>
      </c>
      <c r="AD262" s="890">
        <f t="shared" si="57"/>
        <v>72242</v>
      </c>
      <c r="AE262" s="890">
        <f t="shared" si="52"/>
        <v>152905</v>
      </c>
      <c r="AF262" s="890">
        <f t="shared" si="53"/>
        <v>73623</v>
      </c>
      <c r="AG262" s="895">
        <f t="shared" si="54"/>
        <v>1.9</v>
      </c>
      <c r="AH262" s="890">
        <f t="shared" si="55"/>
        <v>167643</v>
      </c>
      <c r="AI262" s="895">
        <f t="shared" si="56"/>
        <v>9.6</v>
      </c>
    </row>
    <row r="263" spans="1:35" s="846" customFormat="1" ht="19.5" hidden="1" customHeight="1">
      <c r="A263" s="891" t="s">
        <v>51</v>
      </c>
      <c r="B263" s="890">
        <v>3955</v>
      </c>
      <c r="C263" s="890">
        <v>26712</v>
      </c>
      <c r="D263" s="890">
        <v>6190</v>
      </c>
      <c r="E263" s="890">
        <v>39447</v>
      </c>
      <c r="F263" s="890">
        <v>65</v>
      </c>
      <c r="G263" s="890">
        <v>317</v>
      </c>
      <c r="H263" s="890">
        <v>121</v>
      </c>
      <c r="I263" s="890">
        <v>234</v>
      </c>
      <c r="J263" s="890">
        <v>50176</v>
      </c>
      <c r="K263" s="890">
        <v>113010</v>
      </c>
      <c r="L263" s="890">
        <v>39966</v>
      </c>
      <c r="M263" s="890">
        <v>100165</v>
      </c>
      <c r="N263" s="890">
        <v>4</v>
      </c>
      <c r="O263" s="890">
        <v>10</v>
      </c>
      <c r="P263" s="890">
        <v>11</v>
      </c>
      <c r="Q263" s="890">
        <v>16</v>
      </c>
      <c r="R263" s="890">
        <v>1437</v>
      </c>
      <c r="S263" s="890">
        <v>3247</v>
      </c>
      <c r="T263" s="890">
        <v>1644</v>
      </c>
      <c r="U263" s="890">
        <v>3370</v>
      </c>
      <c r="V263" s="890">
        <v>85</v>
      </c>
      <c r="W263" s="890">
        <v>1663</v>
      </c>
      <c r="X263" s="890">
        <v>2</v>
      </c>
      <c r="Y263" s="890">
        <v>32</v>
      </c>
      <c r="Z263" s="890">
        <v>803</v>
      </c>
      <c r="AA263" s="890">
        <v>4410</v>
      </c>
      <c r="AB263" s="890">
        <v>372</v>
      </c>
      <c r="AC263" s="890">
        <v>4158</v>
      </c>
      <c r="AD263" s="890">
        <f t="shared" si="57"/>
        <v>56525</v>
      </c>
      <c r="AE263" s="890">
        <f t="shared" si="52"/>
        <v>149369</v>
      </c>
      <c r="AF263" s="890">
        <f t="shared" si="53"/>
        <v>48306</v>
      </c>
      <c r="AG263" s="895">
        <f t="shared" si="54"/>
        <v>-14.5</v>
      </c>
      <c r="AH263" s="890">
        <f t="shared" si="55"/>
        <v>147422</v>
      </c>
      <c r="AI263" s="895">
        <f t="shared" si="56"/>
        <v>-1.3</v>
      </c>
    </row>
    <row r="264" spans="1:35" s="846" customFormat="1" ht="19.5" hidden="1" customHeight="1">
      <c r="A264" s="891" t="s">
        <v>72</v>
      </c>
      <c r="B264" s="890">
        <v>6486</v>
      </c>
      <c r="C264" s="890">
        <v>28236</v>
      </c>
      <c r="D264" s="890">
        <v>4909</v>
      </c>
      <c r="E264" s="890">
        <v>20538</v>
      </c>
      <c r="F264" s="890">
        <v>3451</v>
      </c>
      <c r="G264" s="890">
        <v>42400</v>
      </c>
      <c r="H264" s="890">
        <v>2781</v>
      </c>
      <c r="I264" s="890">
        <v>37381</v>
      </c>
      <c r="J264" s="890">
        <v>36272</v>
      </c>
      <c r="K264" s="890">
        <v>70649</v>
      </c>
      <c r="L264" s="890">
        <v>17878</v>
      </c>
      <c r="M264" s="890">
        <v>26003</v>
      </c>
      <c r="N264" s="890">
        <v>0</v>
      </c>
      <c r="O264" s="890">
        <v>0</v>
      </c>
      <c r="P264" s="890">
        <v>0</v>
      </c>
      <c r="Q264" s="890">
        <v>0</v>
      </c>
      <c r="R264" s="890">
        <v>487</v>
      </c>
      <c r="S264" s="890">
        <v>1493</v>
      </c>
      <c r="T264" s="890">
        <v>1427</v>
      </c>
      <c r="U264" s="890">
        <v>2974</v>
      </c>
      <c r="V264" s="890">
        <v>0</v>
      </c>
      <c r="W264" s="890">
        <v>2</v>
      </c>
      <c r="X264" s="890">
        <v>0</v>
      </c>
      <c r="Y264" s="890">
        <v>38</v>
      </c>
      <c r="Z264" s="890">
        <v>266</v>
      </c>
      <c r="AA264" s="890">
        <v>2118</v>
      </c>
      <c r="AB264" s="890">
        <v>137</v>
      </c>
      <c r="AC264" s="890">
        <v>6293</v>
      </c>
      <c r="AD264" s="890">
        <f t="shared" si="57"/>
        <v>46962</v>
      </c>
      <c r="AE264" s="890">
        <f t="shared" si="52"/>
        <v>144898</v>
      </c>
      <c r="AF264" s="890">
        <f t="shared" si="53"/>
        <v>27132</v>
      </c>
      <c r="AG264" s="895">
        <f t="shared" si="54"/>
        <v>-42.2</v>
      </c>
      <c r="AH264" s="890">
        <f t="shared" si="55"/>
        <v>93227</v>
      </c>
      <c r="AI264" s="895">
        <f t="shared" si="56"/>
        <v>-35.700000000000003</v>
      </c>
    </row>
    <row r="265" spans="1:35" s="846" customFormat="1" ht="19.5" hidden="1" customHeight="1">
      <c r="A265" s="891" t="s">
        <v>87</v>
      </c>
      <c r="B265" s="890">
        <v>2371</v>
      </c>
      <c r="C265" s="890">
        <v>13660</v>
      </c>
      <c r="D265" s="890">
        <v>1493</v>
      </c>
      <c r="E265" s="890">
        <v>7403</v>
      </c>
      <c r="F265" s="890">
        <v>0</v>
      </c>
      <c r="G265" s="890">
        <v>0</v>
      </c>
      <c r="H265" s="890">
        <v>0</v>
      </c>
      <c r="I265" s="890">
        <v>0</v>
      </c>
      <c r="J265" s="890">
        <v>51328</v>
      </c>
      <c r="K265" s="890">
        <v>105487</v>
      </c>
      <c r="L265" s="890">
        <v>42439</v>
      </c>
      <c r="M265" s="890">
        <v>78903</v>
      </c>
      <c r="N265" s="890">
        <v>4649</v>
      </c>
      <c r="O265" s="890">
        <v>5173</v>
      </c>
      <c r="P265" s="890">
        <v>0</v>
      </c>
      <c r="Q265" s="890">
        <v>0</v>
      </c>
      <c r="R265" s="890">
        <v>0</v>
      </c>
      <c r="S265" s="890">
        <v>0</v>
      </c>
      <c r="T265" s="890">
        <v>0</v>
      </c>
      <c r="U265" s="890">
        <v>0</v>
      </c>
      <c r="V265" s="890">
        <v>0</v>
      </c>
      <c r="W265" s="890">
        <v>0</v>
      </c>
      <c r="X265" s="890">
        <v>0</v>
      </c>
      <c r="Y265" s="890">
        <v>0</v>
      </c>
      <c r="Z265" s="890">
        <v>11</v>
      </c>
      <c r="AA265" s="890">
        <v>55</v>
      </c>
      <c r="AB265" s="890">
        <v>0</v>
      </c>
      <c r="AC265" s="890">
        <v>0</v>
      </c>
      <c r="AD265" s="890">
        <f t="shared" si="57"/>
        <v>58359</v>
      </c>
      <c r="AE265" s="890">
        <f t="shared" si="52"/>
        <v>124375</v>
      </c>
      <c r="AF265" s="890">
        <f t="shared" si="53"/>
        <v>43932</v>
      </c>
      <c r="AG265" s="895">
        <f t="shared" si="54"/>
        <v>-24.7</v>
      </c>
      <c r="AH265" s="890">
        <f t="shared" si="55"/>
        <v>86306</v>
      </c>
      <c r="AI265" s="895">
        <f t="shared" si="56"/>
        <v>-30.6</v>
      </c>
    </row>
    <row r="266" spans="1:35" s="846" customFormat="1" ht="19.5" hidden="1" customHeight="1">
      <c r="A266" s="891" t="s">
        <v>59</v>
      </c>
      <c r="B266" s="890">
        <v>15688</v>
      </c>
      <c r="C266" s="890">
        <v>97291</v>
      </c>
      <c r="D266" s="890">
        <v>14513</v>
      </c>
      <c r="E266" s="890">
        <v>84803</v>
      </c>
      <c r="F266" s="890">
        <v>494</v>
      </c>
      <c r="G266" s="890">
        <v>377</v>
      </c>
      <c r="H266" s="890">
        <v>23</v>
      </c>
      <c r="I266" s="890">
        <v>287</v>
      </c>
      <c r="J266" s="890">
        <v>14258</v>
      </c>
      <c r="K266" s="890">
        <v>19026</v>
      </c>
      <c r="L266" s="890">
        <v>10965</v>
      </c>
      <c r="M266" s="890">
        <v>13102</v>
      </c>
      <c r="N266" s="890">
        <v>1766</v>
      </c>
      <c r="O266" s="890">
        <v>3366</v>
      </c>
      <c r="P266" s="890">
        <v>1091</v>
      </c>
      <c r="Q266" s="890">
        <v>1972</v>
      </c>
      <c r="R266" s="890">
        <v>170</v>
      </c>
      <c r="S266" s="890">
        <v>365</v>
      </c>
      <c r="T266" s="890">
        <v>7</v>
      </c>
      <c r="U266" s="890">
        <v>15</v>
      </c>
      <c r="V266" s="890">
        <v>42</v>
      </c>
      <c r="W266" s="890">
        <v>601</v>
      </c>
      <c r="X266" s="890">
        <v>60</v>
      </c>
      <c r="Y266" s="890">
        <v>1113</v>
      </c>
      <c r="Z266" s="890">
        <v>25</v>
      </c>
      <c r="AA266" s="890">
        <v>260</v>
      </c>
      <c r="AB266" s="890">
        <v>31</v>
      </c>
      <c r="AC266" s="890">
        <v>234</v>
      </c>
      <c r="AD266" s="890">
        <f t="shared" si="57"/>
        <v>32443</v>
      </c>
      <c r="AE266" s="890">
        <f t="shared" si="52"/>
        <v>121286</v>
      </c>
      <c r="AF266" s="890">
        <f t="shared" si="53"/>
        <v>26690</v>
      </c>
      <c r="AG266" s="895">
        <f t="shared" si="54"/>
        <v>-17.7</v>
      </c>
      <c r="AH266" s="890">
        <f t="shared" si="55"/>
        <v>101526</v>
      </c>
      <c r="AI266" s="895">
        <f t="shared" si="56"/>
        <v>-16.3</v>
      </c>
    </row>
    <row r="267" spans="1:35" s="846" customFormat="1" ht="19.5" hidden="1" customHeight="1">
      <c r="A267" s="891" t="s">
        <v>90</v>
      </c>
      <c r="B267" s="890">
        <v>264</v>
      </c>
      <c r="C267" s="890">
        <v>1706</v>
      </c>
      <c r="D267" s="890">
        <v>631</v>
      </c>
      <c r="E267" s="890">
        <v>3364</v>
      </c>
      <c r="F267" s="890">
        <v>0</v>
      </c>
      <c r="G267" s="890">
        <v>0</v>
      </c>
      <c r="H267" s="890">
        <v>0</v>
      </c>
      <c r="I267" s="890">
        <v>0</v>
      </c>
      <c r="J267" s="890">
        <v>48705</v>
      </c>
      <c r="K267" s="890">
        <v>101870</v>
      </c>
      <c r="L267" s="890">
        <v>32546</v>
      </c>
      <c r="M267" s="890">
        <v>57372</v>
      </c>
      <c r="N267" s="890">
        <v>0</v>
      </c>
      <c r="O267" s="890">
        <v>0</v>
      </c>
      <c r="P267" s="890">
        <v>0</v>
      </c>
      <c r="Q267" s="890">
        <v>0</v>
      </c>
      <c r="R267" s="890">
        <v>0</v>
      </c>
      <c r="S267" s="890">
        <v>0</v>
      </c>
      <c r="T267" s="890">
        <v>0</v>
      </c>
      <c r="U267" s="890">
        <v>0</v>
      </c>
      <c r="V267" s="890">
        <v>0</v>
      </c>
      <c r="W267" s="890">
        <v>0</v>
      </c>
      <c r="X267" s="890">
        <v>0</v>
      </c>
      <c r="Y267" s="890">
        <v>0</v>
      </c>
      <c r="Z267" s="890">
        <v>0</v>
      </c>
      <c r="AA267" s="890">
        <v>0</v>
      </c>
      <c r="AB267" s="890">
        <v>0</v>
      </c>
      <c r="AC267" s="890">
        <v>0</v>
      </c>
      <c r="AD267" s="890">
        <f t="shared" si="57"/>
        <v>48969</v>
      </c>
      <c r="AE267" s="890">
        <f t="shared" si="52"/>
        <v>103576</v>
      </c>
      <c r="AF267" s="890">
        <f t="shared" si="53"/>
        <v>33177</v>
      </c>
      <c r="AG267" s="895">
        <f t="shared" si="54"/>
        <v>-32.200000000000003</v>
      </c>
      <c r="AH267" s="890">
        <f t="shared" si="55"/>
        <v>60736</v>
      </c>
      <c r="AI267" s="895">
        <f t="shared" si="56"/>
        <v>-41.4</v>
      </c>
    </row>
    <row r="268" spans="1:35" s="846" customFormat="1" ht="19.5" hidden="1" customHeight="1">
      <c r="A268" s="891" t="s">
        <v>76</v>
      </c>
      <c r="B268" s="890">
        <v>201</v>
      </c>
      <c r="C268" s="890">
        <v>2395</v>
      </c>
      <c r="D268" s="890">
        <v>97</v>
      </c>
      <c r="E268" s="890">
        <v>2063</v>
      </c>
      <c r="F268" s="890">
        <v>720</v>
      </c>
      <c r="G268" s="890">
        <v>17143</v>
      </c>
      <c r="H268" s="890">
        <v>829</v>
      </c>
      <c r="I268" s="890">
        <v>18030</v>
      </c>
      <c r="J268" s="890">
        <v>4646</v>
      </c>
      <c r="K268" s="890">
        <v>57006</v>
      </c>
      <c r="L268" s="890">
        <v>4354</v>
      </c>
      <c r="M268" s="890">
        <v>52148</v>
      </c>
      <c r="N268" s="890">
        <v>813</v>
      </c>
      <c r="O268" s="890">
        <v>1592</v>
      </c>
      <c r="P268" s="890">
        <v>219</v>
      </c>
      <c r="Q268" s="890">
        <v>424</v>
      </c>
      <c r="R268" s="890">
        <v>406</v>
      </c>
      <c r="S268" s="890">
        <v>1983</v>
      </c>
      <c r="T268" s="890">
        <v>380</v>
      </c>
      <c r="U268" s="890">
        <v>1702</v>
      </c>
      <c r="V268" s="890">
        <v>14</v>
      </c>
      <c r="W268" s="890">
        <v>329</v>
      </c>
      <c r="X268" s="890">
        <v>14</v>
      </c>
      <c r="Y268" s="890">
        <v>331</v>
      </c>
      <c r="Z268" s="890">
        <v>89</v>
      </c>
      <c r="AA268" s="890">
        <v>7722</v>
      </c>
      <c r="AB268" s="890">
        <v>58</v>
      </c>
      <c r="AC268" s="890">
        <v>5817</v>
      </c>
      <c r="AD268" s="890">
        <f t="shared" si="57"/>
        <v>6889</v>
      </c>
      <c r="AE268" s="890">
        <f t="shared" si="52"/>
        <v>88170</v>
      </c>
      <c r="AF268" s="890">
        <f t="shared" si="53"/>
        <v>5951</v>
      </c>
      <c r="AG268" s="895">
        <f t="shared" si="54"/>
        <v>-13.6</v>
      </c>
      <c r="AH268" s="890">
        <f t="shared" si="55"/>
        <v>80515</v>
      </c>
      <c r="AI268" s="895">
        <f t="shared" si="56"/>
        <v>-8.6999999999999993</v>
      </c>
    </row>
    <row r="269" spans="1:35" s="846" customFormat="1" ht="19.5" hidden="1" customHeight="1">
      <c r="A269" s="891" t="s">
        <v>91</v>
      </c>
      <c r="B269" s="890">
        <v>666</v>
      </c>
      <c r="C269" s="890">
        <v>3814</v>
      </c>
      <c r="D269" s="890">
        <v>501</v>
      </c>
      <c r="E269" s="890">
        <v>2678</v>
      </c>
      <c r="F269" s="890">
        <v>0</v>
      </c>
      <c r="G269" s="890">
        <v>0</v>
      </c>
      <c r="H269" s="890">
        <v>0</v>
      </c>
      <c r="I269" s="890">
        <v>0</v>
      </c>
      <c r="J269" s="890">
        <v>31161</v>
      </c>
      <c r="K269" s="890">
        <v>66112</v>
      </c>
      <c r="L269" s="890">
        <v>38279</v>
      </c>
      <c r="M269" s="890">
        <v>69756</v>
      </c>
      <c r="N269" s="890">
        <v>0</v>
      </c>
      <c r="O269" s="890">
        <v>0</v>
      </c>
      <c r="P269" s="890">
        <v>0</v>
      </c>
      <c r="Q269" s="890">
        <v>0</v>
      </c>
      <c r="R269" s="890">
        <v>0</v>
      </c>
      <c r="S269" s="890">
        <v>0</v>
      </c>
      <c r="T269" s="890">
        <v>0</v>
      </c>
      <c r="U269" s="890">
        <v>0</v>
      </c>
      <c r="V269" s="890">
        <v>0</v>
      </c>
      <c r="W269" s="890">
        <v>0</v>
      </c>
      <c r="X269" s="890">
        <v>0</v>
      </c>
      <c r="Y269" s="890">
        <v>0</v>
      </c>
      <c r="Z269" s="890">
        <v>0</v>
      </c>
      <c r="AA269" s="890">
        <v>0</v>
      </c>
      <c r="AB269" s="890">
        <v>0</v>
      </c>
      <c r="AC269" s="890">
        <v>0</v>
      </c>
      <c r="AD269" s="890">
        <f t="shared" si="57"/>
        <v>31827</v>
      </c>
      <c r="AE269" s="890">
        <f t="shared" si="52"/>
        <v>69926</v>
      </c>
      <c r="AF269" s="890">
        <f t="shared" si="53"/>
        <v>38780</v>
      </c>
      <c r="AG269" s="895">
        <f t="shared" si="54"/>
        <v>21.8</v>
      </c>
      <c r="AH269" s="890">
        <f t="shared" si="55"/>
        <v>72434</v>
      </c>
      <c r="AI269" s="895">
        <f t="shared" si="56"/>
        <v>3.6</v>
      </c>
    </row>
    <row r="270" spans="1:35" s="846" customFormat="1" ht="19.5" hidden="1" customHeight="1">
      <c r="A270" s="891" t="s">
        <v>308</v>
      </c>
      <c r="B270" s="890">
        <v>0</v>
      </c>
      <c r="C270" s="890">
        <v>0</v>
      </c>
      <c r="D270" s="890">
        <v>0</v>
      </c>
      <c r="E270" s="890">
        <v>0</v>
      </c>
      <c r="F270" s="890">
        <v>4200</v>
      </c>
      <c r="G270" s="890">
        <v>51520</v>
      </c>
      <c r="H270" s="890">
        <v>3226</v>
      </c>
      <c r="I270" s="890">
        <v>44728</v>
      </c>
      <c r="J270" s="890">
        <v>0</v>
      </c>
      <c r="K270" s="890">
        <v>0</v>
      </c>
      <c r="L270" s="890">
        <v>0</v>
      </c>
      <c r="M270" s="890">
        <v>0</v>
      </c>
      <c r="N270" s="890">
        <v>0</v>
      </c>
      <c r="O270" s="890">
        <v>0</v>
      </c>
      <c r="P270" s="890">
        <v>0</v>
      </c>
      <c r="Q270" s="890">
        <v>0</v>
      </c>
      <c r="R270" s="890">
        <v>0</v>
      </c>
      <c r="S270" s="890">
        <v>0</v>
      </c>
      <c r="T270" s="890">
        <v>0</v>
      </c>
      <c r="U270" s="890">
        <v>0</v>
      </c>
      <c r="V270" s="890">
        <v>0</v>
      </c>
      <c r="W270" s="890">
        <v>0</v>
      </c>
      <c r="X270" s="890">
        <v>0</v>
      </c>
      <c r="Y270" s="890">
        <v>0</v>
      </c>
      <c r="Z270" s="890">
        <v>0</v>
      </c>
      <c r="AA270" s="890">
        <v>0</v>
      </c>
      <c r="AB270" s="890">
        <v>0</v>
      </c>
      <c r="AC270" s="890">
        <v>0</v>
      </c>
      <c r="AD270" s="890">
        <f t="shared" si="57"/>
        <v>4200</v>
      </c>
      <c r="AE270" s="890">
        <f t="shared" si="52"/>
        <v>51520</v>
      </c>
      <c r="AF270" s="890">
        <f t="shared" si="53"/>
        <v>3226</v>
      </c>
      <c r="AG270" s="895">
        <f t="shared" si="54"/>
        <v>-23.2</v>
      </c>
      <c r="AH270" s="890">
        <f t="shared" si="55"/>
        <v>44728</v>
      </c>
      <c r="AI270" s="895">
        <f t="shared" si="56"/>
        <v>-13.2</v>
      </c>
    </row>
    <row r="271" spans="1:35" s="846" customFormat="1" ht="19.5" hidden="1" customHeight="1">
      <c r="A271" s="891" t="s">
        <v>71</v>
      </c>
      <c r="B271" s="890">
        <v>1781</v>
      </c>
      <c r="C271" s="890">
        <v>13475</v>
      </c>
      <c r="D271" s="890">
        <v>1985</v>
      </c>
      <c r="E271" s="890">
        <v>12706</v>
      </c>
      <c r="F271" s="890">
        <v>172</v>
      </c>
      <c r="G271" s="890">
        <v>5299</v>
      </c>
      <c r="H271" s="890">
        <v>263</v>
      </c>
      <c r="I271" s="890">
        <v>6631</v>
      </c>
      <c r="J271" s="890">
        <v>15757</v>
      </c>
      <c r="K271" s="890">
        <v>28896</v>
      </c>
      <c r="L271" s="890">
        <v>18822</v>
      </c>
      <c r="M271" s="890">
        <v>30969</v>
      </c>
      <c r="N271" s="890">
        <v>4</v>
      </c>
      <c r="O271" s="890">
        <v>32</v>
      </c>
      <c r="P271" s="890">
        <v>3</v>
      </c>
      <c r="Q271" s="890">
        <v>28</v>
      </c>
      <c r="R271" s="890">
        <v>3</v>
      </c>
      <c r="S271" s="890">
        <v>31</v>
      </c>
      <c r="T271" s="890">
        <v>1</v>
      </c>
      <c r="U271" s="890">
        <v>31</v>
      </c>
      <c r="V271" s="890">
        <v>10</v>
      </c>
      <c r="W271" s="890">
        <v>232</v>
      </c>
      <c r="X271" s="890">
        <v>14</v>
      </c>
      <c r="Y271" s="890">
        <v>277</v>
      </c>
      <c r="Z271" s="890">
        <v>475</v>
      </c>
      <c r="AA271" s="890">
        <v>12330</v>
      </c>
      <c r="AB271" s="890">
        <v>553</v>
      </c>
      <c r="AC271" s="890">
        <v>8233</v>
      </c>
      <c r="AD271" s="890">
        <f t="shared" si="57"/>
        <v>18202</v>
      </c>
      <c r="AE271" s="890">
        <f t="shared" si="52"/>
        <v>60295</v>
      </c>
      <c r="AF271" s="890">
        <f t="shared" si="53"/>
        <v>21641</v>
      </c>
      <c r="AG271" s="895">
        <f t="shared" si="54"/>
        <v>18.899999999999999</v>
      </c>
      <c r="AH271" s="890">
        <f t="shared" si="55"/>
        <v>58875</v>
      </c>
      <c r="AI271" s="895">
        <f t="shared" si="56"/>
        <v>-2.4</v>
      </c>
    </row>
    <row r="272" spans="1:35" s="846" customFormat="1" ht="19.5" hidden="1" customHeight="1">
      <c r="A272" s="891" t="s">
        <v>88</v>
      </c>
      <c r="B272" s="890">
        <v>7540</v>
      </c>
      <c r="C272" s="890">
        <v>41438</v>
      </c>
      <c r="D272" s="890">
        <v>4997</v>
      </c>
      <c r="E272" s="890">
        <v>24452</v>
      </c>
      <c r="F272" s="890">
        <v>0</v>
      </c>
      <c r="G272" s="890">
        <v>0</v>
      </c>
      <c r="H272" s="890">
        <v>0</v>
      </c>
      <c r="I272" s="890">
        <v>0</v>
      </c>
      <c r="J272" s="890">
        <v>4577</v>
      </c>
      <c r="K272" s="890">
        <v>7478</v>
      </c>
      <c r="L272" s="890">
        <v>1203</v>
      </c>
      <c r="M272" s="890">
        <v>1762</v>
      </c>
      <c r="N272" s="890">
        <v>3505</v>
      </c>
      <c r="O272" s="890">
        <v>6831</v>
      </c>
      <c r="P272" s="890">
        <v>5903</v>
      </c>
      <c r="Q272" s="890">
        <v>10378</v>
      </c>
      <c r="R272" s="890">
        <v>0</v>
      </c>
      <c r="S272" s="890">
        <v>0</v>
      </c>
      <c r="T272" s="890">
        <v>0</v>
      </c>
      <c r="U272" s="890">
        <v>0</v>
      </c>
      <c r="V272" s="890">
        <v>0</v>
      </c>
      <c r="W272" s="890">
        <v>0</v>
      </c>
      <c r="X272" s="890">
        <v>0</v>
      </c>
      <c r="Y272" s="890">
        <v>0</v>
      </c>
      <c r="Z272" s="890">
        <v>0</v>
      </c>
      <c r="AA272" s="890">
        <v>0</v>
      </c>
      <c r="AB272" s="890">
        <v>0</v>
      </c>
      <c r="AC272" s="890">
        <v>0</v>
      </c>
      <c r="AD272" s="890">
        <f t="shared" si="57"/>
        <v>15622</v>
      </c>
      <c r="AE272" s="890">
        <f t="shared" si="52"/>
        <v>55747</v>
      </c>
      <c r="AF272" s="890">
        <f t="shared" si="53"/>
        <v>12103</v>
      </c>
      <c r="AG272" s="895">
        <f t="shared" si="54"/>
        <v>-22.5</v>
      </c>
      <c r="AH272" s="890">
        <f t="shared" si="55"/>
        <v>36592</v>
      </c>
      <c r="AI272" s="895">
        <f t="shared" si="56"/>
        <v>-34.4</v>
      </c>
    </row>
    <row r="273" spans="1:35" s="846" customFormat="1" ht="19.5" hidden="1" customHeight="1">
      <c r="A273" s="891" t="s">
        <v>65</v>
      </c>
      <c r="B273" s="890">
        <v>4764</v>
      </c>
      <c r="C273" s="890">
        <v>24357</v>
      </c>
      <c r="D273" s="890">
        <v>11295</v>
      </c>
      <c r="E273" s="890">
        <v>47280</v>
      </c>
      <c r="F273" s="890">
        <v>6</v>
      </c>
      <c r="G273" s="890">
        <v>818</v>
      </c>
      <c r="H273" s="890">
        <v>8</v>
      </c>
      <c r="I273" s="890">
        <v>889</v>
      </c>
      <c r="J273" s="890">
        <v>12027</v>
      </c>
      <c r="K273" s="890">
        <v>16681</v>
      </c>
      <c r="L273" s="890">
        <v>24577</v>
      </c>
      <c r="M273" s="890">
        <v>29800</v>
      </c>
      <c r="N273" s="890">
        <v>100</v>
      </c>
      <c r="O273" s="890">
        <v>210</v>
      </c>
      <c r="P273" s="890">
        <v>2962</v>
      </c>
      <c r="Q273" s="890">
        <v>5286</v>
      </c>
      <c r="R273" s="890">
        <v>0</v>
      </c>
      <c r="S273" s="890">
        <v>0</v>
      </c>
      <c r="T273" s="890">
        <v>0</v>
      </c>
      <c r="U273" s="890">
        <v>0</v>
      </c>
      <c r="V273" s="890">
        <v>0</v>
      </c>
      <c r="W273" s="890">
        <v>0</v>
      </c>
      <c r="X273" s="890">
        <v>0</v>
      </c>
      <c r="Y273" s="890">
        <v>0</v>
      </c>
      <c r="Z273" s="890">
        <v>83</v>
      </c>
      <c r="AA273" s="890">
        <v>1710</v>
      </c>
      <c r="AB273" s="890">
        <v>29</v>
      </c>
      <c r="AC273" s="890">
        <v>714</v>
      </c>
      <c r="AD273" s="890">
        <f t="shared" si="57"/>
        <v>16980</v>
      </c>
      <c r="AE273" s="890">
        <f t="shared" si="52"/>
        <v>43776</v>
      </c>
      <c r="AF273" s="890">
        <f t="shared" si="53"/>
        <v>38871</v>
      </c>
      <c r="AG273" s="895">
        <f t="shared" si="54"/>
        <v>128.9</v>
      </c>
      <c r="AH273" s="890">
        <f t="shared" si="55"/>
        <v>83969</v>
      </c>
      <c r="AI273" s="895">
        <f t="shared" si="56"/>
        <v>91.8</v>
      </c>
    </row>
    <row r="274" spans="1:35" s="846" customFormat="1" ht="19.5" hidden="1" customHeight="1">
      <c r="A274" s="891" t="s">
        <v>66</v>
      </c>
      <c r="B274" s="890">
        <v>7198</v>
      </c>
      <c r="C274" s="890">
        <v>35584</v>
      </c>
      <c r="D274" s="890">
        <v>7276</v>
      </c>
      <c r="E274" s="890">
        <v>37866</v>
      </c>
      <c r="F274" s="890">
        <v>41</v>
      </c>
      <c r="G274" s="890">
        <v>309</v>
      </c>
      <c r="H274" s="890">
        <v>171</v>
      </c>
      <c r="I274" s="890">
        <v>459</v>
      </c>
      <c r="J274" s="890">
        <v>3712</v>
      </c>
      <c r="K274" s="890">
        <v>7778</v>
      </c>
      <c r="L274" s="890">
        <v>2280</v>
      </c>
      <c r="M274" s="890">
        <v>8112</v>
      </c>
      <c r="N274" s="890">
        <v>3</v>
      </c>
      <c r="O274" s="890">
        <v>440</v>
      </c>
      <c r="P274" s="890">
        <v>362</v>
      </c>
      <c r="Q274" s="890">
        <v>1012</v>
      </c>
      <c r="R274" s="890">
        <v>0</v>
      </c>
      <c r="S274" s="890">
        <v>1</v>
      </c>
      <c r="T274" s="890">
        <v>0</v>
      </c>
      <c r="U274" s="890">
        <v>0</v>
      </c>
      <c r="V274" s="890">
        <v>1</v>
      </c>
      <c r="W274" s="890">
        <v>16</v>
      </c>
      <c r="X274" s="890">
        <v>2</v>
      </c>
      <c r="Y274" s="890">
        <v>46</v>
      </c>
      <c r="Z274" s="890">
        <v>731</v>
      </c>
      <c r="AA274" s="890">
        <v>2114</v>
      </c>
      <c r="AB274" s="890">
        <v>138</v>
      </c>
      <c r="AC274" s="890">
        <v>834</v>
      </c>
      <c r="AD274" s="890">
        <f t="shared" si="57"/>
        <v>11686</v>
      </c>
      <c r="AE274" s="890">
        <f t="shared" si="52"/>
        <v>46242</v>
      </c>
      <c r="AF274" s="890">
        <f t="shared" si="53"/>
        <v>10229</v>
      </c>
      <c r="AG274" s="895">
        <f t="shared" si="54"/>
        <v>-12.5</v>
      </c>
      <c r="AH274" s="890">
        <f t="shared" si="55"/>
        <v>48329</v>
      </c>
      <c r="AI274" s="895">
        <f t="shared" si="56"/>
        <v>4.5</v>
      </c>
    </row>
    <row r="275" spans="1:35" s="846" customFormat="1" ht="19.5" hidden="1" customHeight="1">
      <c r="A275" s="891" t="s">
        <v>89</v>
      </c>
      <c r="B275" s="890">
        <v>2899</v>
      </c>
      <c r="C275" s="890">
        <v>16974</v>
      </c>
      <c r="D275" s="890">
        <v>7129</v>
      </c>
      <c r="E275" s="890">
        <v>10504</v>
      </c>
      <c r="F275" s="890">
        <v>481</v>
      </c>
      <c r="G275" s="890">
        <v>6454</v>
      </c>
      <c r="H275" s="890">
        <v>124</v>
      </c>
      <c r="I275" s="890">
        <v>1881</v>
      </c>
      <c r="J275" s="890">
        <v>4436</v>
      </c>
      <c r="K275" s="890">
        <v>7593</v>
      </c>
      <c r="L275" s="890">
        <v>6189</v>
      </c>
      <c r="M275" s="890">
        <v>9576</v>
      </c>
      <c r="N275" s="890">
        <v>460</v>
      </c>
      <c r="O275" s="890">
        <v>949</v>
      </c>
      <c r="P275" s="890">
        <v>251</v>
      </c>
      <c r="Q275" s="890">
        <v>402</v>
      </c>
      <c r="R275" s="890">
        <v>0</v>
      </c>
      <c r="S275" s="890">
        <v>0</v>
      </c>
      <c r="T275" s="890">
        <v>0</v>
      </c>
      <c r="U275" s="890">
        <v>0</v>
      </c>
      <c r="V275" s="890">
        <v>0</v>
      </c>
      <c r="W275" s="890">
        <v>0</v>
      </c>
      <c r="X275" s="890">
        <v>0</v>
      </c>
      <c r="Y275" s="890">
        <v>0</v>
      </c>
      <c r="Z275" s="890">
        <v>147</v>
      </c>
      <c r="AA275" s="890">
        <v>922</v>
      </c>
      <c r="AB275" s="890">
        <v>102</v>
      </c>
      <c r="AC275" s="890">
        <v>486</v>
      </c>
      <c r="AD275" s="890">
        <f t="shared" si="57"/>
        <v>8423</v>
      </c>
      <c r="AE275" s="890">
        <f t="shared" si="52"/>
        <v>32892</v>
      </c>
      <c r="AF275" s="890">
        <f t="shared" si="53"/>
        <v>13795</v>
      </c>
      <c r="AG275" s="895">
        <f t="shared" si="54"/>
        <v>63.8</v>
      </c>
      <c r="AH275" s="890">
        <f t="shared" si="55"/>
        <v>22849</v>
      </c>
      <c r="AI275" s="895">
        <f t="shared" si="56"/>
        <v>-30.5</v>
      </c>
    </row>
    <row r="276" spans="1:35" s="846" customFormat="1" ht="19.5" hidden="1" customHeight="1">
      <c r="A276" s="891" t="s">
        <v>309</v>
      </c>
      <c r="B276" s="890">
        <v>2</v>
      </c>
      <c r="C276" s="890">
        <v>50</v>
      </c>
      <c r="D276" s="890">
        <v>6</v>
      </c>
      <c r="E276" s="890">
        <v>80</v>
      </c>
      <c r="F276" s="890">
        <v>3015</v>
      </c>
      <c r="G276" s="890">
        <v>40930</v>
      </c>
      <c r="H276" s="890">
        <v>2367</v>
      </c>
      <c r="I276" s="890">
        <v>32319</v>
      </c>
      <c r="J276" s="890">
        <v>1</v>
      </c>
      <c r="K276" s="890">
        <v>56</v>
      </c>
      <c r="L276" s="890">
        <v>65</v>
      </c>
      <c r="M276" s="890">
        <v>356</v>
      </c>
      <c r="N276" s="890">
        <v>0</v>
      </c>
      <c r="O276" s="890">
        <v>0</v>
      </c>
      <c r="P276" s="890">
        <v>0</v>
      </c>
      <c r="Q276" s="890">
        <v>0</v>
      </c>
      <c r="R276" s="890">
        <v>0</v>
      </c>
      <c r="S276" s="890">
        <v>5</v>
      </c>
      <c r="T276" s="890">
        <v>0</v>
      </c>
      <c r="U276" s="890">
        <v>2</v>
      </c>
      <c r="V276" s="890">
        <v>0</v>
      </c>
      <c r="W276" s="890">
        <v>0</v>
      </c>
      <c r="X276" s="890">
        <v>0</v>
      </c>
      <c r="Y276" s="890">
        <v>0</v>
      </c>
      <c r="Z276" s="890">
        <v>8</v>
      </c>
      <c r="AA276" s="890">
        <v>257</v>
      </c>
      <c r="AB276" s="890">
        <v>4</v>
      </c>
      <c r="AC276" s="890">
        <v>148</v>
      </c>
      <c r="AD276" s="890">
        <f t="shared" si="57"/>
        <v>3026</v>
      </c>
      <c r="AE276" s="890">
        <f t="shared" si="52"/>
        <v>41298</v>
      </c>
      <c r="AF276" s="890">
        <f t="shared" si="53"/>
        <v>2442</v>
      </c>
      <c r="AG276" s="895">
        <f t="shared" si="54"/>
        <v>-19.3</v>
      </c>
      <c r="AH276" s="890">
        <f t="shared" si="55"/>
        <v>32905</v>
      </c>
      <c r="AI276" s="895">
        <f t="shared" si="56"/>
        <v>-20.3</v>
      </c>
    </row>
    <row r="277" spans="1:35" s="846" customFormat="1" ht="19.5" hidden="1" customHeight="1">
      <c r="A277" s="891" t="s">
        <v>92</v>
      </c>
      <c r="B277" s="890">
        <v>5665</v>
      </c>
      <c r="C277" s="890">
        <v>31750</v>
      </c>
      <c r="D277" s="890">
        <v>3996</v>
      </c>
      <c r="E277" s="890">
        <v>20132</v>
      </c>
      <c r="F277" s="890">
        <v>0</v>
      </c>
      <c r="G277" s="890">
        <v>1</v>
      </c>
      <c r="H277" s="890">
        <v>0</v>
      </c>
      <c r="I277" s="890">
        <v>13</v>
      </c>
      <c r="J277" s="890">
        <v>5469</v>
      </c>
      <c r="K277" s="890">
        <v>8881</v>
      </c>
      <c r="L277" s="890">
        <v>7923</v>
      </c>
      <c r="M277" s="890">
        <v>11368</v>
      </c>
      <c r="N277" s="890">
        <v>0</v>
      </c>
      <c r="O277" s="890">
        <v>0</v>
      </c>
      <c r="P277" s="890">
        <v>0</v>
      </c>
      <c r="Q277" s="890">
        <v>2</v>
      </c>
      <c r="R277" s="890">
        <v>0</v>
      </c>
      <c r="S277" s="890">
        <v>0</v>
      </c>
      <c r="T277" s="890">
        <v>0</v>
      </c>
      <c r="U277" s="890">
        <v>0</v>
      </c>
      <c r="V277" s="890">
        <v>0</v>
      </c>
      <c r="W277" s="890">
        <v>0</v>
      </c>
      <c r="X277" s="890">
        <v>0</v>
      </c>
      <c r="Y277" s="890">
        <v>0</v>
      </c>
      <c r="Z277" s="890">
        <v>0</v>
      </c>
      <c r="AA277" s="890">
        <v>49</v>
      </c>
      <c r="AB277" s="890">
        <v>4</v>
      </c>
      <c r="AC277" s="890">
        <v>26</v>
      </c>
      <c r="AD277" s="890">
        <f t="shared" si="57"/>
        <v>11134</v>
      </c>
      <c r="AE277" s="890">
        <f t="shared" si="52"/>
        <v>40681</v>
      </c>
      <c r="AF277" s="890">
        <f t="shared" si="53"/>
        <v>11923</v>
      </c>
      <c r="AG277" s="895">
        <f t="shared" si="54"/>
        <v>7.1</v>
      </c>
      <c r="AH277" s="890">
        <f t="shared" si="55"/>
        <v>31541</v>
      </c>
      <c r="AI277" s="895">
        <f t="shared" si="56"/>
        <v>-22.5</v>
      </c>
    </row>
    <row r="278" spans="1:35" s="846" customFormat="1" ht="19.5" hidden="1" customHeight="1">
      <c r="A278" s="877" t="s">
        <v>78</v>
      </c>
      <c r="B278" s="892">
        <f t="shared" ref="B278:M278" si="58">B279-SUM(B248:B277)</f>
        <v>85849</v>
      </c>
      <c r="C278" s="892">
        <f t="shared" si="58"/>
        <v>461020</v>
      </c>
      <c r="D278" s="892">
        <f t="shared" si="58"/>
        <v>69416</v>
      </c>
      <c r="E278" s="892">
        <f t="shared" si="58"/>
        <v>342528</v>
      </c>
      <c r="F278" s="892">
        <f t="shared" si="58"/>
        <v>3543</v>
      </c>
      <c r="G278" s="892">
        <f t="shared" si="58"/>
        <v>41667</v>
      </c>
      <c r="H278" s="892">
        <f t="shared" si="58"/>
        <v>7241</v>
      </c>
      <c r="I278" s="892">
        <f t="shared" si="58"/>
        <v>70106</v>
      </c>
      <c r="J278" s="892">
        <f t="shared" si="58"/>
        <v>85010</v>
      </c>
      <c r="K278" s="892">
        <f t="shared" si="58"/>
        <v>148586</v>
      </c>
      <c r="L278" s="892">
        <f t="shared" si="58"/>
        <v>77647</v>
      </c>
      <c r="M278" s="892">
        <f t="shared" si="58"/>
        <v>138398</v>
      </c>
      <c r="N278" s="892">
        <f t="shared" ref="N278:Y278" si="59">N279-SUM(N248:N277)</f>
        <v>8953</v>
      </c>
      <c r="O278" s="892">
        <f t="shared" si="59"/>
        <v>17589</v>
      </c>
      <c r="P278" s="892">
        <f t="shared" si="59"/>
        <v>9945</v>
      </c>
      <c r="Q278" s="892">
        <f t="shared" si="59"/>
        <v>18082</v>
      </c>
      <c r="R278" s="892">
        <f t="shared" si="59"/>
        <v>5703</v>
      </c>
      <c r="S278" s="892">
        <f t="shared" si="59"/>
        <v>17748</v>
      </c>
      <c r="T278" s="892">
        <f t="shared" si="59"/>
        <v>6642</v>
      </c>
      <c r="U278" s="892">
        <f t="shared" si="59"/>
        <v>16557</v>
      </c>
      <c r="V278" s="892">
        <f t="shared" si="59"/>
        <v>135</v>
      </c>
      <c r="W278" s="892">
        <f t="shared" si="59"/>
        <v>2498</v>
      </c>
      <c r="X278" s="892">
        <f t="shared" si="59"/>
        <v>179</v>
      </c>
      <c r="Y278" s="892">
        <f t="shared" si="59"/>
        <v>3031</v>
      </c>
      <c r="Z278" s="892">
        <f t="shared" ref="Z278:AC278" si="60">Z279-SUM(Z248:Z277)</f>
        <v>3378</v>
      </c>
      <c r="AA278" s="892">
        <f t="shared" si="60"/>
        <v>50715</v>
      </c>
      <c r="AB278" s="892">
        <f t="shared" si="60"/>
        <v>3705</v>
      </c>
      <c r="AC278" s="892">
        <f t="shared" si="60"/>
        <v>50241</v>
      </c>
      <c r="AD278" s="892">
        <f t="shared" ref="AD278:AF278" si="61">AD279-SUM(AD248:AD277)</f>
        <v>192571</v>
      </c>
      <c r="AE278" s="892">
        <f t="shared" si="61"/>
        <v>739823</v>
      </c>
      <c r="AF278" s="892">
        <f t="shared" si="61"/>
        <v>174775</v>
      </c>
      <c r="AG278" s="896">
        <f t="shared" si="54"/>
        <v>-9.1999999999999993</v>
      </c>
      <c r="AH278" s="892">
        <f>AH279-SUM(AH248:AH277)</f>
        <v>638943</v>
      </c>
      <c r="AI278" s="896">
        <f t="shared" si="56"/>
        <v>-13.6</v>
      </c>
    </row>
    <row r="279" spans="1:35" s="846" customFormat="1" ht="19.5" hidden="1" customHeight="1">
      <c r="A279" s="878" t="s">
        <v>79</v>
      </c>
      <c r="B279" s="893">
        <v>512501</v>
      </c>
      <c r="C279" s="894">
        <v>3282286</v>
      </c>
      <c r="D279" s="894">
        <v>476990</v>
      </c>
      <c r="E279" s="894">
        <v>2792609</v>
      </c>
      <c r="F279" s="894">
        <v>34960</v>
      </c>
      <c r="G279" s="894">
        <v>595841</v>
      </c>
      <c r="H279" s="894">
        <v>33079</v>
      </c>
      <c r="I279" s="894">
        <v>567365</v>
      </c>
      <c r="J279" s="894">
        <v>1713710</v>
      </c>
      <c r="K279" s="894">
        <v>3748269</v>
      </c>
      <c r="L279" s="894">
        <v>1664015</v>
      </c>
      <c r="M279" s="894">
        <v>3307771</v>
      </c>
      <c r="N279" s="894">
        <v>82873</v>
      </c>
      <c r="O279" s="894">
        <v>163270</v>
      </c>
      <c r="P279" s="894">
        <v>81935</v>
      </c>
      <c r="Q279" s="894">
        <v>155531</v>
      </c>
      <c r="R279" s="894">
        <v>35146</v>
      </c>
      <c r="S279" s="894">
        <v>105077</v>
      </c>
      <c r="T279" s="894">
        <v>28381</v>
      </c>
      <c r="U279" s="894">
        <v>71307</v>
      </c>
      <c r="V279" s="894">
        <v>8436</v>
      </c>
      <c r="W279" s="894">
        <v>175145</v>
      </c>
      <c r="X279" s="894">
        <v>8772</v>
      </c>
      <c r="Y279" s="894">
        <v>151587</v>
      </c>
      <c r="Z279" s="894">
        <v>92921</v>
      </c>
      <c r="AA279" s="894">
        <v>679354</v>
      </c>
      <c r="AB279" s="894">
        <v>86014</v>
      </c>
      <c r="AC279" s="894">
        <v>575585</v>
      </c>
      <c r="AD279" s="894">
        <f>SUM(B279+F279+J279+N279+R279+V279+Z279)</f>
        <v>2480547</v>
      </c>
      <c r="AE279" s="893">
        <f>SUM(C279+G279+K279+O279+S279+W279+AA279)</f>
        <v>8749242</v>
      </c>
      <c r="AF279" s="894">
        <f>SUM(D279+H279+L279+P279+T279+X279+AB279)</f>
        <v>2379186</v>
      </c>
      <c r="AG279" s="896">
        <f t="shared" si="54"/>
        <v>-4.0999999999999996</v>
      </c>
      <c r="AH279" s="893">
        <f>SUM(E279+I279+M279+Q279+U279+Y279+AC279)</f>
        <v>7621755</v>
      </c>
      <c r="AI279" s="896">
        <f t="shared" si="56"/>
        <v>-12.9</v>
      </c>
    </row>
    <row r="280" spans="1:35" hidden="1"/>
    <row r="281" spans="1:35" s="846" customFormat="1" ht="22.5" hidden="1">
      <c r="A281" s="1095" t="s">
        <v>645</v>
      </c>
      <c r="B281" s="1095"/>
      <c r="C281" s="1095"/>
      <c r="D281" s="1095"/>
      <c r="E281" s="1095"/>
      <c r="F281" s="1095"/>
      <c r="G281" s="1095"/>
      <c r="H281" s="1095"/>
      <c r="I281" s="1095"/>
      <c r="J281" s="1095"/>
      <c r="K281" s="1095"/>
      <c r="L281" s="1095"/>
      <c r="M281" s="1095"/>
      <c r="N281" s="1095"/>
      <c r="O281" s="1095"/>
      <c r="P281" s="1095"/>
      <c r="Q281" s="1095"/>
      <c r="R281" s="1095"/>
      <c r="S281" s="1095"/>
      <c r="T281" s="1095"/>
      <c r="U281" s="1095"/>
      <c r="V281" s="1095"/>
      <c r="W281" s="1095"/>
      <c r="X281" s="1095"/>
      <c r="Y281" s="1095"/>
      <c r="Z281" s="1095"/>
      <c r="AA281" s="1095"/>
      <c r="AB281" s="1095"/>
      <c r="AC281" s="1095"/>
      <c r="AD281" s="1095"/>
      <c r="AE281" s="1095"/>
      <c r="AF281" s="1095"/>
      <c r="AG281" s="1095"/>
      <c r="AH281" s="1095"/>
      <c r="AI281" s="1095"/>
    </row>
    <row r="282" spans="1:35" s="846" customFormat="1" ht="22.5" hidden="1">
      <c r="A282" s="1030"/>
      <c r="B282" s="1030"/>
      <c r="C282" s="1030"/>
      <c r="D282" s="1030"/>
      <c r="E282" s="1030"/>
      <c r="F282" s="1030"/>
      <c r="G282" s="1030"/>
      <c r="H282" s="1030"/>
      <c r="I282" s="1030"/>
      <c r="J282" s="1030"/>
      <c r="K282" s="1030"/>
      <c r="L282" s="1030"/>
      <c r="M282" s="1030"/>
      <c r="N282" s="1030"/>
      <c r="O282" s="1030"/>
      <c r="P282" s="1030"/>
      <c r="Q282" s="1030"/>
      <c r="R282" s="1030"/>
      <c r="S282" s="1030"/>
      <c r="T282" s="1030"/>
      <c r="U282" s="1030"/>
      <c r="V282" s="1030"/>
      <c r="W282" s="1030"/>
      <c r="X282" s="1030"/>
      <c r="Y282" s="1030"/>
      <c r="Z282" s="1030"/>
      <c r="AA282" s="1030"/>
      <c r="AB282" s="1030"/>
      <c r="AC282" s="1030"/>
      <c r="AD282" s="1030"/>
      <c r="AE282" s="1030"/>
      <c r="AF282" s="1030"/>
      <c r="AG282" s="1030"/>
      <c r="AH282" s="1030"/>
      <c r="AI282" s="1030"/>
    </row>
    <row r="283" spans="1:35" s="846" customFormat="1" hidden="1">
      <c r="A283" s="871"/>
      <c r="B283" s="871"/>
      <c r="C283" s="872"/>
      <c r="D283" s="873"/>
      <c r="E283" s="881"/>
      <c r="F283" s="872"/>
      <c r="G283" s="872"/>
      <c r="H283" s="872"/>
      <c r="I283" s="872"/>
      <c r="J283" s="872"/>
      <c r="K283" s="872"/>
      <c r="L283" s="872"/>
      <c r="M283" s="872"/>
      <c r="N283" s="872"/>
      <c r="O283" s="872"/>
      <c r="P283" s="872"/>
      <c r="Q283" s="872"/>
      <c r="R283" s="872"/>
      <c r="S283" s="872"/>
      <c r="T283" s="872"/>
      <c r="U283" s="872"/>
      <c r="V283" s="887"/>
      <c r="W283" s="887"/>
      <c r="X283" s="872"/>
      <c r="Y283" s="872"/>
      <c r="Z283" s="872"/>
      <c r="AA283" s="872"/>
      <c r="AB283" s="872"/>
      <c r="AC283" s="872"/>
      <c r="AD283" s="872"/>
      <c r="AE283" s="872"/>
      <c r="AF283" s="872"/>
      <c r="AG283" s="872"/>
      <c r="AH283" s="872"/>
      <c r="AI283" s="872"/>
    </row>
    <row r="284" spans="1:35" s="846" customFormat="1" ht="21.75" hidden="1" customHeight="1">
      <c r="A284" s="1149" t="s">
        <v>43</v>
      </c>
      <c r="B284" s="1151" t="s">
        <v>637</v>
      </c>
      <c r="C284" s="1153"/>
      <c r="D284" s="1153"/>
      <c r="E284" s="1152"/>
      <c r="F284" s="1151" t="s">
        <v>638</v>
      </c>
      <c r="G284" s="1153"/>
      <c r="H284" s="1153"/>
      <c r="I284" s="1152"/>
      <c r="J284" s="1151" t="s">
        <v>639</v>
      </c>
      <c r="K284" s="1153"/>
      <c r="L284" s="1153"/>
      <c r="M284" s="1152"/>
      <c r="N284" s="1151" t="s">
        <v>640</v>
      </c>
      <c r="O284" s="1153"/>
      <c r="P284" s="1153"/>
      <c r="Q284" s="1152"/>
      <c r="R284" s="1151" t="s">
        <v>641</v>
      </c>
      <c r="S284" s="1153"/>
      <c r="T284" s="1153"/>
      <c r="U284" s="1152"/>
      <c r="V284" s="1151" t="s">
        <v>642</v>
      </c>
      <c r="W284" s="1153"/>
      <c r="X284" s="1153"/>
      <c r="Y284" s="1152"/>
      <c r="Z284" s="1151" t="s">
        <v>643</v>
      </c>
      <c r="AA284" s="1153"/>
      <c r="AB284" s="1153"/>
      <c r="AC284" s="1152"/>
      <c r="AD284" s="1151" t="s">
        <v>635</v>
      </c>
      <c r="AE284" s="1153"/>
      <c r="AF284" s="1153"/>
      <c r="AG284" s="1153"/>
      <c r="AH284" s="1153"/>
      <c r="AI284" s="1152"/>
    </row>
    <row r="285" spans="1:35" s="846" customFormat="1" ht="21" hidden="1" customHeight="1">
      <c r="A285" s="1154"/>
      <c r="B285" s="1151" t="s">
        <v>315</v>
      </c>
      <c r="C285" s="1152"/>
      <c r="D285" s="1151" t="s">
        <v>459</v>
      </c>
      <c r="E285" s="1152"/>
      <c r="F285" s="1151" t="s">
        <v>315</v>
      </c>
      <c r="G285" s="1152"/>
      <c r="H285" s="1151" t="s">
        <v>459</v>
      </c>
      <c r="I285" s="1152"/>
      <c r="J285" s="1151" t="s">
        <v>315</v>
      </c>
      <c r="K285" s="1152"/>
      <c r="L285" s="1151" t="s">
        <v>459</v>
      </c>
      <c r="M285" s="1152"/>
      <c r="N285" s="1151" t="s">
        <v>315</v>
      </c>
      <c r="O285" s="1152"/>
      <c r="P285" s="1151" t="s">
        <v>459</v>
      </c>
      <c r="Q285" s="1152"/>
      <c r="R285" s="1151" t="s">
        <v>315</v>
      </c>
      <c r="S285" s="1152"/>
      <c r="T285" s="1151" t="s">
        <v>459</v>
      </c>
      <c r="U285" s="1152"/>
      <c r="V285" s="1151" t="s">
        <v>315</v>
      </c>
      <c r="W285" s="1152"/>
      <c r="X285" s="1151" t="s">
        <v>459</v>
      </c>
      <c r="Y285" s="1152"/>
      <c r="Z285" s="1151" t="s">
        <v>315</v>
      </c>
      <c r="AA285" s="1152"/>
      <c r="AB285" s="1151" t="s">
        <v>459</v>
      </c>
      <c r="AC285" s="1152"/>
      <c r="AD285" s="1151" t="s">
        <v>315</v>
      </c>
      <c r="AE285" s="1152"/>
      <c r="AF285" s="1151" t="s">
        <v>459</v>
      </c>
      <c r="AG285" s="1153"/>
      <c r="AH285" s="1153"/>
      <c r="AI285" s="1152"/>
    </row>
    <row r="286" spans="1:35" s="846" customFormat="1" ht="16.5" hidden="1" customHeight="1">
      <c r="A286" s="1154"/>
      <c r="B286" s="1149" t="s">
        <v>44</v>
      </c>
      <c r="C286" s="1149" t="s">
        <v>45</v>
      </c>
      <c r="D286" s="1149" t="s">
        <v>46</v>
      </c>
      <c r="E286" s="1149" t="s">
        <v>45</v>
      </c>
      <c r="F286" s="1149" t="s">
        <v>47</v>
      </c>
      <c r="G286" s="1149" t="s">
        <v>45</v>
      </c>
      <c r="H286" s="1149" t="s">
        <v>46</v>
      </c>
      <c r="I286" s="1149" t="s">
        <v>45</v>
      </c>
      <c r="J286" s="1149" t="s">
        <v>44</v>
      </c>
      <c r="K286" s="1149" t="s">
        <v>45</v>
      </c>
      <c r="L286" s="1149" t="s">
        <v>46</v>
      </c>
      <c r="M286" s="1149" t="s">
        <v>45</v>
      </c>
      <c r="N286" s="1149" t="s">
        <v>44</v>
      </c>
      <c r="O286" s="1149" t="s">
        <v>45</v>
      </c>
      <c r="P286" s="1149" t="s">
        <v>46</v>
      </c>
      <c r="Q286" s="1149" t="s">
        <v>45</v>
      </c>
      <c r="R286" s="1149" t="s">
        <v>44</v>
      </c>
      <c r="S286" s="1149" t="s">
        <v>45</v>
      </c>
      <c r="T286" s="1149" t="s">
        <v>46</v>
      </c>
      <c r="U286" s="1149" t="s">
        <v>45</v>
      </c>
      <c r="V286" s="1149" t="s">
        <v>44</v>
      </c>
      <c r="W286" s="1149" t="s">
        <v>45</v>
      </c>
      <c r="X286" s="1149" t="s">
        <v>48</v>
      </c>
      <c r="Y286" s="1149" t="s">
        <v>45</v>
      </c>
      <c r="Z286" s="1149" t="s">
        <v>44</v>
      </c>
      <c r="AA286" s="1149" t="s">
        <v>45</v>
      </c>
      <c r="AB286" s="1149" t="s">
        <v>46</v>
      </c>
      <c r="AC286" s="1149" t="s">
        <v>45</v>
      </c>
      <c r="AD286" s="1149" t="s">
        <v>44</v>
      </c>
      <c r="AE286" s="1149" t="s">
        <v>45</v>
      </c>
      <c r="AF286" s="1147" t="s">
        <v>46</v>
      </c>
      <c r="AG286" s="874"/>
      <c r="AH286" s="1147" t="s">
        <v>45</v>
      </c>
      <c r="AI286" s="874"/>
    </row>
    <row r="287" spans="1:35" s="846" customFormat="1" ht="16.5" hidden="1" customHeight="1" thickBot="1">
      <c r="A287" s="1150"/>
      <c r="B287" s="1150"/>
      <c r="C287" s="1150"/>
      <c r="D287" s="1150"/>
      <c r="E287" s="1150"/>
      <c r="F287" s="1150"/>
      <c r="G287" s="1150"/>
      <c r="H287" s="1150"/>
      <c r="I287" s="1150"/>
      <c r="J287" s="1150"/>
      <c r="K287" s="1150"/>
      <c r="L287" s="1150"/>
      <c r="M287" s="1150"/>
      <c r="N287" s="1150"/>
      <c r="O287" s="1150"/>
      <c r="P287" s="1150"/>
      <c r="Q287" s="1150"/>
      <c r="R287" s="1150"/>
      <c r="S287" s="1150"/>
      <c r="T287" s="1150"/>
      <c r="U287" s="1150"/>
      <c r="V287" s="1150"/>
      <c r="W287" s="1150"/>
      <c r="X287" s="1150"/>
      <c r="Y287" s="1150"/>
      <c r="Z287" s="1150"/>
      <c r="AA287" s="1150"/>
      <c r="AB287" s="1150"/>
      <c r="AC287" s="1150"/>
      <c r="AD287" s="1150"/>
      <c r="AE287" s="1150"/>
      <c r="AF287" s="1148"/>
      <c r="AG287" s="875" t="s">
        <v>49</v>
      </c>
      <c r="AH287" s="1148"/>
      <c r="AI287" s="875" t="s">
        <v>49</v>
      </c>
    </row>
    <row r="288" spans="1:35" s="846" customFormat="1" ht="19.5" hidden="1" customHeight="1" thickTop="1">
      <c r="A288" s="891" t="s">
        <v>50</v>
      </c>
      <c r="B288" s="890">
        <v>48826</v>
      </c>
      <c r="C288" s="890">
        <v>332519</v>
      </c>
      <c r="D288" s="890">
        <v>47406</v>
      </c>
      <c r="E288" s="890">
        <v>298534</v>
      </c>
      <c r="F288" s="890">
        <v>971</v>
      </c>
      <c r="G288" s="890">
        <v>55436</v>
      </c>
      <c r="H288" s="890">
        <v>875</v>
      </c>
      <c r="I288" s="890">
        <v>54233</v>
      </c>
      <c r="J288" s="890">
        <v>298981</v>
      </c>
      <c r="K288" s="890">
        <v>875609</v>
      </c>
      <c r="L288" s="890">
        <v>238238</v>
      </c>
      <c r="M288" s="890">
        <v>720048</v>
      </c>
      <c r="N288" s="890">
        <v>203</v>
      </c>
      <c r="O288" s="890">
        <v>526</v>
      </c>
      <c r="P288" s="890">
        <v>668</v>
      </c>
      <c r="Q288" s="890">
        <v>1628</v>
      </c>
      <c r="R288" s="890">
        <v>446</v>
      </c>
      <c r="S288" s="890">
        <v>4370</v>
      </c>
      <c r="T288" s="890">
        <v>251</v>
      </c>
      <c r="U288" s="890">
        <v>3598</v>
      </c>
      <c r="V288" s="890">
        <v>271</v>
      </c>
      <c r="W288" s="890">
        <v>3241</v>
      </c>
      <c r="X288" s="890">
        <v>586</v>
      </c>
      <c r="Y288" s="890">
        <v>8788</v>
      </c>
      <c r="Z288" s="890">
        <v>87295</v>
      </c>
      <c r="AA288" s="890">
        <v>342578</v>
      </c>
      <c r="AB288" s="890">
        <v>76492</v>
      </c>
      <c r="AC288" s="890">
        <v>264506</v>
      </c>
      <c r="AD288" s="890">
        <f>SUM(B288+F288+J288+N288+R288+V288+Z288)</f>
        <v>436993</v>
      </c>
      <c r="AE288" s="890">
        <f>SUM(C288+G288+K288+O288+S288+W288+AA288)</f>
        <v>1614279</v>
      </c>
      <c r="AF288" s="890">
        <f>SUM(D288+H288+L288+P288+T288+X288+AB288)</f>
        <v>364516</v>
      </c>
      <c r="AG288" s="895">
        <f>ROUND(((AF288/AD288-1)*100),1)</f>
        <v>-16.600000000000001</v>
      </c>
      <c r="AH288" s="890">
        <f>SUM(E288+I288+M288+Q288+U288+Y288+AC288)</f>
        <v>1351335</v>
      </c>
      <c r="AI288" s="895">
        <f>ROUND(((AH288/AE288-1)*100),1)</f>
        <v>-16.3</v>
      </c>
    </row>
    <row r="289" spans="1:35" s="846" customFormat="1" ht="19.5" hidden="1" customHeight="1">
      <c r="A289" s="891" t="s">
        <v>53</v>
      </c>
      <c r="B289" s="890">
        <v>49338</v>
      </c>
      <c r="C289" s="890">
        <v>309431</v>
      </c>
      <c r="D289" s="890">
        <v>60609</v>
      </c>
      <c r="E289" s="890">
        <v>334339</v>
      </c>
      <c r="F289" s="890">
        <v>1075</v>
      </c>
      <c r="G289" s="890">
        <v>53257</v>
      </c>
      <c r="H289" s="890">
        <v>1772</v>
      </c>
      <c r="I289" s="890">
        <v>58446</v>
      </c>
      <c r="J289" s="890">
        <v>189881</v>
      </c>
      <c r="K289" s="890">
        <v>427708</v>
      </c>
      <c r="L289" s="890">
        <v>206273</v>
      </c>
      <c r="M289" s="890">
        <v>394813</v>
      </c>
      <c r="N289" s="890">
        <v>3599</v>
      </c>
      <c r="O289" s="890">
        <v>6994</v>
      </c>
      <c r="P289" s="890">
        <v>961</v>
      </c>
      <c r="Q289" s="890">
        <v>1838</v>
      </c>
      <c r="R289" s="890">
        <v>251</v>
      </c>
      <c r="S289" s="890">
        <v>590</v>
      </c>
      <c r="T289" s="890">
        <v>248</v>
      </c>
      <c r="U289" s="890">
        <v>618</v>
      </c>
      <c r="V289" s="890">
        <v>4</v>
      </c>
      <c r="W289" s="890">
        <v>336</v>
      </c>
      <c r="X289" s="890">
        <v>3</v>
      </c>
      <c r="Y289" s="890">
        <v>240</v>
      </c>
      <c r="Z289" s="890">
        <v>1716</v>
      </c>
      <c r="AA289" s="890">
        <v>157461</v>
      </c>
      <c r="AB289" s="890">
        <v>1860</v>
      </c>
      <c r="AC289" s="890">
        <v>150611</v>
      </c>
      <c r="AD289" s="890">
        <f>SUM(B289+F289+J289+N289+R289+V289+Z289)</f>
        <v>245864</v>
      </c>
      <c r="AE289" s="890">
        <f t="shared" ref="AE289:AE317" si="62">SUM(C289+G289+K289+O289+S289+W289+AA289)</f>
        <v>955777</v>
      </c>
      <c r="AF289" s="890">
        <f t="shared" ref="AF289:AF317" si="63">SUM(D289+H289+L289+P289+T289+X289+AB289)</f>
        <v>271726</v>
      </c>
      <c r="AG289" s="895">
        <f t="shared" ref="AG289:AG319" si="64">ROUND(((AF289/AD289-1)*100),1)</f>
        <v>10.5</v>
      </c>
      <c r="AH289" s="890">
        <f t="shared" ref="AH289:AH317" si="65">SUM(E289+I289+M289+Q289+U289+Y289+AC289)</f>
        <v>940905</v>
      </c>
      <c r="AI289" s="895">
        <f t="shared" ref="AI289:AI319" si="66">ROUND(((AH289/AE289-1)*100),1)</f>
        <v>-1.6</v>
      </c>
    </row>
    <row r="290" spans="1:35" s="846" customFormat="1" ht="19.5" hidden="1" customHeight="1">
      <c r="A290" s="891" t="s">
        <v>54</v>
      </c>
      <c r="B290" s="890">
        <v>25760</v>
      </c>
      <c r="C290" s="890">
        <v>354909</v>
      </c>
      <c r="D290" s="890">
        <v>32187</v>
      </c>
      <c r="E290" s="890">
        <v>383765</v>
      </c>
      <c r="F290" s="890">
        <v>4202</v>
      </c>
      <c r="G290" s="890">
        <v>137228</v>
      </c>
      <c r="H290" s="890">
        <v>3633</v>
      </c>
      <c r="I290" s="890">
        <v>124980</v>
      </c>
      <c r="J290" s="890">
        <v>77711</v>
      </c>
      <c r="K290" s="890">
        <v>194835</v>
      </c>
      <c r="L290" s="890">
        <v>95813</v>
      </c>
      <c r="M290" s="890">
        <v>210355</v>
      </c>
      <c r="N290" s="890">
        <v>3347</v>
      </c>
      <c r="O290" s="890">
        <v>7004</v>
      </c>
      <c r="P290" s="890">
        <v>6180</v>
      </c>
      <c r="Q290" s="890">
        <v>11347</v>
      </c>
      <c r="R290" s="890">
        <v>330</v>
      </c>
      <c r="S290" s="890">
        <v>613</v>
      </c>
      <c r="T290" s="890">
        <v>348</v>
      </c>
      <c r="U290" s="890">
        <v>566</v>
      </c>
      <c r="V290" s="890">
        <v>206</v>
      </c>
      <c r="W290" s="890">
        <v>9799</v>
      </c>
      <c r="X290" s="890">
        <v>182</v>
      </c>
      <c r="Y290" s="890">
        <v>9441</v>
      </c>
      <c r="Z290" s="890">
        <v>2913</v>
      </c>
      <c r="AA290" s="890">
        <v>101875</v>
      </c>
      <c r="AB290" s="890">
        <v>2224</v>
      </c>
      <c r="AC290" s="890">
        <v>79758</v>
      </c>
      <c r="AD290" s="890">
        <f t="shared" ref="AD290:AD317" si="67">SUM(B290+F290+J290+N290+R290+V290+Z290)</f>
        <v>114469</v>
      </c>
      <c r="AE290" s="890">
        <f t="shared" si="62"/>
        <v>806263</v>
      </c>
      <c r="AF290" s="890">
        <f t="shared" si="63"/>
        <v>140567</v>
      </c>
      <c r="AG290" s="895">
        <f t="shared" si="64"/>
        <v>22.8</v>
      </c>
      <c r="AH290" s="890">
        <f t="shared" si="65"/>
        <v>820212</v>
      </c>
      <c r="AI290" s="895">
        <f t="shared" si="66"/>
        <v>1.7</v>
      </c>
    </row>
    <row r="291" spans="1:35" s="846" customFormat="1" ht="19.5" hidden="1" customHeight="1">
      <c r="A291" s="891" t="s">
        <v>84</v>
      </c>
      <c r="B291" s="890">
        <v>137981</v>
      </c>
      <c r="C291" s="890">
        <v>832897</v>
      </c>
      <c r="D291" s="890">
        <v>106995</v>
      </c>
      <c r="E291" s="890">
        <v>594962</v>
      </c>
      <c r="F291" s="890">
        <v>0</v>
      </c>
      <c r="G291" s="890">
        <v>0</v>
      </c>
      <c r="H291" s="890">
        <v>0</v>
      </c>
      <c r="I291" s="890">
        <v>0</v>
      </c>
      <c r="J291" s="890">
        <v>1351</v>
      </c>
      <c r="K291" s="890">
        <v>1724</v>
      </c>
      <c r="L291" s="890">
        <v>2425</v>
      </c>
      <c r="M291" s="890">
        <v>2860</v>
      </c>
      <c r="N291" s="890">
        <v>148</v>
      </c>
      <c r="O291" s="890">
        <v>271</v>
      </c>
      <c r="P291" s="890">
        <v>0</v>
      </c>
      <c r="Q291" s="890">
        <v>0</v>
      </c>
      <c r="R291" s="890">
        <v>0</v>
      </c>
      <c r="S291" s="890">
        <v>0</v>
      </c>
      <c r="T291" s="890">
        <v>0</v>
      </c>
      <c r="U291" s="890">
        <v>0</v>
      </c>
      <c r="V291" s="890">
        <v>0</v>
      </c>
      <c r="W291" s="890">
        <v>0</v>
      </c>
      <c r="X291" s="890">
        <v>0</v>
      </c>
      <c r="Y291" s="890">
        <v>0</v>
      </c>
      <c r="Z291" s="890">
        <v>0</v>
      </c>
      <c r="AA291" s="890">
        <v>24</v>
      </c>
      <c r="AB291" s="890">
        <v>10</v>
      </c>
      <c r="AC291" s="890">
        <v>65</v>
      </c>
      <c r="AD291" s="890">
        <f t="shared" si="67"/>
        <v>139480</v>
      </c>
      <c r="AE291" s="890">
        <f t="shared" si="62"/>
        <v>834916</v>
      </c>
      <c r="AF291" s="890">
        <f t="shared" si="63"/>
        <v>109430</v>
      </c>
      <c r="AG291" s="895">
        <f t="shared" si="64"/>
        <v>-21.5</v>
      </c>
      <c r="AH291" s="890">
        <f t="shared" si="65"/>
        <v>597887</v>
      </c>
      <c r="AI291" s="895">
        <f t="shared" si="66"/>
        <v>-28.4</v>
      </c>
    </row>
    <row r="292" spans="1:35" s="846" customFormat="1" ht="19.5" hidden="1" customHeight="1">
      <c r="A292" s="891" t="s">
        <v>52</v>
      </c>
      <c r="B292" s="890">
        <v>3253</v>
      </c>
      <c r="C292" s="890">
        <v>9599</v>
      </c>
      <c r="D292" s="890">
        <v>3528</v>
      </c>
      <c r="E292" s="890">
        <v>9151</v>
      </c>
      <c r="F292" s="890">
        <v>167</v>
      </c>
      <c r="G292" s="890">
        <v>4014</v>
      </c>
      <c r="H292" s="890">
        <v>130</v>
      </c>
      <c r="I292" s="890">
        <v>2280</v>
      </c>
      <c r="J292" s="890">
        <v>257501</v>
      </c>
      <c r="K292" s="890">
        <v>498885</v>
      </c>
      <c r="L292" s="890">
        <v>277818</v>
      </c>
      <c r="M292" s="890">
        <v>480924</v>
      </c>
      <c r="N292" s="890">
        <v>34431</v>
      </c>
      <c r="O292" s="890">
        <v>71710</v>
      </c>
      <c r="P292" s="890">
        <v>36521</v>
      </c>
      <c r="Q292" s="890">
        <v>70874</v>
      </c>
      <c r="R292" s="890">
        <v>28600</v>
      </c>
      <c r="S292" s="890">
        <v>80805</v>
      </c>
      <c r="T292" s="890">
        <v>17696</v>
      </c>
      <c r="U292" s="890">
        <v>41422</v>
      </c>
      <c r="V292" s="890">
        <v>185</v>
      </c>
      <c r="W292" s="890">
        <v>2158</v>
      </c>
      <c r="X292" s="890">
        <v>162</v>
      </c>
      <c r="Y292" s="890">
        <v>1542</v>
      </c>
      <c r="Z292" s="890">
        <v>165</v>
      </c>
      <c r="AA292" s="890">
        <v>972</v>
      </c>
      <c r="AB292" s="890">
        <v>109</v>
      </c>
      <c r="AC292" s="890">
        <v>765</v>
      </c>
      <c r="AD292" s="890">
        <f t="shared" si="67"/>
        <v>324302</v>
      </c>
      <c r="AE292" s="890">
        <f t="shared" si="62"/>
        <v>668143</v>
      </c>
      <c r="AF292" s="890">
        <f t="shared" si="63"/>
        <v>335964</v>
      </c>
      <c r="AG292" s="895">
        <f t="shared" si="64"/>
        <v>3.6</v>
      </c>
      <c r="AH292" s="890">
        <f t="shared" si="65"/>
        <v>606958</v>
      </c>
      <c r="AI292" s="895">
        <f t="shared" si="66"/>
        <v>-9.1999999999999993</v>
      </c>
    </row>
    <row r="293" spans="1:35" s="846" customFormat="1" ht="19.5" hidden="1" customHeight="1">
      <c r="A293" s="891" t="s">
        <v>61</v>
      </c>
      <c r="B293" s="890">
        <v>14276</v>
      </c>
      <c r="C293" s="890">
        <v>86349</v>
      </c>
      <c r="D293" s="890">
        <v>13091</v>
      </c>
      <c r="E293" s="890">
        <v>72014</v>
      </c>
      <c r="F293" s="890">
        <v>13411</v>
      </c>
      <c r="G293" s="890">
        <v>173577</v>
      </c>
      <c r="H293" s="890">
        <v>10776</v>
      </c>
      <c r="I293" s="890">
        <v>140957</v>
      </c>
      <c r="J293" s="890">
        <v>226447</v>
      </c>
      <c r="K293" s="890">
        <v>438320</v>
      </c>
      <c r="L293" s="890">
        <v>279333</v>
      </c>
      <c r="M293" s="890">
        <v>466258</v>
      </c>
      <c r="N293" s="890">
        <v>14142</v>
      </c>
      <c r="O293" s="890">
        <v>24227</v>
      </c>
      <c r="P293" s="890">
        <v>8773</v>
      </c>
      <c r="Q293" s="890">
        <v>14987</v>
      </c>
      <c r="R293" s="890">
        <v>0</v>
      </c>
      <c r="S293" s="890">
        <v>0</v>
      </c>
      <c r="T293" s="890">
        <v>0</v>
      </c>
      <c r="U293" s="890">
        <v>0</v>
      </c>
      <c r="V293" s="890">
        <v>0</v>
      </c>
      <c r="W293" s="890">
        <v>0</v>
      </c>
      <c r="X293" s="890">
        <v>0</v>
      </c>
      <c r="Y293" s="890">
        <v>0</v>
      </c>
      <c r="Z293" s="890">
        <v>1951</v>
      </c>
      <c r="AA293" s="890">
        <v>8087</v>
      </c>
      <c r="AB293" s="890">
        <v>1213</v>
      </c>
      <c r="AC293" s="890">
        <v>3496</v>
      </c>
      <c r="AD293" s="890">
        <f t="shared" si="67"/>
        <v>270227</v>
      </c>
      <c r="AE293" s="890">
        <f t="shared" si="62"/>
        <v>730560</v>
      </c>
      <c r="AF293" s="890">
        <f t="shared" si="63"/>
        <v>313186</v>
      </c>
      <c r="AG293" s="895">
        <f t="shared" si="64"/>
        <v>15.9</v>
      </c>
      <c r="AH293" s="890">
        <f t="shared" si="65"/>
        <v>697712</v>
      </c>
      <c r="AI293" s="895">
        <f t="shared" si="66"/>
        <v>-4.5</v>
      </c>
    </row>
    <row r="294" spans="1:35" s="846" customFormat="1" ht="19.5" hidden="1" customHeight="1">
      <c r="A294" s="891" t="s">
        <v>56</v>
      </c>
      <c r="B294" s="890">
        <v>15454</v>
      </c>
      <c r="C294" s="890">
        <v>95391</v>
      </c>
      <c r="D294" s="890">
        <v>17421</v>
      </c>
      <c r="E294" s="890">
        <v>111460</v>
      </c>
      <c r="F294" s="890">
        <v>39</v>
      </c>
      <c r="G294" s="890">
        <v>323</v>
      </c>
      <c r="H294" s="890">
        <v>138</v>
      </c>
      <c r="I294" s="890">
        <v>501</v>
      </c>
      <c r="J294" s="890">
        <v>115090</v>
      </c>
      <c r="K294" s="890">
        <v>221157</v>
      </c>
      <c r="L294" s="890">
        <v>95206</v>
      </c>
      <c r="M294" s="890">
        <v>164267</v>
      </c>
      <c r="N294" s="890">
        <v>120</v>
      </c>
      <c r="O294" s="890">
        <v>249</v>
      </c>
      <c r="P294" s="890">
        <v>920</v>
      </c>
      <c r="Q294" s="890">
        <v>1632</v>
      </c>
      <c r="R294" s="890">
        <v>231</v>
      </c>
      <c r="S294" s="890">
        <v>713</v>
      </c>
      <c r="T294" s="890">
        <v>334</v>
      </c>
      <c r="U294" s="890">
        <v>875</v>
      </c>
      <c r="V294" s="890">
        <v>1675</v>
      </c>
      <c r="W294" s="890">
        <v>34461</v>
      </c>
      <c r="X294" s="890">
        <v>801</v>
      </c>
      <c r="Y294" s="890">
        <v>13155</v>
      </c>
      <c r="Z294" s="890">
        <v>194</v>
      </c>
      <c r="AA294" s="890">
        <v>641</v>
      </c>
      <c r="AB294" s="890">
        <v>487</v>
      </c>
      <c r="AC294" s="890">
        <v>1113</v>
      </c>
      <c r="AD294" s="890">
        <f t="shared" si="67"/>
        <v>132803</v>
      </c>
      <c r="AE294" s="890">
        <f t="shared" si="62"/>
        <v>352935</v>
      </c>
      <c r="AF294" s="890">
        <f t="shared" si="63"/>
        <v>115307</v>
      </c>
      <c r="AG294" s="895">
        <f t="shared" si="64"/>
        <v>-13.2</v>
      </c>
      <c r="AH294" s="890">
        <f t="shared" si="65"/>
        <v>293003</v>
      </c>
      <c r="AI294" s="895">
        <f t="shared" si="66"/>
        <v>-17</v>
      </c>
    </row>
    <row r="295" spans="1:35" s="846" customFormat="1" ht="19.5" hidden="1" customHeight="1">
      <c r="A295" s="891" t="s">
        <v>85</v>
      </c>
      <c r="B295" s="890">
        <v>45923</v>
      </c>
      <c r="C295" s="890">
        <v>281147</v>
      </c>
      <c r="D295" s="890">
        <v>44521</v>
      </c>
      <c r="E295" s="890">
        <v>250461</v>
      </c>
      <c r="F295" s="890">
        <v>0</v>
      </c>
      <c r="G295" s="890">
        <v>0</v>
      </c>
      <c r="H295" s="890">
        <v>0</v>
      </c>
      <c r="I295" s="890">
        <v>0</v>
      </c>
      <c r="J295" s="890">
        <v>0</v>
      </c>
      <c r="K295" s="890">
        <v>0</v>
      </c>
      <c r="L295" s="890">
        <v>0</v>
      </c>
      <c r="M295" s="890">
        <v>0</v>
      </c>
      <c r="N295" s="890">
        <v>0</v>
      </c>
      <c r="O295" s="890">
        <v>0</v>
      </c>
      <c r="P295" s="890">
        <v>0</v>
      </c>
      <c r="Q295" s="890">
        <v>0</v>
      </c>
      <c r="R295" s="890">
        <v>0</v>
      </c>
      <c r="S295" s="890">
        <v>0</v>
      </c>
      <c r="T295" s="890">
        <v>0</v>
      </c>
      <c r="U295" s="890">
        <v>0</v>
      </c>
      <c r="V295" s="890">
        <v>0</v>
      </c>
      <c r="W295" s="890">
        <v>0</v>
      </c>
      <c r="X295" s="890">
        <v>0</v>
      </c>
      <c r="Y295" s="890">
        <v>0</v>
      </c>
      <c r="Z295" s="890">
        <v>583</v>
      </c>
      <c r="AA295" s="890">
        <v>7138</v>
      </c>
      <c r="AB295" s="890">
        <v>1506</v>
      </c>
      <c r="AC295" s="890">
        <v>8386</v>
      </c>
      <c r="AD295" s="890">
        <f t="shared" si="67"/>
        <v>46506</v>
      </c>
      <c r="AE295" s="890">
        <f t="shared" si="62"/>
        <v>288285</v>
      </c>
      <c r="AF295" s="890">
        <f t="shared" si="63"/>
        <v>46027</v>
      </c>
      <c r="AG295" s="895">
        <f t="shared" si="64"/>
        <v>-1</v>
      </c>
      <c r="AH295" s="890">
        <f t="shared" si="65"/>
        <v>258847</v>
      </c>
      <c r="AI295" s="895">
        <f t="shared" si="66"/>
        <v>-10.199999999999999</v>
      </c>
    </row>
    <row r="296" spans="1:35" s="846" customFormat="1" ht="19.5" hidden="1" customHeight="1">
      <c r="A296" s="891" t="s">
        <v>86</v>
      </c>
      <c r="B296" s="890">
        <v>1977</v>
      </c>
      <c r="C296" s="890">
        <v>8926</v>
      </c>
      <c r="D296" s="890">
        <v>508</v>
      </c>
      <c r="E296" s="890">
        <v>2473</v>
      </c>
      <c r="F296" s="890">
        <v>527</v>
      </c>
      <c r="G296" s="890">
        <v>6588</v>
      </c>
      <c r="H296" s="890">
        <v>43</v>
      </c>
      <c r="I296" s="890">
        <v>914</v>
      </c>
      <c r="J296" s="890">
        <v>106231</v>
      </c>
      <c r="K296" s="890">
        <v>205775</v>
      </c>
      <c r="L296" s="890">
        <v>72353</v>
      </c>
      <c r="M296" s="890">
        <v>132247</v>
      </c>
      <c r="N296" s="890">
        <v>2404</v>
      </c>
      <c r="O296" s="890">
        <v>4802</v>
      </c>
      <c r="P296" s="890">
        <v>6084</v>
      </c>
      <c r="Q296" s="890">
        <v>11191</v>
      </c>
      <c r="R296" s="890">
        <v>0</v>
      </c>
      <c r="S296" s="890">
        <v>0</v>
      </c>
      <c r="T296" s="890">
        <v>0</v>
      </c>
      <c r="U296" s="890">
        <v>0</v>
      </c>
      <c r="V296" s="890">
        <v>2</v>
      </c>
      <c r="W296" s="890">
        <v>226</v>
      </c>
      <c r="X296" s="890">
        <v>2</v>
      </c>
      <c r="Y296" s="890">
        <v>169</v>
      </c>
      <c r="Z296" s="890">
        <v>2226</v>
      </c>
      <c r="AA296" s="890">
        <v>22634</v>
      </c>
      <c r="AB296" s="890">
        <v>2542</v>
      </c>
      <c r="AC296" s="890">
        <v>21071</v>
      </c>
      <c r="AD296" s="890">
        <f t="shared" si="67"/>
        <v>113367</v>
      </c>
      <c r="AE296" s="890">
        <f t="shared" si="62"/>
        <v>248951</v>
      </c>
      <c r="AF296" s="890">
        <f t="shared" si="63"/>
        <v>81532</v>
      </c>
      <c r="AG296" s="895">
        <f t="shared" si="64"/>
        <v>-28.1</v>
      </c>
      <c r="AH296" s="890">
        <f t="shared" si="65"/>
        <v>168065</v>
      </c>
      <c r="AI296" s="895">
        <f t="shared" si="66"/>
        <v>-32.5</v>
      </c>
    </row>
    <row r="297" spans="1:35" s="846" customFormat="1" ht="19.5" hidden="1" customHeight="1">
      <c r="A297" s="891" t="s">
        <v>64</v>
      </c>
      <c r="B297" s="890">
        <v>12792</v>
      </c>
      <c r="C297" s="890">
        <v>78721</v>
      </c>
      <c r="D297" s="890">
        <v>5775</v>
      </c>
      <c r="E297" s="890">
        <v>29886</v>
      </c>
      <c r="F297" s="890">
        <v>20</v>
      </c>
      <c r="G297" s="890">
        <v>145</v>
      </c>
      <c r="H297" s="890">
        <v>0</v>
      </c>
      <c r="I297" s="890">
        <v>0</v>
      </c>
      <c r="J297" s="890">
        <v>84443</v>
      </c>
      <c r="K297" s="890">
        <v>157918</v>
      </c>
      <c r="L297" s="890">
        <v>79611</v>
      </c>
      <c r="M297" s="890">
        <v>132641</v>
      </c>
      <c r="N297" s="890">
        <v>6533</v>
      </c>
      <c r="O297" s="890">
        <v>13033</v>
      </c>
      <c r="P297" s="890">
        <v>7927</v>
      </c>
      <c r="Q297" s="890">
        <v>15241</v>
      </c>
      <c r="R297" s="890">
        <v>0</v>
      </c>
      <c r="S297" s="890">
        <v>0</v>
      </c>
      <c r="T297" s="890">
        <v>0</v>
      </c>
      <c r="U297" s="890">
        <v>0</v>
      </c>
      <c r="V297" s="890">
        <v>0</v>
      </c>
      <c r="W297" s="890">
        <v>0</v>
      </c>
      <c r="X297" s="890">
        <v>0</v>
      </c>
      <c r="Y297" s="890">
        <v>0</v>
      </c>
      <c r="Z297" s="890">
        <v>125</v>
      </c>
      <c r="AA297" s="890">
        <v>624</v>
      </c>
      <c r="AB297" s="890">
        <v>46</v>
      </c>
      <c r="AC297" s="890">
        <v>180</v>
      </c>
      <c r="AD297" s="890">
        <f t="shared" si="67"/>
        <v>103913</v>
      </c>
      <c r="AE297" s="890">
        <f t="shared" si="62"/>
        <v>250441</v>
      </c>
      <c r="AF297" s="890">
        <f t="shared" si="63"/>
        <v>93359</v>
      </c>
      <c r="AG297" s="895">
        <f t="shared" si="64"/>
        <v>-10.199999999999999</v>
      </c>
      <c r="AH297" s="890">
        <f t="shared" si="65"/>
        <v>177948</v>
      </c>
      <c r="AI297" s="895">
        <f t="shared" si="66"/>
        <v>-28.9</v>
      </c>
    </row>
    <row r="298" spans="1:35" s="846" customFormat="1" ht="19.5" hidden="1" customHeight="1">
      <c r="A298" s="891" t="s">
        <v>68</v>
      </c>
      <c r="B298" s="890">
        <v>6742</v>
      </c>
      <c r="C298" s="890">
        <v>54077</v>
      </c>
      <c r="D298" s="890">
        <v>5452</v>
      </c>
      <c r="E298" s="890">
        <v>42034</v>
      </c>
      <c r="F298" s="890">
        <v>802</v>
      </c>
      <c r="G298" s="890">
        <v>23841</v>
      </c>
      <c r="H298" s="890">
        <v>672</v>
      </c>
      <c r="I298" s="890">
        <v>20613</v>
      </c>
      <c r="J298" s="890">
        <v>36895</v>
      </c>
      <c r="K298" s="890">
        <v>140917</v>
      </c>
      <c r="L298" s="890">
        <v>14722</v>
      </c>
      <c r="M298" s="890">
        <v>84745</v>
      </c>
      <c r="N298" s="890">
        <v>189</v>
      </c>
      <c r="O298" s="890">
        <v>1306</v>
      </c>
      <c r="P298" s="890">
        <v>816</v>
      </c>
      <c r="Q298" s="890">
        <v>2263</v>
      </c>
      <c r="R298" s="890">
        <v>763</v>
      </c>
      <c r="S298" s="890">
        <v>3126</v>
      </c>
      <c r="T298" s="890">
        <v>699</v>
      </c>
      <c r="U298" s="890">
        <v>2677</v>
      </c>
      <c r="V298" s="890">
        <v>14</v>
      </c>
      <c r="W298" s="890">
        <v>394</v>
      </c>
      <c r="X298" s="890">
        <v>24</v>
      </c>
      <c r="Y298" s="890">
        <v>575</v>
      </c>
      <c r="Z298" s="890">
        <v>256</v>
      </c>
      <c r="AA298" s="890">
        <v>20543</v>
      </c>
      <c r="AB298" s="890">
        <v>392</v>
      </c>
      <c r="AC298" s="890">
        <v>16334</v>
      </c>
      <c r="AD298" s="890">
        <f t="shared" si="67"/>
        <v>45661</v>
      </c>
      <c r="AE298" s="890">
        <f t="shared" si="62"/>
        <v>244204</v>
      </c>
      <c r="AF298" s="890">
        <f t="shared" si="63"/>
        <v>22777</v>
      </c>
      <c r="AG298" s="895">
        <f t="shared" si="64"/>
        <v>-50.1</v>
      </c>
      <c r="AH298" s="890">
        <f t="shared" si="65"/>
        <v>169241</v>
      </c>
      <c r="AI298" s="895">
        <f t="shared" si="66"/>
        <v>-30.7</v>
      </c>
    </row>
    <row r="299" spans="1:35" s="846" customFormat="1" ht="19.5" hidden="1" customHeight="1">
      <c r="A299" s="891" t="s">
        <v>57</v>
      </c>
      <c r="B299" s="890">
        <v>17482</v>
      </c>
      <c r="C299" s="890">
        <v>153959</v>
      </c>
      <c r="D299" s="890">
        <v>18842</v>
      </c>
      <c r="E299" s="890">
        <v>145332</v>
      </c>
      <c r="F299" s="890">
        <v>299</v>
      </c>
      <c r="G299" s="890">
        <v>427</v>
      </c>
      <c r="H299" s="890">
        <v>58</v>
      </c>
      <c r="I299" s="890">
        <v>483</v>
      </c>
      <c r="J299" s="890">
        <v>24440</v>
      </c>
      <c r="K299" s="890">
        <v>44267</v>
      </c>
      <c r="L299" s="890">
        <v>24762</v>
      </c>
      <c r="M299" s="890">
        <v>43706</v>
      </c>
      <c r="N299" s="890">
        <v>772</v>
      </c>
      <c r="O299" s="890">
        <v>1511</v>
      </c>
      <c r="P299" s="890">
        <v>140</v>
      </c>
      <c r="Q299" s="890">
        <v>272</v>
      </c>
      <c r="R299" s="890">
        <v>21</v>
      </c>
      <c r="S299" s="890">
        <v>55</v>
      </c>
      <c r="T299" s="890">
        <v>2</v>
      </c>
      <c r="U299" s="890">
        <v>16</v>
      </c>
      <c r="V299" s="890">
        <v>12</v>
      </c>
      <c r="W299" s="890">
        <v>394</v>
      </c>
      <c r="X299" s="890">
        <v>6</v>
      </c>
      <c r="Y299" s="890">
        <v>182</v>
      </c>
      <c r="Z299" s="890">
        <v>495</v>
      </c>
      <c r="AA299" s="890">
        <v>6556</v>
      </c>
      <c r="AB299" s="890">
        <v>896</v>
      </c>
      <c r="AC299" s="890">
        <v>5845</v>
      </c>
      <c r="AD299" s="890">
        <f t="shared" si="67"/>
        <v>43521</v>
      </c>
      <c r="AE299" s="890">
        <f t="shared" si="62"/>
        <v>207169</v>
      </c>
      <c r="AF299" s="890">
        <f t="shared" si="63"/>
        <v>44706</v>
      </c>
      <c r="AG299" s="895">
        <f t="shared" si="64"/>
        <v>2.7</v>
      </c>
      <c r="AH299" s="890">
        <f t="shared" si="65"/>
        <v>195836</v>
      </c>
      <c r="AI299" s="895">
        <f t="shared" si="66"/>
        <v>-5.5</v>
      </c>
    </row>
    <row r="300" spans="1:35" s="846" customFormat="1" ht="19.5" hidden="1" customHeight="1">
      <c r="A300" s="891" t="s">
        <v>58</v>
      </c>
      <c r="B300" s="890">
        <v>7185</v>
      </c>
      <c r="C300" s="890">
        <v>39887</v>
      </c>
      <c r="D300" s="890">
        <v>9381</v>
      </c>
      <c r="E300" s="890">
        <v>48645</v>
      </c>
      <c r="F300" s="890">
        <v>0</v>
      </c>
      <c r="G300" s="890">
        <v>17</v>
      </c>
      <c r="H300" s="890">
        <v>841</v>
      </c>
      <c r="I300" s="890">
        <v>7350</v>
      </c>
      <c r="J300" s="890">
        <v>4776</v>
      </c>
      <c r="K300" s="890">
        <v>8066</v>
      </c>
      <c r="L300" s="890">
        <v>5432</v>
      </c>
      <c r="M300" s="890">
        <v>7928</v>
      </c>
      <c r="N300" s="890">
        <v>200</v>
      </c>
      <c r="O300" s="890">
        <v>2146</v>
      </c>
      <c r="P300" s="890">
        <v>182</v>
      </c>
      <c r="Q300" s="890">
        <v>1591</v>
      </c>
      <c r="R300" s="890">
        <v>28</v>
      </c>
      <c r="S300" s="890">
        <v>13</v>
      </c>
      <c r="T300" s="890">
        <v>0</v>
      </c>
      <c r="U300" s="890">
        <v>0</v>
      </c>
      <c r="V300" s="890">
        <v>6119</v>
      </c>
      <c r="W300" s="890">
        <v>123937</v>
      </c>
      <c r="X300" s="890">
        <v>6565</v>
      </c>
      <c r="Y300" s="890">
        <v>108948</v>
      </c>
      <c r="Z300" s="890">
        <v>141</v>
      </c>
      <c r="AA300" s="890">
        <v>527</v>
      </c>
      <c r="AB300" s="890">
        <v>273</v>
      </c>
      <c r="AC300" s="890">
        <v>578</v>
      </c>
      <c r="AD300" s="890">
        <f t="shared" si="67"/>
        <v>18449</v>
      </c>
      <c r="AE300" s="890">
        <f t="shared" si="62"/>
        <v>174593</v>
      </c>
      <c r="AF300" s="890">
        <f t="shared" si="63"/>
        <v>22674</v>
      </c>
      <c r="AG300" s="895">
        <f t="shared" si="64"/>
        <v>22.9</v>
      </c>
      <c r="AH300" s="890">
        <f t="shared" si="65"/>
        <v>175040</v>
      </c>
      <c r="AI300" s="895">
        <f t="shared" si="66"/>
        <v>0.3</v>
      </c>
    </row>
    <row r="301" spans="1:35" s="846" customFormat="1" ht="19.5" hidden="1" customHeight="1">
      <c r="A301" s="891" t="s">
        <v>63</v>
      </c>
      <c r="B301" s="890">
        <v>18971</v>
      </c>
      <c r="C301" s="890">
        <v>107610</v>
      </c>
      <c r="D301" s="890">
        <v>12091</v>
      </c>
      <c r="E301" s="890">
        <v>63017</v>
      </c>
      <c r="F301" s="890">
        <v>0</v>
      </c>
      <c r="G301" s="890">
        <v>0</v>
      </c>
      <c r="H301" s="890">
        <v>0</v>
      </c>
      <c r="I301" s="890">
        <v>0</v>
      </c>
      <c r="J301" s="890">
        <v>42563</v>
      </c>
      <c r="K301" s="890">
        <v>72812</v>
      </c>
      <c r="L301" s="890">
        <v>40675</v>
      </c>
      <c r="M301" s="890">
        <v>57247</v>
      </c>
      <c r="N301" s="890">
        <v>4715</v>
      </c>
      <c r="O301" s="890">
        <v>9299</v>
      </c>
      <c r="P301" s="890">
        <v>1692</v>
      </c>
      <c r="Q301" s="890">
        <v>3099</v>
      </c>
      <c r="R301" s="890">
        <v>0</v>
      </c>
      <c r="S301" s="890">
        <v>0</v>
      </c>
      <c r="T301" s="890">
        <v>0</v>
      </c>
      <c r="U301" s="890">
        <v>0</v>
      </c>
      <c r="V301" s="890">
        <v>0</v>
      </c>
      <c r="W301" s="890">
        <v>0</v>
      </c>
      <c r="X301" s="890">
        <v>0</v>
      </c>
      <c r="Y301" s="890">
        <v>0</v>
      </c>
      <c r="Z301" s="890">
        <v>0</v>
      </c>
      <c r="AA301" s="890">
        <v>0</v>
      </c>
      <c r="AB301" s="890">
        <v>29</v>
      </c>
      <c r="AC301" s="890">
        <v>158</v>
      </c>
      <c r="AD301" s="890">
        <f t="shared" si="67"/>
        <v>66249</v>
      </c>
      <c r="AE301" s="890">
        <f t="shared" si="62"/>
        <v>189721</v>
      </c>
      <c r="AF301" s="890">
        <f t="shared" si="63"/>
        <v>54487</v>
      </c>
      <c r="AG301" s="895">
        <f t="shared" si="64"/>
        <v>-17.8</v>
      </c>
      <c r="AH301" s="890">
        <f t="shared" si="65"/>
        <v>123521</v>
      </c>
      <c r="AI301" s="895">
        <f t="shared" si="66"/>
        <v>-34.9</v>
      </c>
    </row>
    <row r="302" spans="1:35" s="846" customFormat="1" ht="19.5" hidden="1" customHeight="1">
      <c r="A302" s="891" t="s">
        <v>55</v>
      </c>
      <c r="B302" s="890">
        <v>4912</v>
      </c>
      <c r="C302" s="890">
        <v>31735</v>
      </c>
      <c r="D302" s="890">
        <v>10856</v>
      </c>
      <c r="E302" s="890">
        <v>60692</v>
      </c>
      <c r="F302" s="890">
        <v>0</v>
      </c>
      <c r="G302" s="890">
        <v>4</v>
      </c>
      <c r="H302" s="890">
        <v>0</v>
      </c>
      <c r="I302" s="890">
        <v>3</v>
      </c>
      <c r="J302" s="890">
        <v>75414</v>
      </c>
      <c r="K302" s="890">
        <v>122978</v>
      </c>
      <c r="L302" s="890">
        <v>72922</v>
      </c>
      <c r="M302" s="890">
        <v>108668</v>
      </c>
      <c r="N302" s="890">
        <v>120</v>
      </c>
      <c r="O302" s="890">
        <v>260</v>
      </c>
      <c r="P302" s="890">
        <v>293</v>
      </c>
      <c r="Q302" s="890">
        <v>521</v>
      </c>
      <c r="R302" s="890">
        <v>90</v>
      </c>
      <c r="S302" s="890">
        <v>201</v>
      </c>
      <c r="T302" s="890">
        <v>50</v>
      </c>
      <c r="U302" s="890">
        <v>19</v>
      </c>
      <c r="V302" s="890">
        <v>816</v>
      </c>
      <c r="W302" s="890">
        <v>17655</v>
      </c>
      <c r="X302" s="890">
        <v>1098</v>
      </c>
      <c r="Y302" s="890">
        <v>21075</v>
      </c>
      <c r="Z302" s="890">
        <v>25</v>
      </c>
      <c r="AA302" s="890">
        <v>545</v>
      </c>
      <c r="AB302" s="890">
        <v>22</v>
      </c>
      <c r="AC302" s="890">
        <v>34</v>
      </c>
      <c r="AD302" s="890">
        <f t="shared" si="67"/>
        <v>81377</v>
      </c>
      <c r="AE302" s="890">
        <f t="shared" si="62"/>
        <v>173378</v>
      </c>
      <c r="AF302" s="890">
        <f t="shared" si="63"/>
        <v>85241</v>
      </c>
      <c r="AG302" s="895">
        <f t="shared" si="64"/>
        <v>4.7</v>
      </c>
      <c r="AH302" s="890">
        <f t="shared" si="65"/>
        <v>191012</v>
      </c>
      <c r="AI302" s="895">
        <f t="shared" si="66"/>
        <v>10.199999999999999</v>
      </c>
    </row>
    <row r="303" spans="1:35" s="846" customFormat="1" ht="19.5" hidden="1" customHeight="1">
      <c r="A303" s="891" t="s">
        <v>51</v>
      </c>
      <c r="B303" s="890">
        <v>4532</v>
      </c>
      <c r="C303" s="890">
        <v>31328</v>
      </c>
      <c r="D303" s="890">
        <v>7256</v>
      </c>
      <c r="E303" s="890">
        <v>46449</v>
      </c>
      <c r="F303" s="890">
        <v>92</v>
      </c>
      <c r="G303" s="890">
        <v>369</v>
      </c>
      <c r="H303" s="890">
        <v>122</v>
      </c>
      <c r="I303" s="890">
        <v>273</v>
      </c>
      <c r="J303" s="890">
        <v>56342</v>
      </c>
      <c r="K303" s="890">
        <v>128260</v>
      </c>
      <c r="L303" s="890">
        <v>45919</v>
      </c>
      <c r="M303" s="890">
        <v>116043</v>
      </c>
      <c r="N303" s="890">
        <v>4</v>
      </c>
      <c r="O303" s="890">
        <v>10</v>
      </c>
      <c r="P303" s="890">
        <v>11</v>
      </c>
      <c r="Q303" s="890">
        <v>16</v>
      </c>
      <c r="R303" s="890">
        <v>1634</v>
      </c>
      <c r="S303" s="890">
        <v>3750</v>
      </c>
      <c r="T303" s="890">
        <v>1864</v>
      </c>
      <c r="U303" s="890">
        <v>3865</v>
      </c>
      <c r="V303" s="890">
        <v>96</v>
      </c>
      <c r="W303" s="890">
        <v>1867</v>
      </c>
      <c r="X303" s="890">
        <v>2</v>
      </c>
      <c r="Y303" s="890">
        <v>32</v>
      </c>
      <c r="Z303" s="890">
        <v>898</v>
      </c>
      <c r="AA303" s="890">
        <v>4979</v>
      </c>
      <c r="AB303" s="890">
        <v>453</v>
      </c>
      <c r="AC303" s="890">
        <v>4790</v>
      </c>
      <c r="AD303" s="890">
        <f t="shared" si="67"/>
        <v>63598</v>
      </c>
      <c r="AE303" s="890">
        <f t="shared" si="62"/>
        <v>170563</v>
      </c>
      <c r="AF303" s="890">
        <f t="shared" si="63"/>
        <v>55627</v>
      </c>
      <c r="AG303" s="895">
        <f t="shared" si="64"/>
        <v>-12.5</v>
      </c>
      <c r="AH303" s="890">
        <f t="shared" si="65"/>
        <v>171468</v>
      </c>
      <c r="AI303" s="895">
        <f t="shared" si="66"/>
        <v>0.5</v>
      </c>
    </row>
    <row r="304" spans="1:35" s="846" customFormat="1" ht="19.5" hidden="1" customHeight="1">
      <c r="A304" s="891" t="s">
        <v>72</v>
      </c>
      <c r="B304" s="890">
        <v>7400</v>
      </c>
      <c r="C304" s="890">
        <v>31914</v>
      </c>
      <c r="D304" s="890">
        <v>5807</v>
      </c>
      <c r="E304" s="890">
        <v>24342</v>
      </c>
      <c r="F304" s="890">
        <v>3866</v>
      </c>
      <c r="G304" s="890">
        <v>48141</v>
      </c>
      <c r="H304" s="890">
        <v>3098</v>
      </c>
      <c r="I304" s="890">
        <v>41673</v>
      </c>
      <c r="J304" s="890">
        <v>39831</v>
      </c>
      <c r="K304" s="890">
        <v>76961</v>
      </c>
      <c r="L304" s="890">
        <v>19422</v>
      </c>
      <c r="M304" s="890">
        <v>27762</v>
      </c>
      <c r="N304" s="890">
        <v>0</v>
      </c>
      <c r="O304" s="890">
        <v>6</v>
      </c>
      <c r="P304" s="890">
        <v>0</v>
      </c>
      <c r="Q304" s="890">
        <v>1</v>
      </c>
      <c r="R304" s="890">
        <v>487</v>
      </c>
      <c r="S304" s="890">
        <v>1493</v>
      </c>
      <c r="T304" s="890">
        <v>2243</v>
      </c>
      <c r="U304" s="890">
        <v>4979</v>
      </c>
      <c r="V304" s="890">
        <v>0</v>
      </c>
      <c r="W304" s="890">
        <v>9</v>
      </c>
      <c r="X304" s="890">
        <v>0</v>
      </c>
      <c r="Y304" s="890">
        <v>38</v>
      </c>
      <c r="Z304" s="890">
        <v>278</v>
      </c>
      <c r="AA304" s="890">
        <v>2625</v>
      </c>
      <c r="AB304" s="890">
        <v>152</v>
      </c>
      <c r="AC304" s="890">
        <v>6983</v>
      </c>
      <c r="AD304" s="890">
        <f t="shared" si="67"/>
        <v>51862</v>
      </c>
      <c r="AE304" s="890">
        <f t="shared" si="62"/>
        <v>161149</v>
      </c>
      <c r="AF304" s="890">
        <f t="shared" si="63"/>
        <v>30722</v>
      </c>
      <c r="AG304" s="895">
        <f t="shared" si="64"/>
        <v>-40.799999999999997</v>
      </c>
      <c r="AH304" s="890">
        <f t="shared" si="65"/>
        <v>105778</v>
      </c>
      <c r="AI304" s="895">
        <f t="shared" si="66"/>
        <v>-34.4</v>
      </c>
    </row>
    <row r="305" spans="1:35" s="846" customFormat="1" ht="19.5" hidden="1" customHeight="1">
      <c r="A305" s="891" t="s">
        <v>87</v>
      </c>
      <c r="B305" s="890">
        <v>2643</v>
      </c>
      <c r="C305" s="890">
        <v>15124</v>
      </c>
      <c r="D305" s="890">
        <v>1805</v>
      </c>
      <c r="E305" s="890">
        <v>8888</v>
      </c>
      <c r="F305" s="890">
        <v>0</v>
      </c>
      <c r="G305" s="890">
        <v>0</v>
      </c>
      <c r="H305" s="890">
        <v>0</v>
      </c>
      <c r="I305" s="890">
        <v>0</v>
      </c>
      <c r="J305" s="890">
        <v>60515</v>
      </c>
      <c r="K305" s="890">
        <v>122350</v>
      </c>
      <c r="L305" s="890">
        <v>46407</v>
      </c>
      <c r="M305" s="890">
        <v>85966</v>
      </c>
      <c r="N305" s="890">
        <v>4770</v>
      </c>
      <c r="O305" s="890">
        <v>5355</v>
      </c>
      <c r="P305" s="890">
        <v>0</v>
      </c>
      <c r="Q305" s="890">
        <v>0</v>
      </c>
      <c r="R305" s="890">
        <v>0</v>
      </c>
      <c r="S305" s="890">
        <v>0</v>
      </c>
      <c r="T305" s="890">
        <v>0</v>
      </c>
      <c r="U305" s="890">
        <v>0</v>
      </c>
      <c r="V305" s="890">
        <v>0</v>
      </c>
      <c r="W305" s="890">
        <v>0</v>
      </c>
      <c r="X305" s="890">
        <v>0</v>
      </c>
      <c r="Y305" s="890">
        <v>0</v>
      </c>
      <c r="Z305" s="890">
        <v>11</v>
      </c>
      <c r="AA305" s="890">
        <v>55</v>
      </c>
      <c r="AB305" s="890">
        <v>0</v>
      </c>
      <c r="AC305" s="890">
        <v>0</v>
      </c>
      <c r="AD305" s="890">
        <f t="shared" si="67"/>
        <v>67939</v>
      </c>
      <c r="AE305" s="890">
        <f t="shared" si="62"/>
        <v>142884</v>
      </c>
      <c r="AF305" s="890">
        <f t="shared" si="63"/>
        <v>48212</v>
      </c>
      <c r="AG305" s="895">
        <f t="shared" si="64"/>
        <v>-29</v>
      </c>
      <c r="AH305" s="890">
        <f t="shared" si="65"/>
        <v>94854</v>
      </c>
      <c r="AI305" s="895">
        <f t="shared" si="66"/>
        <v>-33.6</v>
      </c>
    </row>
    <row r="306" spans="1:35" s="846" customFormat="1" ht="19.5" hidden="1" customHeight="1">
      <c r="A306" s="891" t="s">
        <v>59</v>
      </c>
      <c r="B306" s="890">
        <v>18068</v>
      </c>
      <c r="C306" s="890">
        <v>111561</v>
      </c>
      <c r="D306" s="890">
        <v>16541</v>
      </c>
      <c r="E306" s="890">
        <v>96779</v>
      </c>
      <c r="F306" s="890">
        <v>494</v>
      </c>
      <c r="G306" s="890">
        <v>377</v>
      </c>
      <c r="H306" s="890">
        <v>129</v>
      </c>
      <c r="I306" s="890">
        <v>329</v>
      </c>
      <c r="J306" s="890">
        <v>16397</v>
      </c>
      <c r="K306" s="890">
        <v>21778</v>
      </c>
      <c r="L306" s="890">
        <v>12251</v>
      </c>
      <c r="M306" s="890">
        <v>14597</v>
      </c>
      <c r="N306" s="890">
        <v>1942</v>
      </c>
      <c r="O306" s="890">
        <v>3713</v>
      </c>
      <c r="P306" s="890">
        <v>1091</v>
      </c>
      <c r="Q306" s="890">
        <v>1972</v>
      </c>
      <c r="R306" s="890">
        <v>170</v>
      </c>
      <c r="S306" s="890">
        <v>365</v>
      </c>
      <c r="T306" s="890">
        <v>7</v>
      </c>
      <c r="U306" s="890">
        <v>15</v>
      </c>
      <c r="V306" s="890">
        <v>44</v>
      </c>
      <c r="W306" s="890">
        <v>664</v>
      </c>
      <c r="X306" s="890">
        <v>60</v>
      </c>
      <c r="Y306" s="890">
        <v>1121</v>
      </c>
      <c r="Z306" s="890">
        <v>25</v>
      </c>
      <c r="AA306" s="890">
        <v>260</v>
      </c>
      <c r="AB306" s="890">
        <v>39</v>
      </c>
      <c r="AC306" s="890">
        <v>284</v>
      </c>
      <c r="AD306" s="890">
        <f t="shared" si="67"/>
        <v>37140</v>
      </c>
      <c r="AE306" s="890">
        <f t="shared" si="62"/>
        <v>138718</v>
      </c>
      <c r="AF306" s="890">
        <f t="shared" si="63"/>
        <v>30118</v>
      </c>
      <c r="AG306" s="895">
        <f t="shared" si="64"/>
        <v>-18.899999999999999</v>
      </c>
      <c r="AH306" s="890">
        <f t="shared" si="65"/>
        <v>115097</v>
      </c>
      <c r="AI306" s="895">
        <f t="shared" si="66"/>
        <v>-17</v>
      </c>
    </row>
    <row r="307" spans="1:35" s="846" customFormat="1" ht="19.5" hidden="1" customHeight="1">
      <c r="A307" s="891" t="s">
        <v>90</v>
      </c>
      <c r="B307" s="890">
        <v>323</v>
      </c>
      <c r="C307" s="890">
        <v>2033</v>
      </c>
      <c r="D307" s="890">
        <v>728</v>
      </c>
      <c r="E307" s="890">
        <v>3934</v>
      </c>
      <c r="F307" s="890">
        <v>0</v>
      </c>
      <c r="G307" s="890">
        <v>0</v>
      </c>
      <c r="H307" s="890">
        <v>0</v>
      </c>
      <c r="I307" s="890">
        <v>0</v>
      </c>
      <c r="J307" s="890">
        <v>52723</v>
      </c>
      <c r="K307" s="890">
        <v>109702</v>
      </c>
      <c r="L307" s="890">
        <v>41792</v>
      </c>
      <c r="M307" s="890">
        <v>73159</v>
      </c>
      <c r="N307" s="890">
        <v>0</v>
      </c>
      <c r="O307" s="890">
        <v>0</v>
      </c>
      <c r="P307" s="890">
        <v>19</v>
      </c>
      <c r="Q307" s="890">
        <v>30</v>
      </c>
      <c r="R307" s="890">
        <v>0</v>
      </c>
      <c r="S307" s="890">
        <v>0</v>
      </c>
      <c r="T307" s="890">
        <v>0</v>
      </c>
      <c r="U307" s="890">
        <v>0</v>
      </c>
      <c r="V307" s="890">
        <v>0</v>
      </c>
      <c r="W307" s="890">
        <v>0</v>
      </c>
      <c r="X307" s="890">
        <v>0</v>
      </c>
      <c r="Y307" s="890">
        <v>0</v>
      </c>
      <c r="Z307" s="890">
        <v>0</v>
      </c>
      <c r="AA307" s="890">
        <v>0</v>
      </c>
      <c r="AB307" s="890">
        <v>0</v>
      </c>
      <c r="AC307" s="890">
        <v>0</v>
      </c>
      <c r="AD307" s="890">
        <f t="shared" si="67"/>
        <v>53046</v>
      </c>
      <c r="AE307" s="890">
        <f t="shared" si="62"/>
        <v>111735</v>
      </c>
      <c r="AF307" s="890">
        <f t="shared" si="63"/>
        <v>42539</v>
      </c>
      <c r="AG307" s="895">
        <f t="shared" si="64"/>
        <v>-19.8</v>
      </c>
      <c r="AH307" s="890">
        <f t="shared" si="65"/>
        <v>77123</v>
      </c>
      <c r="AI307" s="895">
        <f t="shared" si="66"/>
        <v>-31</v>
      </c>
    </row>
    <row r="308" spans="1:35" s="846" customFormat="1" ht="19.5" hidden="1" customHeight="1">
      <c r="A308" s="891" t="s">
        <v>76</v>
      </c>
      <c r="B308" s="890">
        <v>226</v>
      </c>
      <c r="C308" s="890">
        <v>3161</v>
      </c>
      <c r="D308" s="890">
        <v>116</v>
      </c>
      <c r="E308" s="890">
        <v>2554</v>
      </c>
      <c r="F308" s="890">
        <v>894</v>
      </c>
      <c r="G308" s="890">
        <v>21155</v>
      </c>
      <c r="H308" s="890">
        <v>877</v>
      </c>
      <c r="I308" s="890">
        <v>19119</v>
      </c>
      <c r="J308" s="890">
        <v>5386</v>
      </c>
      <c r="K308" s="890">
        <v>66162</v>
      </c>
      <c r="L308" s="890">
        <v>5143</v>
      </c>
      <c r="M308" s="890">
        <v>61611</v>
      </c>
      <c r="N308" s="890">
        <v>839</v>
      </c>
      <c r="O308" s="890">
        <v>1641</v>
      </c>
      <c r="P308" s="890">
        <v>219</v>
      </c>
      <c r="Q308" s="890">
        <v>424</v>
      </c>
      <c r="R308" s="890">
        <v>481</v>
      </c>
      <c r="S308" s="890">
        <v>2339</v>
      </c>
      <c r="T308" s="890">
        <v>509</v>
      </c>
      <c r="U308" s="890">
        <v>2240</v>
      </c>
      <c r="V308" s="890">
        <v>14</v>
      </c>
      <c r="W308" s="890">
        <v>329</v>
      </c>
      <c r="X308" s="890">
        <v>14</v>
      </c>
      <c r="Y308" s="890">
        <v>331</v>
      </c>
      <c r="Z308" s="890">
        <v>98</v>
      </c>
      <c r="AA308" s="890">
        <v>8853</v>
      </c>
      <c r="AB308" s="890">
        <v>168</v>
      </c>
      <c r="AC308" s="890">
        <v>6734</v>
      </c>
      <c r="AD308" s="890">
        <f t="shared" si="67"/>
        <v>7938</v>
      </c>
      <c r="AE308" s="890">
        <f t="shared" si="62"/>
        <v>103640</v>
      </c>
      <c r="AF308" s="890">
        <f t="shared" si="63"/>
        <v>7046</v>
      </c>
      <c r="AG308" s="895">
        <f t="shared" si="64"/>
        <v>-11.2</v>
      </c>
      <c r="AH308" s="890">
        <f t="shared" si="65"/>
        <v>93013</v>
      </c>
      <c r="AI308" s="895">
        <f t="shared" si="66"/>
        <v>-10.3</v>
      </c>
    </row>
    <row r="309" spans="1:35" s="846" customFormat="1" ht="19.5" hidden="1" customHeight="1">
      <c r="A309" s="891" t="s">
        <v>91</v>
      </c>
      <c r="B309" s="890">
        <v>786</v>
      </c>
      <c r="C309" s="890">
        <v>4476</v>
      </c>
      <c r="D309" s="890">
        <v>579</v>
      </c>
      <c r="E309" s="890">
        <v>3096</v>
      </c>
      <c r="F309" s="890">
        <v>0</v>
      </c>
      <c r="G309" s="890">
        <v>0</v>
      </c>
      <c r="H309" s="890">
        <v>0</v>
      </c>
      <c r="I309" s="890">
        <v>0</v>
      </c>
      <c r="J309" s="890">
        <v>33975</v>
      </c>
      <c r="K309" s="890">
        <v>71604</v>
      </c>
      <c r="L309" s="890">
        <v>41354</v>
      </c>
      <c r="M309" s="890">
        <v>75020</v>
      </c>
      <c r="N309" s="890">
        <v>0</v>
      </c>
      <c r="O309" s="890">
        <v>0</v>
      </c>
      <c r="P309" s="890">
        <v>0</v>
      </c>
      <c r="Q309" s="890">
        <v>0</v>
      </c>
      <c r="R309" s="890">
        <v>0</v>
      </c>
      <c r="S309" s="890">
        <v>0</v>
      </c>
      <c r="T309" s="890">
        <v>0</v>
      </c>
      <c r="U309" s="890">
        <v>0</v>
      </c>
      <c r="V309" s="890">
        <v>0</v>
      </c>
      <c r="W309" s="890">
        <v>0</v>
      </c>
      <c r="X309" s="890">
        <v>0</v>
      </c>
      <c r="Y309" s="890">
        <v>0</v>
      </c>
      <c r="Z309" s="890">
        <v>0</v>
      </c>
      <c r="AA309" s="890">
        <v>0</v>
      </c>
      <c r="AB309" s="890">
        <v>0</v>
      </c>
      <c r="AC309" s="890">
        <v>0</v>
      </c>
      <c r="AD309" s="890">
        <f t="shared" si="67"/>
        <v>34761</v>
      </c>
      <c r="AE309" s="890">
        <f t="shared" si="62"/>
        <v>76080</v>
      </c>
      <c r="AF309" s="890">
        <f t="shared" si="63"/>
        <v>41933</v>
      </c>
      <c r="AG309" s="895">
        <f t="shared" si="64"/>
        <v>20.6</v>
      </c>
      <c r="AH309" s="890">
        <f t="shared" si="65"/>
        <v>78116</v>
      </c>
      <c r="AI309" s="895">
        <f t="shared" si="66"/>
        <v>2.7</v>
      </c>
    </row>
    <row r="310" spans="1:35" s="846" customFormat="1" ht="19.5" hidden="1" customHeight="1">
      <c r="A310" s="891" t="s">
        <v>308</v>
      </c>
      <c r="B310" s="890">
        <v>0</v>
      </c>
      <c r="C310" s="890">
        <v>0</v>
      </c>
      <c r="D310" s="890">
        <v>0</v>
      </c>
      <c r="E310" s="890">
        <v>0</v>
      </c>
      <c r="F310" s="890">
        <v>4922</v>
      </c>
      <c r="G310" s="890">
        <v>60371</v>
      </c>
      <c r="H310" s="890">
        <v>3244</v>
      </c>
      <c r="I310" s="890">
        <v>44990</v>
      </c>
      <c r="J310" s="890">
        <v>0</v>
      </c>
      <c r="K310" s="890">
        <v>0</v>
      </c>
      <c r="L310" s="890">
        <v>0</v>
      </c>
      <c r="M310" s="890">
        <v>0</v>
      </c>
      <c r="N310" s="890">
        <v>0</v>
      </c>
      <c r="O310" s="890">
        <v>0</v>
      </c>
      <c r="P310" s="890">
        <v>0</v>
      </c>
      <c r="Q310" s="890">
        <v>0</v>
      </c>
      <c r="R310" s="890">
        <v>0</v>
      </c>
      <c r="S310" s="890">
        <v>0</v>
      </c>
      <c r="T310" s="890">
        <v>0</v>
      </c>
      <c r="U310" s="890">
        <v>0</v>
      </c>
      <c r="V310" s="890">
        <v>0</v>
      </c>
      <c r="W310" s="890">
        <v>0</v>
      </c>
      <c r="X310" s="890">
        <v>0</v>
      </c>
      <c r="Y310" s="890">
        <v>0</v>
      </c>
      <c r="Z310" s="890">
        <v>0</v>
      </c>
      <c r="AA310" s="890">
        <v>0</v>
      </c>
      <c r="AB310" s="890">
        <v>0</v>
      </c>
      <c r="AC310" s="890">
        <v>0</v>
      </c>
      <c r="AD310" s="890">
        <f t="shared" si="67"/>
        <v>4922</v>
      </c>
      <c r="AE310" s="890">
        <f t="shared" si="62"/>
        <v>60371</v>
      </c>
      <c r="AF310" s="890">
        <f t="shared" si="63"/>
        <v>3244</v>
      </c>
      <c r="AG310" s="895">
        <f t="shared" si="64"/>
        <v>-34.1</v>
      </c>
      <c r="AH310" s="890">
        <f t="shared" si="65"/>
        <v>44990</v>
      </c>
      <c r="AI310" s="895">
        <f t="shared" si="66"/>
        <v>-25.5</v>
      </c>
    </row>
    <row r="311" spans="1:35" s="846" customFormat="1" ht="19.5" hidden="1" customHeight="1">
      <c r="A311" s="891" t="s">
        <v>71</v>
      </c>
      <c r="B311" s="890">
        <v>1897</v>
      </c>
      <c r="C311" s="890">
        <v>14482</v>
      </c>
      <c r="D311" s="890">
        <v>2268</v>
      </c>
      <c r="E311" s="890">
        <v>14291</v>
      </c>
      <c r="F311" s="890">
        <v>221</v>
      </c>
      <c r="G311" s="890">
        <v>6671</v>
      </c>
      <c r="H311" s="890">
        <v>284</v>
      </c>
      <c r="I311" s="890">
        <v>7510</v>
      </c>
      <c r="J311" s="890">
        <v>17702</v>
      </c>
      <c r="K311" s="890">
        <v>33653</v>
      </c>
      <c r="L311" s="890">
        <v>19670</v>
      </c>
      <c r="M311" s="890">
        <v>32829</v>
      </c>
      <c r="N311" s="890">
        <v>4</v>
      </c>
      <c r="O311" s="890">
        <v>33</v>
      </c>
      <c r="P311" s="890">
        <v>3</v>
      </c>
      <c r="Q311" s="890">
        <v>28</v>
      </c>
      <c r="R311" s="890">
        <v>3</v>
      </c>
      <c r="S311" s="890">
        <v>33</v>
      </c>
      <c r="T311" s="890">
        <v>1</v>
      </c>
      <c r="U311" s="890">
        <v>31</v>
      </c>
      <c r="V311" s="890">
        <v>10</v>
      </c>
      <c r="W311" s="890">
        <v>232</v>
      </c>
      <c r="X311" s="890">
        <v>15</v>
      </c>
      <c r="Y311" s="890">
        <v>286</v>
      </c>
      <c r="Z311" s="890">
        <v>571</v>
      </c>
      <c r="AA311" s="890">
        <v>13955</v>
      </c>
      <c r="AB311" s="890">
        <v>606</v>
      </c>
      <c r="AC311" s="890">
        <v>9063</v>
      </c>
      <c r="AD311" s="890">
        <f t="shared" si="67"/>
        <v>20408</v>
      </c>
      <c r="AE311" s="890">
        <f t="shared" si="62"/>
        <v>69059</v>
      </c>
      <c r="AF311" s="890">
        <f t="shared" si="63"/>
        <v>22847</v>
      </c>
      <c r="AG311" s="895">
        <f t="shared" si="64"/>
        <v>12</v>
      </c>
      <c r="AH311" s="890">
        <f t="shared" si="65"/>
        <v>64038</v>
      </c>
      <c r="AI311" s="895">
        <f t="shared" si="66"/>
        <v>-7.3</v>
      </c>
    </row>
    <row r="312" spans="1:35" s="846" customFormat="1" ht="19.5" hidden="1" customHeight="1">
      <c r="A312" s="891" t="s">
        <v>88</v>
      </c>
      <c r="B312" s="890">
        <v>8537</v>
      </c>
      <c r="C312" s="890">
        <v>46848</v>
      </c>
      <c r="D312" s="890">
        <v>5892</v>
      </c>
      <c r="E312" s="890">
        <v>28896</v>
      </c>
      <c r="F312" s="890">
        <v>0</v>
      </c>
      <c r="G312" s="890">
        <v>0</v>
      </c>
      <c r="H312" s="890">
        <v>0</v>
      </c>
      <c r="I312" s="890">
        <v>0</v>
      </c>
      <c r="J312" s="890">
        <v>4688</v>
      </c>
      <c r="K312" s="890">
        <v>7654</v>
      </c>
      <c r="L312" s="890">
        <v>1416</v>
      </c>
      <c r="M312" s="890">
        <v>2049</v>
      </c>
      <c r="N312" s="890">
        <v>3850</v>
      </c>
      <c r="O312" s="890">
        <v>7472</v>
      </c>
      <c r="P312" s="890">
        <v>6729</v>
      </c>
      <c r="Q312" s="890">
        <v>11856</v>
      </c>
      <c r="R312" s="890">
        <v>0</v>
      </c>
      <c r="S312" s="890">
        <v>0</v>
      </c>
      <c r="T312" s="890">
        <v>0</v>
      </c>
      <c r="U312" s="890">
        <v>0</v>
      </c>
      <c r="V312" s="890">
        <v>0</v>
      </c>
      <c r="W312" s="890">
        <v>0</v>
      </c>
      <c r="X312" s="890">
        <v>0</v>
      </c>
      <c r="Y312" s="890">
        <v>0</v>
      </c>
      <c r="Z312" s="890">
        <v>0</v>
      </c>
      <c r="AA312" s="890">
        <v>0</v>
      </c>
      <c r="AB312" s="890">
        <v>0</v>
      </c>
      <c r="AC312" s="890">
        <v>0</v>
      </c>
      <c r="AD312" s="890">
        <f t="shared" si="67"/>
        <v>17075</v>
      </c>
      <c r="AE312" s="890">
        <f t="shared" si="62"/>
        <v>61974</v>
      </c>
      <c r="AF312" s="890">
        <f t="shared" si="63"/>
        <v>14037</v>
      </c>
      <c r="AG312" s="895">
        <f t="shared" si="64"/>
        <v>-17.8</v>
      </c>
      <c r="AH312" s="890">
        <f t="shared" si="65"/>
        <v>42801</v>
      </c>
      <c r="AI312" s="895">
        <f t="shared" si="66"/>
        <v>-30.9</v>
      </c>
    </row>
    <row r="313" spans="1:35" s="846" customFormat="1" ht="19.5" hidden="1" customHeight="1">
      <c r="A313" s="891" t="s">
        <v>65</v>
      </c>
      <c r="B313" s="890">
        <v>6808</v>
      </c>
      <c r="C313" s="890">
        <v>31658</v>
      </c>
      <c r="D313" s="890">
        <v>14198</v>
      </c>
      <c r="E313" s="890">
        <v>61300</v>
      </c>
      <c r="F313" s="890">
        <v>9</v>
      </c>
      <c r="G313" s="890">
        <v>1121</v>
      </c>
      <c r="H313" s="890">
        <v>8</v>
      </c>
      <c r="I313" s="890">
        <v>910</v>
      </c>
      <c r="J313" s="890">
        <v>13950</v>
      </c>
      <c r="K313" s="890">
        <v>19197</v>
      </c>
      <c r="L313" s="890">
        <v>27048</v>
      </c>
      <c r="M313" s="890">
        <v>32578</v>
      </c>
      <c r="N313" s="890">
        <v>164</v>
      </c>
      <c r="O313" s="890">
        <v>345</v>
      </c>
      <c r="P313" s="890">
        <v>3357</v>
      </c>
      <c r="Q313" s="890">
        <v>6052</v>
      </c>
      <c r="R313" s="890">
        <v>0</v>
      </c>
      <c r="S313" s="890">
        <v>0</v>
      </c>
      <c r="T313" s="890">
        <v>20</v>
      </c>
      <c r="U313" s="890">
        <v>39</v>
      </c>
      <c r="V313" s="890">
        <v>0</v>
      </c>
      <c r="W313" s="890">
        <v>0</v>
      </c>
      <c r="X313" s="890">
        <v>0</v>
      </c>
      <c r="Y313" s="890">
        <v>0</v>
      </c>
      <c r="Z313" s="890">
        <v>104</v>
      </c>
      <c r="AA313" s="890">
        <v>2096</v>
      </c>
      <c r="AB313" s="890">
        <v>50</v>
      </c>
      <c r="AC313" s="890">
        <v>869</v>
      </c>
      <c r="AD313" s="890">
        <f t="shared" si="67"/>
        <v>21035</v>
      </c>
      <c r="AE313" s="890">
        <f t="shared" si="62"/>
        <v>54417</v>
      </c>
      <c r="AF313" s="890">
        <f t="shared" si="63"/>
        <v>44681</v>
      </c>
      <c r="AG313" s="895">
        <f t="shared" si="64"/>
        <v>112.4</v>
      </c>
      <c r="AH313" s="890">
        <f t="shared" si="65"/>
        <v>101748</v>
      </c>
      <c r="AI313" s="895">
        <f t="shared" si="66"/>
        <v>87</v>
      </c>
    </row>
    <row r="314" spans="1:35" s="846" customFormat="1" ht="19.5" hidden="1" customHeight="1">
      <c r="A314" s="891" t="s">
        <v>66</v>
      </c>
      <c r="B314" s="890">
        <v>8457</v>
      </c>
      <c r="C314" s="890">
        <v>41598</v>
      </c>
      <c r="D314" s="890">
        <v>7768</v>
      </c>
      <c r="E314" s="890">
        <v>41365</v>
      </c>
      <c r="F314" s="890">
        <v>41</v>
      </c>
      <c r="G314" s="890">
        <v>310</v>
      </c>
      <c r="H314" s="890">
        <v>171</v>
      </c>
      <c r="I314" s="890">
        <v>467</v>
      </c>
      <c r="J314" s="890">
        <v>4121</v>
      </c>
      <c r="K314" s="890">
        <v>8783</v>
      </c>
      <c r="L314" s="890">
        <v>2687</v>
      </c>
      <c r="M314" s="890">
        <v>9848</v>
      </c>
      <c r="N314" s="890">
        <v>3</v>
      </c>
      <c r="O314" s="890">
        <v>483</v>
      </c>
      <c r="P314" s="890">
        <v>363</v>
      </c>
      <c r="Q314" s="890">
        <v>1049</v>
      </c>
      <c r="R314" s="890">
        <v>0</v>
      </c>
      <c r="S314" s="890">
        <v>1</v>
      </c>
      <c r="T314" s="890">
        <v>0</v>
      </c>
      <c r="U314" s="890">
        <v>0</v>
      </c>
      <c r="V314" s="890">
        <v>1</v>
      </c>
      <c r="W314" s="890">
        <v>37</v>
      </c>
      <c r="X314" s="890">
        <v>2</v>
      </c>
      <c r="Y314" s="890">
        <v>51</v>
      </c>
      <c r="Z314" s="890">
        <v>749</v>
      </c>
      <c r="AA314" s="890">
        <v>2183</v>
      </c>
      <c r="AB314" s="890">
        <v>138</v>
      </c>
      <c r="AC314" s="890">
        <v>860</v>
      </c>
      <c r="AD314" s="890">
        <f t="shared" si="67"/>
        <v>13372</v>
      </c>
      <c r="AE314" s="890">
        <f t="shared" si="62"/>
        <v>53395</v>
      </c>
      <c r="AF314" s="890">
        <f t="shared" si="63"/>
        <v>11129</v>
      </c>
      <c r="AG314" s="895">
        <f t="shared" si="64"/>
        <v>-16.8</v>
      </c>
      <c r="AH314" s="890">
        <f t="shared" si="65"/>
        <v>53640</v>
      </c>
      <c r="AI314" s="895">
        <f t="shared" si="66"/>
        <v>0.5</v>
      </c>
    </row>
    <row r="315" spans="1:35" s="846" customFormat="1" ht="19.5" hidden="1" customHeight="1">
      <c r="A315" s="891" t="s">
        <v>89</v>
      </c>
      <c r="B315" s="890">
        <v>3469</v>
      </c>
      <c r="C315" s="890">
        <v>20219</v>
      </c>
      <c r="D315" s="890">
        <v>7990</v>
      </c>
      <c r="E315" s="890">
        <v>11843</v>
      </c>
      <c r="F315" s="890">
        <v>578</v>
      </c>
      <c r="G315" s="890">
        <v>7676</v>
      </c>
      <c r="H315" s="890">
        <v>124</v>
      </c>
      <c r="I315" s="890">
        <v>1881</v>
      </c>
      <c r="J315" s="890">
        <v>4662</v>
      </c>
      <c r="K315" s="890">
        <v>8058</v>
      </c>
      <c r="L315" s="890">
        <v>6922</v>
      </c>
      <c r="M315" s="890">
        <v>10618</v>
      </c>
      <c r="N315" s="890">
        <v>617</v>
      </c>
      <c r="O315" s="890">
        <v>1241</v>
      </c>
      <c r="P315" s="890">
        <v>515</v>
      </c>
      <c r="Q315" s="890">
        <v>880</v>
      </c>
      <c r="R315" s="890">
        <v>0</v>
      </c>
      <c r="S315" s="890">
        <v>0</v>
      </c>
      <c r="T315" s="890">
        <v>0</v>
      </c>
      <c r="U315" s="890">
        <v>0</v>
      </c>
      <c r="V315" s="890">
        <v>0</v>
      </c>
      <c r="W315" s="890">
        <v>0</v>
      </c>
      <c r="X315" s="890">
        <v>0</v>
      </c>
      <c r="Y315" s="890">
        <v>0</v>
      </c>
      <c r="Z315" s="890">
        <v>179</v>
      </c>
      <c r="AA315" s="890">
        <v>1017</v>
      </c>
      <c r="AB315" s="890">
        <v>102</v>
      </c>
      <c r="AC315" s="890">
        <v>486</v>
      </c>
      <c r="AD315" s="890">
        <f t="shared" si="67"/>
        <v>9505</v>
      </c>
      <c r="AE315" s="890">
        <f t="shared" si="62"/>
        <v>38211</v>
      </c>
      <c r="AF315" s="890">
        <f t="shared" si="63"/>
        <v>15653</v>
      </c>
      <c r="AG315" s="895">
        <f t="shared" si="64"/>
        <v>64.7</v>
      </c>
      <c r="AH315" s="890">
        <f t="shared" si="65"/>
        <v>25708</v>
      </c>
      <c r="AI315" s="895">
        <f t="shared" si="66"/>
        <v>-32.700000000000003</v>
      </c>
    </row>
    <row r="316" spans="1:35" s="846" customFormat="1" ht="19.5" hidden="1" customHeight="1">
      <c r="A316" s="891" t="s">
        <v>309</v>
      </c>
      <c r="B316" s="890">
        <v>2</v>
      </c>
      <c r="C316" s="890">
        <v>57</v>
      </c>
      <c r="D316" s="890">
        <v>9</v>
      </c>
      <c r="E316" s="890">
        <v>0</v>
      </c>
      <c r="F316" s="890">
        <v>3365</v>
      </c>
      <c r="G316" s="890">
        <v>46977</v>
      </c>
      <c r="H316" s="890">
        <v>2638</v>
      </c>
      <c r="I316" s="890">
        <v>36443</v>
      </c>
      <c r="J316" s="890">
        <v>1</v>
      </c>
      <c r="K316" s="890">
        <v>61</v>
      </c>
      <c r="L316" s="890">
        <v>65</v>
      </c>
      <c r="M316" s="890">
        <v>357</v>
      </c>
      <c r="N316" s="890">
        <v>0</v>
      </c>
      <c r="O316" s="890">
        <v>0</v>
      </c>
      <c r="P316" s="890">
        <v>0</v>
      </c>
      <c r="Q316" s="890">
        <v>0</v>
      </c>
      <c r="R316" s="890">
        <v>0</v>
      </c>
      <c r="S316" s="890">
        <v>5</v>
      </c>
      <c r="T316" s="890">
        <v>0</v>
      </c>
      <c r="U316" s="890">
        <v>2</v>
      </c>
      <c r="V316" s="890">
        <v>0</v>
      </c>
      <c r="W316" s="890">
        <v>0</v>
      </c>
      <c r="X316" s="890">
        <v>0</v>
      </c>
      <c r="Y316" s="890">
        <v>0</v>
      </c>
      <c r="Z316" s="890">
        <v>11</v>
      </c>
      <c r="AA316" s="890">
        <v>347</v>
      </c>
      <c r="AB316" s="890">
        <v>6</v>
      </c>
      <c r="AC316" s="890">
        <v>216</v>
      </c>
      <c r="AD316" s="890">
        <f t="shared" si="67"/>
        <v>3379</v>
      </c>
      <c r="AE316" s="890">
        <f t="shared" si="62"/>
        <v>47447</v>
      </c>
      <c r="AF316" s="890">
        <f t="shared" si="63"/>
        <v>2718</v>
      </c>
      <c r="AG316" s="895">
        <f t="shared" si="64"/>
        <v>-19.600000000000001</v>
      </c>
      <c r="AH316" s="890">
        <f t="shared" si="65"/>
        <v>37018</v>
      </c>
      <c r="AI316" s="895">
        <f t="shared" si="66"/>
        <v>-22</v>
      </c>
    </row>
    <row r="317" spans="1:35" s="846" customFormat="1" ht="19.5" hidden="1" customHeight="1">
      <c r="A317" s="891" t="s">
        <v>92</v>
      </c>
      <c r="B317" s="890">
        <v>6252</v>
      </c>
      <c r="C317" s="890">
        <v>34821</v>
      </c>
      <c r="D317" s="890">
        <v>4623</v>
      </c>
      <c r="E317" s="890">
        <v>23109</v>
      </c>
      <c r="F317" s="890">
        <v>0</v>
      </c>
      <c r="G317" s="890">
        <v>1</v>
      </c>
      <c r="H317" s="890">
        <v>0</v>
      </c>
      <c r="I317" s="890">
        <v>13</v>
      </c>
      <c r="J317" s="890">
        <v>6193</v>
      </c>
      <c r="K317" s="890">
        <v>9978</v>
      </c>
      <c r="L317" s="890">
        <v>9384</v>
      </c>
      <c r="M317" s="890">
        <v>12820</v>
      </c>
      <c r="N317" s="890">
        <v>0</v>
      </c>
      <c r="O317" s="890">
        <v>0</v>
      </c>
      <c r="P317" s="890">
        <v>25</v>
      </c>
      <c r="Q317" s="890">
        <v>42</v>
      </c>
      <c r="R317" s="890">
        <v>0</v>
      </c>
      <c r="S317" s="890">
        <v>0</v>
      </c>
      <c r="T317" s="890">
        <v>0</v>
      </c>
      <c r="U317" s="890">
        <v>0</v>
      </c>
      <c r="V317" s="890">
        <v>0</v>
      </c>
      <c r="W317" s="890">
        <v>0</v>
      </c>
      <c r="X317" s="890">
        <v>0</v>
      </c>
      <c r="Y317" s="890">
        <v>0</v>
      </c>
      <c r="Z317" s="890">
        <v>0</v>
      </c>
      <c r="AA317" s="890">
        <v>49</v>
      </c>
      <c r="AB317" s="890">
        <v>4</v>
      </c>
      <c r="AC317" s="890">
        <v>26</v>
      </c>
      <c r="AD317" s="890">
        <f t="shared" si="67"/>
        <v>12445</v>
      </c>
      <c r="AE317" s="890">
        <f t="shared" si="62"/>
        <v>44849</v>
      </c>
      <c r="AF317" s="890">
        <f t="shared" si="63"/>
        <v>14036</v>
      </c>
      <c r="AG317" s="895">
        <f t="shared" si="64"/>
        <v>12.8</v>
      </c>
      <c r="AH317" s="890">
        <f t="shared" si="65"/>
        <v>36010</v>
      </c>
      <c r="AI317" s="895">
        <f t="shared" si="66"/>
        <v>-19.7</v>
      </c>
    </row>
    <row r="318" spans="1:35" s="846" customFormat="1" ht="19.5" hidden="1" customHeight="1">
      <c r="A318" s="877" t="s">
        <v>78</v>
      </c>
      <c r="B318" s="892">
        <f t="shared" ref="B318:M318" si="68">B319-SUM(B288:B317)</f>
        <v>94329</v>
      </c>
      <c r="C318" s="892">
        <f t="shared" si="68"/>
        <v>503577</v>
      </c>
      <c r="D318" s="892">
        <f t="shared" si="68"/>
        <v>79319</v>
      </c>
      <c r="E318" s="892">
        <f t="shared" si="68"/>
        <v>388397</v>
      </c>
      <c r="F318" s="892">
        <f t="shared" si="68"/>
        <v>4453</v>
      </c>
      <c r="G318" s="892">
        <f t="shared" si="68"/>
        <v>51246</v>
      </c>
      <c r="H318" s="892">
        <f t="shared" si="68"/>
        <v>8829</v>
      </c>
      <c r="I318" s="892">
        <f t="shared" si="68"/>
        <v>86011</v>
      </c>
      <c r="J318" s="892">
        <f t="shared" si="68"/>
        <v>99231</v>
      </c>
      <c r="K318" s="892">
        <f t="shared" si="68"/>
        <v>173280</v>
      </c>
      <c r="L318" s="892">
        <f t="shared" si="68"/>
        <v>88357</v>
      </c>
      <c r="M318" s="892">
        <f t="shared" si="68"/>
        <v>157007</v>
      </c>
      <c r="N318" s="892">
        <f t="shared" ref="N318:Y318" si="69">N319-SUM(N288:N317)</f>
        <v>9327</v>
      </c>
      <c r="O318" s="892">
        <f t="shared" si="69"/>
        <v>18351</v>
      </c>
      <c r="P318" s="892">
        <f t="shared" si="69"/>
        <v>10649</v>
      </c>
      <c r="Q318" s="892">
        <f t="shared" si="69"/>
        <v>19346</v>
      </c>
      <c r="R318" s="892">
        <f t="shared" si="69"/>
        <v>5973</v>
      </c>
      <c r="S318" s="892">
        <f t="shared" si="69"/>
        <v>18611</v>
      </c>
      <c r="T318" s="892">
        <f t="shared" si="69"/>
        <v>7031</v>
      </c>
      <c r="U318" s="892">
        <f t="shared" si="69"/>
        <v>17553</v>
      </c>
      <c r="V318" s="892">
        <f t="shared" si="69"/>
        <v>141</v>
      </c>
      <c r="W318" s="892">
        <f t="shared" si="69"/>
        <v>2592</v>
      </c>
      <c r="X318" s="892">
        <f t="shared" si="69"/>
        <v>178</v>
      </c>
      <c r="Y318" s="892">
        <f t="shared" si="69"/>
        <v>3060</v>
      </c>
      <c r="Z318" s="892">
        <f t="shared" ref="Z318:AC318" si="70">Z319-SUM(Z288:Z317)</f>
        <v>3837</v>
      </c>
      <c r="AA318" s="892">
        <f t="shared" si="70"/>
        <v>57447</v>
      </c>
      <c r="AB318" s="892">
        <f t="shared" si="70"/>
        <v>4135</v>
      </c>
      <c r="AC318" s="892">
        <f t="shared" si="70"/>
        <v>55683</v>
      </c>
      <c r="AD318" s="892">
        <f t="shared" ref="AD318:AF318" si="71">AD319-SUM(AD288:AD317)</f>
        <v>217291</v>
      </c>
      <c r="AE318" s="892">
        <f t="shared" si="71"/>
        <v>825104</v>
      </c>
      <c r="AF318" s="892">
        <f t="shared" si="71"/>
        <v>198498</v>
      </c>
      <c r="AG318" s="896">
        <f t="shared" si="64"/>
        <v>-8.6</v>
      </c>
      <c r="AH318" s="892">
        <f>AH319-SUM(AH288:AH317)</f>
        <v>727057</v>
      </c>
      <c r="AI318" s="896">
        <f t="shared" si="66"/>
        <v>-11.9</v>
      </c>
    </row>
    <row r="319" spans="1:35" s="846" customFormat="1" ht="19.5" hidden="1" customHeight="1">
      <c r="A319" s="878" t="s">
        <v>79</v>
      </c>
      <c r="B319" s="893">
        <v>574601</v>
      </c>
      <c r="C319" s="894">
        <v>3670014</v>
      </c>
      <c r="D319" s="894">
        <v>543562</v>
      </c>
      <c r="E319" s="894">
        <v>3202008</v>
      </c>
      <c r="F319" s="894">
        <v>40448</v>
      </c>
      <c r="G319" s="894">
        <v>699272</v>
      </c>
      <c r="H319" s="894">
        <v>38462</v>
      </c>
      <c r="I319" s="894">
        <v>650379</v>
      </c>
      <c r="J319" s="894">
        <v>1957441</v>
      </c>
      <c r="K319" s="894">
        <v>4268452</v>
      </c>
      <c r="L319" s="894">
        <v>1873420</v>
      </c>
      <c r="M319" s="894">
        <v>3718971</v>
      </c>
      <c r="N319" s="894">
        <v>92443</v>
      </c>
      <c r="O319" s="894">
        <v>181988</v>
      </c>
      <c r="P319" s="894">
        <v>94138</v>
      </c>
      <c r="Q319" s="894">
        <v>178180</v>
      </c>
      <c r="R319" s="894">
        <v>39508</v>
      </c>
      <c r="S319" s="894">
        <v>117083</v>
      </c>
      <c r="T319" s="894">
        <v>31303</v>
      </c>
      <c r="U319" s="894">
        <v>78515</v>
      </c>
      <c r="V319" s="894">
        <v>9610</v>
      </c>
      <c r="W319" s="894">
        <v>198331</v>
      </c>
      <c r="X319" s="894">
        <v>9700</v>
      </c>
      <c r="Y319" s="894">
        <v>169034</v>
      </c>
      <c r="Z319" s="894">
        <v>104846</v>
      </c>
      <c r="AA319" s="894">
        <v>764071</v>
      </c>
      <c r="AB319" s="894">
        <v>93954</v>
      </c>
      <c r="AC319" s="894">
        <v>638894</v>
      </c>
      <c r="AD319" s="894">
        <f>SUM(B319+F319+J319+N319+R319+V319+Z319)</f>
        <v>2818897</v>
      </c>
      <c r="AE319" s="893">
        <f>SUM(C319+G319+K319+O319+S319+W319+AA319)</f>
        <v>9899211</v>
      </c>
      <c r="AF319" s="894">
        <f>SUM(D319+H319+L319+P319+T319+X319+AB319)</f>
        <v>2684539</v>
      </c>
      <c r="AG319" s="896">
        <f t="shared" si="64"/>
        <v>-4.8</v>
      </c>
      <c r="AH319" s="893">
        <f>SUM(E319+I319+M319+Q319+U319+Y319+AC319)</f>
        <v>8635981</v>
      </c>
      <c r="AI319" s="896">
        <f t="shared" si="66"/>
        <v>-12.8</v>
      </c>
    </row>
    <row r="320" spans="1:35" hidden="1"/>
    <row r="321" spans="1:35" s="846" customFormat="1" ht="22.5" hidden="1">
      <c r="A321" s="1095" t="s">
        <v>667</v>
      </c>
      <c r="B321" s="1095"/>
      <c r="C321" s="1095"/>
      <c r="D321" s="1095"/>
      <c r="E321" s="1095"/>
      <c r="F321" s="1095"/>
      <c r="G321" s="1095"/>
      <c r="H321" s="1095"/>
      <c r="I321" s="1095"/>
      <c r="J321" s="1095"/>
      <c r="K321" s="1095"/>
      <c r="L321" s="1095"/>
      <c r="M321" s="1095"/>
      <c r="N321" s="1095"/>
      <c r="O321" s="1095"/>
      <c r="P321" s="1095"/>
      <c r="Q321" s="1095"/>
      <c r="R321" s="1095"/>
      <c r="S321" s="1095"/>
      <c r="T321" s="1095"/>
      <c r="U321" s="1095"/>
      <c r="V321" s="1095"/>
      <c r="W321" s="1095"/>
      <c r="X321" s="1095"/>
      <c r="Y321" s="1095"/>
      <c r="Z321" s="1095"/>
      <c r="AA321" s="1095"/>
      <c r="AB321" s="1095"/>
      <c r="AC321" s="1095"/>
      <c r="AD321" s="1095"/>
      <c r="AE321" s="1095"/>
      <c r="AF321" s="1095"/>
      <c r="AG321" s="1095"/>
      <c r="AH321" s="1095"/>
      <c r="AI321" s="1095"/>
    </row>
    <row r="322" spans="1:35" s="846" customFormat="1" ht="22.5" hidden="1">
      <c r="A322" s="1038"/>
      <c r="B322" s="1038"/>
      <c r="C322" s="1038"/>
      <c r="D322" s="1038"/>
      <c r="E322" s="1038"/>
      <c r="F322" s="1038"/>
      <c r="G322" s="1038"/>
      <c r="H322" s="1038"/>
      <c r="I322" s="1038"/>
      <c r="J322" s="1038"/>
      <c r="K322" s="1038"/>
      <c r="L322" s="1038"/>
      <c r="M322" s="1038"/>
      <c r="N322" s="1038"/>
      <c r="O322" s="1038"/>
      <c r="P322" s="1038"/>
      <c r="Q322" s="1038"/>
      <c r="R322" s="1038"/>
      <c r="S322" s="1038"/>
      <c r="T322" s="1038"/>
      <c r="U322" s="1038"/>
      <c r="V322" s="1038"/>
      <c r="W322" s="1038"/>
      <c r="X322" s="1038"/>
      <c r="Y322" s="1038"/>
      <c r="Z322" s="1038"/>
      <c r="AA322" s="1038"/>
      <c r="AB322" s="1038"/>
      <c r="AC322" s="1038"/>
      <c r="AD322" s="1038"/>
      <c r="AE322" s="1038"/>
      <c r="AF322" s="1038"/>
      <c r="AG322" s="1038"/>
      <c r="AH322" s="1038"/>
      <c r="AI322" s="1038"/>
    </row>
    <row r="323" spans="1:35" s="846" customFormat="1" hidden="1">
      <c r="A323" s="871"/>
      <c r="B323" s="871"/>
      <c r="C323" s="872"/>
      <c r="D323" s="873"/>
      <c r="E323" s="881"/>
      <c r="F323" s="872"/>
      <c r="G323" s="872"/>
      <c r="H323" s="872"/>
      <c r="I323" s="872"/>
      <c r="J323" s="872"/>
      <c r="K323" s="872"/>
      <c r="L323" s="872"/>
      <c r="M323" s="872"/>
      <c r="N323" s="872"/>
      <c r="O323" s="872"/>
      <c r="P323" s="872"/>
      <c r="Q323" s="872"/>
      <c r="R323" s="872"/>
      <c r="S323" s="872"/>
      <c r="T323" s="872"/>
      <c r="U323" s="872"/>
      <c r="V323" s="887"/>
      <c r="W323" s="887"/>
      <c r="X323" s="872"/>
      <c r="Y323" s="872"/>
      <c r="Z323" s="872"/>
      <c r="AA323" s="872"/>
      <c r="AB323" s="872"/>
      <c r="AC323" s="872"/>
      <c r="AD323" s="872"/>
      <c r="AE323" s="872"/>
      <c r="AF323" s="872"/>
      <c r="AG323" s="872"/>
      <c r="AH323" s="872"/>
      <c r="AI323" s="872"/>
    </row>
    <row r="324" spans="1:35" s="846" customFormat="1" ht="21.75" hidden="1" customHeight="1">
      <c r="A324" s="1149" t="s">
        <v>43</v>
      </c>
      <c r="B324" s="1151" t="s">
        <v>657</v>
      </c>
      <c r="C324" s="1153"/>
      <c r="D324" s="1153"/>
      <c r="E324" s="1152"/>
      <c r="F324" s="1151" t="s">
        <v>658</v>
      </c>
      <c r="G324" s="1153"/>
      <c r="H324" s="1153"/>
      <c r="I324" s="1152"/>
      <c r="J324" s="1151" t="s">
        <v>659</v>
      </c>
      <c r="K324" s="1153"/>
      <c r="L324" s="1153"/>
      <c r="M324" s="1152"/>
      <c r="N324" s="1151" t="s">
        <v>660</v>
      </c>
      <c r="O324" s="1153"/>
      <c r="P324" s="1153"/>
      <c r="Q324" s="1152"/>
      <c r="R324" s="1151" t="s">
        <v>661</v>
      </c>
      <c r="S324" s="1153"/>
      <c r="T324" s="1153"/>
      <c r="U324" s="1152"/>
      <c r="V324" s="1151" t="s">
        <v>662</v>
      </c>
      <c r="W324" s="1153"/>
      <c r="X324" s="1153"/>
      <c r="Y324" s="1152"/>
      <c r="Z324" s="1151" t="s">
        <v>663</v>
      </c>
      <c r="AA324" s="1153"/>
      <c r="AB324" s="1153"/>
      <c r="AC324" s="1152"/>
      <c r="AD324" s="1151" t="s">
        <v>664</v>
      </c>
      <c r="AE324" s="1153"/>
      <c r="AF324" s="1153"/>
      <c r="AG324" s="1153"/>
      <c r="AH324" s="1153"/>
      <c r="AI324" s="1152"/>
    </row>
    <row r="325" spans="1:35" s="846" customFormat="1" ht="21" hidden="1" customHeight="1">
      <c r="A325" s="1154"/>
      <c r="B325" s="1151" t="s">
        <v>315</v>
      </c>
      <c r="C325" s="1152"/>
      <c r="D325" s="1151" t="s">
        <v>459</v>
      </c>
      <c r="E325" s="1152"/>
      <c r="F325" s="1151" t="s">
        <v>315</v>
      </c>
      <c r="G325" s="1152"/>
      <c r="H325" s="1151" t="s">
        <v>459</v>
      </c>
      <c r="I325" s="1152"/>
      <c r="J325" s="1151" t="s">
        <v>315</v>
      </c>
      <c r="K325" s="1152"/>
      <c r="L325" s="1151" t="s">
        <v>459</v>
      </c>
      <c r="M325" s="1152"/>
      <c r="N325" s="1151" t="s">
        <v>315</v>
      </c>
      <c r="O325" s="1152"/>
      <c r="P325" s="1151" t="s">
        <v>459</v>
      </c>
      <c r="Q325" s="1152"/>
      <c r="R325" s="1151" t="s">
        <v>315</v>
      </c>
      <c r="S325" s="1152"/>
      <c r="T325" s="1151" t="s">
        <v>459</v>
      </c>
      <c r="U325" s="1152"/>
      <c r="V325" s="1151" t="s">
        <v>315</v>
      </c>
      <c r="W325" s="1152"/>
      <c r="X325" s="1151" t="s">
        <v>459</v>
      </c>
      <c r="Y325" s="1152"/>
      <c r="Z325" s="1151" t="s">
        <v>315</v>
      </c>
      <c r="AA325" s="1152"/>
      <c r="AB325" s="1151" t="s">
        <v>459</v>
      </c>
      <c r="AC325" s="1152"/>
      <c r="AD325" s="1151" t="s">
        <v>315</v>
      </c>
      <c r="AE325" s="1152"/>
      <c r="AF325" s="1151" t="s">
        <v>459</v>
      </c>
      <c r="AG325" s="1153"/>
      <c r="AH325" s="1153"/>
      <c r="AI325" s="1152"/>
    </row>
    <row r="326" spans="1:35" s="846" customFormat="1" ht="16.5" hidden="1" customHeight="1">
      <c r="A326" s="1154"/>
      <c r="B326" s="1149" t="s">
        <v>44</v>
      </c>
      <c r="C326" s="1149" t="s">
        <v>45</v>
      </c>
      <c r="D326" s="1149" t="s">
        <v>46</v>
      </c>
      <c r="E326" s="1149" t="s">
        <v>45</v>
      </c>
      <c r="F326" s="1149" t="s">
        <v>47</v>
      </c>
      <c r="G326" s="1149" t="s">
        <v>45</v>
      </c>
      <c r="H326" s="1149" t="s">
        <v>46</v>
      </c>
      <c r="I326" s="1149" t="s">
        <v>45</v>
      </c>
      <c r="J326" s="1149" t="s">
        <v>44</v>
      </c>
      <c r="K326" s="1149" t="s">
        <v>45</v>
      </c>
      <c r="L326" s="1149" t="s">
        <v>46</v>
      </c>
      <c r="M326" s="1149" t="s">
        <v>45</v>
      </c>
      <c r="N326" s="1149" t="s">
        <v>44</v>
      </c>
      <c r="O326" s="1149" t="s">
        <v>45</v>
      </c>
      <c r="P326" s="1149" t="s">
        <v>46</v>
      </c>
      <c r="Q326" s="1149" t="s">
        <v>45</v>
      </c>
      <c r="R326" s="1149" t="s">
        <v>44</v>
      </c>
      <c r="S326" s="1149" t="s">
        <v>45</v>
      </c>
      <c r="T326" s="1149" t="s">
        <v>46</v>
      </c>
      <c r="U326" s="1149" t="s">
        <v>45</v>
      </c>
      <c r="V326" s="1149" t="s">
        <v>44</v>
      </c>
      <c r="W326" s="1149" t="s">
        <v>45</v>
      </c>
      <c r="X326" s="1149" t="s">
        <v>48</v>
      </c>
      <c r="Y326" s="1149" t="s">
        <v>45</v>
      </c>
      <c r="Z326" s="1149" t="s">
        <v>44</v>
      </c>
      <c r="AA326" s="1149" t="s">
        <v>45</v>
      </c>
      <c r="AB326" s="1149" t="s">
        <v>46</v>
      </c>
      <c r="AC326" s="1149" t="s">
        <v>45</v>
      </c>
      <c r="AD326" s="1149" t="s">
        <v>44</v>
      </c>
      <c r="AE326" s="1149" t="s">
        <v>45</v>
      </c>
      <c r="AF326" s="1147" t="s">
        <v>46</v>
      </c>
      <c r="AG326" s="874"/>
      <c r="AH326" s="1147" t="s">
        <v>45</v>
      </c>
      <c r="AI326" s="874"/>
    </row>
    <row r="327" spans="1:35" s="846" customFormat="1" ht="16.5" hidden="1" customHeight="1" thickBot="1">
      <c r="A327" s="1150"/>
      <c r="B327" s="1150"/>
      <c r="C327" s="1150"/>
      <c r="D327" s="1150"/>
      <c r="E327" s="1150"/>
      <c r="F327" s="1150"/>
      <c r="G327" s="1150"/>
      <c r="H327" s="1150"/>
      <c r="I327" s="1150"/>
      <c r="J327" s="1150"/>
      <c r="K327" s="1150"/>
      <c r="L327" s="1150"/>
      <c r="M327" s="1150"/>
      <c r="N327" s="1150"/>
      <c r="O327" s="1150"/>
      <c r="P327" s="1150"/>
      <c r="Q327" s="1150"/>
      <c r="R327" s="1150"/>
      <c r="S327" s="1150"/>
      <c r="T327" s="1150"/>
      <c r="U327" s="1150"/>
      <c r="V327" s="1150"/>
      <c r="W327" s="1150"/>
      <c r="X327" s="1150"/>
      <c r="Y327" s="1150"/>
      <c r="Z327" s="1150"/>
      <c r="AA327" s="1150"/>
      <c r="AB327" s="1150"/>
      <c r="AC327" s="1150"/>
      <c r="AD327" s="1150"/>
      <c r="AE327" s="1150"/>
      <c r="AF327" s="1148"/>
      <c r="AG327" s="875" t="s">
        <v>49</v>
      </c>
      <c r="AH327" s="1148"/>
      <c r="AI327" s="875" t="s">
        <v>49</v>
      </c>
    </row>
    <row r="328" spans="1:35" s="846" customFormat="1" ht="19.5" hidden="1" customHeight="1" thickTop="1">
      <c r="A328" s="891" t="s">
        <v>50</v>
      </c>
      <c r="B328" s="890">
        <v>54152</v>
      </c>
      <c r="C328" s="890">
        <v>367398</v>
      </c>
      <c r="D328" s="890">
        <v>53549</v>
      </c>
      <c r="E328" s="890">
        <v>341119</v>
      </c>
      <c r="F328" s="890">
        <v>1058</v>
      </c>
      <c r="G328" s="890">
        <v>59159</v>
      </c>
      <c r="H328" s="890">
        <v>998</v>
      </c>
      <c r="I328" s="890">
        <v>62588</v>
      </c>
      <c r="J328" s="890">
        <v>325057</v>
      </c>
      <c r="K328" s="890">
        <v>961142</v>
      </c>
      <c r="L328" s="890">
        <v>266583</v>
      </c>
      <c r="M328" s="890">
        <v>810878</v>
      </c>
      <c r="N328" s="890">
        <v>208</v>
      </c>
      <c r="O328" s="890">
        <v>542</v>
      </c>
      <c r="P328" s="890">
        <v>681</v>
      </c>
      <c r="Q328" s="890">
        <v>1679</v>
      </c>
      <c r="R328" s="890">
        <v>463</v>
      </c>
      <c r="S328" s="890">
        <v>4580</v>
      </c>
      <c r="T328" s="890">
        <v>290</v>
      </c>
      <c r="U328" s="890">
        <v>3913</v>
      </c>
      <c r="V328" s="890">
        <v>328</v>
      </c>
      <c r="W328" s="890">
        <v>3923</v>
      </c>
      <c r="X328" s="890">
        <v>666</v>
      </c>
      <c r="Y328" s="890">
        <v>9996</v>
      </c>
      <c r="Z328" s="890">
        <v>96969</v>
      </c>
      <c r="AA328" s="890">
        <v>374027</v>
      </c>
      <c r="AB328" s="890">
        <v>87509</v>
      </c>
      <c r="AC328" s="890">
        <v>296482</v>
      </c>
      <c r="AD328" s="890">
        <f>SUM(B328+F328+J328+N328+R328+V328+Z328)</f>
        <v>478235</v>
      </c>
      <c r="AE328" s="890">
        <f>SUM(C328+G328+K328+O328+S328+W328+AA328)</f>
        <v>1770771</v>
      </c>
      <c r="AF328" s="890">
        <f>SUM(D328+H328+L328+P328+T328+X328+AB328)</f>
        <v>410276</v>
      </c>
      <c r="AG328" s="895">
        <f>ROUND(((AF328/AD328-1)*100),1)</f>
        <v>-14.2</v>
      </c>
      <c r="AH328" s="890">
        <f>SUM(E328+I328+M328+Q328+U328+Y328+AC328)</f>
        <v>1526655</v>
      </c>
      <c r="AI328" s="895">
        <f>ROUND(((AH328/AE328-1)*100),1)</f>
        <v>-13.8</v>
      </c>
    </row>
    <row r="329" spans="1:35" s="846" customFormat="1" ht="19.5" hidden="1" customHeight="1">
      <c r="A329" s="891" t="s">
        <v>53</v>
      </c>
      <c r="B329" s="890">
        <v>57442</v>
      </c>
      <c r="C329" s="890">
        <v>353643</v>
      </c>
      <c r="D329" s="890">
        <v>66753</v>
      </c>
      <c r="E329" s="890">
        <v>371658</v>
      </c>
      <c r="F329" s="890">
        <v>1150</v>
      </c>
      <c r="G329" s="890">
        <v>57979</v>
      </c>
      <c r="H329" s="890">
        <v>1876</v>
      </c>
      <c r="I329" s="890">
        <v>64037</v>
      </c>
      <c r="J329" s="890">
        <v>214431</v>
      </c>
      <c r="K329" s="890">
        <v>478360</v>
      </c>
      <c r="L329" s="890">
        <v>234645</v>
      </c>
      <c r="M329" s="890">
        <v>448308</v>
      </c>
      <c r="N329" s="890">
        <v>3658</v>
      </c>
      <c r="O329" s="890">
        <v>7127</v>
      </c>
      <c r="P329" s="890">
        <v>1044</v>
      </c>
      <c r="Q329" s="890">
        <v>2030</v>
      </c>
      <c r="R329" s="890">
        <v>251</v>
      </c>
      <c r="S329" s="890">
        <v>593</v>
      </c>
      <c r="T329" s="890">
        <v>269</v>
      </c>
      <c r="U329" s="890">
        <v>675</v>
      </c>
      <c r="V329" s="890">
        <v>5</v>
      </c>
      <c r="W329" s="890">
        <v>370</v>
      </c>
      <c r="X329" s="890">
        <v>4</v>
      </c>
      <c r="Y329" s="890">
        <v>270</v>
      </c>
      <c r="Z329" s="890">
        <v>1799</v>
      </c>
      <c r="AA329" s="890">
        <v>172587</v>
      </c>
      <c r="AB329" s="890">
        <v>1985</v>
      </c>
      <c r="AC329" s="890">
        <v>162828</v>
      </c>
      <c r="AD329" s="890">
        <f>SUM(B329+F329+J329+N329+R329+V329+Z329)</f>
        <v>278736</v>
      </c>
      <c r="AE329" s="890">
        <f t="shared" ref="AE329:AE357" si="72">SUM(C329+G329+K329+O329+S329+W329+AA329)</f>
        <v>1070659</v>
      </c>
      <c r="AF329" s="890">
        <f t="shared" ref="AF329:AF357" si="73">SUM(D329+H329+L329+P329+T329+X329+AB329)</f>
        <v>306576</v>
      </c>
      <c r="AG329" s="895">
        <f t="shared" ref="AG329:AG359" si="74">ROUND(((AF329/AD329-1)*100),1)</f>
        <v>10</v>
      </c>
      <c r="AH329" s="890">
        <f t="shared" ref="AH329:AH357" si="75">SUM(E329+I329+M329+Q329+U329+Y329+AC329)</f>
        <v>1049806</v>
      </c>
      <c r="AI329" s="895">
        <f t="shared" ref="AI329:AI359" si="76">ROUND(((AH329/AE329-1)*100),1)</f>
        <v>-1.9</v>
      </c>
    </row>
    <row r="330" spans="1:35" s="846" customFormat="1" ht="19.5" hidden="1" customHeight="1">
      <c r="A330" s="891" t="s">
        <v>54</v>
      </c>
      <c r="B330" s="890">
        <v>28979</v>
      </c>
      <c r="C330" s="890">
        <v>400537</v>
      </c>
      <c r="D330" s="890">
        <v>36279</v>
      </c>
      <c r="E330" s="890">
        <v>437104</v>
      </c>
      <c r="F330" s="890">
        <v>4693</v>
      </c>
      <c r="G330" s="890">
        <v>152596</v>
      </c>
      <c r="H330" s="890">
        <v>4013</v>
      </c>
      <c r="I330" s="890">
        <v>138771</v>
      </c>
      <c r="J330" s="890">
        <v>87533</v>
      </c>
      <c r="K330" s="890">
        <v>219296</v>
      </c>
      <c r="L330" s="890">
        <v>105787</v>
      </c>
      <c r="M330" s="890">
        <v>233232</v>
      </c>
      <c r="N330" s="890">
        <v>3975</v>
      </c>
      <c r="O330" s="890">
        <v>8355</v>
      </c>
      <c r="P330" s="890">
        <v>7365</v>
      </c>
      <c r="Q330" s="890">
        <v>13538</v>
      </c>
      <c r="R330" s="890">
        <v>370</v>
      </c>
      <c r="S330" s="890">
        <v>684</v>
      </c>
      <c r="T330" s="890">
        <v>474</v>
      </c>
      <c r="U330" s="890">
        <v>856</v>
      </c>
      <c r="V330" s="890">
        <v>248</v>
      </c>
      <c r="W330" s="890">
        <v>11233</v>
      </c>
      <c r="X330" s="890">
        <v>228</v>
      </c>
      <c r="Y330" s="890">
        <v>11686</v>
      </c>
      <c r="Z330" s="890">
        <v>3182</v>
      </c>
      <c r="AA330" s="890">
        <v>112352</v>
      </c>
      <c r="AB330" s="890">
        <v>2620</v>
      </c>
      <c r="AC330" s="890">
        <v>91682</v>
      </c>
      <c r="AD330" s="890">
        <f t="shared" ref="AD330:AD357" si="77">SUM(B330+F330+J330+N330+R330+V330+Z330)</f>
        <v>128980</v>
      </c>
      <c r="AE330" s="890">
        <f t="shared" si="72"/>
        <v>905053</v>
      </c>
      <c r="AF330" s="890">
        <f t="shared" si="73"/>
        <v>156766</v>
      </c>
      <c r="AG330" s="895">
        <f t="shared" si="74"/>
        <v>21.5</v>
      </c>
      <c r="AH330" s="890">
        <f t="shared" si="75"/>
        <v>926869</v>
      </c>
      <c r="AI330" s="895">
        <f t="shared" si="76"/>
        <v>2.4</v>
      </c>
    </row>
    <row r="331" spans="1:35" s="846" customFormat="1" ht="19.5" hidden="1" customHeight="1">
      <c r="A331" s="891" t="s">
        <v>84</v>
      </c>
      <c r="B331" s="890">
        <v>154185</v>
      </c>
      <c r="C331" s="890">
        <v>927083</v>
      </c>
      <c r="D331" s="890">
        <v>119178</v>
      </c>
      <c r="E331" s="890">
        <v>673412</v>
      </c>
      <c r="F331" s="890">
        <v>0</v>
      </c>
      <c r="G331" s="890">
        <v>0</v>
      </c>
      <c r="H331" s="890">
        <v>0</v>
      </c>
      <c r="I331" s="890">
        <v>0</v>
      </c>
      <c r="J331" s="890">
        <v>1413</v>
      </c>
      <c r="K331" s="890">
        <v>1826</v>
      </c>
      <c r="L331" s="890">
        <v>2487</v>
      </c>
      <c r="M331" s="890">
        <v>2921</v>
      </c>
      <c r="N331" s="890">
        <v>148</v>
      </c>
      <c r="O331" s="890">
        <v>271</v>
      </c>
      <c r="P331" s="890">
        <v>0</v>
      </c>
      <c r="Q331" s="890">
        <v>0</v>
      </c>
      <c r="R331" s="890">
        <v>0</v>
      </c>
      <c r="S331" s="890">
        <v>0</v>
      </c>
      <c r="T331" s="890">
        <v>0</v>
      </c>
      <c r="U331" s="890">
        <v>0</v>
      </c>
      <c r="V331" s="890">
        <v>0</v>
      </c>
      <c r="W331" s="890">
        <v>0</v>
      </c>
      <c r="X331" s="890">
        <v>0</v>
      </c>
      <c r="Y331" s="890">
        <v>0</v>
      </c>
      <c r="Z331" s="890">
        <v>0</v>
      </c>
      <c r="AA331" s="890">
        <v>24</v>
      </c>
      <c r="AB331" s="890">
        <v>10</v>
      </c>
      <c r="AC331" s="890">
        <v>84</v>
      </c>
      <c r="AD331" s="890">
        <f t="shared" si="77"/>
        <v>155746</v>
      </c>
      <c r="AE331" s="890">
        <f t="shared" si="72"/>
        <v>929204</v>
      </c>
      <c r="AF331" s="890">
        <f t="shared" si="73"/>
        <v>121675</v>
      </c>
      <c r="AG331" s="895">
        <f t="shared" si="74"/>
        <v>-21.9</v>
      </c>
      <c r="AH331" s="890">
        <f t="shared" si="75"/>
        <v>676417</v>
      </c>
      <c r="AI331" s="895">
        <f t="shared" si="76"/>
        <v>-27.2</v>
      </c>
    </row>
    <row r="332" spans="1:35" s="846" customFormat="1" ht="19.5" hidden="1" customHeight="1">
      <c r="A332" s="891" t="s">
        <v>52</v>
      </c>
      <c r="B332" s="890">
        <v>3939</v>
      </c>
      <c r="C332" s="890">
        <v>11513</v>
      </c>
      <c r="D332" s="890">
        <v>3839</v>
      </c>
      <c r="E332" s="890">
        <v>10973</v>
      </c>
      <c r="F332" s="890">
        <v>177</v>
      </c>
      <c r="G332" s="890">
        <v>4224</v>
      </c>
      <c r="H332" s="890">
        <v>136</v>
      </c>
      <c r="I332" s="890">
        <v>2397</v>
      </c>
      <c r="J332" s="890">
        <v>294016</v>
      </c>
      <c r="K332" s="890">
        <v>567687</v>
      </c>
      <c r="L332" s="890">
        <v>307805</v>
      </c>
      <c r="M332" s="890">
        <v>535218</v>
      </c>
      <c r="N332" s="890">
        <v>40028</v>
      </c>
      <c r="O332" s="890">
        <v>83362</v>
      </c>
      <c r="P332" s="890">
        <v>42278</v>
      </c>
      <c r="Q332" s="890">
        <v>82135</v>
      </c>
      <c r="R332" s="890">
        <v>30982</v>
      </c>
      <c r="S332" s="890">
        <v>86937</v>
      </c>
      <c r="T332" s="890">
        <v>19183</v>
      </c>
      <c r="U332" s="890">
        <v>45573</v>
      </c>
      <c r="V332" s="890">
        <v>206</v>
      </c>
      <c r="W332" s="890">
        <v>2383</v>
      </c>
      <c r="X332" s="890">
        <v>183</v>
      </c>
      <c r="Y332" s="890">
        <v>1767</v>
      </c>
      <c r="Z332" s="890">
        <v>218</v>
      </c>
      <c r="AA332" s="890">
        <v>1746</v>
      </c>
      <c r="AB332" s="890">
        <v>112</v>
      </c>
      <c r="AC332" s="890">
        <v>855</v>
      </c>
      <c r="AD332" s="890">
        <f t="shared" si="77"/>
        <v>369566</v>
      </c>
      <c r="AE332" s="890">
        <f t="shared" si="72"/>
        <v>757852</v>
      </c>
      <c r="AF332" s="890">
        <f t="shared" si="73"/>
        <v>373536</v>
      </c>
      <c r="AG332" s="895">
        <f t="shared" si="74"/>
        <v>1.1000000000000001</v>
      </c>
      <c r="AH332" s="890">
        <f t="shared" si="75"/>
        <v>678918</v>
      </c>
      <c r="AI332" s="895">
        <f t="shared" si="76"/>
        <v>-10.4</v>
      </c>
    </row>
    <row r="333" spans="1:35" s="846" customFormat="1" ht="19.5" hidden="1" customHeight="1">
      <c r="A333" s="891" t="s">
        <v>61</v>
      </c>
      <c r="B333" s="890">
        <v>15683</v>
      </c>
      <c r="C333" s="890">
        <v>94491</v>
      </c>
      <c r="D333" s="890">
        <v>14276</v>
      </c>
      <c r="E333" s="890">
        <v>79337</v>
      </c>
      <c r="F333" s="890">
        <v>14295</v>
      </c>
      <c r="G333" s="890">
        <v>186674</v>
      </c>
      <c r="H333" s="890">
        <v>12053</v>
      </c>
      <c r="I333" s="890">
        <v>159779</v>
      </c>
      <c r="J333" s="890">
        <v>252817</v>
      </c>
      <c r="K333" s="890">
        <v>487359</v>
      </c>
      <c r="L333" s="890">
        <v>319087</v>
      </c>
      <c r="M333" s="890">
        <v>537428</v>
      </c>
      <c r="N333" s="890">
        <v>15346</v>
      </c>
      <c r="O333" s="890">
        <v>26150</v>
      </c>
      <c r="P333" s="890">
        <v>9929</v>
      </c>
      <c r="Q333" s="890">
        <v>17144</v>
      </c>
      <c r="R333" s="890">
        <v>0</v>
      </c>
      <c r="S333" s="890">
        <v>0</v>
      </c>
      <c r="T333" s="890">
        <v>0</v>
      </c>
      <c r="U333" s="890">
        <v>0</v>
      </c>
      <c r="V333" s="890">
        <v>0</v>
      </c>
      <c r="W333" s="890">
        <v>0</v>
      </c>
      <c r="X333" s="890">
        <v>0</v>
      </c>
      <c r="Y333" s="890">
        <v>0</v>
      </c>
      <c r="Z333" s="890">
        <v>2161</v>
      </c>
      <c r="AA333" s="890">
        <v>8373</v>
      </c>
      <c r="AB333" s="890">
        <v>1306</v>
      </c>
      <c r="AC333" s="890">
        <v>3757</v>
      </c>
      <c r="AD333" s="890">
        <f t="shared" si="77"/>
        <v>300302</v>
      </c>
      <c r="AE333" s="890">
        <f t="shared" si="72"/>
        <v>803047</v>
      </c>
      <c r="AF333" s="890">
        <f t="shared" si="73"/>
        <v>356651</v>
      </c>
      <c r="AG333" s="895">
        <f t="shared" si="74"/>
        <v>18.8</v>
      </c>
      <c r="AH333" s="890">
        <f t="shared" si="75"/>
        <v>797445</v>
      </c>
      <c r="AI333" s="895">
        <f t="shared" si="76"/>
        <v>-0.7</v>
      </c>
    </row>
    <row r="334" spans="1:35" s="846" customFormat="1" ht="19.5" hidden="1" customHeight="1">
      <c r="A334" s="891" t="s">
        <v>56</v>
      </c>
      <c r="B334" s="890">
        <v>17460</v>
      </c>
      <c r="C334" s="890">
        <v>107851</v>
      </c>
      <c r="D334" s="890">
        <v>19728</v>
      </c>
      <c r="E334" s="890">
        <v>128847</v>
      </c>
      <c r="F334" s="890">
        <v>40</v>
      </c>
      <c r="G334" s="890">
        <v>327</v>
      </c>
      <c r="H334" s="890">
        <v>139</v>
      </c>
      <c r="I334" s="890">
        <v>507</v>
      </c>
      <c r="J334" s="890">
        <v>123330</v>
      </c>
      <c r="K334" s="890">
        <v>236323</v>
      </c>
      <c r="L334" s="890">
        <v>105044</v>
      </c>
      <c r="M334" s="890">
        <v>182100</v>
      </c>
      <c r="N334" s="890">
        <v>624</v>
      </c>
      <c r="O334" s="890">
        <v>1304</v>
      </c>
      <c r="P334" s="890">
        <v>920</v>
      </c>
      <c r="Q334" s="890">
        <v>1632</v>
      </c>
      <c r="R334" s="890">
        <v>231</v>
      </c>
      <c r="S334" s="890">
        <v>713</v>
      </c>
      <c r="T334" s="890">
        <v>436</v>
      </c>
      <c r="U334" s="890">
        <v>1114</v>
      </c>
      <c r="V334" s="890">
        <v>1790</v>
      </c>
      <c r="W334" s="890">
        <v>36471</v>
      </c>
      <c r="X334" s="890">
        <v>1041</v>
      </c>
      <c r="Y334" s="890">
        <v>17384</v>
      </c>
      <c r="Z334" s="890">
        <v>194</v>
      </c>
      <c r="AA334" s="890">
        <v>657</v>
      </c>
      <c r="AB334" s="890">
        <v>487</v>
      </c>
      <c r="AC334" s="890">
        <v>1113</v>
      </c>
      <c r="AD334" s="890">
        <f t="shared" si="77"/>
        <v>143669</v>
      </c>
      <c r="AE334" s="890">
        <f t="shared" si="72"/>
        <v>383646</v>
      </c>
      <c r="AF334" s="890">
        <f t="shared" si="73"/>
        <v>127795</v>
      </c>
      <c r="AG334" s="895">
        <f t="shared" si="74"/>
        <v>-11</v>
      </c>
      <c r="AH334" s="890">
        <f t="shared" si="75"/>
        <v>332697</v>
      </c>
      <c r="AI334" s="895">
        <f t="shared" si="76"/>
        <v>-13.3</v>
      </c>
    </row>
    <row r="335" spans="1:35" s="846" customFormat="1" ht="19.5" hidden="1" customHeight="1">
      <c r="A335" s="891" t="s">
        <v>85</v>
      </c>
      <c r="B335" s="890">
        <v>50403</v>
      </c>
      <c r="C335" s="890">
        <v>306694</v>
      </c>
      <c r="D335" s="890">
        <v>51155</v>
      </c>
      <c r="E335" s="890">
        <v>294221</v>
      </c>
      <c r="F335" s="890">
        <v>0</v>
      </c>
      <c r="G335" s="890">
        <v>0</v>
      </c>
      <c r="H335" s="890">
        <v>0</v>
      </c>
      <c r="I335" s="890">
        <v>0</v>
      </c>
      <c r="J335" s="890">
        <v>0</v>
      </c>
      <c r="K335" s="890">
        <v>0</v>
      </c>
      <c r="L335" s="890">
        <v>0</v>
      </c>
      <c r="M335" s="890">
        <v>0</v>
      </c>
      <c r="N335" s="890">
        <v>0</v>
      </c>
      <c r="O335" s="890">
        <v>0</v>
      </c>
      <c r="P335" s="890">
        <v>0</v>
      </c>
      <c r="Q335" s="890">
        <v>0</v>
      </c>
      <c r="R335" s="890">
        <v>0</v>
      </c>
      <c r="S335" s="890">
        <v>0</v>
      </c>
      <c r="T335" s="890">
        <v>0</v>
      </c>
      <c r="U335" s="890">
        <v>0</v>
      </c>
      <c r="V335" s="890">
        <v>0</v>
      </c>
      <c r="W335" s="890">
        <v>0</v>
      </c>
      <c r="X335" s="890">
        <v>0</v>
      </c>
      <c r="Y335" s="890">
        <v>0</v>
      </c>
      <c r="Z335" s="890">
        <v>681</v>
      </c>
      <c r="AA335" s="890">
        <v>8992</v>
      </c>
      <c r="AB335" s="890">
        <v>1506</v>
      </c>
      <c r="AC335" s="890">
        <v>8386</v>
      </c>
      <c r="AD335" s="890">
        <f t="shared" si="77"/>
        <v>51084</v>
      </c>
      <c r="AE335" s="890">
        <f t="shared" si="72"/>
        <v>315686</v>
      </c>
      <c r="AF335" s="890">
        <f t="shared" si="73"/>
        <v>52661</v>
      </c>
      <c r="AG335" s="895">
        <f t="shared" si="74"/>
        <v>3.1</v>
      </c>
      <c r="AH335" s="890">
        <f t="shared" si="75"/>
        <v>302607</v>
      </c>
      <c r="AI335" s="895">
        <f t="shared" si="76"/>
        <v>-4.0999999999999996</v>
      </c>
    </row>
    <row r="336" spans="1:35" s="846" customFormat="1" ht="19.5" hidden="1" customHeight="1">
      <c r="A336" s="891" t="s">
        <v>86</v>
      </c>
      <c r="B336" s="890">
        <v>1977</v>
      </c>
      <c r="C336" s="890">
        <v>8926</v>
      </c>
      <c r="D336" s="890">
        <v>508</v>
      </c>
      <c r="E336" s="890">
        <v>2473</v>
      </c>
      <c r="F336" s="890">
        <v>530</v>
      </c>
      <c r="G336" s="890">
        <v>6657</v>
      </c>
      <c r="H336" s="890">
        <v>44</v>
      </c>
      <c r="I336" s="890">
        <v>948</v>
      </c>
      <c r="J336" s="890">
        <v>116810</v>
      </c>
      <c r="K336" s="890">
        <v>225818</v>
      </c>
      <c r="L336" s="890">
        <v>86248</v>
      </c>
      <c r="M336" s="890">
        <v>158181</v>
      </c>
      <c r="N336" s="890">
        <v>2603</v>
      </c>
      <c r="O336" s="890">
        <v>5189</v>
      </c>
      <c r="P336" s="890">
        <v>6084</v>
      </c>
      <c r="Q336" s="890">
        <v>11191</v>
      </c>
      <c r="R336" s="890">
        <v>0</v>
      </c>
      <c r="S336" s="890">
        <v>0</v>
      </c>
      <c r="T336" s="890">
        <v>0</v>
      </c>
      <c r="U336" s="890">
        <v>0</v>
      </c>
      <c r="V336" s="890">
        <v>2</v>
      </c>
      <c r="W336" s="890">
        <v>239</v>
      </c>
      <c r="X336" s="890">
        <v>2</v>
      </c>
      <c r="Y336" s="890">
        <v>169</v>
      </c>
      <c r="Z336" s="890">
        <v>2558</v>
      </c>
      <c r="AA336" s="890">
        <v>26805</v>
      </c>
      <c r="AB336" s="890">
        <v>3041</v>
      </c>
      <c r="AC336" s="890">
        <v>23965</v>
      </c>
      <c r="AD336" s="890">
        <f t="shared" si="77"/>
        <v>124480</v>
      </c>
      <c r="AE336" s="890">
        <f t="shared" si="72"/>
        <v>273634</v>
      </c>
      <c r="AF336" s="890">
        <f t="shared" si="73"/>
        <v>95927</v>
      </c>
      <c r="AG336" s="895">
        <f t="shared" si="74"/>
        <v>-22.9</v>
      </c>
      <c r="AH336" s="890">
        <f t="shared" si="75"/>
        <v>196927</v>
      </c>
      <c r="AI336" s="895">
        <f t="shared" si="76"/>
        <v>-28</v>
      </c>
    </row>
    <row r="337" spans="1:35" s="846" customFormat="1" ht="19.5" hidden="1" customHeight="1">
      <c r="A337" s="891" t="s">
        <v>64</v>
      </c>
      <c r="B337" s="890">
        <v>13514</v>
      </c>
      <c r="C337" s="890">
        <v>82524</v>
      </c>
      <c r="D337" s="890">
        <v>7216</v>
      </c>
      <c r="E337" s="890">
        <v>38131</v>
      </c>
      <c r="F337" s="890">
        <v>20</v>
      </c>
      <c r="G337" s="890">
        <v>145</v>
      </c>
      <c r="H337" s="890">
        <v>0</v>
      </c>
      <c r="I337" s="890">
        <v>0</v>
      </c>
      <c r="J337" s="890">
        <v>96038</v>
      </c>
      <c r="K337" s="890">
        <v>179746</v>
      </c>
      <c r="L337" s="890">
        <v>88704</v>
      </c>
      <c r="M337" s="890">
        <v>148569</v>
      </c>
      <c r="N337" s="890">
        <v>7057</v>
      </c>
      <c r="O337" s="890">
        <v>14134</v>
      </c>
      <c r="P337" s="890">
        <v>8295</v>
      </c>
      <c r="Q337" s="890">
        <v>16032</v>
      </c>
      <c r="R337" s="890">
        <v>0</v>
      </c>
      <c r="S337" s="890">
        <v>0</v>
      </c>
      <c r="T337" s="890">
        <v>0</v>
      </c>
      <c r="U337" s="890">
        <v>0</v>
      </c>
      <c r="V337" s="890">
        <v>0</v>
      </c>
      <c r="W337" s="890">
        <v>0</v>
      </c>
      <c r="X337" s="890">
        <v>0</v>
      </c>
      <c r="Y337" s="890">
        <v>0</v>
      </c>
      <c r="Z337" s="890">
        <v>125</v>
      </c>
      <c r="AA337" s="890">
        <v>624</v>
      </c>
      <c r="AB337" s="890">
        <v>46</v>
      </c>
      <c r="AC337" s="890">
        <v>180</v>
      </c>
      <c r="AD337" s="890">
        <f t="shared" si="77"/>
        <v>116754</v>
      </c>
      <c r="AE337" s="890">
        <f t="shared" si="72"/>
        <v>277173</v>
      </c>
      <c r="AF337" s="890">
        <f t="shared" si="73"/>
        <v>104261</v>
      </c>
      <c r="AG337" s="895">
        <f t="shared" si="74"/>
        <v>-10.7</v>
      </c>
      <c r="AH337" s="890">
        <f t="shared" si="75"/>
        <v>202912</v>
      </c>
      <c r="AI337" s="895">
        <f t="shared" si="76"/>
        <v>-26.8</v>
      </c>
    </row>
    <row r="338" spans="1:35" s="846" customFormat="1" ht="19.5" hidden="1" customHeight="1">
      <c r="A338" s="891" t="s">
        <v>68</v>
      </c>
      <c r="B338" s="890">
        <v>7538</v>
      </c>
      <c r="C338" s="890">
        <v>60099</v>
      </c>
      <c r="D338" s="890">
        <v>5824</v>
      </c>
      <c r="E338" s="890">
        <v>45211</v>
      </c>
      <c r="F338" s="890">
        <v>892</v>
      </c>
      <c r="G338" s="890">
        <v>26669</v>
      </c>
      <c r="H338" s="890">
        <v>784</v>
      </c>
      <c r="I338" s="890">
        <v>23679</v>
      </c>
      <c r="J338" s="890">
        <v>41078</v>
      </c>
      <c r="K338" s="890">
        <v>155326</v>
      </c>
      <c r="L338" s="890">
        <v>16386</v>
      </c>
      <c r="M338" s="890">
        <v>94932</v>
      </c>
      <c r="N338" s="890">
        <v>219</v>
      </c>
      <c r="O338" s="890">
        <v>1556</v>
      </c>
      <c r="P338" s="890">
        <v>856</v>
      </c>
      <c r="Q338" s="890">
        <v>2402</v>
      </c>
      <c r="R338" s="890">
        <v>820</v>
      </c>
      <c r="S338" s="890">
        <v>3408</v>
      </c>
      <c r="T338" s="890">
        <v>718</v>
      </c>
      <c r="U338" s="890">
        <v>2742</v>
      </c>
      <c r="V338" s="890">
        <v>17</v>
      </c>
      <c r="W338" s="890">
        <v>468</v>
      </c>
      <c r="X338" s="890">
        <v>25</v>
      </c>
      <c r="Y338" s="890">
        <v>598</v>
      </c>
      <c r="Z338" s="890">
        <v>278</v>
      </c>
      <c r="AA338" s="890">
        <v>22674</v>
      </c>
      <c r="AB338" s="890">
        <v>439</v>
      </c>
      <c r="AC338" s="890">
        <v>18096</v>
      </c>
      <c r="AD338" s="890">
        <f t="shared" si="77"/>
        <v>50842</v>
      </c>
      <c r="AE338" s="890">
        <f t="shared" si="72"/>
        <v>270200</v>
      </c>
      <c r="AF338" s="890">
        <f t="shared" si="73"/>
        <v>25032</v>
      </c>
      <c r="AG338" s="895">
        <f t="shared" si="74"/>
        <v>-50.8</v>
      </c>
      <c r="AH338" s="890">
        <f t="shared" si="75"/>
        <v>187660</v>
      </c>
      <c r="AI338" s="895">
        <f t="shared" si="76"/>
        <v>-30.5</v>
      </c>
    </row>
    <row r="339" spans="1:35" s="846" customFormat="1" ht="19.5" hidden="1" customHeight="1">
      <c r="A339" s="891" t="s">
        <v>57</v>
      </c>
      <c r="B339" s="890">
        <v>19458</v>
      </c>
      <c r="C339" s="890">
        <v>170326</v>
      </c>
      <c r="D339" s="890">
        <v>21157</v>
      </c>
      <c r="E339" s="890">
        <v>164123</v>
      </c>
      <c r="F339" s="890">
        <v>305</v>
      </c>
      <c r="G339" s="890">
        <v>492</v>
      </c>
      <c r="H339" s="890">
        <v>58</v>
      </c>
      <c r="I339" s="890">
        <v>524</v>
      </c>
      <c r="J339" s="890">
        <v>28222</v>
      </c>
      <c r="K339" s="890">
        <v>50915</v>
      </c>
      <c r="L339" s="890">
        <v>27985</v>
      </c>
      <c r="M339" s="890">
        <v>49430</v>
      </c>
      <c r="N339" s="890">
        <v>821</v>
      </c>
      <c r="O339" s="890">
        <v>1600</v>
      </c>
      <c r="P339" s="890">
        <v>240</v>
      </c>
      <c r="Q339" s="890">
        <v>460</v>
      </c>
      <c r="R339" s="890">
        <v>22</v>
      </c>
      <c r="S339" s="890">
        <v>59</v>
      </c>
      <c r="T339" s="890">
        <v>2</v>
      </c>
      <c r="U339" s="890">
        <v>17</v>
      </c>
      <c r="V339" s="890">
        <v>12</v>
      </c>
      <c r="W339" s="890">
        <v>414</v>
      </c>
      <c r="X339" s="890">
        <v>6</v>
      </c>
      <c r="Y339" s="890">
        <v>226</v>
      </c>
      <c r="Z339" s="890">
        <v>547</v>
      </c>
      <c r="AA339" s="890">
        <v>7107</v>
      </c>
      <c r="AB339" s="890">
        <v>1110</v>
      </c>
      <c r="AC339" s="890">
        <v>6459</v>
      </c>
      <c r="AD339" s="890">
        <f t="shared" si="77"/>
        <v>49387</v>
      </c>
      <c r="AE339" s="890">
        <f t="shared" si="72"/>
        <v>230913</v>
      </c>
      <c r="AF339" s="890">
        <f t="shared" si="73"/>
        <v>50558</v>
      </c>
      <c r="AG339" s="895">
        <f t="shared" si="74"/>
        <v>2.4</v>
      </c>
      <c r="AH339" s="890">
        <f t="shared" si="75"/>
        <v>221239</v>
      </c>
      <c r="AI339" s="895">
        <f t="shared" si="76"/>
        <v>-4.2</v>
      </c>
    </row>
    <row r="340" spans="1:35" s="846" customFormat="1" ht="19.5" hidden="1" customHeight="1">
      <c r="A340" s="891" t="s">
        <v>58</v>
      </c>
      <c r="B340" s="890">
        <v>8015</v>
      </c>
      <c r="C340" s="890">
        <v>43922</v>
      </c>
      <c r="D340" s="890">
        <v>10387</v>
      </c>
      <c r="E340" s="890">
        <v>54699</v>
      </c>
      <c r="F340" s="890">
        <v>0</v>
      </c>
      <c r="G340" s="890">
        <v>17</v>
      </c>
      <c r="H340" s="890">
        <v>1681</v>
      </c>
      <c r="I340" s="890">
        <v>15462</v>
      </c>
      <c r="J340" s="890">
        <v>5280</v>
      </c>
      <c r="K340" s="890">
        <v>8916</v>
      </c>
      <c r="L340" s="890">
        <v>5807</v>
      </c>
      <c r="M340" s="890">
        <v>8438</v>
      </c>
      <c r="N340" s="890">
        <v>220</v>
      </c>
      <c r="O340" s="890">
        <v>2334</v>
      </c>
      <c r="P340" s="890">
        <v>202</v>
      </c>
      <c r="Q340" s="890">
        <v>1780</v>
      </c>
      <c r="R340" s="890">
        <v>28</v>
      </c>
      <c r="S340" s="890">
        <v>13</v>
      </c>
      <c r="T340" s="890">
        <v>0</v>
      </c>
      <c r="U340" s="890">
        <v>0</v>
      </c>
      <c r="V340" s="890">
        <v>6804</v>
      </c>
      <c r="W340" s="890">
        <v>136203</v>
      </c>
      <c r="X340" s="890">
        <v>7610</v>
      </c>
      <c r="Y340" s="890">
        <v>127630</v>
      </c>
      <c r="Z340" s="890">
        <v>172</v>
      </c>
      <c r="AA340" s="890">
        <v>641</v>
      </c>
      <c r="AB340" s="890">
        <v>293</v>
      </c>
      <c r="AC340" s="890">
        <v>609</v>
      </c>
      <c r="AD340" s="890">
        <f t="shared" si="77"/>
        <v>20519</v>
      </c>
      <c r="AE340" s="890">
        <f t="shared" si="72"/>
        <v>192046</v>
      </c>
      <c r="AF340" s="890">
        <f t="shared" si="73"/>
        <v>25980</v>
      </c>
      <c r="AG340" s="895">
        <f t="shared" si="74"/>
        <v>26.6</v>
      </c>
      <c r="AH340" s="890">
        <f t="shared" si="75"/>
        <v>208618</v>
      </c>
      <c r="AI340" s="895">
        <f t="shared" si="76"/>
        <v>8.6</v>
      </c>
    </row>
    <row r="341" spans="1:35" s="846" customFormat="1" ht="19.5" hidden="1" customHeight="1">
      <c r="A341" s="891" t="s">
        <v>63</v>
      </c>
      <c r="B341" s="890">
        <v>20769</v>
      </c>
      <c r="C341" s="890">
        <v>117256</v>
      </c>
      <c r="D341" s="890">
        <v>13715</v>
      </c>
      <c r="E341" s="890">
        <v>72229</v>
      </c>
      <c r="F341" s="890">
        <v>0</v>
      </c>
      <c r="G341" s="890">
        <v>0</v>
      </c>
      <c r="H341" s="890">
        <v>0</v>
      </c>
      <c r="I341" s="890">
        <v>0</v>
      </c>
      <c r="J341" s="890">
        <v>45153</v>
      </c>
      <c r="K341" s="890">
        <v>76728</v>
      </c>
      <c r="L341" s="890">
        <v>47801</v>
      </c>
      <c r="M341" s="890">
        <v>68517</v>
      </c>
      <c r="N341" s="890">
        <v>5218</v>
      </c>
      <c r="O341" s="890">
        <v>10304</v>
      </c>
      <c r="P341" s="890">
        <v>2206</v>
      </c>
      <c r="Q341" s="890">
        <v>4127</v>
      </c>
      <c r="R341" s="890">
        <v>0</v>
      </c>
      <c r="S341" s="890">
        <v>0</v>
      </c>
      <c r="T341" s="890">
        <v>0</v>
      </c>
      <c r="U341" s="890">
        <v>0</v>
      </c>
      <c r="V341" s="890">
        <v>0</v>
      </c>
      <c r="W341" s="890">
        <v>0</v>
      </c>
      <c r="X341" s="890">
        <v>0</v>
      </c>
      <c r="Y341" s="890">
        <v>0</v>
      </c>
      <c r="Z341" s="890">
        <v>0</v>
      </c>
      <c r="AA341" s="890">
        <v>0</v>
      </c>
      <c r="AB341" s="890">
        <v>29</v>
      </c>
      <c r="AC341" s="890">
        <v>158</v>
      </c>
      <c r="AD341" s="890">
        <f t="shared" si="77"/>
        <v>71140</v>
      </c>
      <c r="AE341" s="890">
        <f t="shared" si="72"/>
        <v>204288</v>
      </c>
      <c r="AF341" s="890">
        <f t="shared" si="73"/>
        <v>63751</v>
      </c>
      <c r="AG341" s="895">
        <f t="shared" si="74"/>
        <v>-10.4</v>
      </c>
      <c r="AH341" s="890">
        <f t="shared" si="75"/>
        <v>145031</v>
      </c>
      <c r="AI341" s="895">
        <f t="shared" si="76"/>
        <v>-29</v>
      </c>
    </row>
    <row r="342" spans="1:35" s="846" customFormat="1" ht="19.5" hidden="1" customHeight="1">
      <c r="A342" s="891" t="s">
        <v>55</v>
      </c>
      <c r="B342" s="890">
        <v>5371</v>
      </c>
      <c r="C342" s="890">
        <v>34678</v>
      </c>
      <c r="D342" s="890">
        <v>12349</v>
      </c>
      <c r="E342" s="890">
        <v>69808</v>
      </c>
      <c r="F342" s="890">
        <v>0</v>
      </c>
      <c r="G342" s="890">
        <v>4</v>
      </c>
      <c r="H342" s="890">
        <v>0</v>
      </c>
      <c r="I342" s="890">
        <v>3</v>
      </c>
      <c r="J342" s="890">
        <v>83494</v>
      </c>
      <c r="K342" s="890">
        <v>135653</v>
      </c>
      <c r="L342" s="890">
        <v>81587</v>
      </c>
      <c r="M342" s="890">
        <v>120662</v>
      </c>
      <c r="N342" s="890">
        <v>120</v>
      </c>
      <c r="O342" s="890">
        <v>260</v>
      </c>
      <c r="P342" s="890">
        <v>293</v>
      </c>
      <c r="Q342" s="890">
        <v>521</v>
      </c>
      <c r="R342" s="890">
        <v>90</v>
      </c>
      <c r="S342" s="890">
        <v>201</v>
      </c>
      <c r="T342" s="890">
        <v>50</v>
      </c>
      <c r="U342" s="890">
        <v>20</v>
      </c>
      <c r="V342" s="890">
        <v>938</v>
      </c>
      <c r="W342" s="890">
        <v>20143</v>
      </c>
      <c r="X342" s="890">
        <v>1189</v>
      </c>
      <c r="Y342" s="890">
        <v>22690</v>
      </c>
      <c r="Z342" s="890">
        <v>25</v>
      </c>
      <c r="AA342" s="890">
        <v>545</v>
      </c>
      <c r="AB342" s="890">
        <v>22</v>
      </c>
      <c r="AC342" s="890">
        <v>34</v>
      </c>
      <c r="AD342" s="890">
        <f t="shared" si="77"/>
        <v>90038</v>
      </c>
      <c r="AE342" s="890">
        <f t="shared" si="72"/>
        <v>191484</v>
      </c>
      <c r="AF342" s="890">
        <f t="shared" si="73"/>
        <v>95490</v>
      </c>
      <c r="AG342" s="895">
        <f t="shared" si="74"/>
        <v>6.1</v>
      </c>
      <c r="AH342" s="890">
        <f t="shared" si="75"/>
        <v>213738</v>
      </c>
      <c r="AI342" s="895">
        <f t="shared" si="76"/>
        <v>11.6</v>
      </c>
    </row>
    <row r="343" spans="1:35" s="846" customFormat="1" ht="19.5" hidden="1" customHeight="1">
      <c r="A343" s="891" t="s">
        <v>51</v>
      </c>
      <c r="B343" s="890">
        <v>5066</v>
      </c>
      <c r="C343" s="890">
        <v>35528</v>
      </c>
      <c r="D343" s="890">
        <v>8098</v>
      </c>
      <c r="E343" s="890">
        <v>52346</v>
      </c>
      <c r="F343" s="890">
        <v>92</v>
      </c>
      <c r="G343" s="890">
        <v>369</v>
      </c>
      <c r="H343" s="890">
        <v>141</v>
      </c>
      <c r="I343" s="890">
        <v>467</v>
      </c>
      <c r="J343" s="890">
        <v>60864</v>
      </c>
      <c r="K343" s="890">
        <v>140697</v>
      </c>
      <c r="L343" s="890">
        <v>50488</v>
      </c>
      <c r="M343" s="890">
        <v>129413</v>
      </c>
      <c r="N343" s="890">
        <v>6</v>
      </c>
      <c r="O343" s="890">
        <v>11</v>
      </c>
      <c r="P343" s="890">
        <v>12</v>
      </c>
      <c r="Q343" s="890">
        <v>17</v>
      </c>
      <c r="R343" s="890">
        <v>1833</v>
      </c>
      <c r="S343" s="890">
        <v>4172</v>
      </c>
      <c r="T343" s="890">
        <v>1949</v>
      </c>
      <c r="U343" s="890">
        <v>4022</v>
      </c>
      <c r="V343" s="890">
        <v>108</v>
      </c>
      <c r="W343" s="890">
        <v>2061</v>
      </c>
      <c r="X343" s="890">
        <v>2</v>
      </c>
      <c r="Y343" s="890">
        <v>32</v>
      </c>
      <c r="Z343" s="890">
        <v>919</v>
      </c>
      <c r="AA343" s="890">
        <v>5211</v>
      </c>
      <c r="AB343" s="890">
        <v>574</v>
      </c>
      <c r="AC343" s="890">
        <v>5617</v>
      </c>
      <c r="AD343" s="890">
        <f t="shared" si="77"/>
        <v>68888</v>
      </c>
      <c r="AE343" s="890">
        <f t="shared" si="72"/>
        <v>188049</v>
      </c>
      <c r="AF343" s="890">
        <f t="shared" si="73"/>
        <v>61264</v>
      </c>
      <c r="AG343" s="895">
        <f t="shared" si="74"/>
        <v>-11.1</v>
      </c>
      <c r="AH343" s="890">
        <f t="shared" si="75"/>
        <v>191914</v>
      </c>
      <c r="AI343" s="895">
        <f t="shared" si="76"/>
        <v>2.1</v>
      </c>
    </row>
    <row r="344" spans="1:35" s="846" customFormat="1" ht="19.5" hidden="1" customHeight="1">
      <c r="A344" s="891" t="s">
        <v>72</v>
      </c>
      <c r="B344" s="890">
        <v>8970</v>
      </c>
      <c r="C344" s="890">
        <v>38547</v>
      </c>
      <c r="D344" s="890">
        <v>6576</v>
      </c>
      <c r="E344" s="890">
        <v>27868</v>
      </c>
      <c r="F344" s="890">
        <v>4254</v>
      </c>
      <c r="G344" s="890">
        <v>53614</v>
      </c>
      <c r="H344" s="890">
        <v>3594</v>
      </c>
      <c r="I344" s="890">
        <v>48830</v>
      </c>
      <c r="J344" s="890">
        <v>43288</v>
      </c>
      <c r="K344" s="890">
        <v>83343</v>
      </c>
      <c r="L344" s="890">
        <v>22132</v>
      </c>
      <c r="M344" s="890">
        <v>30971</v>
      </c>
      <c r="N344" s="890">
        <v>0</v>
      </c>
      <c r="O344" s="890">
        <v>6</v>
      </c>
      <c r="P344" s="890">
        <v>0</v>
      </c>
      <c r="Q344" s="890">
        <v>1</v>
      </c>
      <c r="R344" s="890">
        <v>487</v>
      </c>
      <c r="S344" s="890">
        <v>1501</v>
      </c>
      <c r="T344" s="890">
        <v>3225</v>
      </c>
      <c r="U344" s="890">
        <v>7493</v>
      </c>
      <c r="V344" s="890">
        <v>0</v>
      </c>
      <c r="W344" s="890">
        <v>9</v>
      </c>
      <c r="X344" s="890">
        <v>1</v>
      </c>
      <c r="Y344" s="890">
        <v>47</v>
      </c>
      <c r="Z344" s="890">
        <v>298</v>
      </c>
      <c r="AA344" s="890">
        <v>3593</v>
      </c>
      <c r="AB344" s="890">
        <v>159</v>
      </c>
      <c r="AC344" s="890">
        <v>7191</v>
      </c>
      <c r="AD344" s="890">
        <f t="shared" si="77"/>
        <v>57297</v>
      </c>
      <c r="AE344" s="890">
        <f t="shared" si="72"/>
        <v>180613</v>
      </c>
      <c r="AF344" s="890">
        <f t="shared" si="73"/>
        <v>35687</v>
      </c>
      <c r="AG344" s="895">
        <f t="shared" si="74"/>
        <v>-37.700000000000003</v>
      </c>
      <c r="AH344" s="890">
        <f t="shared" si="75"/>
        <v>122401</v>
      </c>
      <c r="AI344" s="895">
        <f t="shared" si="76"/>
        <v>-32.200000000000003</v>
      </c>
    </row>
    <row r="345" spans="1:35" s="846" customFormat="1" ht="19.5" hidden="1" customHeight="1">
      <c r="A345" s="891" t="s">
        <v>87</v>
      </c>
      <c r="B345" s="890">
        <v>2830</v>
      </c>
      <c r="C345" s="890">
        <v>16111</v>
      </c>
      <c r="D345" s="890">
        <v>1823</v>
      </c>
      <c r="E345" s="890">
        <v>9017</v>
      </c>
      <c r="F345" s="890">
        <v>0</v>
      </c>
      <c r="G345" s="890">
        <v>0</v>
      </c>
      <c r="H345" s="890">
        <v>0</v>
      </c>
      <c r="I345" s="890">
        <v>0</v>
      </c>
      <c r="J345" s="890">
        <v>68355</v>
      </c>
      <c r="K345" s="890">
        <v>137541</v>
      </c>
      <c r="L345" s="890">
        <v>53511</v>
      </c>
      <c r="M345" s="890">
        <v>99424</v>
      </c>
      <c r="N345" s="890">
        <v>4770</v>
      </c>
      <c r="O345" s="890">
        <v>5355</v>
      </c>
      <c r="P345" s="890">
        <v>0</v>
      </c>
      <c r="Q345" s="890">
        <v>0</v>
      </c>
      <c r="R345" s="890">
        <v>0</v>
      </c>
      <c r="S345" s="890">
        <v>0</v>
      </c>
      <c r="T345" s="890">
        <v>0</v>
      </c>
      <c r="U345" s="890">
        <v>0</v>
      </c>
      <c r="V345" s="890">
        <v>0</v>
      </c>
      <c r="W345" s="890">
        <v>0</v>
      </c>
      <c r="X345" s="890">
        <v>0</v>
      </c>
      <c r="Y345" s="890">
        <v>0</v>
      </c>
      <c r="Z345" s="890">
        <v>11</v>
      </c>
      <c r="AA345" s="890">
        <v>55</v>
      </c>
      <c r="AB345" s="890">
        <v>0</v>
      </c>
      <c r="AC345" s="890">
        <v>0</v>
      </c>
      <c r="AD345" s="890">
        <f t="shared" si="77"/>
        <v>75966</v>
      </c>
      <c r="AE345" s="890">
        <f t="shared" si="72"/>
        <v>159062</v>
      </c>
      <c r="AF345" s="890">
        <f t="shared" si="73"/>
        <v>55334</v>
      </c>
      <c r="AG345" s="895">
        <f t="shared" si="74"/>
        <v>-27.2</v>
      </c>
      <c r="AH345" s="890">
        <f t="shared" si="75"/>
        <v>108441</v>
      </c>
      <c r="AI345" s="895">
        <f t="shared" si="76"/>
        <v>-31.8</v>
      </c>
    </row>
    <row r="346" spans="1:35" s="846" customFormat="1" ht="19.5" hidden="1" customHeight="1">
      <c r="A346" s="891" t="s">
        <v>59</v>
      </c>
      <c r="B346" s="890">
        <v>19920</v>
      </c>
      <c r="C346" s="890">
        <v>123763</v>
      </c>
      <c r="D346" s="890">
        <v>17984</v>
      </c>
      <c r="E346" s="890">
        <v>106529</v>
      </c>
      <c r="F346" s="890">
        <v>494</v>
      </c>
      <c r="G346" s="890">
        <v>377</v>
      </c>
      <c r="H346" s="890">
        <v>130</v>
      </c>
      <c r="I346" s="890">
        <v>345</v>
      </c>
      <c r="J346" s="890">
        <v>17875</v>
      </c>
      <c r="K346" s="890">
        <v>23682</v>
      </c>
      <c r="L346" s="890">
        <v>13909</v>
      </c>
      <c r="M346" s="890">
        <v>16511</v>
      </c>
      <c r="N346" s="890">
        <v>2230</v>
      </c>
      <c r="O346" s="890">
        <v>4290</v>
      </c>
      <c r="P346" s="890">
        <v>1091</v>
      </c>
      <c r="Q346" s="890">
        <v>1972</v>
      </c>
      <c r="R346" s="890">
        <v>174</v>
      </c>
      <c r="S346" s="890">
        <v>373</v>
      </c>
      <c r="T346" s="890">
        <v>7</v>
      </c>
      <c r="U346" s="890">
        <v>15</v>
      </c>
      <c r="V346" s="890">
        <v>44</v>
      </c>
      <c r="W346" s="890">
        <v>694</v>
      </c>
      <c r="X346" s="890">
        <v>60</v>
      </c>
      <c r="Y346" s="890">
        <v>1145</v>
      </c>
      <c r="Z346" s="890">
        <v>25</v>
      </c>
      <c r="AA346" s="890">
        <v>260</v>
      </c>
      <c r="AB346" s="890">
        <v>40</v>
      </c>
      <c r="AC346" s="890">
        <v>292</v>
      </c>
      <c r="AD346" s="890">
        <f t="shared" si="77"/>
        <v>40762</v>
      </c>
      <c r="AE346" s="890">
        <f t="shared" si="72"/>
        <v>153439</v>
      </c>
      <c r="AF346" s="890">
        <f t="shared" si="73"/>
        <v>33221</v>
      </c>
      <c r="AG346" s="895">
        <f t="shared" si="74"/>
        <v>-18.5</v>
      </c>
      <c r="AH346" s="890">
        <f t="shared" si="75"/>
        <v>126809</v>
      </c>
      <c r="AI346" s="895">
        <f t="shared" si="76"/>
        <v>-17.399999999999999</v>
      </c>
    </row>
    <row r="347" spans="1:35" s="846" customFormat="1" ht="19.5" hidden="1" customHeight="1">
      <c r="A347" s="891" t="s">
        <v>90</v>
      </c>
      <c r="B347" s="890">
        <v>345</v>
      </c>
      <c r="C347" s="890">
        <v>2149</v>
      </c>
      <c r="D347" s="890">
        <v>769</v>
      </c>
      <c r="E347" s="890">
        <v>4174</v>
      </c>
      <c r="F347" s="890">
        <v>0</v>
      </c>
      <c r="G347" s="890">
        <v>0</v>
      </c>
      <c r="H347" s="890">
        <v>0</v>
      </c>
      <c r="I347" s="890">
        <v>0</v>
      </c>
      <c r="J347" s="890">
        <v>58377</v>
      </c>
      <c r="K347" s="890">
        <v>120488</v>
      </c>
      <c r="L347" s="890">
        <v>48973</v>
      </c>
      <c r="M347" s="890">
        <v>85819</v>
      </c>
      <c r="N347" s="890">
        <v>0</v>
      </c>
      <c r="O347" s="890">
        <v>0</v>
      </c>
      <c r="P347" s="890">
        <v>19</v>
      </c>
      <c r="Q347" s="890">
        <v>30</v>
      </c>
      <c r="R347" s="890">
        <v>0</v>
      </c>
      <c r="S347" s="890">
        <v>0</v>
      </c>
      <c r="T347" s="890">
        <v>0</v>
      </c>
      <c r="U347" s="890">
        <v>0</v>
      </c>
      <c r="V347" s="890">
        <v>0</v>
      </c>
      <c r="W347" s="890">
        <v>0</v>
      </c>
      <c r="X347" s="890">
        <v>0</v>
      </c>
      <c r="Y347" s="890">
        <v>0</v>
      </c>
      <c r="Z347" s="890">
        <v>0</v>
      </c>
      <c r="AA347" s="890">
        <v>0</v>
      </c>
      <c r="AB347" s="890">
        <v>0</v>
      </c>
      <c r="AC347" s="890">
        <v>0</v>
      </c>
      <c r="AD347" s="890">
        <f t="shared" si="77"/>
        <v>58722</v>
      </c>
      <c r="AE347" s="890">
        <f t="shared" si="72"/>
        <v>122637</v>
      </c>
      <c r="AF347" s="890">
        <f t="shared" si="73"/>
        <v>49761</v>
      </c>
      <c r="AG347" s="895">
        <f t="shared" si="74"/>
        <v>-15.3</v>
      </c>
      <c r="AH347" s="890">
        <f t="shared" si="75"/>
        <v>90023</v>
      </c>
      <c r="AI347" s="895">
        <f t="shared" si="76"/>
        <v>-26.6</v>
      </c>
    </row>
    <row r="348" spans="1:35" s="846" customFormat="1" ht="19.5" hidden="1" customHeight="1">
      <c r="A348" s="891" t="s">
        <v>76</v>
      </c>
      <c r="B348" s="890">
        <v>242</v>
      </c>
      <c r="C348" s="890">
        <v>3527</v>
      </c>
      <c r="D348" s="890">
        <v>133</v>
      </c>
      <c r="E348" s="890">
        <v>2939</v>
      </c>
      <c r="F348" s="890">
        <v>1007</v>
      </c>
      <c r="G348" s="890">
        <v>23772</v>
      </c>
      <c r="H348" s="890">
        <v>962</v>
      </c>
      <c r="I348" s="890">
        <v>20984</v>
      </c>
      <c r="J348" s="890">
        <v>6193</v>
      </c>
      <c r="K348" s="890">
        <v>73634</v>
      </c>
      <c r="L348" s="890">
        <v>5710</v>
      </c>
      <c r="M348" s="890">
        <v>69014</v>
      </c>
      <c r="N348" s="890">
        <v>839</v>
      </c>
      <c r="O348" s="890">
        <v>1641</v>
      </c>
      <c r="P348" s="890">
        <v>219</v>
      </c>
      <c r="Q348" s="890">
        <v>424</v>
      </c>
      <c r="R348" s="890">
        <v>573</v>
      </c>
      <c r="S348" s="890">
        <v>2777</v>
      </c>
      <c r="T348" s="890">
        <v>537</v>
      </c>
      <c r="U348" s="890">
        <v>2390</v>
      </c>
      <c r="V348" s="890">
        <v>15</v>
      </c>
      <c r="W348" s="890">
        <v>375</v>
      </c>
      <c r="X348" s="890">
        <v>16</v>
      </c>
      <c r="Y348" s="890">
        <v>367</v>
      </c>
      <c r="Z348" s="890">
        <v>100</v>
      </c>
      <c r="AA348" s="890">
        <v>9137</v>
      </c>
      <c r="AB348" s="890">
        <v>174</v>
      </c>
      <c r="AC348" s="890">
        <v>7682</v>
      </c>
      <c r="AD348" s="890">
        <f t="shared" si="77"/>
        <v>8969</v>
      </c>
      <c r="AE348" s="890">
        <f t="shared" si="72"/>
        <v>114863</v>
      </c>
      <c r="AF348" s="890">
        <f t="shared" si="73"/>
        <v>7751</v>
      </c>
      <c r="AG348" s="895">
        <f t="shared" si="74"/>
        <v>-13.6</v>
      </c>
      <c r="AH348" s="890">
        <f t="shared" si="75"/>
        <v>103800</v>
      </c>
      <c r="AI348" s="895">
        <f t="shared" si="76"/>
        <v>-9.6</v>
      </c>
    </row>
    <row r="349" spans="1:35" s="846" customFormat="1" ht="19.5" hidden="1" customHeight="1">
      <c r="A349" s="891" t="s">
        <v>91</v>
      </c>
      <c r="B349" s="890">
        <v>886</v>
      </c>
      <c r="C349" s="890">
        <v>5029</v>
      </c>
      <c r="D349" s="890">
        <v>837</v>
      </c>
      <c r="E349" s="890">
        <v>4496</v>
      </c>
      <c r="F349" s="890">
        <v>0</v>
      </c>
      <c r="G349" s="890">
        <v>0</v>
      </c>
      <c r="H349" s="890">
        <v>0</v>
      </c>
      <c r="I349" s="890">
        <v>0</v>
      </c>
      <c r="J349" s="890">
        <v>42964</v>
      </c>
      <c r="K349" s="890">
        <v>88785</v>
      </c>
      <c r="L349" s="890">
        <v>43862</v>
      </c>
      <c r="M349" s="890">
        <v>79468</v>
      </c>
      <c r="N349" s="890">
        <v>0</v>
      </c>
      <c r="O349" s="890">
        <v>0</v>
      </c>
      <c r="P349" s="890">
        <v>0</v>
      </c>
      <c r="Q349" s="890">
        <v>0</v>
      </c>
      <c r="R349" s="890">
        <v>0</v>
      </c>
      <c r="S349" s="890">
        <v>0</v>
      </c>
      <c r="T349" s="890">
        <v>0</v>
      </c>
      <c r="U349" s="890">
        <v>0</v>
      </c>
      <c r="V349" s="890">
        <v>0</v>
      </c>
      <c r="W349" s="890">
        <v>0</v>
      </c>
      <c r="X349" s="890">
        <v>0</v>
      </c>
      <c r="Y349" s="890">
        <v>0</v>
      </c>
      <c r="Z349" s="890">
        <v>0</v>
      </c>
      <c r="AA349" s="890">
        <v>0</v>
      </c>
      <c r="AB349" s="890">
        <v>0</v>
      </c>
      <c r="AC349" s="890">
        <v>0</v>
      </c>
      <c r="AD349" s="890">
        <f t="shared" si="77"/>
        <v>43850</v>
      </c>
      <c r="AE349" s="890">
        <f t="shared" si="72"/>
        <v>93814</v>
      </c>
      <c r="AF349" s="890">
        <f t="shared" si="73"/>
        <v>44699</v>
      </c>
      <c r="AG349" s="895">
        <f t="shared" si="74"/>
        <v>1.9</v>
      </c>
      <c r="AH349" s="890">
        <f t="shared" si="75"/>
        <v>83964</v>
      </c>
      <c r="AI349" s="895">
        <f t="shared" si="76"/>
        <v>-10.5</v>
      </c>
    </row>
    <row r="350" spans="1:35" s="846" customFormat="1" ht="19.5" hidden="1" customHeight="1">
      <c r="A350" s="891" t="s">
        <v>308</v>
      </c>
      <c r="B350" s="890">
        <v>44</v>
      </c>
      <c r="C350" s="890">
        <v>223</v>
      </c>
      <c r="D350" s="890">
        <v>0</v>
      </c>
      <c r="E350" s="890">
        <v>0</v>
      </c>
      <c r="F350" s="890">
        <v>5658</v>
      </c>
      <c r="G350" s="890">
        <v>70245</v>
      </c>
      <c r="H350" s="890">
        <v>3244</v>
      </c>
      <c r="I350" s="890">
        <v>44990</v>
      </c>
      <c r="J350" s="890">
        <v>0</v>
      </c>
      <c r="K350" s="890">
        <v>0</v>
      </c>
      <c r="L350" s="890">
        <v>0</v>
      </c>
      <c r="M350" s="890">
        <v>0</v>
      </c>
      <c r="N350" s="890">
        <v>0</v>
      </c>
      <c r="O350" s="890">
        <v>0</v>
      </c>
      <c r="P350" s="890">
        <v>0</v>
      </c>
      <c r="Q350" s="890">
        <v>0</v>
      </c>
      <c r="R350" s="890">
        <v>0</v>
      </c>
      <c r="S350" s="890">
        <v>0</v>
      </c>
      <c r="T350" s="890">
        <v>0</v>
      </c>
      <c r="U350" s="890">
        <v>0</v>
      </c>
      <c r="V350" s="890">
        <v>0</v>
      </c>
      <c r="W350" s="890">
        <v>0</v>
      </c>
      <c r="X350" s="890">
        <v>0</v>
      </c>
      <c r="Y350" s="890">
        <v>0</v>
      </c>
      <c r="Z350" s="890">
        <v>0</v>
      </c>
      <c r="AA350" s="890">
        <v>0</v>
      </c>
      <c r="AB350" s="890">
        <v>0</v>
      </c>
      <c r="AC350" s="890">
        <v>0</v>
      </c>
      <c r="AD350" s="890">
        <f t="shared" si="77"/>
        <v>5702</v>
      </c>
      <c r="AE350" s="890">
        <f t="shared" si="72"/>
        <v>70468</v>
      </c>
      <c r="AF350" s="890">
        <f t="shared" si="73"/>
        <v>3244</v>
      </c>
      <c r="AG350" s="895">
        <f t="shared" si="74"/>
        <v>-43.1</v>
      </c>
      <c r="AH350" s="890">
        <f t="shared" si="75"/>
        <v>44990</v>
      </c>
      <c r="AI350" s="895">
        <f t="shared" si="76"/>
        <v>-36.200000000000003</v>
      </c>
    </row>
    <row r="351" spans="1:35" s="846" customFormat="1" ht="19.5" hidden="1" customHeight="1">
      <c r="A351" s="891" t="s">
        <v>71</v>
      </c>
      <c r="B351" s="890">
        <v>2053</v>
      </c>
      <c r="C351" s="890">
        <v>15626</v>
      </c>
      <c r="D351" s="890">
        <v>2982</v>
      </c>
      <c r="E351" s="890">
        <v>18635</v>
      </c>
      <c r="F351" s="890">
        <v>227</v>
      </c>
      <c r="G351" s="890">
        <v>7119</v>
      </c>
      <c r="H351" s="890">
        <v>288</v>
      </c>
      <c r="I351" s="890">
        <v>7766</v>
      </c>
      <c r="J351" s="890">
        <v>20577</v>
      </c>
      <c r="K351" s="890">
        <v>37572</v>
      </c>
      <c r="L351" s="890">
        <v>22764</v>
      </c>
      <c r="M351" s="890">
        <v>37631</v>
      </c>
      <c r="N351" s="890">
        <v>4</v>
      </c>
      <c r="O351" s="890">
        <v>33</v>
      </c>
      <c r="P351" s="890">
        <v>300</v>
      </c>
      <c r="Q351" s="890">
        <v>600</v>
      </c>
      <c r="R351" s="890">
        <v>3</v>
      </c>
      <c r="S351" s="890">
        <v>38</v>
      </c>
      <c r="T351" s="890">
        <v>1</v>
      </c>
      <c r="U351" s="890">
        <v>44</v>
      </c>
      <c r="V351" s="890">
        <v>10</v>
      </c>
      <c r="W351" s="890">
        <v>239</v>
      </c>
      <c r="X351" s="890">
        <v>15</v>
      </c>
      <c r="Y351" s="890">
        <v>287</v>
      </c>
      <c r="Z351" s="890">
        <v>603</v>
      </c>
      <c r="AA351" s="890">
        <v>15217</v>
      </c>
      <c r="AB351" s="890">
        <v>652</v>
      </c>
      <c r="AC351" s="890">
        <v>9959</v>
      </c>
      <c r="AD351" s="890">
        <f t="shared" si="77"/>
        <v>23477</v>
      </c>
      <c r="AE351" s="890">
        <f t="shared" si="72"/>
        <v>75844</v>
      </c>
      <c r="AF351" s="890">
        <f t="shared" si="73"/>
        <v>27002</v>
      </c>
      <c r="AG351" s="895">
        <f t="shared" si="74"/>
        <v>15</v>
      </c>
      <c r="AH351" s="890">
        <f t="shared" si="75"/>
        <v>74922</v>
      </c>
      <c r="AI351" s="895">
        <f t="shared" si="76"/>
        <v>-1.2</v>
      </c>
    </row>
    <row r="352" spans="1:35" s="846" customFormat="1" ht="19.5" hidden="1" customHeight="1">
      <c r="A352" s="891" t="s">
        <v>88</v>
      </c>
      <c r="B352" s="890">
        <v>10279</v>
      </c>
      <c r="C352" s="890">
        <v>55904</v>
      </c>
      <c r="D352" s="890">
        <v>6980</v>
      </c>
      <c r="E352" s="890">
        <v>34076</v>
      </c>
      <c r="F352" s="890">
        <v>0</v>
      </c>
      <c r="G352" s="890">
        <v>0</v>
      </c>
      <c r="H352" s="890">
        <v>0</v>
      </c>
      <c r="I352" s="890">
        <v>0</v>
      </c>
      <c r="J352" s="890">
        <v>4763</v>
      </c>
      <c r="K352" s="890">
        <v>7770</v>
      </c>
      <c r="L352" s="890">
        <v>1454</v>
      </c>
      <c r="M352" s="890">
        <v>2100</v>
      </c>
      <c r="N352" s="890">
        <v>4567</v>
      </c>
      <c r="O352" s="890">
        <v>8890</v>
      </c>
      <c r="P352" s="890">
        <v>7618</v>
      </c>
      <c r="Q352" s="890">
        <v>13450</v>
      </c>
      <c r="R352" s="890">
        <v>0</v>
      </c>
      <c r="S352" s="890">
        <v>0</v>
      </c>
      <c r="T352" s="890">
        <v>0</v>
      </c>
      <c r="U352" s="890">
        <v>0</v>
      </c>
      <c r="V352" s="890">
        <v>0</v>
      </c>
      <c r="W352" s="890">
        <v>0</v>
      </c>
      <c r="X352" s="890">
        <v>0</v>
      </c>
      <c r="Y352" s="890">
        <v>0</v>
      </c>
      <c r="Z352" s="890">
        <v>0</v>
      </c>
      <c r="AA352" s="890">
        <v>0</v>
      </c>
      <c r="AB352" s="890">
        <v>0</v>
      </c>
      <c r="AC352" s="890">
        <v>0</v>
      </c>
      <c r="AD352" s="890">
        <f t="shared" si="77"/>
        <v>19609</v>
      </c>
      <c r="AE352" s="890">
        <f t="shared" si="72"/>
        <v>72564</v>
      </c>
      <c r="AF352" s="890">
        <f t="shared" si="73"/>
        <v>16052</v>
      </c>
      <c r="AG352" s="895">
        <f t="shared" si="74"/>
        <v>-18.100000000000001</v>
      </c>
      <c r="AH352" s="890">
        <f t="shared" si="75"/>
        <v>49626</v>
      </c>
      <c r="AI352" s="895">
        <f t="shared" si="76"/>
        <v>-31.6</v>
      </c>
    </row>
    <row r="353" spans="1:35" s="846" customFormat="1" ht="19.5" hidden="1" customHeight="1">
      <c r="A353" s="891" t="s">
        <v>65</v>
      </c>
      <c r="B353" s="890">
        <v>7588</v>
      </c>
      <c r="C353" s="890">
        <v>35252</v>
      </c>
      <c r="D353" s="890">
        <v>17659</v>
      </c>
      <c r="E353" s="890">
        <v>82553</v>
      </c>
      <c r="F353" s="890">
        <v>10</v>
      </c>
      <c r="G353" s="890">
        <v>1312</v>
      </c>
      <c r="H353" s="890">
        <v>8</v>
      </c>
      <c r="I353" s="890">
        <v>910</v>
      </c>
      <c r="J353" s="890">
        <v>15869</v>
      </c>
      <c r="K353" s="890">
        <v>21803</v>
      </c>
      <c r="L353" s="890">
        <v>29861</v>
      </c>
      <c r="M353" s="890">
        <v>36076</v>
      </c>
      <c r="N353" s="890">
        <v>164</v>
      </c>
      <c r="O353" s="890">
        <v>346</v>
      </c>
      <c r="P353" s="890">
        <v>4285</v>
      </c>
      <c r="Q353" s="890">
        <v>7972</v>
      </c>
      <c r="R353" s="890">
        <v>0</v>
      </c>
      <c r="S353" s="890">
        <v>0</v>
      </c>
      <c r="T353" s="890">
        <v>42</v>
      </c>
      <c r="U353" s="890">
        <v>91</v>
      </c>
      <c r="V353" s="890">
        <v>0</v>
      </c>
      <c r="W353" s="890">
        <v>0</v>
      </c>
      <c r="X353" s="890">
        <v>0</v>
      </c>
      <c r="Y353" s="890">
        <v>0</v>
      </c>
      <c r="Z353" s="890">
        <v>124</v>
      </c>
      <c r="AA353" s="890">
        <v>2469</v>
      </c>
      <c r="AB353" s="890">
        <v>75</v>
      </c>
      <c r="AC353" s="890">
        <v>974</v>
      </c>
      <c r="AD353" s="890">
        <f t="shared" si="77"/>
        <v>23755</v>
      </c>
      <c r="AE353" s="890">
        <f t="shared" si="72"/>
        <v>61182</v>
      </c>
      <c r="AF353" s="890">
        <f t="shared" si="73"/>
        <v>51930</v>
      </c>
      <c r="AG353" s="895">
        <f t="shared" si="74"/>
        <v>118.6</v>
      </c>
      <c r="AH353" s="890">
        <f t="shared" si="75"/>
        <v>128576</v>
      </c>
      <c r="AI353" s="895">
        <f t="shared" si="76"/>
        <v>110.2</v>
      </c>
    </row>
    <row r="354" spans="1:35" s="846" customFormat="1" ht="19.5" hidden="1" customHeight="1">
      <c r="A354" s="891" t="s">
        <v>66</v>
      </c>
      <c r="B354" s="890">
        <v>9404</v>
      </c>
      <c r="C354" s="890">
        <v>45812</v>
      </c>
      <c r="D354" s="890">
        <v>8405</v>
      </c>
      <c r="E354" s="890">
        <v>45945</v>
      </c>
      <c r="F354" s="890">
        <v>41</v>
      </c>
      <c r="G354" s="890">
        <v>313</v>
      </c>
      <c r="H354" s="890">
        <v>184</v>
      </c>
      <c r="I354" s="890">
        <v>549</v>
      </c>
      <c r="J354" s="890">
        <v>4695</v>
      </c>
      <c r="K354" s="890">
        <v>9720</v>
      </c>
      <c r="L354" s="890">
        <v>2974</v>
      </c>
      <c r="M354" s="890">
        <v>10674</v>
      </c>
      <c r="N354" s="890">
        <v>4</v>
      </c>
      <c r="O354" s="890">
        <v>549</v>
      </c>
      <c r="P354" s="890">
        <v>363</v>
      </c>
      <c r="Q354" s="890">
        <v>1093</v>
      </c>
      <c r="R354" s="890">
        <v>0</v>
      </c>
      <c r="S354" s="890">
        <v>1</v>
      </c>
      <c r="T354" s="890">
        <v>0</v>
      </c>
      <c r="U354" s="890">
        <v>0</v>
      </c>
      <c r="V354" s="890">
        <v>2</v>
      </c>
      <c r="W354" s="890">
        <v>50</v>
      </c>
      <c r="X354" s="890">
        <v>2</v>
      </c>
      <c r="Y354" s="890">
        <v>51</v>
      </c>
      <c r="Z354" s="890">
        <v>758</v>
      </c>
      <c r="AA354" s="890">
        <v>2235</v>
      </c>
      <c r="AB354" s="890">
        <v>139</v>
      </c>
      <c r="AC354" s="890">
        <v>889</v>
      </c>
      <c r="AD354" s="890">
        <f t="shared" si="77"/>
        <v>14904</v>
      </c>
      <c r="AE354" s="890">
        <f t="shared" si="72"/>
        <v>58680</v>
      </c>
      <c r="AF354" s="890">
        <f t="shared" si="73"/>
        <v>12067</v>
      </c>
      <c r="AG354" s="895">
        <f t="shared" si="74"/>
        <v>-19</v>
      </c>
      <c r="AH354" s="890">
        <f t="shared" si="75"/>
        <v>59201</v>
      </c>
      <c r="AI354" s="895">
        <f t="shared" si="76"/>
        <v>0.9</v>
      </c>
    </row>
    <row r="355" spans="1:35" s="846" customFormat="1" ht="19.5" hidden="1" customHeight="1">
      <c r="A355" s="891" t="s">
        <v>89</v>
      </c>
      <c r="B355" s="890">
        <v>3469</v>
      </c>
      <c r="C355" s="890">
        <v>20219</v>
      </c>
      <c r="D355" s="890">
        <v>8236</v>
      </c>
      <c r="E355" s="890">
        <v>13304</v>
      </c>
      <c r="F355" s="890">
        <v>698</v>
      </c>
      <c r="G355" s="890">
        <v>9450</v>
      </c>
      <c r="H355" s="890">
        <v>164</v>
      </c>
      <c r="I355" s="890">
        <v>2444</v>
      </c>
      <c r="J355" s="890">
        <v>5304</v>
      </c>
      <c r="K355" s="890">
        <v>9166</v>
      </c>
      <c r="L355" s="890">
        <v>7614</v>
      </c>
      <c r="M355" s="890">
        <v>11747</v>
      </c>
      <c r="N355" s="890">
        <v>618</v>
      </c>
      <c r="O355" s="890">
        <v>1242</v>
      </c>
      <c r="P355" s="890">
        <v>560</v>
      </c>
      <c r="Q355" s="890">
        <v>960</v>
      </c>
      <c r="R355" s="890">
        <v>0</v>
      </c>
      <c r="S355" s="890">
        <v>0</v>
      </c>
      <c r="T355" s="890">
        <v>0</v>
      </c>
      <c r="U355" s="890">
        <v>0</v>
      </c>
      <c r="V355" s="890">
        <v>0</v>
      </c>
      <c r="W355" s="890">
        <v>0</v>
      </c>
      <c r="X355" s="890">
        <v>0</v>
      </c>
      <c r="Y355" s="890">
        <v>0</v>
      </c>
      <c r="Z355" s="890">
        <v>197</v>
      </c>
      <c r="AA355" s="890">
        <v>1076</v>
      </c>
      <c r="AB355" s="890">
        <v>102</v>
      </c>
      <c r="AC355" s="890">
        <v>486</v>
      </c>
      <c r="AD355" s="890">
        <f t="shared" si="77"/>
        <v>10286</v>
      </c>
      <c r="AE355" s="890">
        <f t="shared" si="72"/>
        <v>41153</v>
      </c>
      <c r="AF355" s="890">
        <f t="shared" si="73"/>
        <v>16676</v>
      </c>
      <c r="AG355" s="895">
        <f t="shared" si="74"/>
        <v>62.1</v>
      </c>
      <c r="AH355" s="890">
        <f t="shared" si="75"/>
        <v>28941</v>
      </c>
      <c r="AI355" s="895">
        <f t="shared" si="76"/>
        <v>-29.7</v>
      </c>
    </row>
    <row r="356" spans="1:35" s="846" customFormat="1" ht="19.5" hidden="1" customHeight="1">
      <c r="A356" s="891" t="s">
        <v>309</v>
      </c>
      <c r="B356" s="890">
        <v>3</v>
      </c>
      <c r="C356" s="890">
        <v>62</v>
      </c>
      <c r="D356" s="890">
        <v>9</v>
      </c>
      <c r="E356" s="890">
        <v>118</v>
      </c>
      <c r="F356" s="890">
        <v>3707</v>
      </c>
      <c r="G356" s="890">
        <v>52641</v>
      </c>
      <c r="H356" s="890">
        <v>2926</v>
      </c>
      <c r="I356" s="890">
        <v>41058</v>
      </c>
      <c r="J356" s="890">
        <v>28</v>
      </c>
      <c r="K356" s="890">
        <v>200</v>
      </c>
      <c r="L356" s="890">
        <v>84</v>
      </c>
      <c r="M356" s="890">
        <v>508</v>
      </c>
      <c r="N356" s="890">
        <v>0</v>
      </c>
      <c r="O356" s="890">
        <v>0</v>
      </c>
      <c r="P356" s="890">
        <v>0</v>
      </c>
      <c r="Q356" s="890">
        <v>0</v>
      </c>
      <c r="R356" s="890">
        <v>0</v>
      </c>
      <c r="S356" s="890">
        <v>5</v>
      </c>
      <c r="T356" s="890">
        <v>0</v>
      </c>
      <c r="U356" s="890">
        <v>2</v>
      </c>
      <c r="V356" s="890">
        <v>0</v>
      </c>
      <c r="W356" s="890">
        <v>0</v>
      </c>
      <c r="X356" s="890">
        <v>0</v>
      </c>
      <c r="Y356" s="890">
        <v>0</v>
      </c>
      <c r="Z356" s="890">
        <v>13</v>
      </c>
      <c r="AA356" s="890">
        <v>421</v>
      </c>
      <c r="AB356" s="890">
        <v>7</v>
      </c>
      <c r="AC356" s="890">
        <v>258</v>
      </c>
      <c r="AD356" s="890">
        <f t="shared" si="77"/>
        <v>3751</v>
      </c>
      <c r="AE356" s="890">
        <f t="shared" si="72"/>
        <v>53329</v>
      </c>
      <c r="AF356" s="890">
        <f t="shared" si="73"/>
        <v>3026</v>
      </c>
      <c r="AG356" s="895">
        <f t="shared" si="74"/>
        <v>-19.3</v>
      </c>
      <c r="AH356" s="890">
        <f t="shared" si="75"/>
        <v>41944</v>
      </c>
      <c r="AI356" s="895">
        <f t="shared" si="76"/>
        <v>-21.3</v>
      </c>
    </row>
    <row r="357" spans="1:35" s="846" customFormat="1" ht="19.5" hidden="1" customHeight="1">
      <c r="A357" s="891" t="s">
        <v>92</v>
      </c>
      <c r="B357" s="890">
        <v>6932</v>
      </c>
      <c r="C357" s="890">
        <v>38281</v>
      </c>
      <c r="D357" s="890">
        <v>5495</v>
      </c>
      <c r="E357" s="890">
        <v>27491</v>
      </c>
      <c r="F357" s="890">
        <v>0</v>
      </c>
      <c r="G357" s="890">
        <v>1</v>
      </c>
      <c r="H357" s="890">
        <v>0</v>
      </c>
      <c r="I357" s="890">
        <v>14</v>
      </c>
      <c r="J357" s="890">
        <v>6768</v>
      </c>
      <c r="K357" s="890">
        <v>10896</v>
      </c>
      <c r="L357" s="890">
        <v>10941</v>
      </c>
      <c r="M357" s="890">
        <v>14586</v>
      </c>
      <c r="N357" s="890">
        <v>0</v>
      </c>
      <c r="O357" s="890">
        <v>0</v>
      </c>
      <c r="P357" s="890">
        <v>25</v>
      </c>
      <c r="Q357" s="890">
        <v>42</v>
      </c>
      <c r="R357" s="890">
        <v>0</v>
      </c>
      <c r="S357" s="890">
        <v>0</v>
      </c>
      <c r="T357" s="890">
        <v>0</v>
      </c>
      <c r="U357" s="890">
        <v>0</v>
      </c>
      <c r="V357" s="890">
        <v>0</v>
      </c>
      <c r="W357" s="890">
        <v>0</v>
      </c>
      <c r="X357" s="890">
        <v>0</v>
      </c>
      <c r="Y357" s="890">
        <v>0</v>
      </c>
      <c r="Z357" s="890">
        <v>6</v>
      </c>
      <c r="AA357" s="890">
        <v>69</v>
      </c>
      <c r="AB357" s="890">
        <v>4</v>
      </c>
      <c r="AC357" s="890">
        <v>29</v>
      </c>
      <c r="AD357" s="890">
        <f t="shared" si="77"/>
        <v>13706</v>
      </c>
      <c r="AE357" s="890">
        <f t="shared" si="72"/>
        <v>49247</v>
      </c>
      <c r="AF357" s="890">
        <f t="shared" si="73"/>
        <v>16465</v>
      </c>
      <c r="AG357" s="895">
        <f t="shared" si="74"/>
        <v>20.100000000000001</v>
      </c>
      <c r="AH357" s="890">
        <f t="shared" si="75"/>
        <v>42162</v>
      </c>
      <c r="AI357" s="895">
        <f t="shared" si="76"/>
        <v>-14.4</v>
      </c>
    </row>
    <row r="358" spans="1:35" s="846" customFormat="1" ht="19.5" hidden="1" customHeight="1">
      <c r="A358" s="877" t="s">
        <v>78</v>
      </c>
      <c r="B358" s="892">
        <f t="shared" ref="B358:M358" si="78">B359-SUM(B328:B357)</f>
        <v>104788</v>
      </c>
      <c r="C358" s="892">
        <f t="shared" si="78"/>
        <v>561074</v>
      </c>
      <c r="D358" s="892">
        <f t="shared" si="78"/>
        <v>87743</v>
      </c>
      <c r="E358" s="892">
        <f t="shared" si="78"/>
        <v>431195</v>
      </c>
      <c r="F358" s="892">
        <f t="shared" si="78"/>
        <v>4734</v>
      </c>
      <c r="G358" s="892">
        <f t="shared" si="78"/>
        <v>55648</v>
      </c>
      <c r="H358" s="892">
        <f t="shared" si="78"/>
        <v>10741</v>
      </c>
      <c r="I358" s="892">
        <f t="shared" si="78"/>
        <v>106891</v>
      </c>
      <c r="J358" s="892">
        <f t="shared" si="78"/>
        <v>109562</v>
      </c>
      <c r="K358" s="892">
        <f t="shared" si="78"/>
        <v>191595</v>
      </c>
      <c r="L358" s="892">
        <f t="shared" si="78"/>
        <v>99663</v>
      </c>
      <c r="M358" s="892">
        <f t="shared" si="78"/>
        <v>176985</v>
      </c>
      <c r="N358" s="892">
        <f t="shared" ref="N358:Y358" si="79">N359-SUM(N328:N357)</f>
        <v>10576</v>
      </c>
      <c r="O358" s="892">
        <f t="shared" si="79"/>
        <v>20892</v>
      </c>
      <c r="P358" s="892">
        <f t="shared" si="79"/>
        <v>11302</v>
      </c>
      <c r="Q358" s="892">
        <f t="shared" si="79"/>
        <v>20657</v>
      </c>
      <c r="R358" s="892">
        <f t="shared" si="79"/>
        <v>6766</v>
      </c>
      <c r="S358" s="892">
        <f t="shared" si="79"/>
        <v>20791</v>
      </c>
      <c r="T358" s="892">
        <f t="shared" si="79"/>
        <v>8004</v>
      </c>
      <c r="U358" s="892">
        <f t="shared" si="79"/>
        <v>20191</v>
      </c>
      <c r="V358" s="892">
        <f t="shared" si="79"/>
        <v>362</v>
      </c>
      <c r="W358" s="892">
        <f t="shared" si="79"/>
        <v>6342</v>
      </c>
      <c r="X358" s="892">
        <f t="shared" si="79"/>
        <v>188</v>
      </c>
      <c r="Y358" s="892">
        <f t="shared" si="79"/>
        <v>3124</v>
      </c>
      <c r="Z358" s="892">
        <f t="shared" ref="Z358:AF358" si="80">Z359-SUM(Z328:Z357)</f>
        <v>4060</v>
      </c>
      <c r="AA358" s="892">
        <f t="shared" si="80"/>
        <v>61480</v>
      </c>
      <c r="AB358" s="892">
        <f t="shared" si="80"/>
        <v>4382</v>
      </c>
      <c r="AC358" s="892">
        <f t="shared" si="80"/>
        <v>59804</v>
      </c>
      <c r="AD358" s="892">
        <f t="shared" si="80"/>
        <v>240848</v>
      </c>
      <c r="AE358" s="892">
        <f t="shared" si="80"/>
        <v>917822</v>
      </c>
      <c r="AF358" s="892">
        <f t="shared" si="80"/>
        <v>222023</v>
      </c>
      <c r="AG358" s="896">
        <f t="shared" si="74"/>
        <v>-7.8</v>
      </c>
      <c r="AH358" s="892">
        <f>AH359-SUM(AH328:AH357)</f>
        <v>818847</v>
      </c>
      <c r="AI358" s="896">
        <f t="shared" si="76"/>
        <v>-10.8</v>
      </c>
    </row>
    <row r="359" spans="1:35" s="846" customFormat="1" ht="19.5" hidden="1" customHeight="1">
      <c r="A359" s="878" t="s">
        <v>79</v>
      </c>
      <c r="B359" s="893">
        <v>641704</v>
      </c>
      <c r="C359" s="894">
        <v>4084048</v>
      </c>
      <c r="D359" s="894">
        <v>609642</v>
      </c>
      <c r="E359" s="894">
        <v>3644031</v>
      </c>
      <c r="F359" s="894">
        <v>44082</v>
      </c>
      <c r="G359" s="894">
        <v>769804</v>
      </c>
      <c r="H359" s="894">
        <v>44164</v>
      </c>
      <c r="I359" s="894">
        <v>743943</v>
      </c>
      <c r="J359" s="894">
        <v>2180154</v>
      </c>
      <c r="K359" s="894">
        <v>4741987</v>
      </c>
      <c r="L359" s="894">
        <v>2109896</v>
      </c>
      <c r="M359" s="894">
        <v>4199741</v>
      </c>
      <c r="N359" s="894">
        <v>104023</v>
      </c>
      <c r="O359" s="894">
        <v>205743</v>
      </c>
      <c r="P359" s="894">
        <v>106187</v>
      </c>
      <c r="Q359" s="894">
        <v>201889</v>
      </c>
      <c r="R359" s="894">
        <v>43093</v>
      </c>
      <c r="S359" s="894">
        <v>126846</v>
      </c>
      <c r="T359" s="894">
        <v>35187</v>
      </c>
      <c r="U359" s="894">
        <v>89158</v>
      </c>
      <c r="V359" s="894">
        <v>10891</v>
      </c>
      <c r="W359" s="894">
        <v>221617</v>
      </c>
      <c r="X359" s="894">
        <v>11238</v>
      </c>
      <c r="Y359" s="894">
        <v>197469</v>
      </c>
      <c r="Z359" s="894">
        <v>116023</v>
      </c>
      <c r="AA359" s="894">
        <v>838377</v>
      </c>
      <c r="AB359" s="894">
        <v>106823</v>
      </c>
      <c r="AC359" s="894">
        <v>707869</v>
      </c>
      <c r="AD359" s="894">
        <f>SUM(B359+F359+J359+N359+R359+V359+Z359)</f>
        <v>3139970</v>
      </c>
      <c r="AE359" s="893">
        <f>SUM(C359+G359+K359+O359+S359+W359+AA359)</f>
        <v>10988422</v>
      </c>
      <c r="AF359" s="894">
        <f>SUM(D359+H359+L359+P359+T359+X359+AB359)</f>
        <v>3023137</v>
      </c>
      <c r="AG359" s="896">
        <f t="shared" si="74"/>
        <v>-3.7</v>
      </c>
      <c r="AH359" s="893">
        <f>SUM(E359+I359+M359+Q359+U359+Y359+AC359)</f>
        <v>9784100</v>
      </c>
      <c r="AI359" s="896">
        <f t="shared" si="76"/>
        <v>-11</v>
      </c>
    </row>
    <row r="360" spans="1:35" hidden="1"/>
    <row r="361" spans="1:35" s="846" customFormat="1" ht="22.5" hidden="1">
      <c r="A361" s="1095" t="s">
        <v>695</v>
      </c>
      <c r="B361" s="1095"/>
      <c r="C361" s="1095"/>
      <c r="D361" s="1095"/>
      <c r="E361" s="1095"/>
      <c r="F361" s="1095"/>
      <c r="G361" s="1095"/>
      <c r="H361" s="1095"/>
      <c r="I361" s="1095"/>
      <c r="J361" s="1095"/>
      <c r="K361" s="1095"/>
      <c r="L361" s="1095"/>
      <c r="M361" s="1095"/>
      <c r="N361" s="1095"/>
      <c r="O361" s="1095"/>
      <c r="P361" s="1095"/>
      <c r="Q361" s="1095"/>
      <c r="R361" s="1095"/>
      <c r="S361" s="1095"/>
      <c r="T361" s="1095"/>
      <c r="U361" s="1095"/>
      <c r="V361" s="1095"/>
      <c r="W361" s="1095"/>
      <c r="X361" s="1095"/>
      <c r="Y361" s="1095"/>
      <c r="Z361" s="1095"/>
      <c r="AA361" s="1095"/>
      <c r="AB361" s="1095"/>
      <c r="AC361" s="1095"/>
      <c r="AD361" s="1095"/>
      <c r="AE361" s="1095"/>
      <c r="AF361" s="1095"/>
      <c r="AG361" s="1095"/>
      <c r="AH361" s="1095"/>
      <c r="AI361" s="1095"/>
    </row>
    <row r="362" spans="1:35" s="846" customFormat="1" ht="22.5" hidden="1">
      <c r="A362" s="1053"/>
      <c r="B362" s="1053"/>
      <c r="C362" s="1053"/>
      <c r="D362" s="1053"/>
      <c r="E362" s="1053"/>
      <c r="F362" s="1053"/>
      <c r="G362" s="1053"/>
      <c r="H362" s="1053"/>
      <c r="I362" s="1053"/>
      <c r="J362" s="1053"/>
      <c r="K362" s="1053"/>
      <c r="L362" s="1053"/>
      <c r="M362" s="1053"/>
      <c r="N362" s="1053"/>
      <c r="O362" s="1053"/>
      <c r="P362" s="1053"/>
      <c r="Q362" s="1053"/>
      <c r="R362" s="1053"/>
      <c r="S362" s="1053"/>
      <c r="T362" s="1053"/>
      <c r="U362" s="1053"/>
      <c r="V362" s="1053"/>
      <c r="W362" s="1053"/>
      <c r="X362" s="1053"/>
      <c r="Y362" s="1053"/>
      <c r="Z362" s="1053"/>
      <c r="AA362" s="1053"/>
      <c r="AB362" s="1053"/>
      <c r="AC362" s="1053"/>
      <c r="AD362" s="1053"/>
      <c r="AE362" s="1053"/>
      <c r="AF362" s="1053"/>
      <c r="AG362" s="1053"/>
      <c r="AH362" s="1053"/>
      <c r="AI362" s="1053"/>
    </row>
    <row r="363" spans="1:35" s="846" customFormat="1" hidden="1">
      <c r="A363" s="871"/>
      <c r="B363" s="871"/>
      <c r="C363" s="872"/>
      <c r="D363" s="873"/>
      <c r="E363" s="881"/>
      <c r="F363" s="872"/>
      <c r="G363" s="872"/>
      <c r="H363" s="872"/>
      <c r="I363" s="872"/>
      <c r="J363" s="872"/>
      <c r="K363" s="872"/>
      <c r="L363" s="872"/>
      <c r="M363" s="872"/>
      <c r="N363" s="872"/>
      <c r="O363" s="872"/>
      <c r="P363" s="872"/>
      <c r="Q363" s="872"/>
      <c r="R363" s="872"/>
      <c r="S363" s="872"/>
      <c r="T363" s="872"/>
      <c r="U363" s="872"/>
      <c r="V363" s="887"/>
      <c r="W363" s="887"/>
      <c r="X363" s="872"/>
      <c r="Y363" s="872"/>
      <c r="Z363" s="872"/>
      <c r="AA363" s="872"/>
      <c r="AB363" s="872"/>
      <c r="AC363" s="872"/>
      <c r="AD363" s="872"/>
      <c r="AE363" s="872"/>
      <c r="AF363" s="872"/>
      <c r="AG363" s="872"/>
      <c r="AH363" s="872"/>
      <c r="AI363" s="872"/>
    </row>
    <row r="364" spans="1:35" s="846" customFormat="1" ht="21.75" hidden="1" customHeight="1">
      <c r="A364" s="1149" t="s">
        <v>43</v>
      </c>
      <c r="B364" s="1151" t="s">
        <v>687</v>
      </c>
      <c r="C364" s="1153"/>
      <c r="D364" s="1153"/>
      <c r="E364" s="1152"/>
      <c r="F364" s="1151" t="s">
        <v>688</v>
      </c>
      <c r="G364" s="1153"/>
      <c r="H364" s="1153"/>
      <c r="I364" s="1152"/>
      <c r="J364" s="1151" t="s">
        <v>689</v>
      </c>
      <c r="K364" s="1153"/>
      <c r="L364" s="1153"/>
      <c r="M364" s="1152"/>
      <c r="N364" s="1151" t="s">
        <v>690</v>
      </c>
      <c r="O364" s="1153"/>
      <c r="P364" s="1153"/>
      <c r="Q364" s="1152"/>
      <c r="R364" s="1151" t="s">
        <v>691</v>
      </c>
      <c r="S364" s="1153"/>
      <c r="T364" s="1153"/>
      <c r="U364" s="1152"/>
      <c r="V364" s="1151" t="s">
        <v>692</v>
      </c>
      <c r="W364" s="1153"/>
      <c r="X364" s="1153"/>
      <c r="Y364" s="1152"/>
      <c r="Z364" s="1151" t="s">
        <v>693</v>
      </c>
      <c r="AA364" s="1153"/>
      <c r="AB364" s="1153"/>
      <c r="AC364" s="1152"/>
      <c r="AD364" s="1151" t="s">
        <v>694</v>
      </c>
      <c r="AE364" s="1153"/>
      <c r="AF364" s="1153"/>
      <c r="AG364" s="1153"/>
      <c r="AH364" s="1153"/>
      <c r="AI364" s="1152"/>
    </row>
    <row r="365" spans="1:35" s="846" customFormat="1" ht="21" hidden="1" customHeight="1">
      <c r="A365" s="1154"/>
      <c r="B365" s="1151" t="s">
        <v>315</v>
      </c>
      <c r="C365" s="1152"/>
      <c r="D365" s="1151" t="s">
        <v>459</v>
      </c>
      <c r="E365" s="1152"/>
      <c r="F365" s="1151" t="s">
        <v>315</v>
      </c>
      <c r="G365" s="1152"/>
      <c r="H365" s="1151" t="s">
        <v>459</v>
      </c>
      <c r="I365" s="1152"/>
      <c r="J365" s="1151" t="s">
        <v>315</v>
      </c>
      <c r="K365" s="1152"/>
      <c r="L365" s="1151" t="s">
        <v>459</v>
      </c>
      <c r="M365" s="1152"/>
      <c r="N365" s="1151" t="s">
        <v>315</v>
      </c>
      <c r="O365" s="1152"/>
      <c r="P365" s="1151" t="s">
        <v>459</v>
      </c>
      <c r="Q365" s="1152"/>
      <c r="R365" s="1151" t="s">
        <v>315</v>
      </c>
      <c r="S365" s="1152"/>
      <c r="T365" s="1151" t="s">
        <v>459</v>
      </c>
      <c r="U365" s="1152"/>
      <c r="V365" s="1151" t="s">
        <v>315</v>
      </c>
      <c r="W365" s="1152"/>
      <c r="X365" s="1151" t="s">
        <v>459</v>
      </c>
      <c r="Y365" s="1152"/>
      <c r="Z365" s="1151" t="s">
        <v>315</v>
      </c>
      <c r="AA365" s="1152"/>
      <c r="AB365" s="1151" t="s">
        <v>459</v>
      </c>
      <c r="AC365" s="1152"/>
      <c r="AD365" s="1151" t="s">
        <v>315</v>
      </c>
      <c r="AE365" s="1152"/>
      <c r="AF365" s="1151" t="s">
        <v>459</v>
      </c>
      <c r="AG365" s="1153"/>
      <c r="AH365" s="1153"/>
      <c r="AI365" s="1152"/>
    </row>
    <row r="366" spans="1:35" s="846" customFormat="1" ht="16.5" hidden="1" customHeight="1">
      <c r="A366" s="1154"/>
      <c r="B366" s="1149" t="s">
        <v>44</v>
      </c>
      <c r="C366" s="1149" t="s">
        <v>45</v>
      </c>
      <c r="D366" s="1149" t="s">
        <v>46</v>
      </c>
      <c r="E366" s="1149" t="s">
        <v>45</v>
      </c>
      <c r="F366" s="1149" t="s">
        <v>47</v>
      </c>
      <c r="G366" s="1149" t="s">
        <v>45</v>
      </c>
      <c r="H366" s="1149" t="s">
        <v>46</v>
      </c>
      <c r="I366" s="1149" t="s">
        <v>45</v>
      </c>
      <c r="J366" s="1149" t="s">
        <v>44</v>
      </c>
      <c r="K366" s="1149" t="s">
        <v>45</v>
      </c>
      <c r="L366" s="1149" t="s">
        <v>46</v>
      </c>
      <c r="M366" s="1149" t="s">
        <v>45</v>
      </c>
      <c r="N366" s="1149" t="s">
        <v>44</v>
      </c>
      <c r="O366" s="1149" t="s">
        <v>45</v>
      </c>
      <c r="P366" s="1149" t="s">
        <v>46</v>
      </c>
      <c r="Q366" s="1149" t="s">
        <v>45</v>
      </c>
      <c r="R366" s="1149" t="s">
        <v>44</v>
      </c>
      <c r="S366" s="1149" t="s">
        <v>45</v>
      </c>
      <c r="T366" s="1149" t="s">
        <v>46</v>
      </c>
      <c r="U366" s="1149" t="s">
        <v>45</v>
      </c>
      <c r="V366" s="1149" t="s">
        <v>44</v>
      </c>
      <c r="W366" s="1149" t="s">
        <v>45</v>
      </c>
      <c r="X366" s="1149" t="s">
        <v>48</v>
      </c>
      <c r="Y366" s="1149" t="s">
        <v>45</v>
      </c>
      <c r="Z366" s="1149" t="s">
        <v>44</v>
      </c>
      <c r="AA366" s="1149" t="s">
        <v>45</v>
      </c>
      <c r="AB366" s="1149" t="s">
        <v>46</v>
      </c>
      <c r="AC366" s="1149" t="s">
        <v>45</v>
      </c>
      <c r="AD366" s="1149" t="s">
        <v>44</v>
      </c>
      <c r="AE366" s="1149" t="s">
        <v>45</v>
      </c>
      <c r="AF366" s="1147" t="s">
        <v>46</v>
      </c>
      <c r="AG366" s="874"/>
      <c r="AH366" s="1147" t="s">
        <v>45</v>
      </c>
      <c r="AI366" s="874"/>
    </row>
    <row r="367" spans="1:35" s="846" customFormat="1" ht="16.5" hidden="1" customHeight="1" thickBot="1">
      <c r="A367" s="1150"/>
      <c r="B367" s="1150"/>
      <c r="C367" s="1150"/>
      <c r="D367" s="1150"/>
      <c r="E367" s="1150"/>
      <c r="F367" s="1150"/>
      <c r="G367" s="1150"/>
      <c r="H367" s="1150"/>
      <c r="I367" s="1150"/>
      <c r="J367" s="1150"/>
      <c r="K367" s="1150"/>
      <c r="L367" s="1150"/>
      <c r="M367" s="1150"/>
      <c r="N367" s="1150"/>
      <c r="O367" s="1150"/>
      <c r="P367" s="1150"/>
      <c r="Q367" s="1150"/>
      <c r="R367" s="1150"/>
      <c r="S367" s="1150"/>
      <c r="T367" s="1150"/>
      <c r="U367" s="1150"/>
      <c r="V367" s="1150"/>
      <c r="W367" s="1150"/>
      <c r="X367" s="1150"/>
      <c r="Y367" s="1150"/>
      <c r="Z367" s="1150"/>
      <c r="AA367" s="1150"/>
      <c r="AB367" s="1150"/>
      <c r="AC367" s="1150"/>
      <c r="AD367" s="1150"/>
      <c r="AE367" s="1150"/>
      <c r="AF367" s="1148"/>
      <c r="AG367" s="875" t="s">
        <v>49</v>
      </c>
      <c r="AH367" s="1148"/>
      <c r="AI367" s="875" t="s">
        <v>49</v>
      </c>
    </row>
    <row r="368" spans="1:35" s="846" customFormat="1" ht="19.5" hidden="1" customHeight="1" thickTop="1">
      <c r="A368" s="891" t="s">
        <v>50</v>
      </c>
      <c r="B368" s="890">
        <v>59962</v>
      </c>
      <c r="C368" s="890">
        <v>405606</v>
      </c>
      <c r="D368" s="890">
        <v>59873</v>
      </c>
      <c r="E368" s="890">
        <v>381168</v>
      </c>
      <c r="F368" s="890">
        <v>1163</v>
      </c>
      <c r="G368" s="890">
        <v>66876</v>
      </c>
      <c r="H368" s="890">
        <v>1125</v>
      </c>
      <c r="I368" s="890">
        <v>71551</v>
      </c>
      <c r="J368" s="890">
        <v>353638</v>
      </c>
      <c r="K368" s="890">
        <v>1049777</v>
      </c>
      <c r="L368" s="890">
        <v>294356</v>
      </c>
      <c r="M368" s="890">
        <v>897800</v>
      </c>
      <c r="N368" s="890">
        <v>213</v>
      </c>
      <c r="O368" s="890">
        <v>587</v>
      </c>
      <c r="P368" s="890">
        <v>686</v>
      </c>
      <c r="Q368" s="890">
        <v>1736</v>
      </c>
      <c r="R368" s="890">
        <v>500</v>
      </c>
      <c r="S368" s="890">
        <v>4930</v>
      </c>
      <c r="T368" s="890">
        <v>310</v>
      </c>
      <c r="U368" s="890">
        <v>4055</v>
      </c>
      <c r="V368" s="890">
        <v>379</v>
      </c>
      <c r="W368" s="890">
        <v>4679</v>
      </c>
      <c r="X368" s="890">
        <v>710</v>
      </c>
      <c r="Y368" s="890">
        <v>10680</v>
      </c>
      <c r="Z368" s="890">
        <v>108984</v>
      </c>
      <c r="AA368" s="890">
        <v>412021</v>
      </c>
      <c r="AB368" s="890">
        <v>96751</v>
      </c>
      <c r="AC368" s="890">
        <v>326996</v>
      </c>
      <c r="AD368" s="890">
        <f>SUM(B368+F368+J368+N368+R368+V368+Z368)</f>
        <v>524839</v>
      </c>
      <c r="AE368" s="890">
        <f>SUM(C368+G368+K368+O368+S368+W368+AA368)</f>
        <v>1944476</v>
      </c>
      <c r="AF368" s="890">
        <f>SUM(D368+H368+L368+P368+T368+X368+AB368)</f>
        <v>453811</v>
      </c>
      <c r="AG368" s="895">
        <f>ROUND(((AF368/AD368-1)*100),1)</f>
        <v>-13.5</v>
      </c>
      <c r="AH368" s="890">
        <f>SUM(E368+I368+M368+Q368+U368+Y368+AC368)</f>
        <v>1693986</v>
      </c>
      <c r="AI368" s="895">
        <f>ROUND(((AH368/AE368-1)*100),1)</f>
        <v>-12.9</v>
      </c>
    </row>
    <row r="369" spans="1:35" s="846" customFormat="1" ht="19.5" hidden="1" customHeight="1">
      <c r="A369" s="891" t="s">
        <v>53</v>
      </c>
      <c r="B369" s="890">
        <v>66155</v>
      </c>
      <c r="C369" s="890">
        <v>401454</v>
      </c>
      <c r="D369" s="890">
        <v>73820</v>
      </c>
      <c r="E369" s="890">
        <v>415878</v>
      </c>
      <c r="F369" s="890">
        <v>1673</v>
      </c>
      <c r="G369" s="890">
        <v>66528</v>
      </c>
      <c r="H369" s="890">
        <v>2076</v>
      </c>
      <c r="I369" s="890">
        <v>71137</v>
      </c>
      <c r="J369" s="890">
        <v>242618</v>
      </c>
      <c r="K369" s="890">
        <v>531407</v>
      </c>
      <c r="L369" s="890">
        <v>260510</v>
      </c>
      <c r="M369" s="890">
        <v>492318</v>
      </c>
      <c r="N369" s="890">
        <v>3713</v>
      </c>
      <c r="O369" s="890">
        <v>7237</v>
      </c>
      <c r="P369" s="890">
        <v>1070</v>
      </c>
      <c r="Q369" s="890">
        <v>2083</v>
      </c>
      <c r="R369" s="890">
        <v>271</v>
      </c>
      <c r="S369" s="890">
        <v>638</v>
      </c>
      <c r="T369" s="890">
        <v>330</v>
      </c>
      <c r="U369" s="890">
        <v>893</v>
      </c>
      <c r="V369" s="890">
        <v>5</v>
      </c>
      <c r="W369" s="890">
        <v>383</v>
      </c>
      <c r="X369" s="890">
        <v>4</v>
      </c>
      <c r="Y369" s="890">
        <v>284</v>
      </c>
      <c r="Z369" s="890">
        <v>1919</v>
      </c>
      <c r="AA369" s="890">
        <v>187861</v>
      </c>
      <c r="AB369" s="890">
        <v>2133</v>
      </c>
      <c r="AC369" s="890">
        <v>176275</v>
      </c>
      <c r="AD369" s="890">
        <f>SUM(B369+F369+J369+N369+R369+V369+Z369)</f>
        <v>316354</v>
      </c>
      <c r="AE369" s="890">
        <f t="shared" ref="AE369:AE397" si="81">SUM(C369+G369+K369+O369+S369+W369+AA369)</f>
        <v>1195508</v>
      </c>
      <c r="AF369" s="890">
        <f t="shared" ref="AF369:AF397" si="82">SUM(D369+H369+L369+P369+T369+X369+AB369)</f>
        <v>339943</v>
      </c>
      <c r="AG369" s="895">
        <f t="shared" ref="AG369:AG399" si="83">ROUND(((AF369/AD369-1)*100),1)</f>
        <v>7.5</v>
      </c>
      <c r="AH369" s="890">
        <f t="shared" ref="AH369:AH397" si="84">SUM(E369+I369+M369+Q369+U369+Y369+AC369)</f>
        <v>1158868</v>
      </c>
      <c r="AI369" s="895">
        <f t="shared" ref="AI369:AI399" si="85">ROUND(((AH369/AE369-1)*100),1)</f>
        <v>-3.1</v>
      </c>
    </row>
    <row r="370" spans="1:35" s="846" customFormat="1" ht="19.5" hidden="1" customHeight="1">
      <c r="A370" s="891" t="s">
        <v>54</v>
      </c>
      <c r="B370" s="890">
        <v>32519</v>
      </c>
      <c r="C370" s="890">
        <v>443722</v>
      </c>
      <c r="D370" s="890">
        <v>40431</v>
      </c>
      <c r="E370" s="890">
        <v>493773</v>
      </c>
      <c r="F370" s="890">
        <v>5389</v>
      </c>
      <c r="G370" s="890">
        <v>171296</v>
      </c>
      <c r="H370" s="890">
        <v>4596</v>
      </c>
      <c r="I370" s="890">
        <v>157068</v>
      </c>
      <c r="J370" s="890">
        <v>99762</v>
      </c>
      <c r="K370" s="890">
        <v>246587</v>
      </c>
      <c r="L370" s="890">
        <v>117532</v>
      </c>
      <c r="M370" s="890">
        <v>263098</v>
      </c>
      <c r="N370" s="890">
        <v>4590</v>
      </c>
      <c r="O370" s="890">
        <v>9645</v>
      </c>
      <c r="P370" s="890">
        <v>8128</v>
      </c>
      <c r="Q370" s="890">
        <v>14970</v>
      </c>
      <c r="R370" s="890">
        <v>385</v>
      </c>
      <c r="S370" s="890">
        <v>718</v>
      </c>
      <c r="T370" s="890">
        <v>560</v>
      </c>
      <c r="U370" s="890">
        <v>1006</v>
      </c>
      <c r="V370" s="890">
        <v>283</v>
      </c>
      <c r="W370" s="890">
        <v>12757</v>
      </c>
      <c r="X370" s="890">
        <v>265</v>
      </c>
      <c r="Y370" s="890">
        <v>13796</v>
      </c>
      <c r="Z370" s="890">
        <v>3514</v>
      </c>
      <c r="AA370" s="890">
        <v>124164</v>
      </c>
      <c r="AB370" s="890">
        <v>2914</v>
      </c>
      <c r="AC370" s="890">
        <v>104008</v>
      </c>
      <c r="AD370" s="890">
        <f t="shared" ref="AD370:AD397" si="86">SUM(B370+F370+J370+N370+R370+V370+Z370)</f>
        <v>146442</v>
      </c>
      <c r="AE370" s="890">
        <f t="shared" si="81"/>
        <v>1008889</v>
      </c>
      <c r="AF370" s="890">
        <f t="shared" si="82"/>
        <v>174426</v>
      </c>
      <c r="AG370" s="895">
        <f t="shared" si="83"/>
        <v>19.100000000000001</v>
      </c>
      <c r="AH370" s="890">
        <f t="shared" si="84"/>
        <v>1047719</v>
      </c>
      <c r="AI370" s="895">
        <f t="shared" si="85"/>
        <v>3.8</v>
      </c>
    </row>
    <row r="371" spans="1:35" s="846" customFormat="1" ht="19.5" hidden="1" customHeight="1">
      <c r="A371" s="891" t="s">
        <v>84</v>
      </c>
      <c r="B371" s="890">
        <v>168086</v>
      </c>
      <c r="C371" s="890">
        <v>1007265</v>
      </c>
      <c r="D371" s="890">
        <v>130005</v>
      </c>
      <c r="E371" s="890">
        <v>738676</v>
      </c>
      <c r="F371" s="890">
        <v>0</v>
      </c>
      <c r="G371" s="890">
        <v>0</v>
      </c>
      <c r="H371" s="890">
        <v>0</v>
      </c>
      <c r="I371" s="890">
        <v>0</v>
      </c>
      <c r="J371" s="890">
        <v>1516</v>
      </c>
      <c r="K371" s="890">
        <v>1952</v>
      </c>
      <c r="L371" s="890">
        <v>2555</v>
      </c>
      <c r="M371" s="890">
        <v>3237</v>
      </c>
      <c r="N371" s="890">
        <v>148</v>
      </c>
      <c r="O371" s="890">
        <v>271</v>
      </c>
      <c r="P371" s="890">
        <v>0</v>
      </c>
      <c r="Q371" s="890">
        <v>0</v>
      </c>
      <c r="R371" s="890">
        <v>0</v>
      </c>
      <c r="S371" s="890">
        <v>0</v>
      </c>
      <c r="T371" s="890">
        <v>0</v>
      </c>
      <c r="U371" s="890">
        <v>0</v>
      </c>
      <c r="V371" s="890">
        <v>0</v>
      </c>
      <c r="W371" s="890">
        <v>0</v>
      </c>
      <c r="X371" s="890">
        <v>0</v>
      </c>
      <c r="Y371" s="890">
        <v>0</v>
      </c>
      <c r="Z371" s="890">
        <v>0</v>
      </c>
      <c r="AA371" s="890">
        <v>24</v>
      </c>
      <c r="AB371" s="890">
        <v>10</v>
      </c>
      <c r="AC371" s="890">
        <v>84</v>
      </c>
      <c r="AD371" s="890">
        <f t="shared" si="86"/>
        <v>169750</v>
      </c>
      <c r="AE371" s="890">
        <f t="shared" si="81"/>
        <v>1009512</v>
      </c>
      <c r="AF371" s="890">
        <f t="shared" si="82"/>
        <v>132570</v>
      </c>
      <c r="AG371" s="895">
        <f t="shared" si="83"/>
        <v>-21.9</v>
      </c>
      <c r="AH371" s="890">
        <f t="shared" si="84"/>
        <v>741997</v>
      </c>
      <c r="AI371" s="895">
        <f t="shared" si="85"/>
        <v>-26.5</v>
      </c>
    </row>
    <row r="372" spans="1:35" s="846" customFormat="1" ht="19.5" hidden="1" customHeight="1">
      <c r="A372" s="891" t="s">
        <v>52</v>
      </c>
      <c r="B372" s="890">
        <v>4906</v>
      </c>
      <c r="C372" s="890">
        <v>13666</v>
      </c>
      <c r="D372" s="890">
        <v>4002</v>
      </c>
      <c r="E372" s="890">
        <v>11967</v>
      </c>
      <c r="F372" s="890">
        <v>195</v>
      </c>
      <c r="G372" s="890">
        <v>4532</v>
      </c>
      <c r="H372" s="890">
        <v>137</v>
      </c>
      <c r="I372" s="890">
        <v>2420</v>
      </c>
      <c r="J372" s="890">
        <v>341510</v>
      </c>
      <c r="K372" s="890">
        <v>655700</v>
      </c>
      <c r="L372" s="890">
        <v>341541</v>
      </c>
      <c r="M372" s="890">
        <v>596541</v>
      </c>
      <c r="N372" s="890">
        <v>45235</v>
      </c>
      <c r="O372" s="890">
        <v>94557</v>
      </c>
      <c r="P372" s="890">
        <v>45661</v>
      </c>
      <c r="Q372" s="890">
        <v>88647</v>
      </c>
      <c r="R372" s="890">
        <v>33984</v>
      </c>
      <c r="S372" s="890">
        <v>94514</v>
      </c>
      <c r="T372" s="890">
        <v>19981</v>
      </c>
      <c r="U372" s="890">
        <v>47510</v>
      </c>
      <c r="V372" s="890">
        <v>226</v>
      </c>
      <c r="W372" s="890">
        <v>2585</v>
      </c>
      <c r="X372" s="890">
        <v>203</v>
      </c>
      <c r="Y372" s="890">
        <v>1971</v>
      </c>
      <c r="Z372" s="890">
        <v>231</v>
      </c>
      <c r="AA372" s="890">
        <v>1896</v>
      </c>
      <c r="AB372" s="890">
        <v>159</v>
      </c>
      <c r="AC372" s="890">
        <v>1060</v>
      </c>
      <c r="AD372" s="890">
        <f t="shared" si="86"/>
        <v>426287</v>
      </c>
      <c r="AE372" s="890">
        <f t="shared" si="81"/>
        <v>867450</v>
      </c>
      <c r="AF372" s="890">
        <f t="shared" si="82"/>
        <v>411684</v>
      </c>
      <c r="AG372" s="895">
        <f t="shared" si="83"/>
        <v>-3.4</v>
      </c>
      <c r="AH372" s="890">
        <f t="shared" si="84"/>
        <v>750116</v>
      </c>
      <c r="AI372" s="895">
        <f t="shared" si="85"/>
        <v>-13.5</v>
      </c>
    </row>
    <row r="373" spans="1:35" s="846" customFormat="1" ht="19.5" hidden="1" customHeight="1">
      <c r="A373" s="891" t="s">
        <v>61</v>
      </c>
      <c r="B373" s="890">
        <v>16457</v>
      </c>
      <c r="C373" s="890">
        <v>98558</v>
      </c>
      <c r="D373" s="890">
        <v>15290</v>
      </c>
      <c r="E373" s="890">
        <v>85846</v>
      </c>
      <c r="F373" s="890">
        <v>15145</v>
      </c>
      <c r="G373" s="890">
        <v>200682</v>
      </c>
      <c r="H373" s="890">
        <v>13818</v>
      </c>
      <c r="I373" s="890">
        <v>186561</v>
      </c>
      <c r="J373" s="890">
        <v>281082</v>
      </c>
      <c r="K373" s="890">
        <v>538519</v>
      </c>
      <c r="L373" s="890">
        <v>359153</v>
      </c>
      <c r="M373" s="890">
        <v>609453</v>
      </c>
      <c r="N373" s="890">
        <v>16847</v>
      </c>
      <c r="O373" s="890">
        <v>28702</v>
      </c>
      <c r="P373" s="890">
        <v>11896</v>
      </c>
      <c r="Q373" s="890">
        <v>20922</v>
      </c>
      <c r="R373" s="890">
        <v>0</v>
      </c>
      <c r="S373" s="890">
        <v>0</v>
      </c>
      <c r="T373" s="890">
        <v>0</v>
      </c>
      <c r="U373" s="890">
        <v>0</v>
      </c>
      <c r="V373" s="890">
        <v>0</v>
      </c>
      <c r="W373" s="890">
        <v>0</v>
      </c>
      <c r="X373" s="890">
        <v>0</v>
      </c>
      <c r="Y373" s="890">
        <v>0</v>
      </c>
      <c r="Z373" s="890">
        <v>2481</v>
      </c>
      <c r="AA373" s="890">
        <v>10212</v>
      </c>
      <c r="AB373" s="890">
        <v>1575</v>
      </c>
      <c r="AC373" s="890">
        <v>4178</v>
      </c>
      <c r="AD373" s="890">
        <f t="shared" si="86"/>
        <v>332012</v>
      </c>
      <c r="AE373" s="890">
        <f t="shared" si="81"/>
        <v>876673</v>
      </c>
      <c r="AF373" s="890">
        <f t="shared" si="82"/>
        <v>401732</v>
      </c>
      <c r="AG373" s="895">
        <f t="shared" si="83"/>
        <v>21</v>
      </c>
      <c r="AH373" s="890">
        <f t="shared" si="84"/>
        <v>906960</v>
      </c>
      <c r="AI373" s="895">
        <f t="shared" si="85"/>
        <v>3.5</v>
      </c>
    </row>
    <row r="374" spans="1:35" s="846" customFormat="1" ht="19.5" hidden="1" customHeight="1">
      <c r="A374" s="891" t="s">
        <v>56</v>
      </c>
      <c r="B374" s="890">
        <v>19933</v>
      </c>
      <c r="C374" s="890">
        <v>122249</v>
      </c>
      <c r="D374" s="890">
        <v>22274</v>
      </c>
      <c r="E374" s="890">
        <v>142467</v>
      </c>
      <c r="F374" s="890">
        <v>40</v>
      </c>
      <c r="G374" s="890">
        <v>328</v>
      </c>
      <c r="H374" s="890">
        <v>41</v>
      </c>
      <c r="I374" s="890">
        <v>251</v>
      </c>
      <c r="J374" s="890">
        <v>139082</v>
      </c>
      <c r="K374" s="890">
        <v>265280</v>
      </c>
      <c r="L374" s="890">
        <v>113295</v>
      </c>
      <c r="M374" s="890">
        <v>197294</v>
      </c>
      <c r="N374" s="890">
        <v>624</v>
      </c>
      <c r="O374" s="890">
        <v>1304</v>
      </c>
      <c r="P374" s="890">
        <v>920</v>
      </c>
      <c r="Q374" s="890">
        <v>1632</v>
      </c>
      <c r="R374" s="890">
        <v>232</v>
      </c>
      <c r="S374" s="890">
        <v>714</v>
      </c>
      <c r="T374" s="890">
        <v>506</v>
      </c>
      <c r="U374" s="890">
        <v>1176</v>
      </c>
      <c r="V374" s="890">
        <v>1890</v>
      </c>
      <c r="W374" s="890">
        <v>38161</v>
      </c>
      <c r="X374" s="890">
        <v>1061</v>
      </c>
      <c r="Y374" s="890">
        <v>17739</v>
      </c>
      <c r="Z374" s="890">
        <v>338</v>
      </c>
      <c r="AA374" s="890">
        <v>1052</v>
      </c>
      <c r="AB374" s="890">
        <v>684</v>
      </c>
      <c r="AC374" s="890">
        <v>1416</v>
      </c>
      <c r="AD374" s="890">
        <f t="shared" si="86"/>
        <v>162139</v>
      </c>
      <c r="AE374" s="890">
        <f t="shared" si="81"/>
        <v>429088</v>
      </c>
      <c r="AF374" s="890">
        <f t="shared" si="82"/>
        <v>138781</v>
      </c>
      <c r="AG374" s="895">
        <f t="shared" si="83"/>
        <v>-14.4</v>
      </c>
      <c r="AH374" s="890">
        <f t="shared" si="84"/>
        <v>361975</v>
      </c>
      <c r="AI374" s="895">
        <f t="shared" si="85"/>
        <v>-15.6</v>
      </c>
    </row>
    <row r="375" spans="1:35" s="846" customFormat="1" ht="19.5" hidden="1" customHeight="1">
      <c r="A375" s="891" t="s">
        <v>85</v>
      </c>
      <c r="B375" s="890">
        <v>53817</v>
      </c>
      <c r="C375" s="890">
        <v>326342</v>
      </c>
      <c r="D375" s="890">
        <v>56148</v>
      </c>
      <c r="E375" s="890">
        <v>327471</v>
      </c>
      <c r="F375" s="890">
        <v>0</v>
      </c>
      <c r="G375" s="890">
        <v>0</v>
      </c>
      <c r="H375" s="890">
        <v>0</v>
      </c>
      <c r="I375" s="890">
        <v>0</v>
      </c>
      <c r="J375" s="890">
        <v>0</v>
      </c>
      <c r="K375" s="890">
        <v>0</v>
      </c>
      <c r="L375" s="890">
        <v>0</v>
      </c>
      <c r="M375" s="890">
        <v>0</v>
      </c>
      <c r="N375" s="890">
        <v>0</v>
      </c>
      <c r="O375" s="890">
        <v>0</v>
      </c>
      <c r="P375" s="890">
        <v>0</v>
      </c>
      <c r="Q375" s="890">
        <v>0</v>
      </c>
      <c r="R375" s="890">
        <v>0</v>
      </c>
      <c r="S375" s="890">
        <v>0</v>
      </c>
      <c r="T375" s="890">
        <v>0</v>
      </c>
      <c r="U375" s="890">
        <v>0</v>
      </c>
      <c r="V375" s="890">
        <v>0</v>
      </c>
      <c r="W375" s="890">
        <v>0</v>
      </c>
      <c r="X375" s="890">
        <v>0</v>
      </c>
      <c r="Y375" s="890">
        <v>0</v>
      </c>
      <c r="Z375" s="890">
        <v>843</v>
      </c>
      <c r="AA375" s="890">
        <v>10674</v>
      </c>
      <c r="AB375" s="890">
        <v>1612</v>
      </c>
      <c r="AC375" s="890">
        <v>9254</v>
      </c>
      <c r="AD375" s="890">
        <f t="shared" si="86"/>
        <v>54660</v>
      </c>
      <c r="AE375" s="890">
        <f t="shared" si="81"/>
        <v>337016</v>
      </c>
      <c r="AF375" s="890">
        <f t="shared" si="82"/>
        <v>57760</v>
      </c>
      <c r="AG375" s="895">
        <f t="shared" si="83"/>
        <v>5.7</v>
      </c>
      <c r="AH375" s="890">
        <f t="shared" si="84"/>
        <v>336725</v>
      </c>
      <c r="AI375" s="895">
        <f t="shared" si="85"/>
        <v>-0.1</v>
      </c>
    </row>
    <row r="376" spans="1:35" s="846" customFormat="1" ht="19.5" hidden="1" customHeight="1">
      <c r="A376" s="891" t="s">
        <v>86</v>
      </c>
      <c r="B376" s="890">
        <v>1977</v>
      </c>
      <c r="C376" s="890">
        <v>8926</v>
      </c>
      <c r="D376" s="890">
        <v>508</v>
      </c>
      <c r="E376" s="890">
        <v>2474</v>
      </c>
      <c r="F376" s="890">
        <v>530</v>
      </c>
      <c r="G376" s="890">
        <v>6657</v>
      </c>
      <c r="H376" s="890">
        <v>47</v>
      </c>
      <c r="I376" s="890">
        <v>1017</v>
      </c>
      <c r="J376" s="890">
        <v>131958</v>
      </c>
      <c r="K376" s="890">
        <v>254287</v>
      </c>
      <c r="L376" s="890">
        <v>92899</v>
      </c>
      <c r="M376" s="890">
        <v>171004</v>
      </c>
      <c r="N376" s="890">
        <v>3246</v>
      </c>
      <c r="O376" s="890">
        <v>6545</v>
      </c>
      <c r="P376" s="890">
        <v>6489</v>
      </c>
      <c r="Q376" s="890">
        <v>11951</v>
      </c>
      <c r="R376" s="890">
        <v>0</v>
      </c>
      <c r="S376" s="890">
        <v>0</v>
      </c>
      <c r="T376" s="890">
        <v>0</v>
      </c>
      <c r="U376" s="890">
        <v>0</v>
      </c>
      <c r="V376" s="890">
        <v>2</v>
      </c>
      <c r="W376" s="890">
        <v>239</v>
      </c>
      <c r="X376" s="890">
        <v>2</v>
      </c>
      <c r="Y376" s="890">
        <v>226</v>
      </c>
      <c r="Z376" s="890">
        <v>2703</v>
      </c>
      <c r="AA376" s="890">
        <v>28179</v>
      </c>
      <c r="AB376" s="890">
        <v>3151</v>
      </c>
      <c r="AC376" s="890">
        <v>25142</v>
      </c>
      <c r="AD376" s="890">
        <f t="shared" si="86"/>
        <v>140416</v>
      </c>
      <c r="AE376" s="890">
        <f t="shared" si="81"/>
        <v>304833</v>
      </c>
      <c r="AF376" s="890">
        <f t="shared" si="82"/>
        <v>103096</v>
      </c>
      <c r="AG376" s="895">
        <f t="shared" si="83"/>
        <v>-26.6</v>
      </c>
      <c r="AH376" s="890">
        <f t="shared" si="84"/>
        <v>211814</v>
      </c>
      <c r="AI376" s="895">
        <f t="shared" si="85"/>
        <v>-30.5</v>
      </c>
    </row>
    <row r="377" spans="1:35" s="846" customFormat="1" ht="19.5" hidden="1" customHeight="1">
      <c r="A377" s="891" t="s">
        <v>64</v>
      </c>
      <c r="B377" s="890">
        <v>14104</v>
      </c>
      <c r="C377" s="890">
        <v>85621</v>
      </c>
      <c r="D377" s="890">
        <v>8449</v>
      </c>
      <c r="E377" s="890">
        <v>45482</v>
      </c>
      <c r="F377" s="890">
        <v>24</v>
      </c>
      <c r="G377" s="890">
        <v>172</v>
      </c>
      <c r="H377" s="890">
        <v>0</v>
      </c>
      <c r="I377" s="890">
        <v>0</v>
      </c>
      <c r="J377" s="890">
        <v>104020</v>
      </c>
      <c r="K377" s="890">
        <v>193049</v>
      </c>
      <c r="L377" s="890">
        <v>97947</v>
      </c>
      <c r="M377" s="890">
        <v>164149</v>
      </c>
      <c r="N377" s="890">
        <v>8145</v>
      </c>
      <c r="O377" s="890">
        <v>16447</v>
      </c>
      <c r="P377" s="890">
        <v>9369</v>
      </c>
      <c r="Q377" s="890">
        <v>18129</v>
      </c>
      <c r="R377" s="890">
        <v>0</v>
      </c>
      <c r="S377" s="890">
        <v>0</v>
      </c>
      <c r="T377" s="890">
        <v>0</v>
      </c>
      <c r="U377" s="890">
        <v>0</v>
      </c>
      <c r="V377" s="890">
        <v>0</v>
      </c>
      <c r="W377" s="890">
        <v>0</v>
      </c>
      <c r="X377" s="890">
        <v>0</v>
      </c>
      <c r="Y377" s="890">
        <v>0</v>
      </c>
      <c r="Z377" s="890">
        <v>143</v>
      </c>
      <c r="AA377" s="890">
        <v>702</v>
      </c>
      <c r="AB377" s="890">
        <v>46</v>
      </c>
      <c r="AC377" s="890">
        <v>180</v>
      </c>
      <c r="AD377" s="890">
        <f t="shared" si="86"/>
        <v>126436</v>
      </c>
      <c r="AE377" s="890">
        <f t="shared" si="81"/>
        <v>295991</v>
      </c>
      <c r="AF377" s="890">
        <f t="shared" si="82"/>
        <v>115811</v>
      </c>
      <c r="AG377" s="895">
        <f t="shared" si="83"/>
        <v>-8.4</v>
      </c>
      <c r="AH377" s="890">
        <f t="shared" si="84"/>
        <v>227940</v>
      </c>
      <c r="AI377" s="895">
        <f t="shared" si="85"/>
        <v>-23</v>
      </c>
    </row>
    <row r="378" spans="1:35" s="846" customFormat="1" ht="19.5" hidden="1" customHeight="1">
      <c r="A378" s="891" t="s">
        <v>68</v>
      </c>
      <c r="B378" s="890">
        <v>8132</v>
      </c>
      <c r="C378" s="890">
        <v>65348</v>
      </c>
      <c r="D378" s="890">
        <v>6240</v>
      </c>
      <c r="E378" s="890">
        <v>49066</v>
      </c>
      <c r="F378" s="890">
        <v>986</v>
      </c>
      <c r="G378" s="890">
        <v>29842</v>
      </c>
      <c r="H378" s="890">
        <v>877</v>
      </c>
      <c r="I378" s="890">
        <v>26431</v>
      </c>
      <c r="J378" s="890">
        <v>44811</v>
      </c>
      <c r="K378" s="890">
        <v>169431</v>
      </c>
      <c r="L378" s="890">
        <v>17831</v>
      </c>
      <c r="M378" s="890">
        <v>103512</v>
      </c>
      <c r="N378" s="890">
        <v>233</v>
      </c>
      <c r="O378" s="890">
        <v>1661</v>
      </c>
      <c r="P378" s="890">
        <v>870</v>
      </c>
      <c r="Q378" s="890">
        <v>2503</v>
      </c>
      <c r="R378" s="890">
        <v>885</v>
      </c>
      <c r="S378" s="890">
        <v>3698</v>
      </c>
      <c r="T378" s="890">
        <v>785</v>
      </c>
      <c r="U378" s="890">
        <v>3002</v>
      </c>
      <c r="V378" s="890">
        <v>26</v>
      </c>
      <c r="W378" s="890">
        <v>659</v>
      </c>
      <c r="X378" s="890">
        <v>25</v>
      </c>
      <c r="Y378" s="890">
        <v>603</v>
      </c>
      <c r="Z378" s="890">
        <v>323</v>
      </c>
      <c r="AA378" s="890">
        <v>24125</v>
      </c>
      <c r="AB378" s="890">
        <v>455</v>
      </c>
      <c r="AC378" s="890">
        <v>19857</v>
      </c>
      <c r="AD378" s="890">
        <f t="shared" si="86"/>
        <v>55396</v>
      </c>
      <c r="AE378" s="890">
        <f t="shared" si="81"/>
        <v>294764</v>
      </c>
      <c r="AF378" s="890">
        <f t="shared" si="82"/>
        <v>27083</v>
      </c>
      <c r="AG378" s="895">
        <f t="shared" si="83"/>
        <v>-51.1</v>
      </c>
      <c r="AH378" s="890">
        <f t="shared" si="84"/>
        <v>204974</v>
      </c>
      <c r="AI378" s="895">
        <f t="shared" si="85"/>
        <v>-30.5</v>
      </c>
    </row>
    <row r="379" spans="1:35" s="846" customFormat="1" ht="19.5" hidden="1" customHeight="1">
      <c r="A379" s="891" t="s">
        <v>57</v>
      </c>
      <c r="B379" s="890">
        <v>21732</v>
      </c>
      <c r="C379" s="890">
        <v>188771</v>
      </c>
      <c r="D379" s="890">
        <v>23367</v>
      </c>
      <c r="E379" s="890">
        <v>181179</v>
      </c>
      <c r="F379" s="890">
        <v>305</v>
      </c>
      <c r="G379" s="890">
        <v>534</v>
      </c>
      <c r="H379" s="890">
        <v>58</v>
      </c>
      <c r="I379" s="890">
        <v>542</v>
      </c>
      <c r="J379" s="890">
        <v>31936</v>
      </c>
      <c r="K379" s="890">
        <v>56792</v>
      </c>
      <c r="L379" s="890">
        <v>32978</v>
      </c>
      <c r="M379" s="890">
        <v>57494</v>
      </c>
      <c r="N379" s="890">
        <v>867</v>
      </c>
      <c r="O379" s="890">
        <v>1686</v>
      </c>
      <c r="P379" s="890">
        <v>294</v>
      </c>
      <c r="Q379" s="890">
        <v>565</v>
      </c>
      <c r="R379" s="890">
        <v>22</v>
      </c>
      <c r="S379" s="890">
        <v>59</v>
      </c>
      <c r="T379" s="890">
        <v>2</v>
      </c>
      <c r="U379" s="890">
        <v>17</v>
      </c>
      <c r="V379" s="890">
        <v>14</v>
      </c>
      <c r="W379" s="890">
        <v>466</v>
      </c>
      <c r="X379" s="890">
        <v>6</v>
      </c>
      <c r="Y379" s="890">
        <v>243</v>
      </c>
      <c r="Z379" s="890">
        <v>552</v>
      </c>
      <c r="AA379" s="890">
        <v>7489</v>
      </c>
      <c r="AB379" s="890">
        <v>1229</v>
      </c>
      <c r="AC379" s="890">
        <v>7627</v>
      </c>
      <c r="AD379" s="890">
        <f t="shared" si="86"/>
        <v>55428</v>
      </c>
      <c r="AE379" s="890">
        <f t="shared" si="81"/>
        <v>255797</v>
      </c>
      <c r="AF379" s="890">
        <f t="shared" si="82"/>
        <v>57934</v>
      </c>
      <c r="AG379" s="895">
        <f t="shared" si="83"/>
        <v>4.5</v>
      </c>
      <c r="AH379" s="890">
        <f t="shared" si="84"/>
        <v>247667</v>
      </c>
      <c r="AI379" s="895">
        <f t="shared" si="85"/>
        <v>-3.2</v>
      </c>
    </row>
    <row r="380" spans="1:35" s="846" customFormat="1" ht="19.5" hidden="1" customHeight="1">
      <c r="A380" s="891" t="s">
        <v>58</v>
      </c>
      <c r="B380" s="890">
        <v>9204</v>
      </c>
      <c r="C380" s="890">
        <v>50000</v>
      </c>
      <c r="D380" s="890">
        <v>12008</v>
      </c>
      <c r="E380" s="890">
        <v>65022</v>
      </c>
      <c r="F380" s="890">
        <v>420</v>
      </c>
      <c r="G380" s="890">
        <v>4859</v>
      </c>
      <c r="H380" s="890">
        <v>1689</v>
      </c>
      <c r="I380" s="890">
        <v>16838</v>
      </c>
      <c r="J380" s="890">
        <v>6374</v>
      </c>
      <c r="K380" s="890">
        <v>10488</v>
      </c>
      <c r="L380" s="890">
        <v>6386</v>
      </c>
      <c r="M380" s="890">
        <v>9219</v>
      </c>
      <c r="N380" s="890">
        <v>240</v>
      </c>
      <c r="O380" s="890">
        <v>2517</v>
      </c>
      <c r="P380" s="890">
        <v>224</v>
      </c>
      <c r="Q380" s="890">
        <v>1973</v>
      </c>
      <c r="R380" s="890">
        <v>28</v>
      </c>
      <c r="S380" s="890">
        <v>13</v>
      </c>
      <c r="T380" s="890">
        <v>40</v>
      </c>
      <c r="U380" s="890">
        <v>90</v>
      </c>
      <c r="V380" s="890">
        <v>7412</v>
      </c>
      <c r="W380" s="890">
        <v>146598</v>
      </c>
      <c r="X380" s="890">
        <v>8338</v>
      </c>
      <c r="Y380" s="890">
        <v>140894</v>
      </c>
      <c r="Z380" s="890">
        <v>193</v>
      </c>
      <c r="AA380" s="890">
        <v>712</v>
      </c>
      <c r="AB380" s="890">
        <v>295</v>
      </c>
      <c r="AC380" s="890">
        <v>623</v>
      </c>
      <c r="AD380" s="890">
        <f t="shared" si="86"/>
        <v>23871</v>
      </c>
      <c r="AE380" s="890">
        <f t="shared" si="81"/>
        <v>215187</v>
      </c>
      <c r="AF380" s="890">
        <f t="shared" si="82"/>
        <v>28980</v>
      </c>
      <c r="AG380" s="895">
        <f t="shared" si="83"/>
        <v>21.4</v>
      </c>
      <c r="AH380" s="890">
        <f t="shared" si="84"/>
        <v>234659</v>
      </c>
      <c r="AI380" s="895">
        <f t="shared" si="85"/>
        <v>9</v>
      </c>
    </row>
    <row r="381" spans="1:35" s="846" customFormat="1" ht="19.5" hidden="1" customHeight="1">
      <c r="A381" s="891" t="s">
        <v>63</v>
      </c>
      <c r="B381" s="890">
        <v>24072</v>
      </c>
      <c r="C381" s="890">
        <v>134503</v>
      </c>
      <c r="D381" s="890">
        <v>15318</v>
      </c>
      <c r="E381" s="890">
        <v>81652</v>
      </c>
      <c r="F381" s="890">
        <v>0</v>
      </c>
      <c r="G381" s="890">
        <v>0</v>
      </c>
      <c r="H381" s="890">
        <v>0</v>
      </c>
      <c r="I381" s="890">
        <v>0</v>
      </c>
      <c r="J381" s="890">
        <v>47878</v>
      </c>
      <c r="K381" s="890">
        <v>79989</v>
      </c>
      <c r="L381" s="890">
        <v>52260</v>
      </c>
      <c r="M381" s="890">
        <v>75315</v>
      </c>
      <c r="N381" s="890">
        <v>7080</v>
      </c>
      <c r="O381" s="890">
        <v>14201</v>
      </c>
      <c r="P381" s="890">
        <v>2701</v>
      </c>
      <c r="Q381" s="890">
        <v>5104</v>
      </c>
      <c r="R381" s="890">
        <v>0</v>
      </c>
      <c r="S381" s="890">
        <v>0</v>
      </c>
      <c r="T381" s="890">
        <v>0</v>
      </c>
      <c r="U381" s="890">
        <v>0</v>
      </c>
      <c r="V381" s="890">
        <v>0</v>
      </c>
      <c r="W381" s="890">
        <v>0</v>
      </c>
      <c r="X381" s="890">
        <v>0</v>
      </c>
      <c r="Y381" s="890">
        <v>0</v>
      </c>
      <c r="Z381" s="890">
        <v>0</v>
      </c>
      <c r="AA381" s="890">
        <v>0</v>
      </c>
      <c r="AB381" s="890">
        <v>29</v>
      </c>
      <c r="AC381" s="890">
        <v>158</v>
      </c>
      <c r="AD381" s="890">
        <f t="shared" si="86"/>
        <v>79030</v>
      </c>
      <c r="AE381" s="890">
        <f t="shared" si="81"/>
        <v>228693</v>
      </c>
      <c r="AF381" s="890">
        <f t="shared" si="82"/>
        <v>70308</v>
      </c>
      <c r="AG381" s="895">
        <f t="shared" si="83"/>
        <v>-11</v>
      </c>
      <c r="AH381" s="890">
        <f t="shared" si="84"/>
        <v>162229</v>
      </c>
      <c r="AI381" s="895">
        <f t="shared" si="85"/>
        <v>-29.1</v>
      </c>
    </row>
    <row r="382" spans="1:35" s="846" customFormat="1" ht="19.5" hidden="1" customHeight="1">
      <c r="A382" s="891" t="s">
        <v>55</v>
      </c>
      <c r="B382" s="890">
        <v>6254</v>
      </c>
      <c r="C382" s="890">
        <v>39645</v>
      </c>
      <c r="D382" s="890">
        <v>13702</v>
      </c>
      <c r="E382" s="890">
        <v>79184</v>
      </c>
      <c r="F382" s="890">
        <v>20</v>
      </c>
      <c r="G382" s="890">
        <v>25</v>
      </c>
      <c r="H382" s="890">
        <v>33</v>
      </c>
      <c r="I382" s="890">
        <v>127</v>
      </c>
      <c r="J382" s="890">
        <v>93474</v>
      </c>
      <c r="K382" s="890">
        <v>152031</v>
      </c>
      <c r="L382" s="890">
        <v>90672</v>
      </c>
      <c r="M382" s="890">
        <v>134708</v>
      </c>
      <c r="N382" s="890">
        <v>120</v>
      </c>
      <c r="O382" s="890">
        <v>260</v>
      </c>
      <c r="P382" s="890">
        <v>293</v>
      </c>
      <c r="Q382" s="890">
        <v>524</v>
      </c>
      <c r="R382" s="890">
        <v>90</v>
      </c>
      <c r="S382" s="890">
        <v>201</v>
      </c>
      <c r="T382" s="890">
        <v>50</v>
      </c>
      <c r="U382" s="890">
        <v>20</v>
      </c>
      <c r="V382" s="890">
        <v>1032</v>
      </c>
      <c r="W382" s="890">
        <v>22002</v>
      </c>
      <c r="X382" s="890">
        <v>1274</v>
      </c>
      <c r="Y382" s="890">
        <v>24206</v>
      </c>
      <c r="Z382" s="890">
        <v>25</v>
      </c>
      <c r="AA382" s="890">
        <v>545</v>
      </c>
      <c r="AB382" s="890">
        <v>22</v>
      </c>
      <c r="AC382" s="890">
        <v>34</v>
      </c>
      <c r="AD382" s="890">
        <f t="shared" si="86"/>
        <v>101015</v>
      </c>
      <c r="AE382" s="890">
        <f t="shared" si="81"/>
        <v>214709</v>
      </c>
      <c r="AF382" s="890">
        <f t="shared" si="82"/>
        <v>106046</v>
      </c>
      <c r="AG382" s="895">
        <f t="shared" si="83"/>
        <v>5</v>
      </c>
      <c r="AH382" s="890">
        <f t="shared" si="84"/>
        <v>238803</v>
      </c>
      <c r="AI382" s="895">
        <f t="shared" si="85"/>
        <v>11.2</v>
      </c>
    </row>
    <row r="383" spans="1:35" s="846" customFormat="1" ht="19.5" hidden="1" customHeight="1">
      <c r="A383" s="891" t="s">
        <v>51</v>
      </c>
      <c r="B383" s="890">
        <v>5615</v>
      </c>
      <c r="C383" s="890">
        <v>39698</v>
      </c>
      <c r="D383" s="890">
        <v>9134</v>
      </c>
      <c r="E383" s="890">
        <v>59199</v>
      </c>
      <c r="F383" s="890">
        <v>111</v>
      </c>
      <c r="G383" s="890">
        <v>415</v>
      </c>
      <c r="H383" s="890">
        <v>141</v>
      </c>
      <c r="I383" s="890">
        <v>689</v>
      </c>
      <c r="J383" s="890">
        <v>67023</v>
      </c>
      <c r="K383" s="890">
        <v>154455</v>
      </c>
      <c r="L383" s="890">
        <v>55116</v>
      </c>
      <c r="M383" s="890">
        <v>141587</v>
      </c>
      <c r="N383" s="890">
        <v>8</v>
      </c>
      <c r="O383" s="890">
        <v>11</v>
      </c>
      <c r="P383" s="890">
        <v>13</v>
      </c>
      <c r="Q383" s="890">
        <v>19</v>
      </c>
      <c r="R383" s="890">
        <v>2085</v>
      </c>
      <c r="S383" s="890">
        <v>4647</v>
      </c>
      <c r="T383" s="890">
        <v>2057</v>
      </c>
      <c r="U383" s="890">
        <v>4300</v>
      </c>
      <c r="V383" s="890">
        <v>119</v>
      </c>
      <c r="W383" s="890">
        <v>2249</v>
      </c>
      <c r="X383" s="890">
        <v>2</v>
      </c>
      <c r="Y383" s="890">
        <v>48</v>
      </c>
      <c r="Z383" s="890">
        <v>920</v>
      </c>
      <c r="AA383" s="890">
        <v>5245</v>
      </c>
      <c r="AB383" s="890">
        <v>675</v>
      </c>
      <c r="AC383" s="890">
        <v>6395</v>
      </c>
      <c r="AD383" s="890">
        <f t="shared" si="86"/>
        <v>75881</v>
      </c>
      <c r="AE383" s="890">
        <f t="shared" si="81"/>
        <v>206720</v>
      </c>
      <c r="AF383" s="890">
        <f t="shared" si="82"/>
        <v>67138</v>
      </c>
      <c r="AG383" s="895">
        <f t="shared" si="83"/>
        <v>-11.5</v>
      </c>
      <c r="AH383" s="890">
        <f t="shared" si="84"/>
        <v>212237</v>
      </c>
      <c r="AI383" s="895">
        <f t="shared" si="85"/>
        <v>2.7</v>
      </c>
    </row>
    <row r="384" spans="1:35" s="846" customFormat="1" ht="19.5" hidden="1" customHeight="1">
      <c r="A384" s="891" t="s">
        <v>72</v>
      </c>
      <c r="B384" s="890">
        <v>10370</v>
      </c>
      <c r="C384" s="890">
        <v>44413</v>
      </c>
      <c r="D384" s="890">
        <v>8047</v>
      </c>
      <c r="E384" s="890">
        <v>35076</v>
      </c>
      <c r="F384" s="890">
        <v>4738</v>
      </c>
      <c r="G384" s="890">
        <v>60890</v>
      </c>
      <c r="H384" s="890">
        <v>3731</v>
      </c>
      <c r="I384" s="890">
        <v>50930</v>
      </c>
      <c r="J384" s="890">
        <v>44416</v>
      </c>
      <c r="K384" s="890">
        <v>84764</v>
      </c>
      <c r="L384" s="890">
        <v>24720</v>
      </c>
      <c r="M384" s="890">
        <v>33956</v>
      </c>
      <c r="N384" s="890">
        <v>0</v>
      </c>
      <c r="O384" s="890">
        <v>6</v>
      </c>
      <c r="P384" s="890">
        <v>0</v>
      </c>
      <c r="Q384" s="890">
        <v>1</v>
      </c>
      <c r="R384" s="890">
        <v>487</v>
      </c>
      <c r="S384" s="890">
        <v>1501</v>
      </c>
      <c r="T384" s="890">
        <v>4499</v>
      </c>
      <c r="U384" s="890">
        <v>10700</v>
      </c>
      <c r="V384" s="890">
        <v>0</v>
      </c>
      <c r="W384" s="890">
        <v>12</v>
      </c>
      <c r="X384" s="890">
        <v>1</v>
      </c>
      <c r="Y384" s="890">
        <v>56</v>
      </c>
      <c r="Z384" s="890">
        <v>302</v>
      </c>
      <c r="AA384" s="890">
        <v>3941</v>
      </c>
      <c r="AB384" s="890">
        <v>161</v>
      </c>
      <c r="AC384" s="890">
        <v>7317</v>
      </c>
      <c r="AD384" s="890">
        <f t="shared" si="86"/>
        <v>60313</v>
      </c>
      <c r="AE384" s="890">
        <f t="shared" si="81"/>
        <v>195527</v>
      </c>
      <c r="AF384" s="890">
        <f t="shared" si="82"/>
        <v>41159</v>
      </c>
      <c r="AG384" s="895">
        <f t="shared" si="83"/>
        <v>-31.8</v>
      </c>
      <c r="AH384" s="890">
        <f t="shared" si="84"/>
        <v>138036</v>
      </c>
      <c r="AI384" s="895">
        <f t="shared" si="85"/>
        <v>-29.4</v>
      </c>
    </row>
    <row r="385" spans="1:35" s="846" customFormat="1" ht="19.5" hidden="1" customHeight="1">
      <c r="A385" s="891" t="s">
        <v>87</v>
      </c>
      <c r="B385" s="890">
        <v>3206</v>
      </c>
      <c r="C385" s="890">
        <v>18081</v>
      </c>
      <c r="D385" s="890">
        <v>1843</v>
      </c>
      <c r="E385" s="890">
        <v>9137</v>
      </c>
      <c r="F385" s="890">
        <v>0</v>
      </c>
      <c r="G385" s="890">
        <v>0</v>
      </c>
      <c r="H385" s="890">
        <v>0</v>
      </c>
      <c r="I385" s="890">
        <v>0</v>
      </c>
      <c r="J385" s="890">
        <v>76550</v>
      </c>
      <c r="K385" s="890">
        <v>153490</v>
      </c>
      <c r="L385" s="890">
        <v>59622</v>
      </c>
      <c r="M385" s="890">
        <v>111161</v>
      </c>
      <c r="N385" s="890">
        <v>4770</v>
      </c>
      <c r="O385" s="890">
        <v>5355</v>
      </c>
      <c r="P385" s="890">
        <v>0</v>
      </c>
      <c r="Q385" s="890">
        <v>0</v>
      </c>
      <c r="R385" s="890">
        <v>0</v>
      </c>
      <c r="S385" s="890">
        <v>0</v>
      </c>
      <c r="T385" s="890">
        <v>0</v>
      </c>
      <c r="U385" s="890">
        <v>0</v>
      </c>
      <c r="V385" s="890">
        <v>0</v>
      </c>
      <c r="W385" s="890">
        <v>0</v>
      </c>
      <c r="X385" s="890">
        <v>0</v>
      </c>
      <c r="Y385" s="890">
        <v>0</v>
      </c>
      <c r="Z385" s="890">
        <v>11</v>
      </c>
      <c r="AA385" s="890">
        <v>55</v>
      </c>
      <c r="AB385" s="890">
        <v>0</v>
      </c>
      <c r="AC385" s="890">
        <v>0</v>
      </c>
      <c r="AD385" s="890">
        <f t="shared" si="86"/>
        <v>84537</v>
      </c>
      <c r="AE385" s="890">
        <f t="shared" si="81"/>
        <v>176981</v>
      </c>
      <c r="AF385" s="890">
        <f t="shared" si="82"/>
        <v>61465</v>
      </c>
      <c r="AG385" s="895">
        <f t="shared" si="83"/>
        <v>-27.3</v>
      </c>
      <c r="AH385" s="890">
        <f t="shared" si="84"/>
        <v>120298</v>
      </c>
      <c r="AI385" s="895">
        <f t="shared" si="85"/>
        <v>-32</v>
      </c>
    </row>
    <row r="386" spans="1:35" s="846" customFormat="1" ht="19.5" hidden="1" customHeight="1">
      <c r="A386" s="891" t="s">
        <v>59</v>
      </c>
      <c r="B386" s="890">
        <v>22095</v>
      </c>
      <c r="C386" s="890">
        <v>135897</v>
      </c>
      <c r="D386" s="890">
        <v>24701</v>
      </c>
      <c r="E386" s="890">
        <v>151470</v>
      </c>
      <c r="F386" s="890">
        <v>835</v>
      </c>
      <c r="G386" s="890">
        <v>418</v>
      </c>
      <c r="H386" s="890">
        <v>137</v>
      </c>
      <c r="I386" s="890">
        <v>392</v>
      </c>
      <c r="J386" s="890">
        <v>20589</v>
      </c>
      <c r="K386" s="890">
        <v>27048</v>
      </c>
      <c r="L386" s="890">
        <v>15894</v>
      </c>
      <c r="M386" s="890">
        <v>18988</v>
      </c>
      <c r="N386" s="890">
        <v>2589</v>
      </c>
      <c r="O386" s="890">
        <v>5013</v>
      </c>
      <c r="P386" s="890">
        <v>1091</v>
      </c>
      <c r="Q386" s="890">
        <v>1972</v>
      </c>
      <c r="R386" s="890">
        <v>174</v>
      </c>
      <c r="S386" s="890">
        <v>375</v>
      </c>
      <c r="T386" s="890">
        <v>17</v>
      </c>
      <c r="U386" s="890">
        <v>38</v>
      </c>
      <c r="V386" s="890">
        <v>44</v>
      </c>
      <c r="W386" s="890">
        <v>725</v>
      </c>
      <c r="X386" s="890">
        <v>60</v>
      </c>
      <c r="Y386" s="890">
        <v>1164</v>
      </c>
      <c r="Z386" s="890">
        <v>25</v>
      </c>
      <c r="AA386" s="890">
        <v>260</v>
      </c>
      <c r="AB386" s="890">
        <v>40</v>
      </c>
      <c r="AC386" s="890">
        <v>292</v>
      </c>
      <c r="AD386" s="890">
        <f t="shared" si="86"/>
        <v>46351</v>
      </c>
      <c r="AE386" s="890">
        <f t="shared" si="81"/>
        <v>169736</v>
      </c>
      <c r="AF386" s="890">
        <f t="shared" si="82"/>
        <v>41940</v>
      </c>
      <c r="AG386" s="895">
        <f t="shared" si="83"/>
        <v>-9.5</v>
      </c>
      <c r="AH386" s="890">
        <f t="shared" si="84"/>
        <v>174316</v>
      </c>
      <c r="AI386" s="895">
        <f t="shared" si="85"/>
        <v>2.7</v>
      </c>
    </row>
    <row r="387" spans="1:35" s="846" customFormat="1" ht="19.5" hidden="1" customHeight="1">
      <c r="A387" s="891" t="s">
        <v>90</v>
      </c>
      <c r="B387" s="890">
        <v>404</v>
      </c>
      <c r="C387" s="890">
        <v>2481</v>
      </c>
      <c r="D387" s="890">
        <v>826</v>
      </c>
      <c r="E387" s="890">
        <v>4493</v>
      </c>
      <c r="F387" s="890">
        <v>0</v>
      </c>
      <c r="G387" s="890">
        <v>0</v>
      </c>
      <c r="H387" s="890">
        <v>0</v>
      </c>
      <c r="I387" s="890">
        <v>0</v>
      </c>
      <c r="J387" s="890">
        <v>63390</v>
      </c>
      <c r="K387" s="890">
        <v>130109</v>
      </c>
      <c r="L387" s="890">
        <v>54674</v>
      </c>
      <c r="M387" s="890">
        <v>96050</v>
      </c>
      <c r="N387" s="890">
        <v>0</v>
      </c>
      <c r="O387" s="890">
        <v>0</v>
      </c>
      <c r="P387" s="890">
        <v>19</v>
      </c>
      <c r="Q387" s="890">
        <v>30</v>
      </c>
      <c r="R387" s="890">
        <v>0</v>
      </c>
      <c r="S387" s="890">
        <v>0</v>
      </c>
      <c r="T387" s="890">
        <v>0</v>
      </c>
      <c r="U387" s="890">
        <v>0</v>
      </c>
      <c r="V387" s="890">
        <v>0</v>
      </c>
      <c r="W387" s="890">
        <v>0</v>
      </c>
      <c r="X387" s="890">
        <v>0</v>
      </c>
      <c r="Y387" s="890">
        <v>0</v>
      </c>
      <c r="Z387" s="890">
        <v>0</v>
      </c>
      <c r="AA387" s="890">
        <v>0</v>
      </c>
      <c r="AB387" s="890">
        <v>0</v>
      </c>
      <c r="AC387" s="890">
        <v>0</v>
      </c>
      <c r="AD387" s="890">
        <f t="shared" si="86"/>
        <v>63794</v>
      </c>
      <c r="AE387" s="890">
        <f t="shared" si="81"/>
        <v>132590</v>
      </c>
      <c r="AF387" s="890">
        <f t="shared" si="82"/>
        <v>55519</v>
      </c>
      <c r="AG387" s="895">
        <f t="shared" si="83"/>
        <v>-13</v>
      </c>
      <c r="AH387" s="890">
        <f t="shared" si="84"/>
        <v>100573</v>
      </c>
      <c r="AI387" s="895">
        <f t="shared" si="85"/>
        <v>-24.1</v>
      </c>
    </row>
    <row r="388" spans="1:35" s="846" customFormat="1" ht="19.5" hidden="1" customHeight="1">
      <c r="A388" s="891" t="s">
        <v>76</v>
      </c>
      <c r="B388" s="890">
        <v>254</v>
      </c>
      <c r="C388" s="890">
        <v>3736</v>
      </c>
      <c r="D388" s="890">
        <v>142</v>
      </c>
      <c r="E388" s="890">
        <v>3160</v>
      </c>
      <c r="F388" s="890">
        <v>1051</v>
      </c>
      <c r="G388" s="890">
        <v>24742</v>
      </c>
      <c r="H388" s="890">
        <v>1007</v>
      </c>
      <c r="I388" s="890">
        <v>21919</v>
      </c>
      <c r="J388" s="890">
        <v>6588</v>
      </c>
      <c r="K388" s="890">
        <v>78697</v>
      </c>
      <c r="L388" s="890">
        <v>6170</v>
      </c>
      <c r="M388" s="890">
        <v>74884</v>
      </c>
      <c r="N388" s="890">
        <v>839</v>
      </c>
      <c r="O388" s="890">
        <v>1641</v>
      </c>
      <c r="P388" s="890">
        <v>219</v>
      </c>
      <c r="Q388" s="890">
        <v>424</v>
      </c>
      <c r="R388" s="890">
        <v>657</v>
      </c>
      <c r="S388" s="890">
        <v>3150</v>
      </c>
      <c r="T388" s="890">
        <v>601</v>
      </c>
      <c r="U388" s="890">
        <v>2705</v>
      </c>
      <c r="V388" s="890">
        <v>15</v>
      </c>
      <c r="W388" s="890">
        <v>375</v>
      </c>
      <c r="X388" s="890">
        <v>16</v>
      </c>
      <c r="Y388" s="890">
        <v>378</v>
      </c>
      <c r="Z388" s="890">
        <v>106</v>
      </c>
      <c r="AA388" s="890">
        <v>10278</v>
      </c>
      <c r="AB388" s="890">
        <v>178</v>
      </c>
      <c r="AC388" s="890">
        <v>8323</v>
      </c>
      <c r="AD388" s="890">
        <f t="shared" si="86"/>
        <v>9510</v>
      </c>
      <c r="AE388" s="890">
        <f t="shared" si="81"/>
        <v>122619</v>
      </c>
      <c r="AF388" s="890">
        <f t="shared" si="82"/>
        <v>8333</v>
      </c>
      <c r="AG388" s="895">
        <f t="shared" si="83"/>
        <v>-12.4</v>
      </c>
      <c r="AH388" s="890">
        <f t="shared" si="84"/>
        <v>111793</v>
      </c>
      <c r="AI388" s="895">
        <f t="shared" si="85"/>
        <v>-8.8000000000000007</v>
      </c>
    </row>
    <row r="389" spans="1:35" s="846" customFormat="1" ht="19.5" hidden="1" customHeight="1">
      <c r="A389" s="891" t="s">
        <v>91</v>
      </c>
      <c r="B389" s="890">
        <v>966</v>
      </c>
      <c r="C389" s="890">
        <v>5468</v>
      </c>
      <c r="D389" s="890">
        <v>1021</v>
      </c>
      <c r="E389" s="890">
        <v>5652</v>
      </c>
      <c r="F389" s="890">
        <v>0</v>
      </c>
      <c r="G389" s="890">
        <v>0</v>
      </c>
      <c r="H389" s="890">
        <v>0</v>
      </c>
      <c r="I389" s="890">
        <v>0</v>
      </c>
      <c r="J389" s="890">
        <v>48379</v>
      </c>
      <c r="K389" s="890">
        <v>99341</v>
      </c>
      <c r="L389" s="890">
        <v>50257</v>
      </c>
      <c r="M389" s="890">
        <v>91294</v>
      </c>
      <c r="N389" s="890">
        <v>0</v>
      </c>
      <c r="O389" s="890">
        <v>0</v>
      </c>
      <c r="P389" s="890">
        <v>0</v>
      </c>
      <c r="Q389" s="890">
        <v>0</v>
      </c>
      <c r="R389" s="890">
        <v>0</v>
      </c>
      <c r="S389" s="890">
        <v>0</v>
      </c>
      <c r="T389" s="890">
        <v>0</v>
      </c>
      <c r="U389" s="890">
        <v>0</v>
      </c>
      <c r="V389" s="890">
        <v>0</v>
      </c>
      <c r="W389" s="890">
        <v>0</v>
      </c>
      <c r="X389" s="890">
        <v>0</v>
      </c>
      <c r="Y389" s="890">
        <v>0</v>
      </c>
      <c r="Z389" s="890">
        <v>0</v>
      </c>
      <c r="AA389" s="890">
        <v>0</v>
      </c>
      <c r="AB389" s="890">
        <v>0</v>
      </c>
      <c r="AC389" s="890">
        <v>0</v>
      </c>
      <c r="AD389" s="890">
        <f t="shared" si="86"/>
        <v>49345</v>
      </c>
      <c r="AE389" s="890">
        <f t="shared" si="81"/>
        <v>104809</v>
      </c>
      <c r="AF389" s="890">
        <f t="shared" si="82"/>
        <v>51278</v>
      </c>
      <c r="AG389" s="895">
        <f t="shared" si="83"/>
        <v>3.9</v>
      </c>
      <c r="AH389" s="890">
        <f t="shared" si="84"/>
        <v>96946</v>
      </c>
      <c r="AI389" s="895">
        <f t="shared" si="85"/>
        <v>-7.5</v>
      </c>
    </row>
    <row r="390" spans="1:35" s="846" customFormat="1" ht="19.5" hidden="1" customHeight="1">
      <c r="A390" s="891" t="s">
        <v>308</v>
      </c>
      <c r="B390" s="890">
        <v>44</v>
      </c>
      <c r="C390" s="890">
        <v>223</v>
      </c>
      <c r="D390" s="890">
        <v>0</v>
      </c>
      <c r="E390" s="890">
        <v>0</v>
      </c>
      <c r="F390" s="890">
        <v>6322</v>
      </c>
      <c r="G390" s="890">
        <v>80551</v>
      </c>
      <c r="H390" s="890">
        <v>3244</v>
      </c>
      <c r="I390" s="890">
        <v>44990</v>
      </c>
      <c r="J390" s="890">
        <v>0</v>
      </c>
      <c r="K390" s="890">
        <v>0</v>
      </c>
      <c r="L390" s="890">
        <v>0</v>
      </c>
      <c r="M390" s="890">
        <v>1</v>
      </c>
      <c r="N390" s="890">
        <v>0</v>
      </c>
      <c r="O390" s="890">
        <v>0</v>
      </c>
      <c r="P390" s="890">
        <v>0</v>
      </c>
      <c r="Q390" s="890">
        <v>0</v>
      </c>
      <c r="R390" s="890">
        <v>0</v>
      </c>
      <c r="S390" s="890">
        <v>0</v>
      </c>
      <c r="T390" s="890">
        <v>0</v>
      </c>
      <c r="U390" s="890">
        <v>0</v>
      </c>
      <c r="V390" s="890">
        <v>0</v>
      </c>
      <c r="W390" s="890">
        <v>0</v>
      </c>
      <c r="X390" s="890">
        <v>0</v>
      </c>
      <c r="Y390" s="890">
        <v>0</v>
      </c>
      <c r="Z390" s="890">
        <v>0</v>
      </c>
      <c r="AA390" s="890">
        <v>0</v>
      </c>
      <c r="AB390" s="890">
        <v>0</v>
      </c>
      <c r="AC390" s="890">
        <v>0</v>
      </c>
      <c r="AD390" s="890">
        <f t="shared" si="86"/>
        <v>6366</v>
      </c>
      <c r="AE390" s="890">
        <f t="shared" si="81"/>
        <v>80774</v>
      </c>
      <c r="AF390" s="890">
        <f t="shared" si="82"/>
        <v>3244</v>
      </c>
      <c r="AG390" s="895">
        <f t="shared" si="83"/>
        <v>-49</v>
      </c>
      <c r="AH390" s="890">
        <f t="shared" si="84"/>
        <v>44991</v>
      </c>
      <c r="AI390" s="895">
        <f t="shared" si="85"/>
        <v>-44.3</v>
      </c>
    </row>
    <row r="391" spans="1:35" s="846" customFormat="1" ht="19.5" hidden="1" customHeight="1">
      <c r="A391" s="891" t="s">
        <v>71</v>
      </c>
      <c r="B391" s="890">
        <v>2364</v>
      </c>
      <c r="C391" s="890">
        <v>17677</v>
      </c>
      <c r="D391" s="890">
        <v>4466</v>
      </c>
      <c r="E391" s="890">
        <v>27719</v>
      </c>
      <c r="F391" s="890">
        <v>288</v>
      </c>
      <c r="G391" s="890">
        <v>8443</v>
      </c>
      <c r="H391" s="890">
        <v>310</v>
      </c>
      <c r="I391" s="890">
        <v>8265</v>
      </c>
      <c r="J391" s="890">
        <v>22863</v>
      </c>
      <c r="K391" s="890">
        <v>41397</v>
      </c>
      <c r="L391" s="890">
        <v>25561</v>
      </c>
      <c r="M391" s="890">
        <v>41529</v>
      </c>
      <c r="N391" s="890">
        <v>4</v>
      </c>
      <c r="O391" s="890">
        <v>33</v>
      </c>
      <c r="P391" s="890">
        <v>300</v>
      </c>
      <c r="Q391" s="890">
        <v>600</v>
      </c>
      <c r="R391" s="890">
        <v>3</v>
      </c>
      <c r="S391" s="890">
        <v>50</v>
      </c>
      <c r="T391" s="890">
        <v>1</v>
      </c>
      <c r="U391" s="890">
        <v>46</v>
      </c>
      <c r="V391" s="890">
        <v>13</v>
      </c>
      <c r="W391" s="890">
        <v>310</v>
      </c>
      <c r="X391" s="890">
        <v>15</v>
      </c>
      <c r="Y391" s="890">
        <v>293</v>
      </c>
      <c r="Z391" s="890">
        <v>711</v>
      </c>
      <c r="AA391" s="890">
        <v>17202</v>
      </c>
      <c r="AB391" s="890">
        <v>699</v>
      </c>
      <c r="AC391" s="890">
        <v>10953</v>
      </c>
      <c r="AD391" s="890">
        <f t="shared" si="86"/>
        <v>26246</v>
      </c>
      <c r="AE391" s="890">
        <f t="shared" si="81"/>
        <v>85112</v>
      </c>
      <c r="AF391" s="890">
        <f t="shared" si="82"/>
        <v>31352</v>
      </c>
      <c r="AG391" s="895">
        <f t="shared" si="83"/>
        <v>19.5</v>
      </c>
      <c r="AH391" s="890">
        <f t="shared" si="84"/>
        <v>89405</v>
      </c>
      <c r="AI391" s="895">
        <f t="shared" si="85"/>
        <v>5</v>
      </c>
    </row>
    <row r="392" spans="1:35" s="846" customFormat="1" ht="19.5" hidden="1" customHeight="1">
      <c r="A392" s="891" t="s">
        <v>88</v>
      </c>
      <c r="B392" s="890">
        <v>11798</v>
      </c>
      <c r="C392" s="890">
        <v>63786</v>
      </c>
      <c r="D392" s="890">
        <v>7941</v>
      </c>
      <c r="E392" s="890">
        <v>39394</v>
      </c>
      <c r="F392" s="890">
        <v>0</v>
      </c>
      <c r="G392" s="890">
        <v>0</v>
      </c>
      <c r="H392" s="890">
        <v>0</v>
      </c>
      <c r="I392" s="890">
        <v>0</v>
      </c>
      <c r="J392" s="890">
        <v>4917</v>
      </c>
      <c r="K392" s="890">
        <v>8005</v>
      </c>
      <c r="L392" s="890">
        <v>1508</v>
      </c>
      <c r="M392" s="890">
        <v>2166</v>
      </c>
      <c r="N392" s="890">
        <v>5196</v>
      </c>
      <c r="O392" s="890">
        <v>10170</v>
      </c>
      <c r="P392" s="890">
        <v>9741</v>
      </c>
      <c r="Q392" s="890">
        <v>17546</v>
      </c>
      <c r="R392" s="890">
        <v>0</v>
      </c>
      <c r="S392" s="890">
        <v>0</v>
      </c>
      <c r="T392" s="890">
        <v>0</v>
      </c>
      <c r="U392" s="890">
        <v>0</v>
      </c>
      <c r="V392" s="890">
        <v>0</v>
      </c>
      <c r="W392" s="890">
        <v>0</v>
      </c>
      <c r="X392" s="890">
        <v>0</v>
      </c>
      <c r="Y392" s="890">
        <v>0</v>
      </c>
      <c r="Z392" s="890">
        <v>0</v>
      </c>
      <c r="AA392" s="890">
        <v>0</v>
      </c>
      <c r="AB392" s="890">
        <v>0</v>
      </c>
      <c r="AC392" s="890">
        <v>0</v>
      </c>
      <c r="AD392" s="890">
        <f t="shared" si="86"/>
        <v>21911</v>
      </c>
      <c r="AE392" s="890">
        <f t="shared" si="81"/>
        <v>81961</v>
      </c>
      <c r="AF392" s="890">
        <f t="shared" si="82"/>
        <v>19190</v>
      </c>
      <c r="AG392" s="895">
        <f t="shared" si="83"/>
        <v>-12.4</v>
      </c>
      <c r="AH392" s="890">
        <f t="shared" si="84"/>
        <v>59106</v>
      </c>
      <c r="AI392" s="895">
        <f t="shared" si="85"/>
        <v>-27.9</v>
      </c>
    </row>
    <row r="393" spans="1:35" s="846" customFormat="1" ht="19.5" hidden="1" customHeight="1">
      <c r="A393" s="891" t="s">
        <v>65</v>
      </c>
      <c r="B393" s="890">
        <v>8941</v>
      </c>
      <c r="C393" s="890">
        <v>41721</v>
      </c>
      <c r="D393" s="890">
        <v>19706</v>
      </c>
      <c r="E393" s="890">
        <v>96259</v>
      </c>
      <c r="F393" s="890">
        <v>17</v>
      </c>
      <c r="G393" s="890">
        <v>2020</v>
      </c>
      <c r="H393" s="890">
        <v>8</v>
      </c>
      <c r="I393" s="890">
        <v>910</v>
      </c>
      <c r="J393" s="890">
        <v>18774</v>
      </c>
      <c r="K393" s="890">
        <v>25568</v>
      </c>
      <c r="L393" s="890">
        <v>31764</v>
      </c>
      <c r="M393" s="890">
        <v>38421</v>
      </c>
      <c r="N393" s="890">
        <v>164</v>
      </c>
      <c r="O393" s="890">
        <v>346</v>
      </c>
      <c r="P393" s="890">
        <v>6318</v>
      </c>
      <c r="Q393" s="890">
        <v>11929</v>
      </c>
      <c r="R393" s="890">
        <v>0</v>
      </c>
      <c r="S393" s="890">
        <v>0</v>
      </c>
      <c r="T393" s="890">
        <v>42</v>
      </c>
      <c r="U393" s="890">
        <v>91</v>
      </c>
      <c r="V393" s="890">
        <v>0</v>
      </c>
      <c r="W393" s="890">
        <v>0</v>
      </c>
      <c r="X393" s="890">
        <v>0</v>
      </c>
      <c r="Y393" s="890">
        <v>0</v>
      </c>
      <c r="Z393" s="890">
        <v>145</v>
      </c>
      <c r="AA393" s="890">
        <v>2866</v>
      </c>
      <c r="AB393" s="890">
        <v>96</v>
      </c>
      <c r="AC393" s="890">
        <v>1112</v>
      </c>
      <c r="AD393" s="890">
        <f t="shared" si="86"/>
        <v>28041</v>
      </c>
      <c r="AE393" s="890">
        <f t="shared" si="81"/>
        <v>72521</v>
      </c>
      <c r="AF393" s="890">
        <f t="shared" si="82"/>
        <v>57934</v>
      </c>
      <c r="AG393" s="895">
        <f t="shared" si="83"/>
        <v>106.6</v>
      </c>
      <c r="AH393" s="890">
        <f t="shared" si="84"/>
        <v>148722</v>
      </c>
      <c r="AI393" s="895">
        <f t="shared" si="85"/>
        <v>105.1</v>
      </c>
    </row>
    <row r="394" spans="1:35" s="846" customFormat="1" ht="19.5" hidden="1" customHeight="1">
      <c r="A394" s="891" t="s">
        <v>66</v>
      </c>
      <c r="B394" s="890">
        <v>10473</v>
      </c>
      <c r="C394" s="890">
        <v>50824</v>
      </c>
      <c r="D394" s="890">
        <v>8885</v>
      </c>
      <c r="E394" s="890">
        <v>48724</v>
      </c>
      <c r="F394" s="890">
        <v>55</v>
      </c>
      <c r="G394" s="890">
        <v>419</v>
      </c>
      <c r="H394" s="890">
        <v>200</v>
      </c>
      <c r="I394" s="890">
        <v>614</v>
      </c>
      <c r="J394" s="890">
        <v>5154</v>
      </c>
      <c r="K394" s="890">
        <v>11686</v>
      </c>
      <c r="L394" s="890">
        <v>3127</v>
      </c>
      <c r="M394" s="890">
        <v>11376</v>
      </c>
      <c r="N394" s="890">
        <v>4</v>
      </c>
      <c r="O394" s="890">
        <v>564</v>
      </c>
      <c r="P394" s="890">
        <v>363</v>
      </c>
      <c r="Q394" s="890">
        <v>1099</v>
      </c>
      <c r="R394" s="890">
        <v>0</v>
      </c>
      <c r="S394" s="890">
        <v>1</v>
      </c>
      <c r="T394" s="890">
        <v>0</v>
      </c>
      <c r="U394" s="890">
        <v>0</v>
      </c>
      <c r="V394" s="890">
        <v>2</v>
      </c>
      <c r="W394" s="890">
        <v>64</v>
      </c>
      <c r="X394" s="890">
        <v>2</v>
      </c>
      <c r="Y394" s="890">
        <v>54</v>
      </c>
      <c r="Z394" s="890">
        <v>761</v>
      </c>
      <c r="AA394" s="890">
        <v>2259</v>
      </c>
      <c r="AB394" s="890">
        <v>337</v>
      </c>
      <c r="AC394" s="890">
        <v>1219</v>
      </c>
      <c r="AD394" s="890">
        <f t="shared" si="86"/>
        <v>16449</v>
      </c>
      <c r="AE394" s="890">
        <f t="shared" si="81"/>
        <v>65817</v>
      </c>
      <c r="AF394" s="890">
        <f t="shared" si="82"/>
        <v>12914</v>
      </c>
      <c r="AG394" s="895">
        <f t="shared" si="83"/>
        <v>-21.5</v>
      </c>
      <c r="AH394" s="890">
        <f t="shared" si="84"/>
        <v>63086</v>
      </c>
      <c r="AI394" s="895">
        <f t="shared" si="85"/>
        <v>-4.0999999999999996</v>
      </c>
    </row>
    <row r="395" spans="1:35" s="846" customFormat="1" ht="19.5" hidden="1" customHeight="1">
      <c r="A395" s="891" t="s">
        <v>89</v>
      </c>
      <c r="B395" s="890">
        <v>6397</v>
      </c>
      <c r="C395" s="890">
        <v>37026</v>
      </c>
      <c r="D395" s="890">
        <v>8287</v>
      </c>
      <c r="E395" s="890">
        <v>13615</v>
      </c>
      <c r="F395" s="890">
        <v>774</v>
      </c>
      <c r="G395" s="890">
        <v>10749</v>
      </c>
      <c r="H395" s="890">
        <v>166</v>
      </c>
      <c r="I395" s="890">
        <v>2474</v>
      </c>
      <c r="J395" s="890">
        <v>6028</v>
      </c>
      <c r="K395" s="890">
        <v>10276</v>
      </c>
      <c r="L395" s="890">
        <v>8926</v>
      </c>
      <c r="M395" s="890">
        <v>13663</v>
      </c>
      <c r="N395" s="890">
        <v>987</v>
      </c>
      <c r="O395" s="890">
        <v>2002</v>
      </c>
      <c r="P395" s="890">
        <v>960</v>
      </c>
      <c r="Q395" s="890">
        <v>1736</v>
      </c>
      <c r="R395" s="890">
        <v>0</v>
      </c>
      <c r="S395" s="890">
        <v>0</v>
      </c>
      <c r="T395" s="890">
        <v>0</v>
      </c>
      <c r="U395" s="890">
        <v>0</v>
      </c>
      <c r="V395" s="890">
        <v>0</v>
      </c>
      <c r="W395" s="890">
        <v>0</v>
      </c>
      <c r="X395" s="890">
        <v>0</v>
      </c>
      <c r="Y395" s="890">
        <v>0</v>
      </c>
      <c r="Z395" s="890">
        <v>197</v>
      </c>
      <c r="AA395" s="890">
        <v>1076</v>
      </c>
      <c r="AB395" s="890">
        <v>120</v>
      </c>
      <c r="AC395" s="890">
        <v>544</v>
      </c>
      <c r="AD395" s="890">
        <f t="shared" si="86"/>
        <v>14383</v>
      </c>
      <c r="AE395" s="890">
        <f t="shared" si="81"/>
        <v>61129</v>
      </c>
      <c r="AF395" s="890">
        <f t="shared" si="82"/>
        <v>18459</v>
      </c>
      <c r="AG395" s="895">
        <f t="shared" si="83"/>
        <v>28.3</v>
      </c>
      <c r="AH395" s="890">
        <f t="shared" si="84"/>
        <v>32032</v>
      </c>
      <c r="AI395" s="895">
        <f t="shared" si="85"/>
        <v>-47.6</v>
      </c>
    </row>
    <row r="396" spans="1:35" s="846" customFormat="1" ht="19.5" hidden="1" customHeight="1">
      <c r="A396" s="891" t="s">
        <v>309</v>
      </c>
      <c r="B396" s="890">
        <v>4</v>
      </c>
      <c r="C396" s="890">
        <v>97</v>
      </c>
      <c r="D396" s="890">
        <v>10</v>
      </c>
      <c r="E396" s="890">
        <v>139</v>
      </c>
      <c r="F396" s="890">
        <v>4170</v>
      </c>
      <c r="G396" s="890">
        <v>61011</v>
      </c>
      <c r="H396" s="890">
        <v>3244</v>
      </c>
      <c r="I396" s="890">
        <v>46371</v>
      </c>
      <c r="J396" s="890">
        <v>29</v>
      </c>
      <c r="K396" s="890">
        <v>293</v>
      </c>
      <c r="L396" s="890">
        <v>149</v>
      </c>
      <c r="M396" s="890">
        <v>734</v>
      </c>
      <c r="N396" s="890">
        <v>0</v>
      </c>
      <c r="O396" s="890">
        <v>0</v>
      </c>
      <c r="P396" s="890">
        <v>0</v>
      </c>
      <c r="Q396" s="890">
        <v>0</v>
      </c>
      <c r="R396" s="890">
        <v>0</v>
      </c>
      <c r="S396" s="890">
        <v>5</v>
      </c>
      <c r="T396" s="890">
        <v>0</v>
      </c>
      <c r="U396" s="890">
        <v>3</v>
      </c>
      <c r="V396" s="890">
        <v>0</v>
      </c>
      <c r="W396" s="890">
        <v>0</v>
      </c>
      <c r="X396" s="890">
        <v>0</v>
      </c>
      <c r="Y396" s="890">
        <v>0</v>
      </c>
      <c r="Z396" s="890">
        <v>13</v>
      </c>
      <c r="AA396" s="890">
        <v>421</v>
      </c>
      <c r="AB396" s="890">
        <v>11</v>
      </c>
      <c r="AC396" s="890">
        <v>396</v>
      </c>
      <c r="AD396" s="890">
        <f t="shared" si="86"/>
        <v>4216</v>
      </c>
      <c r="AE396" s="890">
        <f t="shared" si="81"/>
        <v>61827</v>
      </c>
      <c r="AF396" s="890">
        <f t="shared" si="82"/>
        <v>3414</v>
      </c>
      <c r="AG396" s="895">
        <f t="shared" si="83"/>
        <v>-19</v>
      </c>
      <c r="AH396" s="890">
        <f t="shared" si="84"/>
        <v>47643</v>
      </c>
      <c r="AI396" s="895">
        <f t="shared" si="85"/>
        <v>-22.9</v>
      </c>
    </row>
    <row r="397" spans="1:35" s="846" customFormat="1" ht="19.5" hidden="1" customHeight="1">
      <c r="A397" s="891" t="s">
        <v>92</v>
      </c>
      <c r="B397" s="890">
        <v>7853</v>
      </c>
      <c r="C397" s="890">
        <v>43109</v>
      </c>
      <c r="D397" s="890">
        <v>6069</v>
      </c>
      <c r="E397" s="890">
        <v>30693</v>
      </c>
      <c r="F397" s="890">
        <v>0</v>
      </c>
      <c r="G397" s="890">
        <v>1</v>
      </c>
      <c r="H397" s="890">
        <v>0</v>
      </c>
      <c r="I397" s="890">
        <v>14</v>
      </c>
      <c r="J397" s="890">
        <v>7882</v>
      </c>
      <c r="K397" s="890">
        <v>12510</v>
      </c>
      <c r="L397" s="890">
        <v>12364</v>
      </c>
      <c r="M397" s="890">
        <v>16376</v>
      </c>
      <c r="N397" s="890">
        <v>0</v>
      </c>
      <c r="O397" s="890">
        <v>0</v>
      </c>
      <c r="P397" s="890">
        <v>25</v>
      </c>
      <c r="Q397" s="890">
        <v>42</v>
      </c>
      <c r="R397" s="890">
        <v>0</v>
      </c>
      <c r="S397" s="890">
        <v>0</v>
      </c>
      <c r="T397" s="890">
        <v>0</v>
      </c>
      <c r="U397" s="890">
        <v>0</v>
      </c>
      <c r="V397" s="890">
        <v>0</v>
      </c>
      <c r="W397" s="890">
        <v>0</v>
      </c>
      <c r="X397" s="890">
        <v>0</v>
      </c>
      <c r="Y397" s="890">
        <v>0</v>
      </c>
      <c r="Z397" s="890">
        <v>6</v>
      </c>
      <c r="AA397" s="890">
        <v>87</v>
      </c>
      <c r="AB397" s="890">
        <v>4</v>
      </c>
      <c r="AC397" s="890">
        <v>40</v>
      </c>
      <c r="AD397" s="890">
        <f t="shared" si="86"/>
        <v>15741</v>
      </c>
      <c r="AE397" s="890">
        <f t="shared" si="81"/>
        <v>55707</v>
      </c>
      <c r="AF397" s="890">
        <f t="shared" si="82"/>
        <v>18462</v>
      </c>
      <c r="AG397" s="895">
        <f t="shared" si="83"/>
        <v>17.3</v>
      </c>
      <c r="AH397" s="890">
        <f t="shared" si="84"/>
        <v>47165</v>
      </c>
      <c r="AI397" s="895">
        <f t="shared" si="85"/>
        <v>-15.3</v>
      </c>
    </row>
    <row r="398" spans="1:35" s="846" customFormat="1" ht="19.5" hidden="1" customHeight="1">
      <c r="A398" s="877" t="s">
        <v>78</v>
      </c>
      <c r="B398" s="892">
        <f t="shared" ref="B398:M398" si="87">B399-SUM(B368:B397)</f>
        <v>115315</v>
      </c>
      <c r="C398" s="892">
        <f t="shared" si="87"/>
        <v>615554</v>
      </c>
      <c r="D398" s="892">
        <f t="shared" si="87"/>
        <v>97812</v>
      </c>
      <c r="E398" s="892">
        <f t="shared" si="87"/>
        <v>483286</v>
      </c>
      <c r="F398" s="892">
        <f t="shared" si="87"/>
        <v>5431</v>
      </c>
      <c r="G398" s="892">
        <f t="shared" si="87"/>
        <v>67276</v>
      </c>
      <c r="H398" s="892">
        <f t="shared" si="87"/>
        <v>11353</v>
      </c>
      <c r="I398" s="892">
        <f t="shared" si="87"/>
        <v>115949</v>
      </c>
      <c r="J398" s="892">
        <f t="shared" si="87"/>
        <v>120875</v>
      </c>
      <c r="K398" s="892">
        <f t="shared" si="87"/>
        <v>208962</v>
      </c>
      <c r="L398" s="892">
        <f t="shared" si="87"/>
        <v>112152</v>
      </c>
      <c r="M398" s="892">
        <f t="shared" si="87"/>
        <v>199634</v>
      </c>
      <c r="N398" s="892">
        <f t="shared" ref="N398:Y398" si="88">N399-SUM(N368:N397)</f>
        <v>12764</v>
      </c>
      <c r="O398" s="892">
        <f t="shared" si="88"/>
        <v>25480</v>
      </c>
      <c r="P398" s="892">
        <f t="shared" si="88"/>
        <v>14771</v>
      </c>
      <c r="Q398" s="892">
        <f t="shared" si="88"/>
        <v>27333</v>
      </c>
      <c r="R398" s="892">
        <f t="shared" si="88"/>
        <v>7437</v>
      </c>
      <c r="S398" s="892">
        <f t="shared" si="88"/>
        <v>22743</v>
      </c>
      <c r="T398" s="892">
        <f t="shared" si="88"/>
        <v>8887</v>
      </c>
      <c r="U398" s="892">
        <f t="shared" si="88"/>
        <v>22583</v>
      </c>
      <c r="V398" s="892">
        <f t="shared" si="88"/>
        <v>373</v>
      </c>
      <c r="W398" s="892">
        <f t="shared" si="88"/>
        <v>6377</v>
      </c>
      <c r="X398" s="892">
        <f t="shared" si="88"/>
        <v>190</v>
      </c>
      <c r="Y398" s="892">
        <f t="shared" si="88"/>
        <v>3162</v>
      </c>
      <c r="Z398" s="892">
        <f t="shared" ref="Z398:AC398" si="89">Z399-SUM(Z368:Z397)</f>
        <v>4726</v>
      </c>
      <c r="AA398" s="892">
        <f t="shared" si="89"/>
        <v>69159</v>
      </c>
      <c r="AB398" s="892">
        <f t="shared" si="89"/>
        <v>4841</v>
      </c>
      <c r="AC398" s="892">
        <f t="shared" si="89"/>
        <v>65636</v>
      </c>
      <c r="AD398" s="892">
        <f t="shared" ref="AD398:AF398" si="90">AD399-SUM(AD368:AD397)</f>
        <v>266921</v>
      </c>
      <c r="AE398" s="892">
        <f t="shared" si="90"/>
        <v>1015551</v>
      </c>
      <c r="AF398" s="892">
        <f t="shared" si="90"/>
        <v>250006</v>
      </c>
      <c r="AG398" s="896">
        <f t="shared" si="83"/>
        <v>-6.3</v>
      </c>
      <c r="AH398" s="892">
        <f>AH399-SUM(AH368:AH397)</f>
        <v>917583</v>
      </c>
      <c r="AI398" s="896">
        <f t="shared" si="85"/>
        <v>-9.6</v>
      </c>
    </row>
    <row r="399" spans="1:35" s="846" customFormat="1" ht="19.5" hidden="1" customHeight="1">
      <c r="A399" s="878" t="s">
        <v>79</v>
      </c>
      <c r="B399" s="893">
        <v>713409</v>
      </c>
      <c r="C399" s="894">
        <v>4511467</v>
      </c>
      <c r="D399" s="894">
        <v>680325</v>
      </c>
      <c r="E399" s="894">
        <v>4109321</v>
      </c>
      <c r="F399" s="894">
        <v>49682</v>
      </c>
      <c r="G399" s="894">
        <v>869266</v>
      </c>
      <c r="H399" s="894">
        <v>48038</v>
      </c>
      <c r="I399" s="894">
        <v>827460</v>
      </c>
      <c r="J399" s="894">
        <v>2433116</v>
      </c>
      <c r="K399" s="894">
        <v>5251890</v>
      </c>
      <c r="L399" s="894">
        <v>2341919</v>
      </c>
      <c r="M399" s="894">
        <v>4666962</v>
      </c>
      <c r="N399" s="894">
        <v>118626</v>
      </c>
      <c r="O399" s="894">
        <v>236241</v>
      </c>
      <c r="P399" s="894">
        <v>122421</v>
      </c>
      <c r="Q399" s="894">
        <v>233470</v>
      </c>
      <c r="R399" s="894">
        <v>47240</v>
      </c>
      <c r="S399" s="894">
        <v>137957</v>
      </c>
      <c r="T399" s="894">
        <v>38668</v>
      </c>
      <c r="U399" s="894">
        <v>98235</v>
      </c>
      <c r="V399" s="894">
        <v>11835</v>
      </c>
      <c r="W399" s="894">
        <v>238641</v>
      </c>
      <c r="X399" s="894">
        <v>12174</v>
      </c>
      <c r="Y399" s="894">
        <v>215797</v>
      </c>
      <c r="Z399" s="894">
        <v>130172</v>
      </c>
      <c r="AA399" s="894">
        <v>922505</v>
      </c>
      <c r="AB399" s="894">
        <v>118227</v>
      </c>
      <c r="AC399" s="894">
        <v>779119</v>
      </c>
      <c r="AD399" s="894">
        <f>SUM(B399+F399+J399+N399+R399+V399+Z399)</f>
        <v>3504080</v>
      </c>
      <c r="AE399" s="893">
        <f>SUM(C399+G399+K399+O399+S399+W399+AA399)</f>
        <v>12167967</v>
      </c>
      <c r="AF399" s="894">
        <f>SUM(D399+H399+L399+P399+T399+X399+AB399)</f>
        <v>3361772</v>
      </c>
      <c r="AG399" s="896">
        <f t="shared" si="83"/>
        <v>-4.0999999999999996</v>
      </c>
      <c r="AH399" s="893">
        <f>SUM(E399+I399+M399+Q399+U399+Y399+AC399)</f>
        <v>10930364</v>
      </c>
      <c r="AI399" s="896">
        <f t="shared" si="85"/>
        <v>-10.199999999999999</v>
      </c>
    </row>
    <row r="400" spans="1:35" hidden="1"/>
    <row r="401" spans="1:35" s="846" customFormat="1" ht="22.5">
      <c r="A401" s="1095" t="s">
        <v>731</v>
      </c>
      <c r="B401" s="1095"/>
      <c r="C401" s="1095"/>
      <c r="D401" s="1095"/>
      <c r="E401" s="1095"/>
      <c r="F401" s="1095"/>
      <c r="G401" s="1095"/>
      <c r="H401" s="1095"/>
      <c r="I401" s="1095"/>
      <c r="J401" s="1095"/>
      <c r="K401" s="1095"/>
      <c r="L401" s="1095"/>
      <c r="M401" s="1095"/>
      <c r="N401" s="1095"/>
      <c r="O401" s="1095"/>
      <c r="P401" s="1095"/>
      <c r="Q401" s="1095"/>
      <c r="R401" s="1095"/>
      <c r="S401" s="1095"/>
      <c r="T401" s="1095"/>
      <c r="U401" s="1095"/>
      <c r="V401" s="1095"/>
      <c r="W401" s="1095"/>
      <c r="X401" s="1095"/>
      <c r="Y401" s="1095"/>
      <c r="Z401" s="1095"/>
      <c r="AA401" s="1095"/>
      <c r="AB401" s="1095"/>
      <c r="AC401" s="1095"/>
      <c r="AD401" s="1095"/>
      <c r="AE401" s="1095"/>
      <c r="AF401" s="1095"/>
      <c r="AG401" s="1095"/>
      <c r="AH401" s="1095"/>
      <c r="AI401" s="1095"/>
    </row>
    <row r="402" spans="1:35" s="846" customFormat="1" ht="22.5">
      <c r="A402" s="1070"/>
      <c r="B402" s="1070"/>
      <c r="C402" s="1070"/>
      <c r="D402" s="1070"/>
      <c r="E402" s="1070"/>
      <c r="F402" s="1070"/>
      <c r="G402" s="1070"/>
      <c r="H402" s="1070"/>
      <c r="I402" s="1070"/>
      <c r="J402" s="1070"/>
      <c r="K402" s="1070"/>
      <c r="L402" s="1070"/>
      <c r="M402" s="1070"/>
      <c r="N402" s="1070"/>
      <c r="O402" s="1070"/>
      <c r="P402" s="1070"/>
      <c r="Q402" s="1070"/>
      <c r="R402" s="1070"/>
      <c r="S402" s="1070"/>
      <c r="T402" s="1070"/>
      <c r="U402" s="1070"/>
      <c r="V402" s="1070"/>
      <c r="W402" s="1070"/>
      <c r="X402" s="1070"/>
      <c r="Y402" s="1070"/>
      <c r="Z402" s="1070"/>
      <c r="AA402" s="1070"/>
      <c r="AB402" s="1070"/>
      <c r="AC402" s="1070"/>
      <c r="AD402" s="1070"/>
      <c r="AE402" s="1070"/>
      <c r="AF402" s="1070"/>
      <c r="AG402" s="1070"/>
      <c r="AH402" s="1070"/>
      <c r="AI402" s="1070"/>
    </row>
    <row r="403" spans="1:35" s="846" customFormat="1">
      <c r="A403" s="871"/>
      <c r="B403" s="871"/>
      <c r="C403" s="872"/>
      <c r="D403" s="873"/>
      <c r="E403" s="881"/>
      <c r="F403" s="872"/>
      <c r="G403" s="872"/>
      <c r="H403" s="872"/>
      <c r="I403" s="872"/>
      <c r="J403" s="872"/>
      <c r="K403" s="872"/>
      <c r="L403" s="872"/>
      <c r="M403" s="872"/>
      <c r="N403" s="872"/>
      <c r="O403" s="872"/>
      <c r="P403" s="872"/>
      <c r="Q403" s="872"/>
      <c r="R403" s="872"/>
      <c r="S403" s="872"/>
      <c r="T403" s="872"/>
      <c r="U403" s="872"/>
      <c r="V403" s="887"/>
      <c r="W403" s="887"/>
      <c r="X403" s="872"/>
      <c r="Y403" s="872"/>
      <c r="Z403" s="872"/>
      <c r="AA403" s="872"/>
      <c r="AB403" s="872"/>
      <c r="AC403" s="872"/>
      <c r="AD403" s="872"/>
      <c r="AE403" s="872"/>
      <c r="AF403" s="872"/>
      <c r="AG403" s="872"/>
      <c r="AH403" s="872"/>
      <c r="AI403" s="872"/>
    </row>
    <row r="404" spans="1:35" s="846" customFormat="1" ht="21.75" customHeight="1">
      <c r="A404" s="1149" t="s">
        <v>43</v>
      </c>
      <c r="B404" s="1151" t="s">
        <v>733</v>
      </c>
      <c r="C404" s="1153"/>
      <c r="D404" s="1153"/>
      <c r="E404" s="1152"/>
      <c r="F404" s="1151" t="s">
        <v>734</v>
      </c>
      <c r="G404" s="1153"/>
      <c r="H404" s="1153"/>
      <c r="I404" s="1152"/>
      <c r="J404" s="1151" t="s">
        <v>735</v>
      </c>
      <c r="K404" s="1153"/>
      <c r="L404" s="1153"/>
      <c r="M404" s="1152"/>
      <c r="N404" s="1151" t="s">
        <v>736</v>
      </c>
      <c r="O404" s="1153"/>
      <c r="P404" s="1153"/>
      <c r="Q404" s="1152"/>
      <c r="R404" s="1151" t="s">
        <v>737</v>
      </c>
      <c r="S404" s="1153"/>
      <c r="T404" s="1153"/>
      <c r="U404" s="1152"/>
      <c r="V404" s="1151" t="s">
        <v>738</v>
      </c>
      <c r="W404" s="1153"/>
      <c r="X404" s="1153"/>
      <c r="Y404" s="1152"/>
      <c r="Z404" s="1151" t="s">
        <v>739</v>
      </c>
      <c r="AA404" s="1153"/>
      <c r="AB404" s="1153"/>
      <c r="AC404" s="1152"/>
      <c r="AD404" s="1151" t="s">
        <v>732</v>
      </c>
      <c r="AE404" s="1153"/>
      <c r="AF404" s="1153"/>
      <c r="AG404" s="1153"/>
      <c r="AH404" s="1153"/>
      <c r="AI404" s="1152"/>
    </row>
    <row r="405" spans="1:35" s="846" customFormat="1" ht="21" customHeight="1">
      <c r="A405" s="1154"/>
      <c r="B405" s="1151" t="s">
        <v>315</v>
      </c>
      <c r="C405" s="1152"/>
      <c r="D405" s="1151" t="s">
        <v>459</v>
      </c>
      <c r="E405" s="1152"/>
      <c r="F405" s="1151" t="s">
        <v>315</v>
      </c>
      <c r="G405" s="1152"/>
      <c r="H405" s="1151" t="s">
        <v>459</v>
      </c>
      <c r="I405" s="1152"/>
      <c r="J405" s="1151" t="s">
        <v>315</v>
      </c>
      <c r="K405" s="1152"/>
      <c r="L405" s="1151" t="s">
        <v>459</v>
      </c>
      <c r="M405" s="1152"/>
      <c r="N405" s="1151" t="s">
        <v>315</v>
      </c>
      <c r="O405" s="1152"/>
      <c r="P405" s="1151" t="s">
        <v>459</v>
      </c>
      <c r="Q405" s="1152"/>
      <c r="R405" s="1151" t="s">
        <v>315</v>
      </c>
      <c r="S405" s="1152"/>
      <c r="T405" s="1151" t="s">
        <v>459</v>
      </c>
      <c r="U405" s="1152"/>
      <c r="V405" s="1151" t="s">
        <v>315</v>
      </c>
      <c r="W405" s="1152"/>
      <c r="X405" s="1151" t="s">
        <v>459</v>
      </c>
      <c r="Y405" s="1152"/>
      <c r="Z405" s="1151" t="s">
        <v>315</v>
      </c>
      <c r="AA405" s="1152"/>
      <c r="AB405" s="1151" t="s">
        <v>459</v>
      </c>
      <c r="AC405" s="1152"/>
      <c r="AD405" s="1151" t="s">
        <v>315</v>
      </c>
      <c r="AE405" s="1152"/>
      <c r="AF405" s="1151" t="s">
        <v>459</v>
      </c>
      <c r="AG405" s="1153"/>
      <c r="AH405" s="1153"/>
      <c r="AI405" s="1152"/>
    </row>
    <row r="406" spans="1:35" s="846" customFormat="1" ht="16.5" customHeight="1">
      <c r="A406" s="1154"/>
      <c r="B406" s="1149" t="s">
        <v>44</v>
      </c>
      <c r="C406" s="1149" t="s">
        <v>45</v>
      </c>
      <c r="D406" s="1149" t="s">
        <v>46</v>
      </c>
      <c r="E406" s="1149" t="s">
        <v>45</v>
      </c>
      <c r="F406" s="1149" t="s">
        <v>47</v>
      </c>
      <c r="G406" s="1149" t="s">
        <v>45</v>
      </c>
      <c r="H406" s="1149" t="s">
        <v>46</v>
      </c>
      <c r="I406" s="1149" t="s">
        <v>45</v>
      </c>
      <c r="J406" s="1149" t="s">
        <v>44</v>
      </c>
      <c r="K406" s="1149" t="s">
        <v>45</v>
      </c>
      <c r="L406" s="1149" t="s">
        <v>46</v>
      </c>
      <c r="M406" s="1149" t="s">
        <v>45</v>
      </c>
      <c r="N406" s="1149" t="s">
        <v>44</v>
      </c>
      <c r="O406" s="1149" t="s">
        <v>45</v>
      </c>
      <c r="P406" s="1149" t="s">
        <v>46</v>
      </c>
      <c r="Q406" s="1149" t="s">
        <v>45</v>
      </c>
      <c r="R406" s="1149" t="s">
        <v>44</v>
      </c>
      <c r="S406" s="1149" t="s">
        <v>45</v>
      </c>
      <c r="T406" s="1149" t="s">
        <v>46</v>
      </c>
      <c r="U406" s="1149" t="s">
        <v>45</v>
      </c>
      <c r="V406" s="1149" t="s">
        <v>44</v>
      </c>
      <c r="W406" s="1149" t="s">
        <v>45</v>
      </c>
      <c r="X406" s="1149" t="s">
        <v>48</v>
      </c>
      <c r="Y406" s="1149" t="s">
        <v>45</v>
      </c>
      <c r="Z406" s="1149" t="s">
        <v>44</v>
      </c>
      <c r="AA406" s="1149" t="s">
        <v>45</v>
      </c>
      <c r="AB406" s="1149" t="s">
        <v>46</v>
      </c>
      <c r="AC406" s="1149" t="s">
        <v>45</v>
      </c>
      <c r="AD406" s="1149" t="s">
        <v>44</v>
      </c>
      <c r="AE406" s="1149" t="s">
        <v>45</v>
      </c>
      <c r="AF406" s="1147" t="s">
        <v>46</v>
      </c>
      <c r="AG406" s="874"/>
      <c r="AH406" s="1147" t="s">
        <v>45</v>
      </c>
      <c r="AI406" s="874"/>
    </row>
    <row r="407" spans="1:35" s="846" customFormat="1" ht="16.5" customHeight="1" thickBot="1">
      <c r="A407" s="1150"/>
      <c r="B407" s="1150"/>
      <c r="C407" s="1150"/>
      <c r="D407" s="1150"/>
      <c r="E407" s="1150"/>
      <c r="F407" s="1150"/>
      <c r="G407" s="1150"/>
      <c r="H407" s="1150"/>
      <c r="I407" s="1150"/>
      <c r="J407" s="1150"/>
      <c r="K407" s="1150"/>
      <c r="L407" s="1150"/>
      <c r="M407" s="1150"/>
      <c r="N407" s="1150"/>
      <c r="O407" s="1150"/>
      <c r="P407" s="1150"/>
      <c r="Q407" s="1150"/>
      <c r="R407" s="1150"/>
      <c r="S407" s="1150"/>
      <c r="T407" s="1150"/>
      <c r="U407" s="1150"/>
      <c r="V407" s="1150"/>
      <c r="W407" s="1150"/>
      <c r="X407" s="1150"/>
      <c r="Y407" s="1150"/>
      <c r="Z407" s="1150"/>
      <c r="AA407" s="1150"/>
      <c r="AB407" s="1150"/>
      <c r="AC407" s="1150"/>
      <c r="AD407" s="1150"/>
      <c r="AE407" s="1150"/>
      <c r="AF407" s="1148"/>
      <c r="AG407" s="875" t="s">
        <v>49</v>
      </c>
      <c r="AH407" s="1148"/>
      <c r="AI407" s="875" t="s">
        <v>49</v>
      </c>
    </row>
    <row r="408" spans="1:35" s="846" customFormat="1" ht="19.5" customHeight="1" thickTop="1">
      <c r="A408" s="891" t="s">
        <v>50</v>
      </c>
      <c r="B408" s="890">
        <v>65878</v>
      </c>
      <c r="C408" s="890">
        <v>443235</v>
      </c>
      <c r="D408" s="890">
        <v>66483</v>
      </c>
      <c r="E408" s="890">
        <v>429885</v>
      </c>
      <c r="F408" s="890">
        <v>1223</v>
      </c>
      <c r="G408" s="890">
        <v>71243</v>
      </c>
      <c r="H408" s="890">
        <v>0</v>
      </c>
      <c r="I408" s="890">
        <v>0</v>
      </c>
      <c r="J408" s="890">
        <v>383690</v>
      </c>
      <c r="K408" s="890">
        <v>1145782</v>
      </c>
      <c r="L408" s="890">
        <v>323789</v>
      </c>
      <c r="M408" s="890">
        <v>995699</v>
      </c>
      <c r="N408" s="890">
        <v>215</v>
      </c>
      <c r="O408" s="890">
        <v>593</v>
      </c>
      <c r="P408" s="890">
        <v>694</v>
      </c>
      <c r="Q408" s="890">
        <v>1807</v>
      </c>
      <c r="R408" s="890">
        <v>527</v>
      </c>
      <c r="S408" s="890">
        <v>5163</v>
      </c>
      <c r="T408" s="890">
        <v>385</v>
      </c>
      <c r="U408" s="890">
        <v>4720</v>
      </c>
      <c r="V408" s="890">
        <v>445</v>
      </c>
      <c r="W408" s="890">
        <v>5415</v>
      </c>
      <c r="X408" s="890">
        <v>938</v>
      </c>
      <c r="Y408" s="890">
        <v>14313</v>
      </c>
      <c r="Z408" s="890">
        <v>117452</v>
      </c>
      <c r="AA408" s="890">
        <v>442146</v>
      </c>
      <c r="AB408" s="890">
        <v>108119</v>
      </c>
      <c r="AC408" s="890">
        <v>361159</v>
      </c>
      <c r="AD408" s="890">
        <f>SUM(B408+F408+J408+N408+R408+V408+Z408)</f>
        <v>569430</v>
      </c>
      <c r="AE408" s="890">
        <f>SUM(C408+G408+K408+O408+S408+W408+AA408)</f>
        <v>2113577</v>
      </c>
      <c r="AF408" s="890">
        <f>SUM(D408+H408+L408+P408+T408+X408+AB408)</f>
        <v>500408</v>
      </c>
      <c r="AG408" s="895">
        <f>ROUND(((AF408/AD408-1)*100),1)</f>
        <v>-12.1</v>
      </c>
      <c r="AH408" s="890">
        <f>SUM(E408+I408+M408+Q408+U408+Y408+AC408)</f>
        <v>1807583</v>
      </c>
      <c r="AI408" s="895">
        <f>ROUND(((AH408/AE408-1)*100),1)</f>
        <v>-14.5</v>
      </c>
    </row>
    <row r="409" spans="1:35" s="846" customFormat="1" ht="19.5" customHeight="1">
      <c r="A409" s="891" t="s">
        <v>53</v>
      </c>
      <c r="B409" s="890">
        <v>76215</v>
      </c>
      <c r="C409" s="890">
        <v>456805</v>
      </c>
      <c r="D409" s="890">
        <v>81139</v>
      </c>
      <c r="E409" s="890">
        <v>464517</v>
      </c>
      <c r="F409" s="890">
        <v>1905</v>
      </c>
      <c r="G409" s="890">
        <v>75421</v>
      </c>
      <c r="H409" s="890">
        <v>2206</v>
      </c>
      <c r="I409" s="890">
        <v>76173</v>
      </c>
      <c r="J409" s="890">
        <v>268939</v>
      </c>
      <c r="K409" s="890">
        <v>588367</v>
      </c>
      <c r="L409" s="890">
        <v>287447</v>
      </c>
      <c r="M409" s="890">
        <v>539693</v>
      </c>
      <c r="N409" s="890">
        <v>4374</v>
      </c>
      <c r="O409" s="890">
        <v>8694</v>
      </c>
      <c r="P409" s="890">
        <v>1090</v>
      </c>
      <c r="Q409" s="890">
        <v>2131</v>
      </c>
      <c r="R409" s="890">
        <v>334</v>
      </c>
      <c r="S409" s="890">
        <v>944</v>
      </c>
      <c r="T409" s="890">
        <v>330</v>
      </c>
      <c r="U409" s="890">
        <v>901</v>
      </c>
      <c r="V409" s="890">
        <v>5</v>
      </c>
      <c r="W409" s="890">
        <v>396</v>
      </c>
      <c r="X409" s="890">
        <v>5</v>
      </c>
      <c r="Y409" s="890">
        <v>385</v>
      </c>
      <c r="Z409" s="890">
        <v>2130</v>
      </c>
      <c r="AA409" s="890">
        <v>207529</v>
      </c>
      <c r="AB409" s="890">
        <v>2232</v>
      </c>
      <c r="AC409" s="890">
        <v>188314</v>
      </c>
      <c r="AD409" s="890">
        <f>SUM(B409+F409+J409+N409+R409+V409+Z409)</f>
        <v>353902</v>
      </c>
      <c r="AE409" s="890">
        <f t="shared" ref="AE409:AF437" si="91">SUM(C409+G409+K409+O409+S409+W409+AA409)</f>
        <v>1338156</v>
      </c>
      <c r="AF409" s="890">
        <f t="shared" si="91"/>
        <v>374449</v>
      </c>
      <c r="AG409" s="895">
        <f t="shared" ref="AG409:AG439" si="92">ROUND(((AF409/AD409-1)*100),1)</f>
        <v>5.8</v>
      </c>
      <c r="AH409" s="890">
        <f t="shared" ref="AH409:AH437" si="93">SUM(E409+I409+M409+Q409+U409+Y409+AC409)</f>
        <v>1272114</v>
      </c>
      <c r="AI409" s="895">
        <f t="shared" ref="AI409:AI439" si="94">ROUND(((AH409/AE409-1)*100),1)</f>
        <v>-4.9000000000000004</v>
      </c>
    </row>
    <row r="410" spans="1:35" s="846" customFormat="1" ht="19.5" customHeight="1">
      <c r="A410" s="891" t="s">
        <v>54</v>
      </c>
      <c r="B410" s="890">
        <v>35995</v>
      </c>
      <c r="C410" s="890">
        <v>484457</v>
      </c>
      <c r="D410" s="890">
        <v>44104</v>
      </c>
      <c r="E410" s="890">
        <v>545034</v>
      </c>
      <c r="F410" s="890">
        <v>5772</v>
      </c>
      <c r="G410" s="890">
        <v>187703</v>
      </c>
      <c r="H410" s="890">
        <v>5102</v>
      </c>
      <c r="I410" s="890">
        <v>173270</v>
      </c>
      <c r="J410" s="890">
        <v>114904</v>
      </c>
      <c r="K410" s="890">
        <v>277588</v>
      </c>
      <c r="L410" s="890">
        <v>129107</v>
      </c>
      <c r="M410" s="890">
        <v>296103</v>
      </c>
      <c r="N410" s="890">
        <v>5118</v>
      </c>
      <c r="O410" s="890">
        <v>10847</v>
      </c>
      <c r="P410" s="890">
        <v>8682</v>
      </c>
      <c r="Q410" s="890">
        <v>16037</v>
      </c>
      <c r="R410" s="890">
        <v>442</v>
      </c>
      <c r="S410" s="890">
        <v>800</v>
      </c>
      <c r="T410" s="890">
        <v>594</v>
      </c>
      <c r="U410" s="890">
        <v>1078</v>
      </c>
      <c r="V410" s="890">
        <v>296</v>
      </c>
      <c r="W410" s="890">
        <v>13768</v>
      </c>
      <c r="X410" s="890">
        <v>308</v>
      </c>
      <c r="Y410" s="890">
        <v>16327</v>
      </c>
      <c r="Z410" s="890">
        <v>3718</v>
      </c>
      <c r="AA410" s="890">
        <v>134044</v>
      </c>
      <c r="AB410" s="890">
        <v>3111</v>
      </c>
      <c r="AC410" s="890">
        <v>115631</v>
      </c>
      <c r="AD410" s="890">
        <f t="shared" ref="AD410:AD437" si="95">SUM(B410+F410+J410+N410+R410+V410+Z410)</f>
        <v>166245</v>
      </c>
      <c r="AE410" s="890">
        <f t="shared" si="91"/>
        <v>1109207</v>
      </c>
      <c r="AF410" s="890">
        <f t="shared" si="91"/>
        <v>191008</v>
      </c>
      <c r="AG410" s="895">
        <f t="shared" si="92"/>
        <v>14.9</v>
      </c>
      <c r="AH410" s="890">
        <f t="shared" si="93"/>
        <v>1163480</v>
      </c>
      <c r="AI410" s="895">
        <f t="shared" si="94"/>
        <v>4.9000000000000004</v>
      </c>
    </row>
    <row r="411" spans="1:35" s="846" customFormat="1" ht="19.5" customHeight="1">
      <c r="A411" s="891" t="s">
        <v>84</v>
      </c>
      <c r="B411" s="890">
        <v>179233</v>
      </c>
      <c r="C411" s="890">
        <v>1064541</v>
      </c>
      <c r="D411" s="890">
        <v>144841</v>
      </c>
      <c r="E411" s="890">
        <v>835347</v>
      </c>
      <c r="F411" s="890">
        <v>0</v>
      </c>
      <c r="G411" s="890">
        <v>0</v>
      </c>
      <c r="H411" s="890">
        <v>0</v>
      </c>
      <c r="I411" s="890">
        <v>0</v>
      </c>
      <c r="J411" s="890">
        <v>1538</v>
      </c>
      <c r="K411" s="890">
        <v>1975</v>
      </c>
      <c r="L411" s="890">
        <v>2696</v>
      </c>
      <c r="M411" s="890">
        <v>3405</v>
      </c>
      <c r="N411" s="890">
        <v>148</v>
      </c>
      <c r="O411" s="890">
        <v>271</v>
      </c>
      <c r="P411" s="890">
        <v>0</v>
      </c>
      <c r="Q411" s="890">
        <v>0</v>
      </c>
      <c r="R411" s="890">
        <v>0</v>
      </c>
      <c r="S411" s="890">
        <v>0</v>
      </c>
      <c r="T411" s="890">
        <v>0</v>
      </c>
      <c r="U411" s="890">
        <v>0</v>
      </c>
      <c r="V411" s="890">
        <v>0</v>
      </c>
      <c r="W411" s="890">
        <v>0</v>
      </c>
      <c r="X411" s="890">
        <v>0</v>
      </c>
      <c r="Y411" s="890">
        <v>0</v>
      </c>
      <c r="Z411" s="890">
        <v>0</v>
      </c>
      <c r="AA411" s="890">
        <v>24</v>
      </c>
      <c r="AB411" s="890">
        <v>10</v>
      </c>
      <c r="AC411" s="890">
        <v>84</v>
      </c>
      <c r="AD411" s="890">
        <f t="shared" si="95"/>
        <v>180919</v>
      </c>
      <c r="AE411" s="890">
        <f t="shared" si="91"/>
        <v>1066811</v>
      </c>
      <c r="AF411" s="890">
        <f t="shared" si="91"/>
        <v>147547</v>
      </c>
      <c r="AG411" s="895">
        <f t="shared" si="92"/>
        <v>-18.399999999999999</v>
      </c>
      <c r="AH411" s="890">
        <f t="shared" si="93"/>
        <v>838836</v>
      </c>
      <c r="AI411" s="895">
        <f t="shared" si="94"/>
        <v>-21.4</v>
      </c>
    </row>
    <row r="412" spans="1:35" s="846" customFormat="1" ht="19.5" customHeight="1">
      <c r="A412" s="891" t="s">
        <v>52</v>
      </c>
      <c r="B412" s="890">
        <v>5011</v>
      </c>
      <c r="C412" s="890">
        <v>14172</v>
      </c>
      <c r="D412" s="890">
        <v>4713</v>
      </c>
      <c r="E412" s="890">
        <v>13446</v>
      </c>
      <c r="F412" s="890">
        <v>203</v>
      </c>
      <c r="G412" s="890">
        <v>4710</v>
      </c>
      <c r="H412" s="890">
        <v>139</v>
      </c>
      <c r="I412" s="890">
        <v>2452</v>
      </c>
      <c r="J412" s="890">
        <v>384294</v>
      </c>
      <c r="K412" s="890">
        <v>735864</v>
      </c>
      <c r="L412" s="890">
        <v>373586</v>
      </c>
      <c r="M412" s="890">
        <v>658554</v>
      </c>
      <c r="N412" s="890">
        <v>51856</v>
      </c>
      <c r="O412" s="890">
        <v>109085</v>
      </c>
      <c r="P412" s="890">
        <v>49637</v>
      </c>
      <c r="Q412" s="890">
        <v>96141</v>
      </c>
      <c r="R412" s="890">
        <v>36493</v>
      </c>
      <c r="S412" s="890">
        <v>101113</v>
      </c>
      <c r="T412" s="890">
        <v>21824</v>
      </c>
      <c r="U412" s="890">
        <v>52024</v>
      </c>
      <c r="V412" s="890">
        <v>248</v>
      </c>
      <c r="W412" s="890">
        <v>2802</v>
      </c>
      <c r="X412" s="890">
        <v>222</v>
      </c>
      <c r="Y412" s="890">
        <v>2174</v>
      </c>
      <c r="Z412" s="890">
        <v>235</v>
      </c>
      <c r="AA412" s="890">
        <v>2001</v>
      </c>
      <c r="AB412" s="890">
        <v>200</v>
      </c>
      <c r="AC412" s="890">
        <v>1171</v>
      </c>
      <c r="AD412" s="890">
        <f t="shared" si="95"/>
        <v>478340</v>
      </c>
      <c r="AE412" s="890">
        <f t="shared" si="91"/>
        <v>969747</v>
      </c>
      <c r="AF412" s="890">
        <f t="shared" si="91"/>
        <v>450321</v>
      </c>
      <c r="AG412" s="895">
        <f t="shared" si="92"/>
        <v>-5.9</v>
      </c>
      <c r="AH412" s="890">
        <f t="shared" si="93"/>
        <v>825962</v>
      </c>
      <c r="AI412" s="895">
        <f t="shared" si="94"/>
        <v>-14.8</v>
      </c>
    </row>
    <row r="413" spans="1:35" s="846" customFormat="1" ht="19.5" customHeight="1">
      <c r="A413" s="891" t="s">
        <v>61</v>
      </c>
      <c r="B413" s="890">
        <v>17550</v>
      </c>
      <c r="C413" s="890">
        <v>104596</v>
      </c>
      <c r="D413" s="890">
        <v>15617</v>
      </c>
      <c r="E413" s="890">
        <v>87958</v>
      </c>
      <c r="F413" s="890">
        <v>16659</v>
      </c>
      <c r="G413" s="890">
        <v>226438</v>
      </c>
      <c r="H413" s="890">
        <v>15038</v>
      </c>
      <c r="I413" s="890">
        <v>204980</v>
      </c>
      <c r="J413" s="890">
        <v>311532</v>
      </c>
      <c r="K413" s="890">
        <v>593843</v>
      </c>
      <c r="L413" s="890">
        <v>396222</v>
      </c>
      <c r="M413" s="890">
        <v>680052</v>
      </c>
      <c r="N413" s="890">
        <v>18456</v>
      </c>
      <c r="O413" s="890">
        <v>31520</v>
      </c>
      <c r="P413" s="890">
        <v>12681</v>
      </c>
      <c r="Q413" s="890">
        <v>22779</v>
      </c>
      <c r="R413" s="890">
        <v>0</v>
      </c>
      <c r="S413" s="890">
        <v>0</v>
      </c>
      <c r="T413" s="890">
        <v>0</v>
      </c>
      <c r="U413" s="890">
        <v>0</v>
      </c>
      <c r="V413" s="890">
        <v>0</v>
      </c>
      <c r="W413" s="890">
        <v>0</v>
      </c>
      <c r="X413" s="890">
        <v>0</v>
      </c>
      <c r="Y413" s="890">
        <v>0</v>
      </c>
      <c r="Z413" s="890">
        <v>2773</v>
      </c>
      <c r="AA413" s="890">
        <v>10680</v>
      </c>
      <c r="AB413" s="890">
        <v>1750</v>
      </c>
      <c r="AC413" s="890">
        <v>5277</v>
      </c>
      <c r="AD413" s="890">
        <f t="shared" si="95"/>
        <v>366970</v>
      </c>
      <c r="AE413" s="890">
        <f t="shared" si="91"/>
        <v>967077</v>
      </c>
      <c r="AF413" s="890">
        <f t="shared" si="91"/>
        <v>441308</v>
      </c>
      <c r="AG413" s="895">
        <f t="shared" si="92"/>
        <v>20.3</v>
      </c>
      <c r="AH413" s="890">
        <f t="shared" si="93"/>
        <v>1001046</v>
      </c>
      <c r="AI413" s="895">
        <f t="shared" si="94"/>
        <v>3.5</v>
      </c>
    </row>
    <row r="414" spans="1:35" s="846" customFormat="1" ht="19.5" customHeight="1">
      <c r="A414" s="891" t="s">
        <v>56</v>
      </c>
      <c r="B414" s="890">
        <v>23230</v>
      </c>
      <c r="C414" s="890">
        <v>141215</v>
      </c>
      <c r="D414" s="890">
        <v>24268</v>
      </c>
      <c r="E414" s="890">
        <v>158307</v>
      </c>
      <c r="F414" s="890">
        <v>40</v>
      </c>
      <c r="G414" s="890">
        <v>329</v>
      </c>
      <c r="H414" s="890">
        <v>42</v>
      </c>
      <c r="I414" s="890">
        <v>260</v>
      </c>
      <c r="J414" s="890">
        <v>155268</v>
      </c>
      <c r="K414" s="890">
        <v>295390</v>
      </c>
      <c r="L414" s="890">
        <v>122252</v>
      </c>
      <c r="M414" s="890">
        <v>214151</v>
      </c>
      <c r="N414" s="890">
        <v>624</v>
      </c>
      <c r="O414" s="890">
        <v>1304</v>
      </c>
      <c r="P414" s="890">
        <v>920</v>
      </c>
      <c r="Q414" s="890">
        <v>1632</v>
      </c>
      <c r="R414" s="890">
        <v>253</v>
      </c>
      <c r="S414" s="890">
        <v>773</v>
      </c>
      <c r="T414" s="890">
        <v>626</v>
      </c>
      <c r="U414" s="890">
        <v>1448</v>
      </c>
      <c r="V414" s="890">
        <v>1970</v>
      </c>
      <c r="W414" s="890">
        <v>39518</v>
      </c>
      <c r="X414" s="890">
        <v>1395</v>
      </c>
      <c r="Y414" s="890">
        <v>23863</v>
      </c>
      <c r="Z414" s="890">
        <v>352</v>
      </c>
      <c r="AA414" s="890">
        <v>1111</v>
      </c>
      <c r="AB414" s="890">
        <v>684</v>
      </c>
      <c r="AC414" s="890">
        <v>1421</v>
      </c>
      <c r="AD414" s="890">
        <f t="shared" si="95"/>
        <v>181737</v>
      </c>
      <c r="AE414" s="890">
        <f t="shared" si="91"/>
        <v>479640</v>
      </c>
      <c r="AF414" s="890">
        <f t="shared" si="91"/>
        <v>150187</v>
      </c>
      <c r="AG414" s="895">
        <f t="shared" si="92"/>
        <v>-17.399999999999999</v>
      </c>
      <c r="AH414" s="890">
        <f t="shared" si="93"/>
        <v>401082</v>
      </c>
      <c r="AI414" s="895">
        <f t="shared" si="94"/>
        <v>-16.399999999999999</v>
      </c>
    </row>
    <row r="415" spans="1:35" s="846" customFormat="1" ht="19.5" customHeight="1">
      <c r="A415" s="891" t="s">
        <v>85</v>
      </c>
      <c r="B415" s="890">
        <v>60420</v>
      </c>
      <c r="C415" s="890">
        <v>364596</v>
      </c>
      <c r="D415" s="890">
        <v>63547</v>
      </c>
      <c r="E415" s="890">
        <v>379918</v>
      </c>
      <c r="F415" s="890">
        <v>0</v>
      </c>
      <c r="G415" s="890">
        <v>0</v>
      </c>
      <c r="H415" s="890">
        <v>0</v>
      </c>
      <c r="I415" s="890">
        <v>0</v>
      </c>
      <c r="J415" s="890">
        <v>0</v>
      </c>
      <c r="K415" s="890">
        <v>0</v>
      </c>
      <c r="L415" s="890">
        <v>0</v>
      </c>
      <c r="M415" s="890">
        <v>0</v>
      </c>
      <c r="N415" s="890">
        <v>0</v>
      </c>
      <c r="O415" s="890">
        <v>0</v>
      </c>
      <c r="P415" s="890">
        <v>0</v>
      </c>
      <c r="Q415" s="890">
        <v>0</v>
      </c>
      <c r="R415" s="890">
        <v>0</v>
      </c>
      <c r="S415" s="890">
        <v>0</v>
      </c>
      <c r="T415" s="890">
        <v>0</v>
      </c>
      <c r="U415" s="890">
        <v>0</v>
      </c>
      <c r="V415" s="890">
        <v>0</v>
      </c>
      <c r="W415" s="890">
        <v>0</v>
      </c>
      <c r="X415" s="890">
        <v>0</v>
      </c>
      <c r="Y415" s="890">
        <v>0</v>
      </c>
      <c r="Z415" s="890">
        <v>994</v>
      </c>
      <c r="AA415" s="890">
        <v>11716</v>
      </c>
      <c r="AB415" s="890">
        <v>2277</v>
      </c>
      <c r="AC415" s="890">
        <v>13415</v>
      </c>
      <c r="AD415" s="890">
        <f t="shared" si="95"/>
        <v>61414</v>
      </c>
      <c r="AE415" s="890">
        <f t="shared" si="91"/>
        <v>376312</v>
      </c>
      <c r="AF415" s="890">
        <f t="shared" si="91"/>
        <v>65824</v>
      </c>
      <c r="AG415" s="895">
        <f t="shared" si="92"/>
        <v>7.2</v>
      </c>
      <c r="AH415" s="890">
        <f t="shared" si="93"/>
        <v>393333</v>
      </c>
      <c r="AI415" s="895">
        <f t="shared" si="94"/>
        <v>4.5</v>
      </c>
    </row>
    <row r="416" spans="1:35" s="846" customFormat="1" ht="19.5" customHeight="1">
      <c r="A416" s="891" t="s">
        <v>86</v>
      </c>
      <c r="B416" s="890">
        <v>2606</v>
      </c>
      <c r="C416" s="890">
        <v>11507</v>
      </c>
      <c r="D416" s="890">
        <v>508</v>
      </c>
      <c r="E416" s="890">
        <v>2169</v>
      </c>
      <c r="F416" s="890">
        <v>533</v>
      </c>
      <c r="G416" s="890">
        <v>6736</v>
      </c>
      <c r="H416" s="890">
        <v>50</v>
      </c>
      <c r="I416" s="890">
        <v>1090</v>
      </c>
      <c r="J416" s="890">
        <v>144328</v>
      </c>
      <c r="K416" s="890">
        <v>277569</v>
      </c>
      <c r="L416" s="890">
        <v>104923</v>
      </c>
      <c r="M416" s="890">
        <v>194547</v>
      </c>
      <c r="N416" s="890">
        <v>3246</v>
      </c>
      <c r="O416" s="890">
        <v>6545</v>
      </c>
      <c r="P416" s="890">
        <v>7731</v>
      </c>
      <c r="Q416" s="890">
        <v>14415</v>
      </c>
      <c r="R416" s="890">
        <v>0</v>
      </c>
      <c r="S416" s="890">
        <v>0</v>
      </c>
      <c r="T416" s="890">
        <v>0</v>
      </c>
      <c r="U416" s="890">
        <v>0</v>
      </c>
      <c r="V416" s="890">
        <v>2</v>
      </c>
      <c r="W416" s="890">
        <v>239</v>
      </c>
      <c r="X416" s="890">
        <v>2</v>
      </c>
      <c r="Y416" s="890">
        <v>226</v>
      </c>
      <c r="Z416" s="890">
        <v>3013</v>
      </c>
      <c r="AA416" s="890">
        <v>33060</v>
      </c>
      <c r="AB416" s="890">
        <v>3408</v>
      </c>
      <c r="AC416" s="890">
        <v>27162</v>
      </c>
      <c r="AD416" s="890">
        <f t="shared" si="95"/>
        <v>153728</v>
      </c>
      <c r="AE416" s="890">
        <f t="shared" si="91"/>
        <v>335656</v>
      </c>
      <c r="AF416" s="890">
        <f t="shared" si="91"/>
        <v>116622</v>
      </c>
      <c r="AG416" s="895">
        <f t="shared" si="92"/>
        <v>-24.1</v>
      </c>
      <c r="AH416" s="890">
        <f t="shared" si="93"/>
        <v>239609</v>
      </c>
      <c r="AI416" s="895">
        <f t="shared" si="94"/>
        <v>-28.6</v>
      </c>
    </row>
    <row r="417" spans="1:35" s="846" customFormat="1" ht="19.5" customHeight="1">
      <c r="A417" s="891" t="s">
        <v>64</v>
      </c>
      <c r="B417" s="890">
        <v>14758</v>
      </c>
      <c r="C417" s="890">
        <v>88874</v>
      </c>
      <c r="D417" s="890">
        <v>9609</v>
      </c>
      <c r="E417" s="890">
        <v>52530</v>
      </c>
      <c r="F417" s="890">
        <v>24</v>
      </c>
      <c r="G417" s="890">
        <v>172</v>
      </c>
      <c r="H417" s="890">
        <v>202</v>
      </c>
      <c r="I417" s="890">
        <v>407</v>
      </c>
      <c r="J417" s="890">
        <v>114982</v>
      </c>
      <c r="K417" s="890">
        <v>212698</v>
      </c>
      <c r="L417" s="890">
        <v>105900</v>
      </c>
      <c r="M417" s="890">
        <v>178024</v>
      </c>
      <c r="N417" s="890">
        <v>10060</v>
      </c>
      <c r="O417" s="890">
        <v>20694</v>
      </c>
      <c r="P417" s="890">
        <v>10068</v>
      </c>
      <c r="Q417" s="890">
        <v>19430</v>
      </c>
      <c r="R417" s="890">
        <v>0</v>
      </c>
      <c r="S417" s="890">
        <v>2</v>
      </c>
      <c r="T417" s="890">
        <v>0</v>
      </c>
      <c r="U417" s="890">
        <v>0</v>
      </c>
      <c r="V417" s="890">
        <v>0</v>
      </c>
      <c r="W417" s="890">
        <v>0</v>
      </c>
      <c r="X417" s="890">
        <v>0</v>
      </c>
      <c r="Y417" s="890">
        <v>0</v>
      </c>
      <c r="Z417" s="890">
        <v>143</v>
      </c>
      <c r="AA417" s="890">
        <v>702</v>
      </c>
      <c r="AB417" s="890">
        <v>46</v>
      </c>
      <c r="AC417" s="890">
        <v>180</v>
      </c>
      <c r="AD417" s="890">
        <f t="shared" si="95"/>
        <v>139967</v>
      </c>
      <c r="AE417" s="890">
        <f t="shared" si="91"/>
        <v>323142</v>
      </c>
      <c r="AF417" s="890">
        <f t="shared" si="91"/>
        <v>125825</v>
      </c>
      <c r="AG417" s="895">
        <f t="shared" si="92"/>
        <v>-10.1</v>
      </c>
      <c r="AH417" s="890">
        <f t="shared" si="93"/>
        <v>250571</v>
      </c>
      <c r="AI417" s="895">
        <f t="shared" si="94"/>
        <v>-22.5</v>
      </c>
    </row>
    <row r="418" spans="1:35" s="846" customFormat="1" ht="19.5" customHeight="1">
      <c r="A418" s="891" t="s">
        <v>68</v>
      </c>
      <c r="B418" s="890">
        <v>8694</v>
      </c>
      <c r="C418" s="890">
        <v>69727</v>
      </c>
      <c r="D418" s="890">
        <v>6585</v>
      </c>
      <c r="E418" s="890">
        <v>52155</v>
      </c>
      <c r="F418" s="890">
        <v>1129</v>
      </c>
      <c r="G418" s="890">
        <v>34319</v>
      </c>
      <c r="H418" s="890">
        <v>946</v>
      </c>
      <c r="I418" s="890">
        <v>28669</v>
      </c>
      <c r="J418" s="890">
        <v>46621</v>
      </c>
      <c r="K418" s="890">
        <v>178969</v>
      </c>
      <c r="L418" s="890">
        <v>19359</v>
      </c>
      <c r="M418" s="890">
        <v>111477</v>
      </c>
      <c r="N418" s="890">
        <v>252</v>
      </c>
      <c r="O418" s="890">
        <v>1782</v>
      </c>
      <c r="P418" s="890">
        <v>881</v>
      </c>
      <c r="Q418" s="890">
        <v>2577</v>
      </c>
      <c r="R418" s="890">
        <v>996</v>
      </c>
      <c r="S418" s="890">
        <v>4098</v>
      </c>
      <c r="T418" s="890">
        <v>915</v>
      </c>
      <c r="U418" s="890">
        <v>3471</v>
      </c>
      <c r="V418" s="890">
        <v>26</v>
      </c>
      <c r="W418" s="890">
        <v>660</v>
      </c>
      <c r="X418" s="890">
        <v>31</v>
      </c>
      <c r="Y418" s="890">
        <v>740</v>
      </c>
      <c r="Z418" s="890">
        <v>354</v>
      </c>
      <c r="AA418" s="890">
        <v>26551</v>
      </c>
      <c r="AB418" s="890">
        <v>498</v>
      </c>
      <c r="AC418" s="890">
        <v>21968</v>
      </c>
      <c r="AD418" s="890">
        <f t="shared" si="95"/>
        <v>58072</v>
      </c>
      <c r="AE418" s="890">
        <f t="shared" si="91"/>
        <v>316106</v>
      </c>
      <c r="AF418" s="890">
        <f t="shared" si="91"/>
        <v>29215</v>
      </c>
      <c r="AG418" s="895">
        <f t="shared" si="92"/>
        <v>-49.7</v>
      </c>
      <c r="AH418" s="890">
        <f t="shared" si="93"/>
        <v>221057</v>
      </c>
      <c r="AI418" s="895">
        <f t="shared" si="94"/>
        <v>-30.1</v>
      </c>
    </row>
    <row r="419" spans="1:35" s="846" customFormat="1" ht="19.5" customHeight="1">
      <c r="A419" s="891" t="s">
        <v>57</v>
      </c>
      <c r="B419" s="890">
        <v>24160</v>
      </c>
      <c r="C419" s="890">
        <v>207504</v>
      </c>
      <c r="D419" s="890">
        <v>25751</v>
      </c>
      <c r="E419" s="890">
        <v>202131</v>
      </c>
      <c r="F419" s="890">
        <v>307</v>
      </c>
      <c r="G419" s="890">
        <v>605</v>
      </c>
      <c r="H419" s="890">
        <v>58</v>
      </c>
      <c r="I419" s="890">
        <v>545</v>
      </c>
      <c r="J419" s="890">
        <v>34569</v>
      </c>
      <c r="K419" s="890">
        <v>60719</v>
      </c>
      <c r="L419" s="890">
        <v>37653</v>
      </c>
      <c r="M419" s="890">
        <v>65321</v>
      </c>
      <c r="N419" s="890">
        <v>890</v>
      </c>
      <c r="O419" s="890">
        <v>1729</v>
      </c>
      <c r="P419" s="890">
        <v>470</v>
      </c>
      <c r="Q419" s="890">
        <v>888</v>
      </c>
      <c r="R419" s="890">
        <v>22</v>
      </c>
      <c r="S419" s="890">
        <v>59</v>
      </c>
      <c r="T419" s="890">
        <v>2</v>
      </c>
      <c r="U419" s="890">
        <v>19</v>
      </c>
      <c r="V419" s="890">
        <v>16</v>
      </c>
      <c r="W419" s="890">
        <v>518</v>
      </c>
      <c r="X419" s="890">
        <v>7</v>
      </c>
      <c r="Y419" s="890">
        <v>267</v>
      </c>
      <c r="Z419" s="890">
        <v>589</v>
      </c>
      <c r="AA419" s="890">
        <v>7894</v>
      </c>
      <c r="AB419" s="890">
        <v>1518</v>
      </c>
      <c r="AC419" s="890">
        <v>8249</v>
      </c>
      <c r="AD419" s="890">
        <f t="shared" si="95"/>
        <v>60553</v>
      </c>
      <c r="AE419" s="890">
        <f t="shared" si="91"/>
        <v>279028</v>
      </c>
      <c r="AF419" s="890">
        <f t="shared" si="91"/>
        <v>65459</v>
      </c>
      <c r="AG419" s="895">
        <f t="shared" si="92"/>
        <v>8.1</v>
      </c>
      <c r="AH419" s="890">
        <f t="shared" si="93"/>
        <v>277420</v>
      </c>
      <c r="AI419" s="895">
        <f t="shared" si="94"/>
        <v>-0.6</v>
      </c>
    </row>
    <row r="420" spans="1:35" s="846" customFormat="1" ht="19.5" customHeight="1">
      <c r="A420" s="891" t="s">
        <v>58</v>
      </c>
      <c r="B420" s="890">
        <v>10021</v>
      </c>
      <c r="C420" s="890">
        <v>54427</v>
      </c>
      <c r="D420" s="890">
        <v>13077</v>
      </c>
      <c r="E420" s="890">
        <v>71729</v>
      </c>
      <c r="F420" s="890">
        <v>805</v>
      </c>
      <c r="G420" s="890">
        <v>9677</v>
      </c>
      <c r="H420" s="890">
        <v>2289</v>
      </c>
      <c r="I420" s="890">
        <v>23407</v>
      </c>
      <c r="J420" s="890">
        <v>7175</v>
      </c>
      <c r="K420" s="890">
        <v>11587</v>
      </c>
      <c r="L420" s="890">
        <v>6592</v>
      </c>
      <c r="M420" s="890">
        <v>9498</v>
      </c>
      <c r="N420" s="890">
        <v>240</v>
      </c>
      <c r="O420" s="890">
        <v>2517</v>
      </c>
      <c r="P420" s="890">
        <v>244</v>
      </c>
      <c r="Q420" s="890">
        <v>2170</v>
      </c>
      <c r="R420" s="890">
        <v>28</v>
      </c>
      <c r="S420" s="890">
        <v>13</v>
      </c>
      <c r="T420" s="890">
        <v>100</v>
      </c>
      <c r="U420" s="890">
        <v>225</v>
      </c>
      <c r="V420" s="890">
        <v>8007</v>
      </c>
      <c r="W420" s="890">
        <v>156678</v>
      </c>
      <c r="X420" s="890">
        <v>8838</v>
      </c>
      <c r="Y420" s="890">
        <v>150083</v>
      </c>
      <c r="Z420" s="890">
        <v>201</v>
      </c>
      <c r="AA420" s="890">
        <v>760</v>
      </c>
      <c r="AB420" s="890">
        <v>354</v>
      </c>
      <c r="AC420" s="890">
        <v>724</v>
      </c>
      <c r="AD420" s="890">
        <f t="shared" si="95"/>
        <v>26477</v>
      </c>
      <c r="AE420" s="890">
        <f t="shared" si="91"/>
        <v>235659</v>
      </c>
      <c r="AF420" s="890">
        <f t="shared" si="91"/>
        <v>31494</v>
      </c>
      <c r="AG420" s="895">
        <f t="shared" si="92"/>
        <v>18.899999999999999</v>
      </c>
      <c r="AH420" s="890">
        <f t="shared" si="93"/>
        <v>257836</v>
      </c>
      <c r="AI420" s="895">
        <f t="shared" si="94"/>
        <v>9.4</v>
      </c>
    </row>
    <row r="421" spans="1:35" s="846" customFormat="1" ht="19.5" customHeight="1">
      <c r="A421" s="891" t="s">
        <v>63</v>
      </c>
      <c r="B421" s="890">
        <v>26698</v>
      </c>
      <c r="C421" s="890">
        <v>148144</v>
      </c>
      <c r="D421" s="890">
        <v>16697</v>
      </c>
      <c r="E421" s="890">
        <v>90153</v>
      </c>
      <c r="F421" s="890">
        <v>0</v>
      </c>
      <c r="G421" s="890">
        <v>0</v>
      </c>
      <c r="H421" s="890">
        <v>0</v>
      </c>
      <c r="I421" s="890">
        <v>0</v>
      </c>
      <c r="J421" s="890">
        <v>52637</v>
      </c>
      <c r="K421" s="890">
        <v>86937</v>
      </c>
      <c r="L421" s="890">
        <v>59487</v>
      </c>
      <c r="M421" s="890">
        <v>86802</v>
      </c>
      <c r="N421" s="890">
        <v>8250</v>
      </c>
      <c r="O421" s="890">
        <v>16480</v>
      </c>
      <c r="P421" s="890">
        <v>3199</v>
      </c>
      <c r="Q421" s="890">
        <v>6058</v>
      </c>
      <c r="R421" s="890">
        <v>0</v>
      </c>
      <c r="S421" s="890">
        <v>0</v>
      </c>
      <c r="T421" s="890">
        <v>0</v>
      </c>
      <c r="U421" s="890">
        <v>0</v>
      </c>
      <c r="V421" s="890">
        <v>0</v>
      </c>
      <c r="W421" s="890">
        <v>0</v>
      </c>
      <c r="X421" s="890">
        <v>0</v>
      </c>
      <c r="Y421" s="890">
        <v>0</v>
      </c>
      <c r="Z421" s="890">
        <v>0</v>
      </c>
      <c r="AA421" s="890">
        <v>0</v>
      </c>
      <c r="AB421" s="890">
        <v>29</v>
      </c>
      <c r="AC421" s="890">
        <v>158</v>
      </c>
      <c r="AD421" s="890">
        <f t="shared" si="95"/>
        <v>87585</v>
      </c>
      <c r="AE421" s="890">
        <f t="shared" si="91"/>
        <v>251561</v>
      </c>
      <c r="AF421" s="890">
        <f t="shared" si="91"/>
        <v>79412</v>
      </c>
      <c r="AG421" s="895">
        <f t="shared" si="92"/>
        <v>-9.3000000000000007</v>
      </c>
      <c r="AH421" s="890">
        <f t="shared" si="93"/>
        <v>183171</v>
      </c>
      <c r="AI421" s="895">
        <f t="shared" si="94"/>
        <v>-27.2</v>
      </c>
    </row>
    <row r="422" spans="1:35" s="846" customFormat="1" ht="19.5" customHeight="1">
      <c r="A422" s="891" t="s">
        <v>55</v>
      </c>
      <c r="B422" s="890">
        <v>6905</v>
      </c>
      <c r="C422" s="890">
        <v>43460</v>
      </c>
      <c r="D422" s="890">
        <v>14961</v>
      </c>
      <c r="E422" s="890">
        <v>87587</v>
      </c>
      <c r="F422" s="890">
        <v>20</v>
      </c>
      <c r="G422" s="890">
        <v>25</v>
      </c>
      <c r="H422" s="890">
        <v>33</v>
      </c>
      <c r="I422" s="890">
        <v>127</v>
      </c>
      <c r="J422" s="890">
        <v>102204</v>
      </c>
      <c r="K422" s="890">
        <v>165625</v>
      </c>
      <c r="L422" s="890">
        <v>99875</v>
      </c>
      <c r="M422" s="890">
        <v>149649</v>
      </c>
      <c r="N422" s="890">
        <v>120</v>
      </c>
      <c r="O422" s="890">
        <v>261</v>
      </c>
      <c r="P422" s="890">
        <v>293</v>
      </c>
      <c r="Q422" s="890">
        <v>524</v>
      </c>
      <c r="R422" s="890">
        <v>90</v>
      </c>
      <c r="S422" s="890">
        <v>201</v>
      </c>
      <c r="T422" s="890">
        <v>50</v>
      </c>
      <c r="U422" s="890">
        <v>20</v>
      </c>
      <c r="V422" s="890">
        <v>1174</v>
      </c>
      <c r="W422" s="890">
        <v>24773</v>
      </c>
      <c r="X422" s="890">
        <v>1481</v>
      </c>
      <c r="Y422" s="890">
        <v>28058</v>
      </c>
      <c r="Z422" s="890">
        <v>25</v>
      </c>
      <c r="AA422" s="890">
        <v>546</v>
      </c>
      <c r="AB422" s="890">
        <v>22</v>
      </c>
      <c r="AC422" s="890">
        <v>34</v>
      </c>
      <c r="AD422" s="890">
        <f t="shared" si="95"/>
        <v>110538</v>
      </c>
      <c r="AE422" s="890">
        <f t="shared" si="91"/>
        <v>234891</v>
      </c>
      <c r="AF422" s="890">
        <f t="shared" si="91"/>
        <v>116715</v>
      </c>
      <c r="AG422" s="895">
        <f t="shared" si="92"/>
        <v>5.6</v>
      </c>
      <c r="AH422" s="890">
        <f t="shared" si="93"/>
        <v>265999</v>
      </c>
      <c r="AI422" s="895">
        <f t="shared" si="94"/>
        <v>13.2</v>
      </c>
    </row>
    <row r="423" spans="1:35" s="846" customFormat="1" ht="19.5" customHeight="1">
      <c r="A423" s="891" t="s">
        <v>51</v>
      </c>
      <c r="B423" s="890">
        <v>6268</v>
      </c>
      <c r="C423" s="890">
        <v>44637</v>
      </c>
      <c r="D423" s="890">
        <v>10351</v>
      </c>
      <c r="E423" s="890">
        <v>67620</v>
      </c>
      <c r="F423" s="890">
        <v>137</v>
      </c>
      <c r="G423" s="890">
        <v>465</v>
      </c>
      <c r="H423" s="890">
        <v>141</v>
      </c>
      <c r="I423" s="890">
        <v>763</v>
      </c>
      <c r="J423" s="890">
        <v>72356</v>
      </c>
      <c r="K423" s="890">
        <v>166752</v>
      </c>
      <c r="L423" s="890">
        <v>60719</v>
      </c>
      <c r="M423" s="890">
        <v>155995</v>
      </c>
      <c r="N423" s="890">
        <v>8</v>
      </c>
      <c r="O423" s="890">
        <v>11</v>
      </c>
      <c r="P423" s="890">
        <v>15</v>
      </c>
      <c r="Q423" s="890">
        <v>21</v>
      </c>
      <c r="R423" s="890">
        <v>2363</v>
      </c>
      <c r="S423" s="890">
        <v>5269</v>
      </c>
      <c r="T423" s="890">
        <v>2183</v>
      </c>
      <c r="U423" s="890">
        <v>4679</v>
      </c>
      <c r="V423" s="890">
        <v>131</v>
      </c>
      <c r="W423" s="890">
        <v>2434</v>
      </c>
      <c r="X423" s="890">
        <v>2</v>
      </c>
      <c r="Y423" s="890">
        <v>48</v>
      </c>
      <c r="Z423" s="890">
        <v>1038</v>
      </c>
      <c r="AA423" s="890">
        <v>6369</v>
      </c>
      <c r="AB423" s="890">
        <v>759</v>
      </c>
      <c r="AC423" s="890">
        <v>7454</v>
      </c>
      <c r="AD423" s="890">
        <f t="shared" si="95"/>
        <v>82301</v>
      </c>
      <c r="AE423" s="890">
        <f t="shared" si="91"/>
        <v>225937</v>
      </c>
      <c r="AF423" s="890">
        <f t="shared" si="91"/>
        <v>74170</v>
      </c>
      <c r="AG423" s="895">
        <f t="shared" si="92"/>
        <v>-9.9</v>
      </c>
      <c r="AH423" s="890">
        <f t="shared" si="93"/>
        <v>236580</v>
      </c>
      <c r="AI423" s="895">
        <f t="shared" si="94"/>
        <v>4.7</v>
      </c>
    </row>
    <row r="424" spans="1:35" s="846" customFormat="1" ht="19.5" customHeight="1">
      <c r="A424" s="891" t="s">
        <v>72</v>
      </c>
      <c r="B424" s="890">
        <v>11604</v>
      </c>
      <c r="C424" s="890">
        <v>49869</v>
      </c>
      <c r="D424" s="890">
        <v>8944</v>
      </c>
      <c r="E424" s="890">
        <v>39597</v>
      </c>
      <c r="F424" s="890">
        <v>5158</v>
      </c>
      <c r="G424" s="890">
        <v>67983</v>
      </c>
      <c r="H424" s="890">
        <v>4095</v>
      </c>
      <c r="I424" s="890">
        <v>55587</v>
      </c>
      <c r="J424" s="890">
        <v>47442</v>
      </c>
      <c r="K424" s="890">
        <v>89989</v>
      </c>
      <c r="L424" s="890">
        <v>27632</v>
      </c>
      <c r="M424" s="890">
        <v>37304</v>
      </c>
      <c r="N424" s="890">
        <v>0</v>
      </c>
      <c r="O424" s="890">
        <v>8</v>
      </c>
      <c r="P424" s="890">
        <v>0</v>
      </c>
      <c r="Q424" s="890">
        <v>1</v>
      </c>
      <c r="R424" s="890">
        <v>487</v>
      </c>
      <c r="S424" s="890">
        <v>1502</v>
      </c>
      <c r="T424" s="890">
        <v>5087</v>
      </c>
      <c r="U424" s="890">
        <v>12297</v>
      </c>
      <c r="V424" s="890">
        <v>0</v>
      </c>
      <c r="W424" s="890">
        <v>12</v>
      </c>
      <c r="X424" s="890">
        <v>1</v>
      </c>
      <c r="Y424" s="890">
        <v>66</v>
      </c>
      <c r="Z424" s="890">
        <v>326</v>
      </c>
      <c r="AA424" s="890">
        <v>4729</v>
      </c>
      <c r="AB424" s="890">
        <v>167</v>
      </c>
      <c r="AC424" s="890">
        <v>7676</v>
      </c>
      <c r="AD424" s="890">
        <f t="shared" si="95"/>
        <v>65017</v>
      </c>
      <c r="AE424" s="890">
        <f t="shared" si="91"/>
        <v>214092</v>
      </c>
      <c r="AF424" s="890">
        <f t="shared" si="91"/>
        <v>45926</v>
      </c>
      <c r="AG424" s="895">
        <f t="shared" si="92"/>
        <v>-29.4</v>
      </c>
      <c r="AH424" s="890">
        <f t="shared" si="93"/>
        <v>152528</v>
      </c>
      <c r="AI424" s="895">
        <f t="shared" si="94"/>
        <v>-28.8</v>
      </c>
    </row>
    <row r="425" spans="1:35" s="846" customFormat="1" ht="19.5" customHeight="1">
      <c r="A425" s="891" t="s">
        <v>87</v>
      </c>
      <c r="B425" s="890">
        <v>3458</v>
      </c>
      <c r="C425" s="890">
        <v>19383</v>
      </c>
      <c r="D425" s="890">
        <v>1843</v>
      </c>
      <c r="E425" s="890">
        <v>9169</v>
      </c>
      <c r="F425" s="890">
        <v>0</v>
      </c>
      <c r="G425" s="890">
        <v>0</v>
      </c>
      <c r="H425" s="890">
        <v>0</v>
      </c>
      <c r="I425" s="890">
        <v>0</v>
      </c>
      <c r="J425" s="890">
        <v>84795</v>
      </c>
      <c r="K425" s="890">
        <v>169764</v>
      </c>
      <c r="L425" s="890">
        <v>67035</v>
      </c>
      <c r="M425" s="890">
        <v>126100</v>
      </c>
      <c r="N425" s="890">
        <v>4770</v>
      </c>
      <c r="O425" s="890">
        <v>5355</v>
      </c>
      <c r="P425" s="890">
        <v>0</v>
      </c>
      <c r="Q425" s="890">
        <v>0</v>
      </c>
      <c r="R425" s="890">
        <v>0</v>
      </c>
      <c r="S425" s="890">
        <v>0</v>
      </c>
      <c r="T425" s="890">
        <v>0</v>
      </c>
      <c r="U425" s="890">
        <v>0</v>
      </c>
      <c r="V425" s="890">
        <v>0</v>
      </c>
      <c r="W425" s="890">
        <v>0</v>
      </c>
      <c r="X425" s="890">
        <v>0</v>
      </c>
      <c r="Y425" s="890">
        <v>0</v>
      </c>
      <c r="Z425" s="890">
        <v>11</v>
      </c>
      <c r="AA425" s="890">
        <v>55</v>
      </c>
      <c r="AB425" s="890">
        <v>0</v>
      </c>
      <c r="AC425" s="890">
        <v>0</v>
      </c>
      <c r="AD425" s="890">
        <f t="shared" si="95"/>
        <v>93034</v>
      </c>
      <c r="AE425" s="890">
        <f t="shared" si="91"/>
        <v>194557</v>
      </c>
      <c r="AF425" s="890">
        <f t="shared" si="91"/>
        <v>68878</v>
      </c>
      <c r="AG425" s="895">
        <f t="shared" si="92"/>
        <v>-26</v>
      </c>
      <c r="AH425" s="890">
        <f t="shared" si="93"/>
        <v>135269</v>
      </c>
      <c r="AI425" s="895">
        <f t="shared" si="94"/>
        <v>-30.5</v>
      </c>
    </row>
    <row r="426" spans="1:35" s="846" customFormat="1" ht="19.5" customHeight="1">
      <c r="A426" s="891" t="s">
        <v>59</v>
      </c>
      <c r="B426" s="890">
        <v>24009</v>
      </c>
      <c r="C426" s="890">
        <v>146421</v>
      </c>
      <c r="D426" s="890">
        <v>27094</v>
      </c>
      <c r="E426" s="890">
        <v>166844</v>
      </c>
      <c r="F426" s="890">
        <v>879</v>
      </c>
      <c r="G426" s="890">
        <v>458</v>
      </c>
      <c r="H426" s="890">
        <v>137</v>
      </c>
      <c r="I426" s="890">
        <v>393</v>
      </c>
      <c r="J426" s="890">
        <v>23181</v>
      </c>
      <c r="K426" s="890">
        <v>30193</v>
      </c>
      <c r="L426" s="890">
        <v>17776</v>
      </c>
      <c r="M426" s="890">
        <v>21433</v>
      </c>
      <c r="N426" s="890">
        <v>3001</v>
      </c>
      <c r="O426" s="890">
        <v>5867</v>
      </c>
      <c r="P426" s="890">
        <v>1091</v>
      </c>
      <c r="Q426" s="890">
        <v>1972</v>
      </c>
      <c r="R426" s="890">
        <v>174</v>
      </c>
      <c r="S426" s="890">
        <v>375</v>
      </c>
      <c r="T426" s="890">
        <v>22</v>
      </c>
      <c r="U426" s="890">
        <v>46</v>
      </c>
      <c r="V426" s="890">
        <v>44</v>
      </c>
      <c r="W426" s="890">
        <v>742</v>
      </c>
      <c r="X426" s="890">
        <v>125</v>
      </c>
      <c r="Y426" s="890">
        <v>2417</v>
      </c>
      <c r="Z426" s="890">
        <v>25</v>
      </c>
      <c r="AA426" s="890">
        <v>262</v>
      </c>
      <c r="AB426" s="890">
        <v>40</v>
      </c>
      <c r="AC426" s="890">
        <v>292</v>
      </c>
      <c r="AD426" s="890">
        <f t="shared" si="95"/>
        <v>51313</v>
      </c>
      <c r="AE426" s="890">
        <f t="shared" si="91"/>
        <v>184318</v>
      </c>
      <c r="AF426" s="890">
        <f t="shared" si="91"/>
        <v>46285</v>
      </c>
      <c r="AG426" s="895">
        <f t="shared" si="92"/>
        <v>-9.8000000000000007</v>
      </c>
      <c r="AH426" s="890">
        <f t="shared" si="93"/>
        <v>193397</v>
      </c>
      <c r="AI426" s="895">
        <f t="shared" si="94"/>
        <v>4.9000000000000004</v>
      </c>
    </row>
    <row r="427" spans="1:35" s="846" customFormat="1" ht="19.5" customHeight="1">
      <c r="A427" s="891" t="s">
        <v>90</v>
      </c>
      <c r="B427" s="890">
        <v>523</v>
      </c>
      <c r="C427" s="890">
        <v>3144</v>
      </c>
      <c r="D427" s="890">
        <v>970</v>
      </c>
      <c r="E427" s="890">
        <v>5349</v>
      </c>
      <c r="F427" s="890">
        <v>0</v>
      </c>
      <c r="G427" s="890">
        <v>0</v>
      </c>
      <c r="H427" s="890">
        <v>0</v>
      </c>
      <c r="I427" s="890">
        <v>0</v>
      </c>
      <c r="J427" s="890">
        <v>68637</v>
      </c>
      <c r="K427" s="890">
        <v>140296</v>
      </c>
      <c r="L427" s="890">
        <v>63637</v>
      </c>
      <c r="M427" s="890">
        <v>113146</v>
      </c>
      <c r="N427" s="890">
        <v>0</v>
      </c>
      <c r="O427" s="890">
        <v>0</v>
      </c>
      <c r="P427" s="890">
        <v>19</v>
      </c>
      <c r="Q427" s="890">
        <v>30</v>
      </c>
      <c r="R427" s="890">
        <v>0</v>
      </c>
      <c r="S427" s="890">
        <v>0</v>
      </c>
      <c r="T427" s="890">
        <v>0</v>
      </c>
      <c r="U427" s="890">
        <v>0</v>
      </c>
      <c r="V427" s="890">
        <v>0</v>
      </c>
      <c r="W427" s="890">
        <v>0</v>
      </c>
      <c r="X427" s="890">
        <v>0</v>
      </c>
      <c r="Y427" s="890">
        <v>0</v>
      </c>
      <c r="Z427" s="890">
        <v>0</v>
      </c>
      <c r="AA427" s="890">
        <v>0</v>
      </c>
      <c r="AB427" s="890">
        <v>0</v>
      </c>
      <c r="AC427" s="890">
        <v>0</v>
      </c>
      <c r="AD427" s="890">
        <f t="shared" si="95"/>
        <v>69160</v>
      </c>
      <c r="AE427" s="890">
        <f t="shared" si="91"/>
        <v>143440</v>
      </c>
      <c r="AF427" s="890">
        <f t="shared" si="91"/>
        <v>64626</v>
      </c>
      <c r="AG427" s="895">
        <f t="shared" si="92"/>
        <v>-6.6</v>
      </c>
      <c r="AH427" s="890">
        <f t="shared" si="93"/>
        <v>118525</v>
      </c>
      <c r="AI427" s="895">
        <f t="shared" si="94"/>
        <v>-17.399999999999999</v>
      </c>
    </row>
    <row r="428" spans="1:35" s="846" customFormat="1" ht="19.5" customHeight="1">
      <c r="A428" s="891" t="s">
        <v>76</v>
      </c>
      <c r="B428" s="890">
        <v>268</v>
      </c>
      <c r="C428" s="890">
        <v>4060</v>
      </c>
      <c r="D428" s="890">
        <v>161</v>
      </c>
      <c r="E428" s="890">
        <v>3526</v>
      </c>
      <c r="F428" s="890">
        <v>1190</v>
      </c>
      <c r="G428" s="890">
        <v>28241</v>
      </c>
      <c r="H428" s="890">
        <v>1058</v>
      </c>
      <c r="I428" s="890">
        <v>23156</v>
      </c>
      <c r="J428" s="890">
        <v>7384</v>
      </c>
      <c r="K428" s="890">
        <v>88729</v>
      </c>
      <c r="L428" s="890">
        <v>7035</v>
      </c>
      <c r="M428" s="890">
        <v>80947</v>
      </c>
      <c r="N428" s="890">
        <v>839</v>
      </c>
      <c r="O428" s="890">
        <v>1641</v>
      </c>
      <c r="P428" s="890">
        <v>219</v>
      </c>
      <c r="Q428" s="890">
        <v>424</v>
      </c>
      <c r="R428" s="890">
        <v>684</v>
      </c>
      <c r="S428" s="890">
        <v>3276</v>
      </c>
      <c r="T428" s="890">
        <v>617</v>
      </c>
      <c r="U428" s="890">
        <v>2790</v>
      </c>
      <c r="V428" s="890">
        <v>18</v>
      </c>
      <c r="W428" s="890">
        <v>431</v>
      </c>
      <c r="X428" s="890">
        <v>16</v>
      </c>
      <c r="Y428" s="890">
        <v>378</v>
      </c>
      <c r="Z428" s="890">
        <v>109</v>
      </c>
      <c r="AA428" s="890">
        <v>10661</v>
      </c>
      <c r="AB428" s="890">
        <v>183</v>
      </c>
      <c r="AC428" s="890">
        <v>8897</v>
      </c>
      <c r="AD428" s="890">
        <f t="shared" si="95"/>
        <v>10492</v>
      </c>
      <c r="AE428" s="890">
        <f t="shared" si="91"/>
        <v>137039</v>
      </c>
      <c r="AF428" s="890">
        <f t="shared" si="91"/>
        <v>9289</v>
      </c>
      <c r="AG428" s="895">
        <f t="shared" si="92"/>
        <v>-11.5</v>
      </c>
      <c r="AH428" s="890">
        <f t="shared" si="93"/>
        <v>120118</v>
      </c>
      <c r="AI428" s="895">
        <f t="shared" si="94"/>
        <v>-12.3</v>
      </c>
    </row>
    <row r="429" spans="1:35" s="846" customFormat="1" ht="19.5" customHeight="1">
      <c r="A429" s="891" t="s">
        <v>91</v>
      </c>
      <c r="B429" s="890">
        <v>1068</v>
      </c>
      <c r="C429" s="890">
        <v>6014</v>
      </c>
      <c r="D429" s="890">
        <v>1132</v>
      </c>
      <c r="E429" s="890">
        <v>6275</v>
      </c>
      <c r="F429" s="890">
        <v>0</v>
      </c>
      <c r="G429" s="890">
        <v>0</v>
      </c>
      <c r="H429" s="890">
        <v>0</v>
      </c>
      <c r="I429" s="890">
        <v>0</v>
      </c>
      <c r="J429" s="890">
        <v>52243</v>
      </c>
      <c r="K429" s="890">
        <v>106870</v>
      </c>
      <c r="L429" s="890">
        <v>55114</v>
      </c>
      <c r="M429" s="890">
        <v>100706</v>
      </c>
      <c r="N429" s="890">
        <v>0</v>
      </c>
      <c r="O429" s="890">
        <v>0</v>
      </c>
      <c r="P429" s="890">
        <v>0</v>
      </c>
      <c r="Q429" s="890">
        <v>0</v>
      </c>
      <c r="R429" s="890">
        <v>0</v>
      </c>
      <c r="S429" s="890">
        <v>0</v>
      </c>
      <c r="T429" s="890">
        <v>0</v>
      </c>
      <c r="U429" s="890">
        <v>0</v>
      </c>
      <c r="V429" s="890">
        <v>0</v>
      </c>
      <c r="W429" s="890">
        <v>0</v>
      </c>
      <c r="X429" s="890">
        <v>0</v>
      </c>
      <c r="Y429" s="890">
        <v>0</v>
      </c>
      <c r="Z429" s="890">
        <v>0</v>
      </c>
      <c r="AA429" s="890">
        <v>0</v>
      </c>
      <c r="AB429" s="890">
        <v>0</v>
      </c>
      <c r="AC429" s="890">
        <v>0</v>
      </c>
      <c r="AD429" s="890">
        <f t="shared" si="95"/>
        <v>53311</v>
      </c>
      <c r="AE429" s="890">
        <f t="shared" si="91"/>
        <v>112884</v>
      </c>
      <c r="AF429" s="890">
        <f t="shared" si="91"/>
        <v>56246</v>
      </c>
      <c r="AG429" s="895">
        <f t="shared" si="92"/>
        <v>5.5</v>
      </c>
      <c r="AH429" s="890">
        <f t="shared" si="93"/>
        <v>106981</v>
      </c>
      <c r="AI429" s="895">
        <f t="shared" si="94"/>
        <v>-5.2</v>
      </c>
    </row>
    <row r="430" spans="1:35" s="846" customFormat="1" ht="19.5" customHeight="1">
      <c r="A430" s="891" t="s">
        <v>308</v>
      </c>
      <c r="B430" s="890">
        <v>44</v>
      </c>
      <c r="C430" s="890">
        <v>223</v>
      </c>
      <c r="D430" s="890">
        <v>0</v>
      </c>
      <c r="E430" s="890">
        <v>0</v>
      </c>
      <c r="F430" s="890">
        <v>7098</v>
      </c>
      <c r="G430" s="890">
        <v>93435</v>
      </c>
      <c r="H430" s="890">
        <v>3268</v>
      </c>
      <c r="I430" s="890">
        <v>45272</v>
      </c>
      <c r="J430" s="890">
        <v>0</v>
      </c>
      <c r="K430" s="890">
        <v>0</v>
      </c>
      <c r="L430" s="890">
        <v>0</v>
      </c>
      <c r="M430" s="890">
        <v>1</v>
      </c>
      <c r="N430" s="890">
        <v>0</v>
      </c>
      <c r="O430" s="890">
        <v>0</v>
      </c>
      <c r="P430" s="890">
        <v>0</v>
      </c>
      <c r="Q430" s="890">
        <v>0</v>
      </c>
      <c r="R430" s="890">
        <v>0</v>
      </c>
      <c r="S430" s="890">
        <v>0</v>
      </c>
      <c r="T430" s="890">
        <v>0</v>
      </c>
      <c r="U430" s="890">
        <v>0</v>
      </c>
      <c r="V430" s="890">
        <v>0</v>
      </c>
      <c r="W430" s="890">
        <v>0</v>
      </c>
      <c r="X430" s="890">
        <v>0</v>
      </c>
      <c r="Y430" s="890">
        <v>0</v>
      </c>
      <c r="Z430" s="890">
        <v>0</v>
      </c>
      <c r="AA430" s="890">
        <v>0</v>
      </c>
      <c r="AB430" s="890">
        <v>0</v>
      </c>
      <c r="AC430" s="890">
        <v>0</v>
      </c>
      <c r="AD430" s="890">
        <f t="shared" si="95"/>
        <v>7142</v>
      </c>
      <c r="AE430" s="890">
        <f t="shared" si="91"/>
        <v>93658</v>
      </c>
      <c r="AF430" s="890">
        <f t="shared" si="91"/>
        <v>3268</v>
      </c>
      <c r="AG430" s="895">
        <f t="shared" si="92"/>
        <v>-54.2</v>
      </c>
      <c r="AH430" s="890">
        <f t="shared" si="93"/>
        <v>45273</v>
      </c>
      <c r="AI430" s="895">
        <f t="shared" si="94"/>
        <v>-51.7</v>
      </c>
    </row>
    <row r="431" spans="1:35" s="846" customFormat="1" ht="19.5" customHeight="1">
      <c r="A431" s="891" t="s">
        <v>71</v>
      </c>
      <c r="B431" s="890">
        <v>2552</v>
      </c>
      <c r="C431" s="890">
        <v>18867</v>
      </c>
      <c r="D431" s="890">
        <v>4789</v>
      </c>
      <c r="E431" s="890">
        <v>29999</v>
      </c>
      <c r="F431" s="890">
        <v>310</v>
      </c>
      <c r="G431" s="890">
        <v>9571</v>
      </c>
      <c r="H431" s="890">
        <v>363</v>
      </c>
      <c r="I431" s="890">
        <v>9469</v>
      </c>
      <c r="J431" s="890">
        <v>25438</v>
      </c>
      <c r="K431" s="890">
        <v>46046</v>
      </c>
      <c r="L431" s="890">
        <v>28225</v>
      </c>
      <c r="M431" s="890">
        <v>46003</v>
      </c>
      <c r="N431" s="890">
        <v>4</v>
      </c>
      <c r="O431" s="890">
        <v>34</v>
      </c>
      <c r="P431" s="890">
        <v>300</v>
      </c>
      <c r="Q431" s="890">
        <v>600</v>
      </c>
      <c r="R431" s="890">
        <v>3</v>
      </c>
      <c r="S431" s="890">
        <v>55</v>
      </c>
      <c r="T431" s="890">
        <v>1</v>
      </c>
      <c r="U431" s="890">
        <v>50</v>
      </c>
      <c r="V431" s="890">
        <v>17</v>
      </c>
      <c r="W431" s="890">
        <v>392</v>
      </c>
      <c r="X431" s="890">
        <v>15</v>
      </c>
      <c r="Y431" s="890">
        <v>299</v>
      </c>
      <c r="Z431" s="890">
        <v>814</v>
      </c>
      <c r="AA431" s="890">
        <v>19027</v>
      </c>
      <c r="AB431" s="890">
        <v>751</v>
      </c>
      <c r="AC431" s="890">
        <v>11751</v>
      </c>
      <c r="AD431" s="890">
        <f t="shared" si="95"/>
        <v>29138</v>
      </c>
      <c r="AE431" s="890">
        <f t="shared" si="91"/>
        <v>93992</v>
      </c>
      <c r="AF431" s="890">
        <f t="shared" si="91"/>
        <v>34444</v>
      </c>
      <c r="AG431" s="895">
        <f t="shared" si="92"/>
        <v>18.2</v>
      </c>
      <c r="AH431" s="890">
        <f t="shared" si="93"/>
        <v>98171</v>
      </c>
      <c r="AI431" s="895">
        <f t="shared" si="94"/>
        <v>4.4000000000000004</v>
      </c>
    </row>
    <row r="432" spans="1:35" s="846" customFormat="1" ht="19.5" customHeight="1">
      <c r="A432" s="891" t="s">
        <v>88</v>
      </c>
      <c r="B432" s="890">
        <v>13481</v>
      </c>
      <c r="C432" s="890">
        <v>72161</v>
      </c>
      <c r="D432" s="890">
        <v>8837</v>
      </c>
      <c r="E432" s="890">
        <v>44881</v>
      </c>
      <c r="F432" s="890">
        <v>0</v>
      </c>
      <c r="G432" s="890">
        <v>0</v>
      </c>
      <c r="H432" s="890">
        <v>0</v>
      </c>
      <c r="I432" s="890">
        <v>0</v>
      </c>
      <c r="J432" s="890">
        <v>5169</v>
      </c>
      <c r="K432" s="890">
        <v>8392</v>
      </c>
      <c r="L432" s="890">
        <v>1528</v>
      </c>
      <c r="M432" s="890">
        <v>2189</v>
      </c>
      <c r="N432" s="890">
        <v>6293</v>
      </c>
      <c r="O432" s="890">
        <v>12506</v>
      </c>
      <c r="P432" s="890">
        <v>11097</v>
      </c>
      <c r="Q432" s="890">
        <v>20046</v>
      </c>
      <c r="R432" s="890">
        <v>0</v>
      </c>
      <c r="S432" s="890">
        <v>0</v>
      </c>
      <c r="T432" s="890">
        <v>0</v>
      </c>
      <c r="U432" s="890">
        <v>0</v>
      </c>
      <c r="V432" s="890">
        <v>0</v>
      </c>
      <c r="W432" s="890">
        <v>0</v>
      </c>
      <c r="X432" s="890">
        <v>0</v>
      </c>
      <c r="Y432" s="890">
        <v>0</v>
      </c>
      <c r="Z432" s="890">
        <v>0</v>
      </c>
      <c r="AA432" s="890">
        <v>0</v>
      </c>
      <c r="AB432" s="890">
        <v>0</v>
      </c>
      <c r="AC432" s="890">
        <v>0</v>
      </c>
      <c r="AD432" s="890">
        <f t="shared" si="95"/>
        <v>24943</v>
      </c>
      <c r="AE432" s="890">
        <f t="shared" si="91"/>
        <v>93059</v>
      </c>
      <c r="AF432" s="890">
        <f t="shared" si="91"/>
        <v>21462</v>
      </c>
      <c r="AG432" s="895">
        <f t="shared" si="92"/>
        <v>-14</v>
      </c>
      <c r="AH432" s="890">
        <f t="shared" si="93"/>
        <v>67116</v>
      </c>
      <c r="AI432" s="895">
        <f t="shared" si="94"/>
        <v>-27.9</v>
      </c>
    </row>
    <row r="433" spans="1:35" s="846" customFormat="1" ht="19.5" customHeight="1">
      <c r="A433" s="891" t="s">
        <v>65</v>
      </c>
      <c r="B433" s="890">
        <v>10234</v>
      </c>
      <c r="C433" s="890">
        <v>46800</v>
      </c>
      <c r="D433" s="890">
        <v>23102</v>
      </c>
      <c r="E433" s="890">
        <v>112770</v>
      </c>
      <c r="F433" s="890">
        <v>21</v>
      </c>
      <c r="G433" s="890">
        <v>2464</v>
      </c>
      <c r="H433" s="890">
        <v>8</v>
      </c>
      <c r="I433" s="890">
        <v>910</v>
      </c>
      <c r="J433" s="890">
        <v>21502</v>
      </c>
      <c r="K433" s="890">
        <v>29140</v>
      </c>
      <c r="L433" s="890">
        <v>33654</v>
      </c>
      <c r="M433" s="890">
        <v>40890</v>
      </c>
      <c r="N433" s="890">
        <v>164</v>
      </c>
      <c r="O433" s="890">
        <v>346</v>
      </c>
      <c r="P433" s="890">
        <v>7881</v>
      </c>
      <c r="Q433" s="890">
        <v>14898</v>
      </c>
      <c r="R433" s="890">
        <v>0</v>
      </c>
      <c r="S433" s="890">
        <v>0</v>
      </c>
      <c r="T433" s="890">
        <v>42</v>
      </c>
      <c r="U433" s="890">
        <v>91</v>
      </c>
      <c r="V433" s="890">
        <v>0</v>
      </c>
      <c r="W433" s="890">
        <v>0</v>
      </c>
      <c r="X433" s="890">
        <v>0</v>
      </c>
      <c r="Y433" s="890">
        <v>0</v>
      </c>
      <c r="Z433" s="890">
        <v>166</v>
      </c>
      <c r="AA433" s="890">
        <v>3239</v>
      </c>
      <c r="AB433" s="890">
        <v>117</v>
      </c>
      <c r="AC433" s="890">
        <v>1265</v>
      </c>
      <c r="AD433" s="890">
        <f t="shared" si="95"/>
        <v>32087</v>
      </c>
      <c r="AE433" s="890">
        <f t="shared" si="91"/>
        <v>81989</v>
      </c>
      <c r="AF433" s="890">
        <f t="shared" si="91"/>
        <v>64804</v>
      </c>
      <c r="AG433" s="895">
        <f t="shared" si="92"/>
        <v>102</v>
      </c>
      <c r="AH433" s="890">
        <f t="shared" si="93"/>
        <v>170824</v>
      </c>
      <c r="AI433" s="895">
        <f t="shared" si="94"/>
        <v>108.3</v>
      </c>
    </row>
    <row r="434" spans="1:35" s="846" customFormat="1" ht="19.5" customHeight="1">
      <c r="A434" s="891" t="s">
        <v>66</v>
      </c>
      <c r="B434" s="890">
        <v>11651</v>
      </c>
      <c r="C434" s="890">
        <v>56337</v>
      </c>
      <c r="D434" s="890">
        <v>9495</v>
      </c>
      <c r="E434" s="890">
        <v>52435</v>
      </c>
      <c r="F434" s="890">
        <v>56</v>
      </c>
      <c r="G434" s="890">
        <v>489</v>
      </c>
      <c r="H434" s="890">
        <v>200</v>
      </c>
      <c r="I434" s="890">
        <v>624</v>
      </c>
      <c r="J434" s="890">
        <v>5652</v>
      </c>
      <c r="K434" s="890">
        <v>12528</v>
      </c>
      <c r="L434" s="890">
        <v>3425</v>
      </c>
      <c r="M434" s="890">
        <v>12050</v>
      </c>
      <c r="N434" s="890">
        <v>22</v>
      </c>
      <c r="O434" s="890">
        <v>673</v>
      </c>
      <c r="P434" s="890">
        <v>364</v>
      </c>
      <c r="Q434" s="890">
        <v>1163</v>
      </c>
      <c r="R434" s="890">
        <v>0</v>
      </c>
      <c r="S434" s="890">
        <v>1</v>
      </c>
      <c r="T434" s="890">
        <v>0</v>
      </c>
      <c r="U434" s="890">
        <v>0</v>
      </c>
      <c r="V434" s="890">
        <v>3</v>
      </c>
      <c r="W434" s="890">
        <v>69</v>
      </c>
      <c r="X434" s="890">
        <v>2</v>
      </c>
      <c r="Y434" s="890">
        <v>54</v>
      </c>
      <c r="Z434" s="890">
        <v>792</v>
      </c>
      <c r="AA434" s="890">
        <v>2487</v>
      </c>
      <c r="AB434" s="890">
        <v>342</v>
      </c>
      <c r="AC434" s="890">
        <v>2053</v>
      </c>
      <c r="AD434" s="890">
        <f t="shared" si="95"/>
        <v>18176</v>
      </c>
      <c r="AE434" s="890">
        <f t="shared" si="91"/>
        <v>72584</v>
      </c>
      <c r="AF434" s="890">
        <f t="shared" si="91"/>
        <v>13828</v>
      </c>
      <c r="AG434" s="895">
        <f t="shared" si="92"/>
        <v>-23.9</v>
      </c>
      <c r="AH434" s="890">
        <f t="shared" si="93"/>
        <v>68379</v>
      </c>
      <c r="AI434" s="895">
        <f t="shared" si="94"/>
        <v>-5.8</v>
      </c>
    </row>
    <row r="435" spans="1:35" s="846" customFormat="1" ht="19.5" customHeight="1">
      <c r="A435" s="891" t="s">
        <v>89</v>
      </c>
      <c r="B435" s="890">
        <v>6397</v>
      </c>
      <c r="C435" s="890">
        <v>37026</v>
      </c>
      <c r="D435" s="890">
        <v>8237</v>
      </c>
      <c r="E435" s="890">
        <v>13991</v>
      </c>
      <c r="F435" s="890">
        <v>866</v>
      </c>
      <c r="G435" s="890">
        <v>12317</v>
      </c>
      <c r="H435" s="890">
        <v>166</v>
      </c>
      <c r="I435" s="890">
        <v>2474</v>
      </c>
      <c r="J435" s="890">
        <v>6720</v>
      </c>
      <c r="K435" s="890">
        <v>11459</v>
      </c>
      <c r="L435" s="890">
        <v>9990</v>
      </c>
      <c r="M435" s="890">
        <v>15357</v>
      </c>
      <c r="N435" s="890">
        <v>987</v>
      </c>
      <c r="O435" s="890">
        <v>2003</v>
      </c>
      <c r="P435" s="890">
        <v>1160</v>
      </c>
      <c r="Q435" s="890">
        <v>2126</v>
      </c>
      <c r="R435" s="890">
        <v>0</v>
      </c>
      <c r="S435" s="890">
        <v>0</v>
      </c>
      <c r="T435" s="890">
        <v>0</v>
      </c>
      <c r="U435" s="890">
        <v>0</v>
      </c>
      <c r="V435" s="890">
        <v>0</v>
      </c>
      <c r="W435" s="890">
        <v>0</v>
      </c>
      <c r="X435" s="890">
        <v>0</v>
      </c>
      <c r="Y435" s="890">
        <v>0</v>
      </c>
      <c r="Z435" s="890">
        <v>217</v>
      </c>
      <c r="AA435" s="890">
        <v>1141</v>
      </c>
      <c r="AB435" s="890">
        <v>124</v>
      </c>
      <c r="AC435" s="890">
        <v>708</v>
      </c>
      <c r="AD435" s="890">
        <f t="shared" si="95"/>
        <v>15187</v>
      </c>
      <c r="AE435" s="890">
        <f t="shared" si="91"/>
        <v>63946</v>
      </c>
      <c r="AF435" s="890">
        <f t="shared" si="91"/>
        <v>19677</v>
      </c>
      <c r="AG435" s="895">
        <f t="shared" si="92"/>
        <v>29.6</v>
      </c>
      <c r="AH435" s="890">
        <f t="shared" si="93"/>
        <v>34656</v>
      </c>
      <c r="AI435" s="895">
        <f t="shared" si="94"/>
        <v>-45.8</v>
      </c>
    </row>
    <row r="436" spans="1:35" s="846" customFormat="1" ht="19.5" customHeight="1">
      <c r="A436" s="891" t="s">
        <v>309</v>
      </c>
      <c r="B436" s="890">
        <v>6</v>
      </c>
      <c r="C436" s="890">
        <v>107</v>
      </c>
      <c r="D436" s="890">
        <v>10</v>
      </c>
      <c r="E436" s="890">
        <v>161</v>
      </c>
      <c r="F436" s="890">
        <v>4484</v>
      </c>
      <c r="G436" s="890">
        <v>66577</v>
      </c>
      <c r="H436" s="890">
        <v>3511</v>
      </c>
      <c r="I436" s="890">
        <v>50838</v>
      </c>
      <c r="J436" s="890">
        <v>45</v>
      </c>
      <c r="K436" s="890">
        <v>378</v>
      </c>
      <c r="L436" s="890">
        <v>149</v>
      </c>
      <c r="M436" s="890">
        <v>740</v>
      </c>
      <c r="N436" s="890">
        <v>0</v>
      </c>
      <c r="O436" s="890">
        <v>0</v>
      </c>
      <c r="P436" s="890">
        <v>0</v>
      </c>
      <c r="Q436" s="890">
        <v>0</v>
      </c>
      <c r="R436" s="890">
        <v>0</v>
      </c>
      <c r="S436" s="890">
        <v>5</v>
      </c>
      <c r="T436" s="890">
        <v>0</v>
      </c>
      <c r="U436" s="890">
        <v>3</v>
      </c>
      <c r="V436" s="890">
        <v>0</v>
      </c>
      <c r="W436" s="890">
        <v>0</v>
      </c>
      <c r="X436" s="890">
        <v>0</v>
      </c>
      <c r="Y436" s="890">
        <v>0</v>
      </c>
      <c r="Z436" s="890">
        <v>13</v>
      </c>
      <c r="AA436" s="890">
        <v>422</v>
      </c>
      <c r="AB436" s="890">
        <v>18</v>
      </c>
      <c r="AC436" s="890">
        <v>637</v>
      </c>
      <c r="AD436" s="890">
        <f t="shared" si="95"/>
        <v>4548</v>
      </c>
      <c r="AE436" s="890">
        <f t="shared" si="91"/>
        <v>67489</v>
      </c>
      <c r="AF436" s="890">
        <f t="shared" si="91"/>
        <v>3688</v>
      </c>
      <c r="AG436" s="895">
        <f t="shared" si="92"/>
        <v>-18.899999999999999</v>
      </c>
      <c r="AH436" s="890">
        <f t="shared" si="93"/>
        <v>52379</v>
      </c>
      <c r="AI436" s="895">
        <f t="shared" si="94"/>
        <v>-22.4</v>
      </c>
    </row>
    <row r="437" spans="1:35" s="846" customFormat="1" ht="19.5" customHeight="1">
      <c r="A437" s="891" t="s">
        <v>92</v>
      </c>
      <c r="B437" s="890">
        <v>8592</v>
      </c>
      <c r="C437" s="890">
        <v>46882</v>
      </c>
      <c r="D437" s="890">
        <v>6876</v>
      </c>
      <c r="E437" s="890">
        <v>35559</v>
      </c>
      <c r="F437" s="890">
        <v>0</v>
      </c>
      <c r="G437" s="890">
        <v>1</v>
      </c>
      <c r="H437" s="890">
        <v>0</v>
      </c>
      <c r="I437" s="890">
        <v>14</v>
      </c>
      <c r="J437" s="890">
        <v>8709</v>
      </c>
      <c r="K437" s="890">
        <v>13703</v>
      </c>
      <c r="L437" s="890">
        <v>14133</v>
      </c>
      <c r="M437" s="890">
        <v>18677</v>
      </c>
      <c r="N437" s="890">
        <v>0</v>
      </c>
      <c r="O437" s="890">
        <v>0</v>
      </c>
      <c r="P437" s="890">
        <v>25</v>
      </c>
      <c r="Q437" s="890">
        <v>42</v>
      </c>
      <c r="R437" s="890">
        <v>0</v>
      </c>
      <c r="S437" s="890">
        <v>0</v>
      </c>
      <c r="T437" s="890">
        <v>0</v>
      </c>
      <c r="U437" s="890">
        <v>0</v>
      </c>
      <c r="V437" s="890">
        <v>0</v>
      </c>
      <c r="W437" s="890">
        <v>0</v>
      </c>
      <c r="X437" s="890">
        <v>0</v>
      </c>
      <c r="Y437" s="890">
        <v>0</v>
      </c>
      <c r="Z437" s="890">
        <v>6</v>
      </c>
      <c r="AA437" s="890">
        <v>117</v>
      </c>
      <c r="AB437" s="890">
        <v>5</v>
      </c>
      <c r="AC437" s="890">
        <v>78</v>
      </c>
      <c r="AD437" s="890">
        <f t="shared" si="95"/>
        <v>17307</v>
      </c>
      <c r="AE437" s="890">
        <f t="shared" si="91"/>
        <v>60703</v>
      </c>
      <c r="AF437" s="890">
        <f t="shared" si="91"/>
        <v>21039</v>
      </c>
      <c r="AG437" s="895">
        <f t="shared" si="92"/>
        <v>21.6</v>
      </c>
      <c r="AH437" s="890">
        <f t="shared" si="93"/>
        <v>54370</v>
      </c>
      <c r="AI437" s="895">
        <f t="shared" si="94"/>
        <v>-10.4</v>
      </c>
    </row>
    <row r="438" spans="1:35" s="846" customFormat="1" ht="19.5" customHeight="1">
      <c r="A438" s="877" t="s">
        <v>740</v>
      </c>
      <c r="B438" s="892">
        <f t="shared" ref="B438:M438" si="96">B439-SUM(B408:B437)</f>
        <v>124323</v>
      </c>
      <c r="C438" s="892">
        <f t="shared" si="96"/>
        <v>661704</v>
      </c>
      <c r="D438" s="892">
        <f t="shared" si="96"/>
        <v>107489</v>
      </c>
      <c r="E438" s="892">
        <f t="shared" si="96"/>
        <v>534369</v>
      </c>
      <c r="F438" s="892">
        <f t="shared" si="96"/>
        <v>6100</v>
      </c>
      <c r="G438" s="892">
        <f t="shared" si="96"/>
        <v>76976</v>
      </c>
      <c r="H438" s="892">
        <f t="shared" si="96"/>
        <v>13678</v>
      </c>
      <c r="I438" s="892">
        <f t="shared" si="96"/>
        <v>210806</v>
      </c>
      <c r="J438" s="892">
        <f t="shared" si="96"/>
        <v>134259</v>
      </c>
      <c r="K438" s="892">
        <f t="shared" si="96"/>
        <v>229839</v>
      </c>
      <c r="L438" s="892">
        <f t="shared" si="96"/>
        <v>124166</v>
      </c>
      <c r="M438" s="892">
        <f t="shared" si="96"/>
        <v>219590</v>
      </c>
      <c r="N438" s="892">
        <f t="shared" ref="N438:Y438" si="97">N439-SUM(N408:N437)</f>
        <v>14808</v>
      </c>
      <c r="O438" s="892">
        <f t="shared" si="97"/>
        <v>29799</v>
      </c>
      <c r="P438" s="892">
        <f t="shared" si="97"/>
        <v>17731</v>
      </c>
      <c r="Q438" s="892">
        <f t="shared" si="97"/>
        <v>32894</v>
      </c>
      <c r="R438" s="892">
        <f t="shared" si="97"/>
        <v>8018</v>
      </c>
      <c r="S438" s="892">
        <f t="shared" si="97"/>
        <v>24430</v>
      </c>
      <c r="T438" s="892">
        <f t="shared" si="97"/>
        <v>9656</v>
      </c>
      <c r="U438" s="892">
        <f t="shared" si="97"/>
        <v>24886</v>
      </c>
      <c r="V438" s="892">
        <f t="shared" si="97"/>
        <v>473</v>
      </c>
      <c r="W438" s="892">
        <f t="shared" si="97"/>
        <v>8111</v>
      </c>
      <c r="X438" s="892">
        <f t="shared" si="97"/>
        <v>193</v>
      </c>
      <c r="Y438" s="892">
        <f t="shared" si="97"/>
        <v>3253</v>
      </c>
      <c r="Z438" s="892">
        <f t="shared" ref="Z438:AF438" si="98">Z439-SUM(Z408:Z437)</f>
        <v>4942</v>
      </c>
      <c r="AA438" s="892">
        <f t="shared" si="98"/>
        <v>73400</v>
      </c>
      <c r="AB438" s="892">
        <f t="shared" si="98"/>
        <v>5015</v>
      </c>
      <c r="AC438" s="892">
        <f t="shared" si="98"/>
        <v>68412</v>
      </c>
      <c r="AD438" s="892">
        <f t="shared" si="98"/>
        <v>292923</v>
      </c>
      <c r="AE438" s="892">
        <f t="shared" si="98"/>
        <v>1104259</v>
      </c>
      <c r="AF438" s="892">
        <f t="shared" si="98"/>
        <v>277928</v>
      </c>
      <c r="AG438" s="896">
        <f t="shared" si="92"/>
        <v>-5.0999999999999996</v>
      </c>
      <c r="AH438" s="892">
        <f>AH439-SUM(AH408:AH437)</f>
        <v>1094210</v>
      </c>
      <c r="AI438" s="896">
        <f t="shared" si="94"/>
        <v>-0.9</v>
      </c>
    </row>
    <row r="439" spans="1:35" s="846" customFormat="1" ht="19.5" customHeight="1">
      <c r="A439" s="878" t="s">
        <v>79</v>
      </c>
      <c r="B439" s="893">
        <v>781852</v>
      </c>
      <c r="C439" s="894">
        <v>4910895</v>
      </c>
      <c r="D439" s="894">
        <v>751230</v>
      </c>
      <c r="E439" s="894">
        <v>4595411</v>
      </c>
      <c r="F439" s="894">
        <v>54919</v>
      </c>
      <c r="G439" s="894">
        <v>976355</v>
      </c>
      <c r="H439" s="894">
        <v>52730</v>
      </c>
      <c r="I439" s="894">
        <v>911686</v>
      </c>
      <c r="J439" s="894">
        <v>2686213</v>
      </c>
      <c r="K439" s="894">
        <v>5776991</v>
      </c>
      <c r="L439" s="894">
        <v>2583106</v>
      </c>
      <c r="M439" s="894">
        <v>5174103</v>
      </c>
      <c r="N439" s="894">
        <v>134745</v>
      </c>
      <c r="O439" s="894">
        <v>270565</v>
      </c>
      <c r="P439" s="894">
        <v>136492</v>
      </c>
      <c r="Q439" s="894">
        <v>260806</v>
      </c>
      <c r="R439" s="894">
        <v>50914</v>
      </c>
      <c r="S439" s="894">
        <v>148079</v>
      </c>
      <c r="T439" s="894">
        <v>42434</v>
      </c>
      <c r="U439" s="894">
        <v>108748</v>
      </c>
      <c r="V439" s="894">
        <v>12875</v>
      </c>
      <c r="W439" s="894">
        <v>256958</v>
      </c>
      <c r="X439" s="894">
        <v>13581</v>
      </c>
      <c r="Y439" s="894">
        <v>242951</v>
      </c>
      <c r="Z439" s="894">
        <v>140438</v>
      </c>
      <c r="AA439" s="894">
        <v>1000673</v>
      </c>
      <c r="AB439" s="894">
        <v>131779</v>
      </c>
      <c r="AC439" s="894">
        <v>854170</v>
      </c>
      <c r="AD439" s="894">
        <f>SUM(B439+F439+J439+N439+R439+V439+Z439)</f>
        <v>3861956</v>
      </c>
      <c r="AE439" s="893">
        <f>SUM(C439+G439+K439+O439+S439+W439+AA439)</f>
        <v>13340516</v>
      </c>
      <c r="AF439" s="894">
        <f>SUM(D439+H439+L439+P439+T439+X439+AB439)</f>
        <v>3711352</v>
      </c>
      <c r="AG439" s="896">
        <f t="shared" si="92"/>
        <v>-3.9</v>
      </c>
      <c r="AH439" s="893">
        <f>SUM(E439+I439+M439+Q439+U439+Y439+AC439)</f>
        <v>12147875</v>
      </c>
      <c r="AI439" s="896">
        <f t="shared" si="94"/>
        <v>-8.9</v>
      </c>
    </row>
  </sheetData>
  <mergeCells count="638">
    <mergeCell ref="AH406:AH407"/>
    <mergeCell ref="X406:X407"/>
    <mergeCell ref="Y406:Y407"/>
    <mergeCell ref="Z406:Z407"/>
    <mergeCell ref="AA406:AA407"/>
    <mergeCell ref="AB406:AB407"/>
    <mergeCell ref="AC406:AC407"/>
    <mergeCell ref="AD406:AD407"/>
    <mergeCell ref="AE406:AE407"/>
    <mergeCell ref="AF406:AF407"/>
    <mergeCell ref="AD405:AE405"/>
    <mergeCell ref="AF405:AI405"/>
    <mergeCell ref="B406:B407"/>
    <mergeCell ref="C406:C407"/>
    <mergeCell ref="D406:D407"/>
    <mergeCell ref="E406:E407"/>
    <mergeCell ref="F406:F407"/>
    <mergeCell ref="G406:G407"/>
    <mergeCell ref="H406:H407"/>
    <mergeCell ref="I406:I407"/>
    <mergeCell ref="J406:J407"/>
    <mergeCell ref="K406:K407"/>
    <mergeCell ref="L406:L407"/>
    <mergeCell ref="M406:M407"/>
    <mergeCell ref="N406:N407"/>
    <mergeCell ref="O406:O407"/>
    <mergeCell ref="P406:P407"/>
    <mergeCell ref="Q406:Q407"/>
    <mergeCell ref="R406:R407"/>
    <mergeCell ref="S406:S407"/>
    <mergeCell ref="T406:T407"/>
    <mergeCell ref="U406:U407"/>
    <mergeCell ref="V406:V407"/>
    <mergeCell ref="W406:W407"/>
    <mergeCell ref="A401:AI401"/>
    <mergeCell ref="A404:A407"/>
    <mergeCell ref="B404:E404"/>
    <mergeCell ref="F404:I404"/>
    <mergeCell ref="J404:M404"/>
    <mergeCell ref="N404:Q404"/>
    <mergeCell ref="R404:U404"/>
    <mergeCell ref="V404:Y404"/>
    <mergeCell ref="Z404:AC404"/>
    <mergeCell ref="AD404:AI404"/>
    <mergeCell ref="B405:C405"/>
    <mergeCell ref="D405:E405"/>
    <mergeCell ref="F405:G405"/>
    <mergeCell ref="H405:I405"/>
    <mergeCell ref="J405:K405"/>
    <mergeCell ref="L405:M405"/>
    <mergeCell ref="N405:O405"/>
    <mergeCell ref="P405:Q405"/>
    <mergeCell ref="R405:S405"/>
    <mergeCell ref="T405:U405"/>
    <mergeCell ref="V405:W405"/>
    <mergeCell ref="X405:Y405"/>
    <mergeCell ref="Z405:AA405"/>
    <mergeCell ref="AB405:AC405"/>
    <mergeCell ref="AH366:AH367"/>
    <mergeCell ref="X366:X367"/>
    <mergeCell ref="Y366:Y367"/>
    <mergeCell ref="Z366:Z367"/>
    <mergeCell ref="AA366:AA367"/>
    <mergeCell ref="AB366:AB367"/>
    <mergeCell ref="AC366:AC367"/>
    <mergeCell ref="AD366:AD367"/>
    <mergeCell ref="AE366:AE367"/>
    <mergeCell ref="AF366:AF367"/>
    <mergeCell ref="AD365:AE365"/>
    <mergeCell ref="AF365:AI365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J366:J367"/>
    <mergeCell ref="K366:K367"/>
    <mergeCell ref="L366:L367"/>
    <mergeCell ref="M366:M367"/>
    <mergeCell ref="N366:N367"/>
    <mergeCell ref="O366:O367"/>
    <mergeCell ref="P366:P367"/>
    <mergeCell ref="Q366:Q367"/>
    <mergeCell ref="R366:R367"/>
    <mergeCell ref="S366:S367"/>
    <mergeCell ref="T366:T367"/>
    <mergeCell ref="U366:U367"/>
    <mergeCell ref="V366:V367"/>
    <mergeCell ref="W366:W367"/>
    <mergeCell ref="A361:AI361"/>
    <mergeCell ref="A364:A367"/>
    <mergeCell ref="B364:E364"/>
    <mergeCell ref="F364:I364"/>
    <mergeCell ref="J364:M364"/>
    <mergeCell ref="N364:Q364"/>
    <mergeCell ref="R364:U364"/>
    <mergeCell ref="V364:Y364"/>
    <mergeCell ref="Z364:AC364"/>
    <mergeCell ref="AD364:AI364"/>
    <mergeCell ref="B365:C365"/>
    <mergeCell ref="D365:E365"/>
    <mergeCell ref="F365:G365"/>
    <mergeCell ref="H365:I365"/>
    <mergeCell ref="J365:K365"/>
    <mergeCell ref="L365:M365"/>
    <mergeCell ref="N365:O365"/>
    <mergeCell ref="P365:Q365"/>
    <mergeCell ref="R365:S365"/>
    <mergeCell ref="T365:U365"/>
    <mergeCell ref="V365:W365"/>
    <mergeCell ref="X365:Y365"/>
    <mergeCell ref="Z365:AA365"/>
    <mergeCell ref="AB365:AC365"/>
    <mergeCell ref="AH326:AH327"/>
    <mergeCell ref="X326:X327"/>
    <mergeCell ref="Y326:Y327"/>
    <mergeCell ref="Z326:Z327"/>
    <mergeCell ref="AA326:AA327"/>
    <mergeCell ref="AB326:AB327"/>
    <mergeCell ref="AC326:AC327"/>
    <mergeCell ref="AD326:AD327"/>
    <mergeCell ref="AE326:AE327"/>
    <mergeCell ref="AF326:AF327"/>
    <mergeCell ref="AD325:AE325"/>
    <mergeCell ref="AF325:AI325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6:T327"/>
    <mergeCell ref="U326:U327"/>
    <mergeCell ref="V326:V327"/>
    <mergeCell ref="W326:W327"/>
    <mergeCell ref="A321:AI321"/>
    <mergeCell ref="A324:A327"/>
    <mergeCell ref="B324:E324"/>
    <mergeCell ref="F324:I324"/>
    <mergeCell ref="J324:M324"/>
    <mergeCell ref="N324:Q324"/>
    <mergeCell ref="R324:U324"/>
    <mergeCell ref="V324:Y324"/>
    <mergeCell ref="Z324:AC324"/>
    <mergeCell ref="AD324:AI324"/>
    <mergeCell ref="B325:C325"/>
    <mergeCell ref="D325:E325"/>
    <mergeCell ref="F325:G325"/>
    <mergeCell ref="H325:I325"/>
    <mergeCell ref="J325:K325"/>
    <mergeCell ref="L325:M325"/>
    <mergeCell ref="N325:O325"/>
    <mergeCell ref="P325:Q325"/>
    <mergeCell ref="R325:S325"/>
    <mergeCell ref="T325:U325"/>
    <mergeCell ref="V325:W325"/>
    <mergeCell ref="X325:Y325"/>
    <mergeCell ref="Z325:AA325"/>
    <mergeCell ref="AB325:AC325"/>
    <mergeCell ref="AH286:AH287"/>
    <mergeCell ref="X286:X287"/>
    <mergeCell ref="Y286:Y287"/>
    <mergeCell ref="Z286:Z287"/>
    <mergeCell ref="AA286:AA287"/>
    <mergeCell ref="AB286:AB287"/>
    <mergeCell ref="AC286:AC287"/>
    <mergeCell ref="AD286:AD287"/>
    <mergeCell ref="AE286:AE287"/>
    <mergeCell ref="AF286:AF287"/>
    <mergeCell ref="AD285:AE285"/>
    <mergeCell ref="AF285:AI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R286:R287"/>
    <mergeCell ref="S286:S287"/>
    <mergeCell ref="T286:T287"/>
    <mergeCell ref="U286:U287"/>
    <mergeCell ref="V286:V287"/>
    <mergeCell ref="W286:W287"/>
    <mergeCell ref="A281:AI281"/>
    <mergeCell ref="A284:A287"/>
    <mergeCell ref="B284:E284"/>
    <mergeCell ref="F284:I284"/>
    <mergeCell ref="J284:M284"/>
    <mergeCell ref="N284:Q284"/>
    <mergeCell ref="R284:U284"/>
    <mergeCell ref="V284:Y284"/>
    <mergeCell ref="Z284:AC284"/>
    <mergeCell ref="AD284:AI284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V285:W285"/>
    <mergeCell ref="X285:Y285"/>
    <mergeCell ref="Z285:AA285"/>
    <mergeCell ref="AB285:AC285"/>
    <mergeCell ref="AF126:AF127"/>
    <mergeCell ref="AH126:AH127"/>
    <mergeCell ref="W126:W127"/>
    <mergeCell ref="X126:X127"/>
    <mergeCell ref="Y126:Y127"/>
    <mergeCell ref="Z126:Z127"/>
    <mergeCell ref="AA126:AA127"/>
    <mergeCell ref="AB126:AB127"/>
    <mergeCell ref="AC126:AC127"/>
    <mergeCell ref="AD126:AD127"/>
    <mergeCell ref="AE126:AE127"/>
    <mergeCell ref="AB125:AC125"/>
    <mergeCell ref="AD125:AE125"/>
    <mergeCell ref="AF125:AI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A81:AI81"/>
    <mergeCell ref="A121:AI121"/>
    <mergeCell ref="A124:A127"/>
    <mergeCell ref="B124:E124"/>
    <mergeCell ref="F124:I124"/>
    <mergeCell ref="J124:M124"/>
    <mergeCell ref="N124:Q124"/>
    <mergeCell ref="R124:U124"/>
    <mergeCell ref="V124:Y124"/>
    <mergeCell ref="Z124:AC124"/>
    <mergeCell ref="AD124:AI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Y86:Y87"/>
    <mergeCell ref="Z86:Z87"/>
    <mergeCell ref="AA86:AA87"/>
    <mergeCell ref="AB86:AB87"/>
    <mergeCell ref="AC86:AC87"/>
    <mergeCell ref="AD86:AD87"/>
    <mergeCell ref="AE86:AE87"/>
    <mergeCell ref="AF86:AF87"/>
    <mergeCell ref="AH86:AH87"/>
    <mergeCell ref="AF85:AI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V86:V87"/>
    <mergeCell ref="W86:W87"/>
    <mergeCell ref="X86:X87"/>
    <mergeCell ref="A84:A87"/>
    <mergeCell ref="B84:E84"/>
    <mergeCell ref="F84:I84"/>
    <mergeCell ref="J84:M84"/>
    <mergeCell ref="N84:Q84"/>
    <mergeCell ref="R84:U84"/>
    <mergeCell ref="V84:Y84"/>
    <mergeCell ref="Z84:AC84"/>
    <mergeCell ref="AD84:AI84"/>
    <mergeCell ref="B85:C85"/>
    <mergeCell ref="D85:E85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AF46:AF47"/>
    <mergeCell ref="AH46:AH47"/>
    <mergeCell ref="AA46:AA47"/>
    <mergeCell ref="AB46:AB47"/>
    <mergeCell ref="AC46:AC47"/>
    <mergeCell ref="AD46:AD47"/>
    <mergeCell ref="AE46:AE47"/>
    <mergeCell ref="V46:V47"/>
    <mergeCell ref="W46:W47"/>
    <mergeCell ref="X46:X47"/>
    <mergeCell ref="Y46:Y47"/>
    <mergeCell ref="Z46:Z47"/>
    <mergeCell ref="T45:U45"/>
    <mergeCell ref="V45:W45"/>
    <mergeCell ref="G46:G47"/>
    <mergeCell ref="H46:H47"/>
    <mergeCell ref="I46:I47"/>
    <mergeCell ref="J46:J47"/>
    <mergeCell ref="K46:K47"/>
    <mergeCell ref="B46:B47"/>
    <mergeCell ref="C46:C47"/>
    <mergeCell ref="D46:D47"/>
    <mergeCell ref="E46:E47"/>
    <mergeCell ref="F46:F47"/>
    <mergeCell ref="Q46:Q47"/>
    <mergeCell ref="R46:R47"/>
    <mergeCell ref="S46:S47"/>
    <mergeCell ref="T46:T47"/>
    <mergeCell ref="U46:U47"/>
    <mergeCell ref="L46:L47"/>
    <mergeCell ref="M46:M47"/>
    <mergeCell ref="N46:N47"/>
    <mergeCell ref="O46:O47"/>
    <mergeCell ref="P46:P47"/>
    <mergeCell ref="A41:AI41"/>
    <mergeCell ref="A44:A47"/>
    <mergeCell ref="B44:E44"/>
    <mergeCell ref="F44:I44"/>
    <mergeCell ref="J44:M44"/>
    <mergeCell ref="N44:Q44"/>
    <mergeCell ref="R44:U44"/>
    <mergeCell ref="V44:Y44"/>
    <mergeCell ref="Z44:AC44"/>
    <mergeCell ref="AD44:AI44"/>
    <mergeCell ref="B45:C45"/>
    <mergeCell ref="D45:E45"/>
    <mergeCell ref="F45:G45"/>
    <mergeCell ref="H45:I45"/>
    <mergeCell ref="J45:K45"/>
    <mergeCell ref="L45:M45"/>
    <mergeCell ref="X45:Y45"/>
    <mergeCell ref="Z45:AA45"/>
    <mergeCell ref="AB45:AC45"/>
    <mergeCell ref="AD45:AE45"/>
    <mergeCell ref="AF45:AI45"/>
    <mergeCell ref="N45:O45"/>
    <mergeCell ref="P45:Q45"/>
    <mergeCell ref="R45:S45"/>
    <mergeCell ref="A1:AI1"/>
    <mergeCell ref="A4:A7"/>
    <mergeCell ref="B4:E4"/>
    <mergeCell ref="F4:I4"/>
    <mergeCell ref="J4:M4"/>
    <mergeCell ref="N4:Q4"/>
    <mergeCell ref="R4:U4"/>
    <mergeCell ref="V4:Y4"/>
    <mergeCell ref="Z4:AC4"/>
    <mergeCell ref="AD4:AI4"/>
    <mergeCell ref="B5:C5"/>
    <mergeCell ref="D5:E5"/>
    <mergeCell ref="F5:G5"/>
    <mergeCell ref="H5:I5"/>
    <mergeCell ref="J5:K5"/>
    <mergeCell ref="G6:G7"/>
    <mergeCell ref="N5:O5"/>
    <mergeCell ref="P5:Q5"/>
    <mergeCell ref="R5:S5"/>
    <mergeCell ref="T5:U5"/>
    <mergeCell ref="L5:M5"/>
    <mergeCell ref="B6:B7"/>
    <mergeCell ref="C6:C7"/>
    <mergeCell ref="D6:D7"/>
    <mergeCell ref="E6:E7"/>
    <mergeCell ref="F6:F7"/>
    <mergeCell ref="M6:M7"/>
    <mergeCell ref="Z5:AA5"/>
    <mergeCell ref="AB5:AC5"/>
    <mergeCell ref="AD5:AE5"/>
    <mergeCell ref="AF5:AI5"/>
    <mergeCell ref="V5:W5"/>
    <mergeCell ref="X5:Y5"/>
    <mergeCell ref="Y6:Y7"/>
    <mergeCell ref="N6:N7"/>
    <mergeCell ref="O6:O7"/>
    <mergeCell ref="P6:P7"/>
    <mergeCell ref="Q6:Q7"/>
    <mergeCell ref="R6:R7"/>
    <mergeCell ref="S6:S7"/>
    <mergeCell ref="T6:T7"/>
    <mergeCell ref="U6:U7"/>
    <mergeCell ref="H6:H7"/>
    <mergeCell ref="I6:I7"/>
    <mergeCell ref="J6:J7"/>
    <mergeCell ref="K6:K7"/>
    <mergeCell ref="L6:L7"/>
    <mergeCell ref="V6:V7"/>
    <mergeCell ref="W6:W7"/>
    <mergeCell ref="X6:X7"/>
    <mergeCell ref="AF6:AF7"/>
    <mergeCell ref="AH6:AH7"/>
    <mergeCell ref="Z6:Z7"/>
    <mergeCell ref="AA6:AA7"/>
    <mergeCell ref="AB6:AB7"/>
    <mergeCell ref="AC6:AC7"/>
    <mergeCell ref="AD6:AD7"/>
    <mergeCell ref="AE6:AE7"/>
    <mergeCell ref="A161:AI161"/>
    <mergeCell ref="A164:A167"/>
    <mergeCell ref="B164:E164"/>
    <mergeCell ref="F164:I164"/>
    <mergeCell ref="J164:M164"/>
    <mergeCell ref="N164:Q164"/>
    <mergeCell ref="R164:U164"/>
    <mergeCell ref="V164:Y164"/>
    <mergeCell ref="Z164:AC164"/>
    <mergeCell ref="AD164:AI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X165:Y165"/>
    <mergeCell ref="Z165:AA165"/>
    <mergeCell ref="AB165:AC165"/>
    <mergeCell ref="AD165:AE165"/>
    <mergeCell ref="AF165:AI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6:T167"/>
    <mergeCell ref="U166:U167"/>
    <mergeCell ref="V166:V167"/>
    <mergeCell ref="W166:W167"/>
    <mergeCell ref="AH166:AH167"/>
    <mergeCell ref="X166:X167"/>
    <mergeCell ref="Y166:Y167"/>
    <mergeCell ref="Z166:Z167"/>
    <mergeCell ref="AA166:AA167"/>
    <mergeCell ref="AB166:AB167"/>
    <mergeCell ref="AC166:AC167"/>
    <mergeCell ref="AD166:AD167"/>
    <mergeCell ref="AE166:AE167"/>
    <mergeCell ref="AF166:AF167"/>
    <mergeCell ref="A201:AI201"/>
    <mergeCell ref="A204:A207"/>
    <mergeCell ref="B204:E204"/>
    <mergeCell ref="F204:I204"/>
    <mergeCell ref="J204:M204"/>
    <mergeCell ref="N204:Q204"/>
    <mergeCell ref="R204:U204"/>
    <mergeCell ref="V204:Y204"/>
    <mergeCell ref="Z204:AC204"/>
    <mergeCell ref="AD204:AI204"/>
    <mergeCell ref="B205:C205"/>
    <mergeCell ref="D205:E205"/>
    <mergeCell ref="F205:G205"/>
    <mergeCell ref="H205:I205"/>
    <mergeCell ref="J205:K205"/>
    <mergeCell ref="L205:M205"/>
    <mergeCell ref="N205:O205"/>
    <mergeCell ref="P205:Q205"/>
    <mergeCell ref="R205:S205"/>
    <mergeCell ref="T205:U205"/>
    <mergeCell ref="V205:W205"/>
    <mergeCell ref="X205:Y205"/>
    <mergeCell ref="Z205:AA205"/>
    <mergeCell ref="AB205:AC205"/>
    <mergeCell ref="AD205:AE205"/>
    <mergeCell ref="AF205:AI205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J206:J207"/>
    <mergeCell ref="K206:K207"/>
    <mergeCell ref="L206:L207"/>
    <mergeCell ref="M206:M207"/>
    <mergeCell ref="N206:N207"/>
    <mergeCell ref="O206:O207"/>
    <mergeCell ref="P206:P207"/>
    <mergeCell ref="Q206:Q207"/>
    <mergeCell ref="R206:R207"/>
    <mergeCell ref="S206:S207"/>
    <mergeCell ref="T206:T207"/>
    <mergeCell ref="U206:U207"/>
    <mergeCell ref="V206:V207"/>
    <mergeCell ref="W206:W207"/>
    <mergeCell ref="AH206:AH207"/>
    <mergeCell ref="X206:X207"/>
    <mergeCell ref="Y206:Y207"/>
    <mergeCell ref="Z206:Z207"/>
    <mergeCell ref="AA206:AA207"/>
    <mergeCell ref="AB206:AB207"/>
    <mergeCell ref="AC206:AC207"/>
    <mergeCell ref="AD206:AD207"/>
    <mergeCell ref="AE206:AE207"/>
    <mergeCell ref="AF206:AF207"/>
    <mergeCell ref="A241:AI241"/>
    <mergeCell ref="A244:A247"/>
    <mergeCell ref="B244:E244"/>
    <mergeCell ref="F244:I244"/>
    <mergeCell ref="J244:M244"/>
    <mergeCell ref="N244:Q244"/>
    <mergeCell ref="R244:U244"/>
    <mergeCell ref="V244:Y244"/>
    <mergeCell ref="Z244:AC244"/>
    <mergeCell ref="AD244:AI244"/>
    <mergeCell ref="B245:C245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T245:U245"/>
    <mergeCell ref="V245:W245"/>
    <mergeCell ref="X245:Y245"/>
    <mergeCell ref="Z245:AA245"/>
    <mergeCell ref="AB245:AC245"/>
    <mergeCell ref="AD245:AE245"/>
    <mergeCell ref="AF245:AI245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S246:S247"/>
    <mergeCell ref="T246:T247"/>
    <mergeCell ref="U246:U247"/>
    <mergeCell ref="V246:V247"/>
    <mergeCell ref="W246:W247"/>
    <mergeCell ref="AH246:AH247"/>
    <mergeCell ref="X246:X247"/>
    <mergeCell ref="Y246:Y247"/>
    <mergeCell ref="Z246:Z247"/>
    <mergeCell ref="AA246:AA247"/>
    <mergeCell ref="AB246:AB247"/>
    <mergeCell ref="AC246:AC247"/>
    <mergeCell ref="AD246:AD247"/>
    <mergeCell ref="AE246:AE247"/>
    <mergeCell ref="AF246:AF247"/>
  </mergeCells>
  <phoneticPr fontId="2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75"/>
  <sheetViews>
    <sheetView workbookViewId="0">
      <pane xSplit="10" ySplit="4" topLeftCell="BJ113" activePane="bottomRight" state="frozen"/>
      <selection pane="topRight" activeCell="K1" sqref="K1"/>
      <selection pane="bottomLeft" activeCell="A5" sqref="A5"/>
      <selection pane="bottomRight" sqref="A1:B1"/>
    </sheetView>
  </sheetViews>
  <sheetFormatPr defaultRowHeight="16.5"/>
  <cols>
    <col min="1" max="1" width="6" style="21" customWidth="1"/>
    <col min="2" max="2" width="18.875" style="391" customWidth="1"/>
    <col min="3" max="8" width="11" style="71" hidden="1" customWidth="1"/>
    <col min="9" max="9" width="11" style="72" hidden="1" customWidth="1"/>
    <col min="10" max="10" width="11.25" style="72" customWidth="1"/>
    <col min="11" max="12" width="11" style="320" hidden="1" customWidth="1"/>
    <col min="13" max="13" width="9" hidden="1" customWidth="1"/>
    <col min="14" max="15" width="11" style="320" hidden="1" customWidth="1"/>
    <col min="16" max="16" width="9" style="291" hidden="1" customWidth="1"/>
    <col min="17" max="18" width="11" style="320" hidden="1" customWidth="1"/>
    <col min="19" max="19" width="9" style="291" hidden="1" customWidth="1"/>
    <col min="20" max="21" width="11" style="320" hidden="1" customWidth="1"/>
    <col min="22" max="22" width="9" style="291" hidden="1" customWidth="1"/>
    <col min="23" max="24" width="11" style="320" hidden="1" customWidth="1"/>
    <col min="25" max="25" width="9" style="291" hidden="1" customWidth="1"/>
    <col min="26" max="27" width="11" style="320" hidden="1" customWidth="1"/>
    <col min="28" max="28" width="9" style="291" hidden="1" customWidth="1"/>
    <col min="29" max="30" width="11" style="320" hidden="1" customWidth="1"/>
    <col min="31" max="31" width="9" style="291" hidden="1" customWidth="1"/>
    <col min="32" max="33" width="11" style="320" hidden="1" customWidth="1"/>
    <col min="34" max="34" width="9" style="291" hidden="1" customWidth="1"/>
    <col min="35" max="36" width="11" style="320" hidden="1" customWidth="1"/>
    <col min="37" max="37" width="9" style="291" hidden="1" customWidth="1"/>
    <col min="38" max="39" width="11" style="320" hidden="1" customWidth="1"/>
    <col min="40" max="40" width="9" style="291" hidden="1" customWidth="1"/>
    <col min="41" max="42" width="11" style="833" hidden="1" customWidth="1"/>
    <col min="43" max="43" width="9" style="291" hidden="1" customWidth="1"/>
    <col min="44" max="45" width="11" style="833" hidden="1" customWidth="1"/>
    <col min="46" max="46" width="9" style="846" hidden="1" customWidth="1"/>
    <col min="47" max="48" width="11" style="960" hidden="1" customWidth="1"/>
    <col min="49" max="49" width="9" style="846" hidden="1" customWidth="1"/>
    <col min="50" max="51" width="11" style="833" hidden="1" customWidth="1"/>
    <col min="52" max="52" width="9" style="846" hidden="1" customWidth="1"/>
    <col min="53" max="54" width="11" style="833" hidden="1" customWidth="1"/>
    <col min="55" max="55" width="9" style="846" hidden="1" customWidth="1"/>
    <col min="56" max="57" width="11" style="833" hidden="1" customWidth="1"/>
    <col min="58" max="58" width="9" style="846" hidden="1" customWidth="1"/>
    <col min="59" max="60" width="11" style="833" hidden="1" customWidth="1"/>
    <col min="61" max="61" width="9" style="846" hidden="1" customWidth="1"/>
    <col min="62" max="63" width="11" style="833" hidden="1" customWidth="1"/>
    <col min="64" max="64" width="9" style="846" hidden="1" customWidth="1"/>
    <col min="65" max="66" width="11" style="833" hidden="1" customWidth="1"/>
    <col min="67" max="67" width="9" style="846" hidden="1" customWidth="1"/>
    <col min="68" max="69" width="11" style="833" customWidth="1"/>
    <col min="70" max="70" width="9" style="846" customWidth="1"/>
    <col min="71" max="72" width="11" style="833" customWidth="1"/>
    <col min="73" max="73" width="9" style="846" customWidth="1"/>
  </cols>
  <sheetData>
    <row r="1" spans="1:73">
      <c r="A1" s="1158" t="s">
        <v>93</v>
      </c>
      <c r="B1" s="1158"/>
      <c r="C1" s="61"/>
      <c r="D1" s="61"/>
      <c r="E1" s="61"/>
      <c r="F1" s="62"/>
      <c r="G1" s="61"/>
      <c r="J1" s="169" t="s">
        <v>349</v>
      </c>
      <c r="K1" s="228"/>
      <c r="L1" s="228"/>
      <c r="M1" s="234"/>
      <c r="N1" s="228"/>
      <c r="O1" s="228"/>
      <c r="P1" s="234"/>
      <c r="Q1" s="228"/>
      <c r="R1" s="228"/>
      <c r="S1" s="234"/>
      <c r="T1" s="228"/>
      <c r="U1" s="228"/>
      <c r="V1" s="234"/>
      <c r="W1" s="228"/>
      <c r="X1" s="228"/>
      <c r="Y1" s="234"/>
      <c r="Z1" s="228"/>
      <c r="AA1" s="228"/>
      <c r="AB1" s="234"/>
      <c r="AC1" s="228"/>
      <c r="AD1" s="228"/>
      <c r="AE1" s="234"/>
      <c r="AF1" s="228"/>
      <c r="AG1" s="228"/>
      <c r="AH1" s="234"/>
      <c r="AI1" s="228"/>
      <c r="AJ1" s="228"/>
      <c r="AK1" s="234"/>
      <c r="AL1" s="228"/>
      <c r="AM1" s="228"/>
      <c r="AN1" s="234"/>
      <c r="AO1" s="228"/>
      <c r="AP1" s="228"/>
      <c r="AQ1" s="234"/>
      <c r="AR1" s="228"/>
      <c r="AS1" s="228"/>
      <c r="AT1" s="234"/>
      <c r="AU1" s="947"/>
      <c r="AV1" s="947"/>
      <c r="AW1" s="234"/>
      <c r="AX1" s="228"/>
      <c r="AY1" s="228"/>
      <c r="AZ1" s="234"/>
      <c r="BA1" s="228"/>
      <c r="BB1" s="228"/>
      <c r="BC1" s="234"/>
      <c r="BD1" s="228"/>
      <c r="BE1" s="228"/>
      <c r="BF1" s="234"/>
      <c r="BG1" s="228"/>
      <c r="BH1" s="228"/>
      <c r="BI1" s="234"/>
      <c r="BJ1" s="228"/>
      <c r="BK1" s="228"/>
      <c r="BL1" s="234"/>
      <c r="BM1" s="228"/>
      <c r="BN1" s="228"/>
      <c r="BO1" s="234"/>
      <c r="BP1" s="228"/>
      <c r="BQ1" s="228"/>
      <c r="BR1" s="234"/>
      <c r="BS1" s="228"/>
      <c r="BT1" s="228"/>
      <c r="BU1" s="234"/>
    </row>
    <row r="2" spans="1:73">
      <c r="A2" s="64"/>
      <c r="B2" s="30"/>
      <c r="C2" s="65"/>
      <c r="D2" s="65"/>
      <c r="E2" s="65"/>
      <c r="F2" s="65"/>
      <c r="G2" s="65"/>
      <c r="H2" s="65"/>
      <c r="I2" s="229"/>
      <c r="J2" s="229"/>
      <c r="K2" s="229"/>
      <c r="L2" s="229"/>
      <c r="M2" s="235" t="s">
        <v>94</v>
      </c>
      <c r="N2" s="229"/>
      <c r="O2" s="229"/>
      <c r="P2" s="244"/>
      <c r="Q2" s="229"/>
      <c r="R2" s="229"/>
      <c r="S2" s="244" t="s">
        <v>94</v>
      </c>
      <c r="T2" s="229"/>
      <c r="U2" s="229"/>
      <c r="V2" s="244"/>
      <c r="W2" s="229"/>
      <c r="X2" s="229"/>
      <c r="Y2" s="244" t="s">
        <v>94</v>
      </c>
      <c r="Z2" s="229"/>
      <c r="AA2" s="229"/>
      <c r="AB2" s="244"/>
      <c r="AC2" s="229"/>
      <c r="AD2" s="229"/>
      <c r="AE2" s="244" t="s">
        <v>94</v>
      </c>
      <c r="AF2" s="229"/>
      <c r="AG2" s="229"/>
      <c r="AH2" s="244"/>
      <c r="AI2" s="229"/>
      <c r="AJ2" s="229"/>
      <c r="AK2" s="244" t="s">
        <v>94</v>
      </c>
      <c r="AL2" s="229"/>
      <c r="AM2" s="229"/>
      <c r="AN2" s="244"/>
      <c r="AO2" s="229"/>
      <c r="AP2" s="229"/>
      <c r="AQ2" s="244" t="s">
        <v>94</v>
      </c>
      <c r="AR2" s="229"/>
      <c r="AS2" s="229"/>
      <c r="AT2" s="654"/>
      <c r="AU2" s="948"/>
      <c r="AV2" s="948"/>
      <c r="AW2" s="654" t="s">
        <v>94</v>
      </c>
      <c r="AX2" s="229"/>
      <c r="AY2" s="229"/>
      <c r="AZ2" s="654"/>
      <c r="BA2" s="229"/>
      <c r="BB2" s="229"/>
      <c r="BC2" s="654" t="s">
        <v>94</v>
      </c>
      <c r="BD2" s="229"/>
      <c r="BE2" s="229"/>
      <c r="BF2" s="654"/>
      <c r="BG2" s="229"/>
      <c r="BH2" s="229"/>
      <c r="BI2" s="654" t="s">
        <v>94</v>
      </c>
      <c r="BJ2" s="229"/>
      <c r="BK2" s="229"/>
      <c r="BL2" s="654"/>
      <c r="BM2" s="229"/>
      <c r="BN2" s="229"/>
      <c r="BO2" s="654" t="s">
        <v>94</v>
      </c>
      <c r="BP2" s="229"/>
      <c r="BQ2" s="229"/>
      <c r="BR2" s="654"/>
      <c r="BS2" s="229"/>
      <c r="BT2" s="229"/>
      <c r="BU2" s="654" t="s">
        <v>94</v>
      </c>
    </row>
    <row r="3" spans="1:73">
      <c r="A3" s="1157" t="s">
        <v>95</v>
      </c>
      <c r="B3" s="1157"/>
      <c r="C3" s="1156" t="s">
        <v>3</v>
      </c>
      <c r="D3" s="1156" t="s">
        <v>4</v>
      </c>
      <c r="E3" s="1156" t="s">
        <v>5</v>
      </c>
      <c r="F3" s="1156" t="s">
        <v>6</v>
      </c>
      <c r="G3" s="1156" t="s">
        <v>7</v>
      </c>
      <c r="H3" s="1156" t="s">
        <v>81</v>
      </c>
      <c r="I3" s="1156" t="s">
        <v>83</v>
      </c>
      <c r="J3" s="1156" t="s">
        <v>315</v>
      </c>
      <c r="K3" s="1155" t="s">
        <v>40</v>
      </c>
      <c r="L3" s="1156"/>
      <c r="M3" s="1157"/>
      <c r="N3" s="1155" t="s">
        <v>505</v>
      </c>
      <c r="O3" s="1156"/>
      <c r="P3" s="1157"/>
      <c r="Q3" s="1155" t="s">
        <v>506</v>
      </c>
      <c r="R3" s="1156"/>
      <c r="S3" s="1157"/>
      <c r="T3" s="1155" t="s">
        <v>513</v>
      </c>
      <c r="U3" s="1156"/>
      <c r="V3" s="1157"/>
      <c r="W3" s="1155" t="s">
        <v>514</v>
      </c>
      <c r="X3" s="1156"/>
      <c r="Y3" s="1157"/>
      <c r="Z3" s="1155" t="s">
        <v>531</v>
      </c>
      <c r="AA3" s="1156"/>
      <c r="AB3" s="1157"/>
      <c r="AC3" s="1155" t="s">
        <v>533</v>
      </c>
      <c r="AD3" s="1156"/>
      <c r="AE3" s="1157"/>
      <c r="AF3" s="1155" t="s">
        <v>575</v>
      </c>
      <c r="AG3" s="1156"/>
      <c r="AH3" s="1157"/>
      <c r="AI3" s="1155" t="s">
        <v>576</v>
      </c>
      <c r="AJ3" s="1156"/>
      <c r="AK3" s="1157"/>
      <c r="AL3" s="1155" t="s">
        <v>583</v>
      </c>
      <c r="AM3" s="1156"/>
      <c r="AN3" s="1157"/>
      <c r="AO3" s="1155" t="s">
        <v>584</v>
      </c>
      <c r="AP3" s="1156"/>
      <c r="AQ3" s="1157"/>
      <c r="AR3" s="1155" t="s">
        <v>621</v>
      </c>
      <c r="AS3" s="1156"/>
      <c r="AT3" s="1157"/>
      <c r="AU3" s="1155" t="s">
        <v>622</v>
      </c>
      <c r="AV3" s="1156"/>
      <c r="AW3" s="1157"/>
      <c r="AX3" s="1155" t="s">
        <v>626</v>
      </c>
      <c r="AY3" s="1156"/>
      <c r="AZ3" s="1157"/>
      <c r="BA3" s="1155" t="s">
        <v>628</v>
      </c>
      <c r="BB3" s="1156"/>
      <c r="BC3" s="1157"/>
      <c r="BD3" s="1155" t="s">
        <v>650</v>
      </c>
      <c r="BE3" s="1156"/>
      <c r="BF3" s="1157"/>
      <c r="BG3" s="1155" t="s">
        <v>651</v>
      </c>
      <c r="BH3" s="1156"/>
      <c r="BI3" s="1157"/>
      <c r="BJ3" s="1155" t="s">
        <v>674</v>
      </c>
      <c r="BK3" s="1156"/>
      <c r="BL3" s="1157"/>
      <c r="BM3" s="1155" t="s">
        <v>675</v>
      </c>
      <c r="BN3" s="1156"/>
      <c r="BO3" s="1157"/>
      <c r="BP3" s="1155" t="s">
        <v>712</v>
      </c>
      <c r="BQ3" s="1156"/>
      <c r="BR3" s="1157"/>
      <c r="BS3" s="1155" t="s">
        <v>711</v>
      </c>
      <c r="BT3" s="1156"/>
      <c r="BU3" s="1157"/>
    </row>
    <row r="4" spans="1:73">
      <c r="A4" s="1157"/>
      <c r="B4" s="1157"/>
      <c r="C4" s="1156"/>
      <c r="D4" s="1156"/>
      <c r="E4" s="1156"/>
      <c r="F4" s="1156"/>
      <c r="G4" s="1156"/>
      <c r="H4" s="1156"/>
      <c r="I4" s="1156"/>
      <c r="J4" s="1156"/>
      <c r="K4" s="413" t="s">
        <v>445</v>
      </c>
      <c r="L4" s="294" t="s">
        <v>446</v>
      </c>
      <c r="M4" s="236" t="s">
        <v>10</v>
      </c>
      <c r="N4" s="413" t="s">
        <v>445</v>
      </c>
      <c r="O4" s="294" t="s">
        <v>446</v>
      </c>
      <c r="P4" s="250" t="s">
        <v>10</v>
      </c>
      <c r="Q4" s="413" t="s">
        <v>445</v>
      </c>
      <c r="R4" s="294" t="s">
        <v>446</v>
      </c>
      <c r="S4" s="250" t="s">
        <v>10</v>
      </c>
      <c r="T4" s="413" t="s">
        <v>445</v>
      </c>
      <c r="U4" s="294" t="s">
        <v>446</v>
      </c>
      <c r="V4" s="250" t="s">
        <v>10</v>
      </c>
      <c r="W4" s="413" t="s">
        <v>445</v>
      </c>
      <c r="X4" s="294" t="s">
        <v>446</v>
      </c>
      <c r="Y4" s="250" t="s">
        <v>10</v>
      </c>
      <c r="Z4" s="413" t="s">
        <v>445</v>
      </c>
      <c r="AA4" s="294" t="s">
        <v>446</v>
      </c>
      <c r="AB4" s="250" t="s">
        <v>10</v>
      </c>
      <c r="AC4" s="413" t="s">
        <v>445</v>
      </c>
      <c r="AD4" s="294" t="s">
        <v>446</v>
      </c>
      <c r="AE4" s="250" t="s">
        <v>10</v>
      </c>
      <c r="AF4" s="413" t="s">
        <v>577</v>
      </c>
      <c r="AG4" s="294" t="s">
        <v>578</v>
      </c>
      <c r="AH4" s="250" t="s">
        <v>10</v>
      </c>
      <c r="AI4" s="413" t="s">
        <v>577</v>
      </c>
      <c r="AJ4" s="294" t="s">
        <v>578</v>
      </c>
      <c r="AK4" s="250" t="s">
        <v>10</v>
      </c>
      <c r="AL4" s="413" t="s">
        <v>445</v>
      </c>
      <c r="AM4" s="294" t="s">
        <v>446</v>
      </c>
      <c r="AN4" s="250" t="s">
        <v>10</v>
      </c>
      <c r="AO4" s="685" t="s">
        <v>445</v>
      </c>
      <c r="AP4" s="680" t="s">
        <v>446</v>
      </c>
      <c r="AQ4" s="250" t="s">
        <v>10</v>
      </c>
      <c r="AR4" s="685" t="s">
        <v>445</v>
      </c>
      <c r="AS4" s="680" t="s">
        <v>446</v>
      </c>
      <c r="AT4" s="674" t="s">
        <v>10</v>
      </c>
      <c r="AU4" s="949" t="s">
        <v>445</v>
      </c>
      <c r="AV4" s="950" t="s">
        <v>446</v>
      </c>
      <c r="AW4" s="674" t="s">
        <v>10</v>
      </c>
      <c r="AX4" s="685" t="s">
        <v>445</v>
      </c>
      <c r="AY4" s="680" t="s">
        <v>446</v>
      </c>
      <c r="AZ4" s="674" t="s">
        <v>10</v>
      </c>
      <c r="BA4" s="685" t="s">
        <v>445</v>
      </c>
      <c r="BB4" s="680" t="s">
        <v>446</v>
      </c>
      <c r="BC4" s="674" t="s">
        <v>10</v>
      </c>
      <c r="BD4" s="685" t="s">
        <v>670</v>
      </c>
      <c r="BE4" s="680" t="s">
        <v>671</v>
      </c>
      <c r="BF4" s="674" t="s">
        <v>10</v>
      </c>
      <c r="BG4" s="685" t="s">
        <v>669</v>
      </c>
      <c r="BH4" s="680" t="s">
        <v>671</v>
      </c>
      <c r="BI4" s="674" t="s">
        <v>10</v>
      </c>
      <c r="BJ4" s="685" t="s">
        <v>698</v>
      </c>
      <c r="BK4" s="680" t="s">
        <v>699</v>
      </c>
      <c r="BL4" s="674" t="s">
        <v>10</v>
      </c>
      <c r="BM4" s="685" t="s">
        <v>698</v>
      </c>
      <c r="BN4" s="680" t="s">
        <v>699</v>
      </c>
      <c r="BO4" s="674" t="s">
        <v>10</v>
      </c>
      <c r="BP4" s="685" t="s">
        <v>445</v>
      </c>
      <c r="BQ4" s="680" t="s">
        <v>446</v>
      </c>
      <c r="BR4" s="674" t="s">
        <v>10</v>
      </c>
      <c r="BS4" s="685" t="s">
        <v>445</v>
      </c>
      <c r="BT4" s="680" t="s">
        <v>446</v>
      </c>
      <c r="BU4" s="674" t="s">
        <v>10</v>
      </c>
    </row>
    <row r="5" spans="1:73">
      <c r="A5" s="4"/>
      <c r="B5" s="43" t="s">
        <v>350</v>
      </c>
      <c r="C5" s="189">
        <v>151219</v>
      </c>
      <c r="D5" s="189">
        <v>138916</v>
      </c>
      <c r="E5" s="189">
        <v>106787</v>
      </c>
      <c r="F5" s="189">
        <v>144583</v>
      </c>
      <c r="G5" s="189">
        <v>120592</v>
      </c>
      <c r="H5" s="189">
        <v>114327</v>
      </c>
      <c r="I5" s="188">
        <v>124658</v>
      </c>
      <c r="J5" s="340">
        <v>128458</v>
      </c>
      <c r="K5" s="323">
        <v>7291</v>
      </c>
      <c r="L5" s="414">
        <v>8792</v>
      </c>
      <c r="M5" s="232">
        <f>ROUND(((L5/K5-1)*100), 1)</f>
        <v>20.6</v>
      </c>
      <c r="N5" s="323">
        <f>Q5-K5</f>
        <v>16560</v>
      </c>
      <c r="O5" s="323">
        <f>R5-L5</f>
        <v>4100</v>
      </c>
      <c r="P5" s="242">
        <f>ROUND(((O5/N5-1)*100), 1)</f>
        <v>-75.2</v>
      </c>
      <c r="Q5" s="323">
        <v>23851</v>
      </c>
      <c r="R5" s="414">
        <v>12892</v>
      </c>
      <c r="S5" s="242">
        <f>ROUND(((R5/Q5-1)*100), 1)</f>
        <v>-45.9</v>
      </c>
      <c r="T5" s="323">
        <f>W5-Q5</f>
        <v>11098</v>
      </c>
      <c r="U5" s="323">
        <f>X5-R5</f>
        <v>5422</v>
      </c>
      <c r="V5" s="242">
        <f>ROUND(((U5/T5-1)*100), 1)</f>
        <v>-51.1</v>
      </c>
      <c r="W5" s="323">
        <v>34949</v>
      </c>
      <c r="X5" s="414">
        <v>18314</v>
      </c>
      <c r="Y5" s="242">
        <f>ROUND(((X5/W5-1)*100), 1)</f>
        <v>-47.6</v>
      </c>
      <c r="Z5" s="323">
        <f>AC5-W5</f>
        <v>7399</v>
      </c>
      <c r="AA5" s="323">
        <f>AD5-X5</f>
        <v>15638</v>
      </c>
      <c r="AB5" s="242">
        <f>ROUND(((AA5/Z5-1)*100), 1)</f>
        <v>111.4</v>
      </c>
      <c r="AC5" s="323">
        <v>42348</v>
      </c>
      <c r="AD5" s="414">
        <v>33952</v>
      </c>
      <c r="AE5" s="242">
        <f t="shared" ref="AE5:AE10" si="0">ROUND(((AD5/AC5-1)*100), 1)</f>
        <v>-19.8</v>
      </c>
      <c r="AF5" s="323">
        <f>AI5-AC5</f>
        <v>7196</v>
      </c>
      <c r="AG5" s="323">
        <f>AJ5-AD5</f>
        <v>13729</v>
      </c>
      <c r="AH5" s="242">
        <f>ROUND(((AG5/AF5-1)*100), 1)</f>
        <v>90.8</v>
      </c>
      <c r="AI5" s="323">
        <v>49544</v>
      </c>
      <c r="AJ5" s="414">
        <v>47681</v>
      </c>
      <c r="AK5" s="242">
        <f t="shared" ref="AK5:AK11" si="1">ROUND(((AJ5/AI5-1)*100), 1)</f>
        <v>-3.8</v>
      </c>
      <c r="AL5" s="323">
        <f>AO5-AI5</f>
        <v>9265</v>
      </c>
      <c r="AM5" s="323">
        <f>AP5-AJ5</f>
        <v>19777</v>
      </c>
      <c r="AN5" s="242">
        <f>ROUND(((AM5/AL5-1)*100), 1)</f>
        <v>113.5</v>
      </c>
      <c r="AO5" s="551">
        <v>58809</v>
      </c>
      <c r="AP5" s="414">
        <v>67458</v>
      </c>
      <c r="AQ5" s="242">
        <f t="shared" ref="AQ5:AQ11" si="2">ROUND(((AP5/AO5-1)*100), 1)</f>
        <v>14.7</v>
      </c>
      <c r="AR5" s="551">
        <f>AU5-AO5</f>
        <v>13892</v>
      </c>
      <c r="AS5" s="551">
        <f>AV5-AP5</f>
        <v>19073</v>
      </c>
      <c r="AT5" s="753">
        <f>ROUND(((AS5/AR5-1)*100), 1)</f>
        <v>37.299999999999997</v>
      </c>
      <c r="AU5" s="951">
        <v>72701</v>
      </c>
      <c r="AV5" s="952">
        <v>86531</v>
      </c>
      <c r="AW5" s="753">
        <f t="shared" ref="AW5:AW11" si="3">ROUND(((AV5/AU5-1)*100), 1)</f>
        <v>19</v>
      </c>
      <c r="AX5" s="551">
        <f>BA5-AU5</f>
        <v>11988</v>
      </c>
      <c r="AY5" s="551">
        <f>BB5-AV5</f>
        <v>13289</v>
      </c>
      <c r="AZ5" s="753">
        <f>ROUND(((AY5/AX5-1)*100), 1)</f>
        <v>10.9</v>
      </c>
      <c r="BA5" s="551">
        <v>84689</v>
      </c>
      <c r="BB5" s="414">
        <v>99820</v>
      </c>
      <c r="BC5" s="753">
        <f t="shared" ref="BC5:BC11" si="4">ROUND(((BB5/BA5-1)*100), 1)</f>
        <v>17.899999999999999</v>
      </c>
      <c r="BD5" s="551">
        <f>BG5-BA5</f>
        <v>7893</v>
      </c>
      <c r="BE5" s="551">
        <f>BH5-BB5</f>
        <v>13488</v>
      </c>
      <c r="BF5" s="753">
        <f>ROUND(((BE5/BD5-1)*100), 1)</f>
        <v>70.900000000000006</v>
      </c>
      <c r="BG5" s="551">
        <v>92582</v>
      </c>
      <c r="BH5" s="414">
        <v>113308</v>
      </c>
      <c r="BI5" s="753">
        <f t="shared" ref="BI5:BI11" si="5">ROUND(((BH5/BG5-1)*100), 1)</f>
        <v>22.4</v>
      </c>
      <c r="BJ5" s="551">
        <f>BM5-BG5</f>
        <v>13193</v>
      </c>
      <c r="BK5" s="551">
        <f>BN5-BH5</f>
        <v>17282</v>
      </c>
      <c r="BL5" s="753">
        <f>ROUND(((BK5/BJ5-1)*100), 1)</f>
        <v>31</v>
      </c>
      <c r="BM5" s="551">
        <v>105775</v>
      </c>
      <c r="BN5" s="414">
        <v>130590</v>
      </c>
      <c r="BO5" s="753">
        <f t="shared" ref="BO5:BO11" si="6">ROUND(((BN5/BM5-1)*100), 1)</f>
        <v>23.5</v>
      </c>
      <c r="BP5" s="551">
        <f>BS5-BM5</f>
        <v>9195</v>
      </c>
      <c r="BQ5" s="551">
        <f>BT5-BN5</f>
        <v>15056</v>
      </c>
      <c r="BR5" s="753">
        <f t="shared" ref="BR5:BR9" si="7">ROUND(((BQ5/BP5-1)*100), 1)</f>
        <v>63.7</v>
      </c>
      <c r="BS5" s="551">
        <v>114970</v>
      </c>
      <c r="BT5" s="414">
        <v>145646</v>
      </c>
      <c r="BU5" s="753">
        <f t="shared" ref="BU5:BU11" si="8">ROUND(((BT5/BS5-1)*100), 1)</f>
        <v>26.7</v>
      </c>
    </row>
    <row r="6" spans="1:73">
      <c r="A6" s="4" t="s">
        <v>97</v>
      </c>
      <c r="B6" s="43" t="s">
        <v>352</v>
      </c>
      <c r="C6" s="188">
        <v>3555</v>
      </c>
      <c r="D6" s="188">
        <v>10298</v>
      </c>
      <c r="E6" s="188">
        <v>31321</v>
      </c>
      <c r="F6" s="188">
        <v>47050</v>
      </c>
      <c r="G6" s="188">
        <v>27399</v>
      </c>
      <c r="H6" s="188">
        <v>24592</v>
      </c>
      <c r="I6" s="188">
        <v>35396</v>
      </c>
      <c r="J6" s="340">
        <v>45875</v>
      </c>
      <c r="K6" s="323">
        <v>5250</v>
      </c>
      <c r="L6" s="414">
        <v>3446</v>
      </c>
      <c r="M6" s="232">
        <f>ROUND(((L6/K6-1)*100), 1)</f>
        <v>-34.4</v>
      </c>
      <c r="N6" s="323">
        <f t="shared" ref="N6:N16" si="9">Q6-K6</f>
        <v>1848</v>
      </c>
      <c r="O6" s="414">
        <f t="shared" ref="O6:O16" si="10">R6-L6</f>
        <v>5045</v>
      </c>
      <c r="P6" s="242">
        <f>ROUND(((O6/N6-1)*100), 1)</f>
        <v>173</v>
      </c>
      <c r="Q6" s="323">
        <v>7098</v>
      </c>
      <c r="R6" s="414">
        <v>8491</v>
      </c>
      <c r="S6" s="242">
        <f>ROUND(((R6/Q6-1)*100), 1)</f>
        <v>19.600000000000001</v>
      </c>
      <c r="T6" s="323">
        <f t="shared" ref="T6:T16" si="11">W6-Q6</f>
        <v>2499</v>
      </c>
      <c r="U6" s="414">
        <f t="shared" ref="U6:U16" si="12">X6-R6</f>
        <v>1697</v>
      </c>
      <c r="V6" s="242">
        <f>ROUND(((U6/T6-1)*100), 1)</f>
        <v>-32.1</v>
      </c>
      <c r="W6" s="323">
        <v>9597</v>
      </c>
      <c r="X6" s="414">
        <v>10188</v>
      </c>
      <c r="Y6" s="242">
        <f>ROUND(((X6/W6-1)*100), 1)</f>
        <v>6.2</v>
      </c>
      <c r="Z6" s="323">
        <f t="shared" ref="Z6:Z16" si="13">AC6-W6</f>
        <v>1102</v>
      </c>
      <c r="AA6" s="414">
        <f t="shared" ref="AA6:AA16" si="14">AD6-X6</f>
        <v>1200</v>
      </c>
      <c r="AB6" s="242">
        <f>ROUND(((AA6/Z6-1)*100), 1)</f>
        <v>8.9</v>
      </c>
      <c r="AC6" s="323">
        <v>10699</v>
      </c>
      <c r="AD6" s="414">
        <v>11388</v>
      </c>
      <c r="AE6" s="242">
        <f t="shared" si="0"/>
        <v>6.4</v>
      </c>
      <c r="AF6" s="323">
        <f t="shared" ref="AF6:AG16" si="15">AI6-AC6</f>
        <v>4501</v>
      </c>
      <c r="AG6" s="414">
        <f t="shared" si="15"/>
        <v>2087</v>
      </c>
      <c r="AH6" s="242">
        <f>ROUND(((AG6/AF6-1)*100), 1)</f>
        <v>-53.6</v>
      </c>
      <c r="AI6" s="323">
        <v>15200</v>
      </c>
      <c r="AJ6" s="414">
        <v>13475</v>
      </c>
      <c r="AK6" s="242">
        <f t="shared" si="1"/>
        <v>-11.3</v>
      </c>
      <c r="AL6" s="323">
        <f t="shared" ref="AL6:AL16" si="16">AO6-AI6</f>
        <v>3899</v>
      </c>
      <c r="AM6" s="414">
        <f t="shared" ref="AM6:AM16" si="17">AP6-AJ6</f>
        <v>897</v>
      </c>
      <c r="AN6" s="242">
        <f>ROUND(((AM6/AL6-1)*100), 1)</f>
        <v>-77</v>
      </c>
      <c r="AO6" s="551">
        <v>19099</v>
      </c>
      <c r="AP6" s="414">
        <v>14372</v>
      </c>
      <c r="AQ6" s="242">
        <f t="shared" si="2"/>
        <v>-24.7</v>
      </c>
      <c r="AR6" s="551">
        <f t="shared" ref="AR6:AS16" si="18">AU6-AO6</f>
        <v>2598</v>
      </c>
      <c r="AS6" s="414">
        <f t="shared" si="18"/>
        <v>201</v>
      </c>
      <c r="AT6" s="753">
        <f>ROUND(((AS6/AR6-1)*100), 1)</f>
        <v>-92.3</v>
      </c>
      <c r="AU6" s="951">
        <v>21697</v>
      </c>
      <c r="AV6" s="952">
        <v>14573</v>
      </c>
      <c r="AW6" s="753">
        <f t="shared" si="3"/>
        <v>-32.799999999999997</v>
      </c>
      <c r="AX6" s="551">
        <f t="shared" ref="AX6:AX16" si="19">BA6-AU6</f>
        <v>6296</v>
      </c>
      <c r="AY6" s="414">
        <f t="shared" ref="AY6:AY16" si="20">BB6-AV6</f>
        <v>1999</v>
      </c>
      <c r="AZ6" s="753">
        <f>ROUND(((AY6/AX6-1)*100), 1)</f>
        <v>-68.2</v>
      </c>
      <c r="BA6" s="551">
        <v>27993</v>
      </c>
      <c r="BB6" s="414">
        <v>16572</v>
      </c>
      <c r="BC6" s="753">
        <f t="shared" si="4"/>
        <v>-40.799999999999997</v>
      </c>
      <c r="BD6" s="551">
        <f t="shared" ref="BD6:BE16" si="21">BG6-BA6</f>
        <v>5094</v>
      </c>
      <c r="BE6" s="414">
        <f t="shared" si="21"/>
        <v>2498</v>
      </c>
      <c r="BF6" s="753">
        <f>ROUND(((BE6/BD6-1)*100), 1)</f>
        <v>-51</v>
      </c>
      <c r="BG6" s="551">
        <v>33087</v>
      </c>
      <c r="BH6" s="414">
        <v>19070</v>
      </c>
      <c r="BI6" s="753">
        <f t="shared" si="5"/>
        <v>-42.4</v>
      </c>
      <c r="BJ6" s="551">
        <f t="shared" ref="BJ6:BK16" si="22">BM6-BG6</f>
        <v>6794</v>
      </c>
      <c r="BK6" s="414">
        <f t="shared" si="22"/>
        <v>1396</v>
      </c>
      <c r="BL6" s="753">
        <f>ROUND(((BK6/BJ6-1)*100), 1)</f>
        <v>-79.5</v>
      </c>
      <c r="BM6" s="551">
        <v>39881</v>
      </c>
      <c r="BN6" s="414">
        <v>20466</v>
      </c>
      <c r="BO6" s="753">
        <f t="shared" si="6"/>
        <v>-48.7</v>
      </c>
      <c r="BP6" s="551">
        <f t="shared" ref="BP6:BQ16" si="23">BS6-BM6</f>
        <v>5494</v>
      </c>
      <c r="BQ6" s="414">
        <f t="shared" si="23"/>
        <v>1258</v>
      </c>
      <c r="BR6" s="753">
        <f t="shared" si="7"/>
        <v>-77.099999999999994</v>
      </c>
      <c r="BS6" s="551">
        <v>45375</v>
      </c>
      <c r="BT6" s="414">
        <v>21724</v>
      </c>
      <c r="BU6" s="753">
        <f t="shared" si="8"/>
        <v>-52.1</v>
      </c>
    </row>
    <row r="7" spans="1:73">
      <c r="A7" s="4"/>
      <c r="B7" s="43" t="s">
        <v>351</v>
      </c>
      <c r="C7" s="188">
        <v>2851</v>
      </c>
      <c r="D7" s="188">
        <v>13375</v>
      </c>
      <c r="E7" s="188">
        <v>24477</v>
      </c>
      <c r="F7" s="188">
        <v>50457</v>
      </c>
      <c r="G7" s="188">
        <v>55349</v>
      </c>
      <c r="H7" s="188">
        <v>50368</v>
      </c>
      <c r="I7" s="188">
        <v>36917</v>
      </c>
      <c r="J7" s="340">
        <v>41091</v>
      </c>
      <c r="K7" s="323">
        <v>3601</v>
      </c>
      <c r="L7" s="414">
        <v>2308</v>
      </c>
      <c r="M7" s="232">
        <f>ROUND(((L7/K7-1)*100), 1)</f>
        <v>-35.9</v>
      </c>
      <c r="N7" s="323">
        <f t="shared" si="9"/>
        <v>2749</v>
      </c>
      <c r="O7" s="414">
        <f t="shared" si="10"/>
        <v>5782</v>
      </c>
      <c r="P7" s="242">
        <f>ROUND(((O7/N7-1)*100), 1)</f>
        <v>110.3</v>
      </c>
      <c r="Q7" s="323">
        <v>6350</v>
      </c>
      <c r="R7" s="414">
        <v>8090</v>
      </c>
      <c r="S7" s="242">
        <f>ROUND(((R7/Q7-1)*100), 1)</f>
        <v>27.4</v>
      </c>
      <c r="T7" s="323">
        <f t="shared" si="11"/>
        <v>2506</v>
      </c>
      <c r="U7" s="414">
        <f t="shared" si="12"/>
        <v>4199</v>
      </c>
      <c r="V7" s="242">
        <f>ROUND(((U7/T7-1)*100), 1)</f>
        <v>67.599999999999994</v>
      </c>
      <c r="W7" s="323">
        <v>8856</v>
      </c>
      <c r="X7" s="414">
        <v>12289</v>
      </c>
      <c r="Y7" s="242">
        <f>ROUND(((X7/W7-1)*100), 1)</f>
        <v>38.799999999999997</v>
      </c>
      <c r="Z7" s="323">
        <f t="shared" si="13"/>
        <v>4452</v>
      </c>
      <c r="AA7" s="414">
        <f t="shared" si="14"/>
        <v>2341</v>
      </c>
      <c r="AB7" s="242">
        <f>ROUND(((AA7/Z7-1)*100), 1)</f>
        <v>-47.4</v>
      </c>
      <c r="AC7" s="323">
        <v>13308</v>
      </c>
      <c r="AD7" s="414">
        <v>14630</v>
      </c>
      <c r="AE7" s="242">
        <f t="shared" si="0"/>
        <v>9.9</v>
      </c>
      <c r="AF7" s="323">
        <f t="shared" si="15"/>
        <v>4088</v>
      </c>
      <c r="AG7" s="414">
        <f t="shared" si="15"/>
        <v>3020</v>
      </c>
      <c r="AH7" s="242">
        <f>ROUND(((AG7/AF7-1)*100), 1)</f>
        <v>-26.1</v>
      </c>
      <c r="AI7" s="323">
        <v>17396</v>
      </c>
      <c r="AJ7" s="414">
        <v>17650</v>
      </c>
      <c r="AK7" s="242">
        <f t="shared" si="1"/>
        <v>1.5</v>
      </c>
      <c r="AL7" s="323">
        <f t="shared" si="16"/>
        <v>3547</v>
      </c>
      <c r="AM7" s="414">
        <f t="shared" si="17"/>
        <v>3146</v>
      </c>
      <c r="AN7" s="242">
        <f>ROUND(((AM7/AL7-1)*100), 1)</f>
        <v>-11.3</v>
      </c>
      <c r="AO7" s="551">
        <v>20943</v>
      </c>
      <c r="AP7" s="414">
        <v>20796</v>
      </c>
      <c r="AQ7" s="242">
        <f t="shared" si="2"/>
        <v>-0.7</v>
      </c>
      <c r="AR7" s="551">
        <f t="shared" si="18"/>
        <v>3745</v>
      </c>
      <c r="AS7" s="414">
        <f t="shared" si="18"/>
        <v>3647</v>
      </c>
      <c r="AT7" s="753">
        <f>ROUND(((AS7/AR7-1)*100), 1)</f>
        <v>-2.6</v>
      </c>
      <c r="AU7" s="951">
        <v>24688</v>
      </c>
      <c r="AV7" s="952">
        <v>24443</v>
      </c>
      <c r="AW7" s="753">
        <f t="shared" si="3"/>
        <v>-1</v>
      </c>
      <c r="AX7" s="551">
        <f t="shared" si="19"/>
        <v>2890</v>
      </c>
      <c r="AY7" s="414">
        <f t="shared" si="20"/>
        <v>2897</v>
      </c>
      <c r="AZ7" s="753">
        <f>ROUND(((AY7/AX7-1)*100), 1)</f>
        <v>0.2</v>
      </c>
      <c r="BA7" s="551">
        <v>27578</v>
      </c>
      <c r="BB7" s="414">
        <v>27340</v>
      </c>
      <c r="BC7" s="753">
        <f t="shared" si="4"/>
        <v>-0.9</v>
      </c>
      <c r="BD7" s="551">
        <f t="shared" si="21"/>
        <v>2950</v>
      </c>
      <c r="BE7" s="414">
        <f t="shared" si="21"/>
        <v>3387</v>
      </c>
      <c r="BF7" s="753">
        <f>ROUND(((BE7/BD7-1)*100), 1)</f>
        <v>14.8</v>
      </c>
      <c r="BG7" s="551">
        <v>30528</v>
      </c>
      <c r="BH7" s="414">
        <v>30727</v>
      </c>
      <c r="BI7" s="753">
        <f t="shared" si="5"/>
        <v>0.7</v>
      </c>
      <c r="BJ7" s="551">
        <f t="shared" si="22"/>
        <v>2350</v>
      </c>
      <c r="BK7" s="414">
        <f t="shared" si="22"/>
        <v>5812</v>
      </c>
      <c r="BL7" s="753">
        <f>ROUND(((BK7/BJ7-1)*100), 1)</f>
        <v>147.30000000000001</v>
      </c>
      <c r="BM7" s="551">
        <v>32878</v>
      </c>
      <c r="BN7" s="414">
        <v>36539</v>
      </c>
      <c r="BO7" s="753">
        <f t="shared" si="6"/>
        <v>11.1</v>
      </c>
      <c r="BP7" s="551">
        <f t="shared" si="23"/>
        <v>3966</v>
      </c>
      <c r="BQ7" s="414">
        <f t="shared" si="23"/>
        <v>4576</v>
      </c>
      <c r="BR7" s="753">
        <f t="shared" si="7"/>
        <v>15.4</v>
      </c>
      <c r="BS7" s="551">
        <v>36844</v>
      </c>
      <c r="BT7" s="414">
        <v>41115</v>
      </c>
      <c r="BU7" s="753">
        <f t="shared" si="8"/>
        <v>11.6</v>
      </c>
    </row>
    <row r="8" spans="1:73">
      <c r="A8" s="4"/>
      <c r="B8" s="43" t="s">
        <v>353</v>
      </c>
      <c r="C8" s="188">
        <v>5432</v>
      </c>
      <c r="D8" s="188">
        <v>1112</v>
      </c>
      <c r="E8" s="188">
        <v>3723</v>
      </c>
      <c r="F8" s="188">
        <v>7874</v>
      </c>
      <c r="G8" s="188">
        <v>24996</v>
      </c>
      <c r="H8" s="188">
        <v>11866</v>
      </c>
      <c r="I8" s="188">
        <v>14789</v>
      </c>
      <c r="J8" s="340">
        <v>24184</v>
      </c>
      <c r="K8" s="323">
        <v>650</v>
      </c>
      <c r="L8" s="414">
        <v>2447</v>
      </c>
      <c r="M8" s="232">
        <f>ROUND(((L8/K8-1)*100), 1)</f>
        <v>276.5</v>
      </c>
      <c r="N8" s="323">
        <f t="shared" si="9"/>
        <v>148</v>
      </c>
      <c r="O8" s="414">
        <f t="shared" si="10"/>
        <v>3297</v>
      </c>
      <c r="P8" s="242">
        <f>ROUND(((O8/N8-1)*100), 1)</f>
        <v>2127.6999999999998</v>
      </c>
      <c r="Q8" s="323">
        <v>798</v>
      </c>
      <c r="R8" s="414">
        <v>5744</v>
      </c>
      <c r="S8" s="242">
        <f>ROUND(((R8/Q8-1)*100), 1)</f>
        <v>619.79999999999995</v>
      </c>
      <c r="T8" s="323">
        <f t="shared" si="11"/>
        <v>2299</v>
      </c>
      <c r="U8" s="414">
        <f t="shared" si="12"/>
        <v>848</v>
      </c>
      <c r="V8" s="242">
        <f>ROUND(((U8/T8-1)*100), 1)</f>
        <v>-63.1</v>
      </c>
      <c r="W8" s="323">
        <v>3097</v>
      </c>
      <c r="X8" s="414">
        <v>6592</v>
      </c>
      <c r="Y8" s="242">
        <f>ROUND(((X8/W8-1)*100), 1)</f>
        <v>112.9</v>
      </c>
      <c r="Z8" s="323">
        <f t="shared" si="13"/>
        <v>2096</v>
      </c>
      <c r="AA8" s="414">
        <f t="shared" si="14"/>
        <v>350</v>
      </c>
      <c r="AB8" s="242">
        <f>ROUND(((AA8/Z8-1)*100), 1)</f>
        <v>-83.3</v>
      </c>
      <c r="AC8" s="323">
        <v>5193</v>
      </c>
      <c r="AD8" s="414">
        <v>6942</v>
      </c>
      <c r="AE8" s="242">
        <f t="shared" si="0"/>
        <v>33.700000000000003</v>
      </c>
      <c r="AF8" s="323">
        <f t="shared" si="15"/>
        <v>12292</v>
      </c>
      <c r="AG8" s="414">
        <f t="shared" si="15"/>
        <v>0</v>
      </c>
      <c r="AH8" s="242">
        <f>ROUND(((AG8/AF8-1)*100), 1)</f>
        <v>-100</v>
      </c>
      <c r="AI8" s="323">
        <v>17485</v>
      </c>
      <c r="AJ8" s="414">
        <v>6942</v>
      </c>
      <c r="AK8" s="242">
        <f t="shared" si="1"/>
        <v>-60.3</v>
      </c>
      <c r="AL8" s="323">
        <f t="shared" si="16"/>
        <v>1801</v>
      </c>
      <c r="AM8" s="414">
        <f t="shared" si="17"/>
        <v>350</v>
      </c>
      <c r="AN8" s="242">
        <f>ROUND(((AM8/AL8-1)*100), 1)</f>
        <v>-80.599999999999994</v>
      </c>
      <c r="AO8" s="551">
        <v>19286</v>
      </c>
      <c r="AP8" s="414">
        <v>7292</v>
      </c>
      <c r="AQ8" s="242">
        <f t="shared" si="2"/>
        <v>-62.2</v>
      </c>
      <c r="AR8" s="551">
        <f t="shared" si="18"/>
        <v>3300</v>
      </c>
      <c r="AS8" s="414">
        <f t="shared" si="18"/>
        <v>797</v>
      </c>
      <c r="AT8" s="753">
        <f>ROUND(((AS8/AR8-1)*100), 1)</f>
        <v>-75.8</v>
      </c>
      <c r="AU8" s="951">
        <v>22586</v>
      </c>
      <c r="AV8" s="952">
        <v>8089</v>
      </c>
      <c r="AW8" s="753">
        <f t="shared" si="3"/>
        <v>-64.2</v>
      </c>
      <c r="AX8" s="551">
        <f t="shared" si="19"/>
        <v>300</v>
      </c>
      <c r="AY8" s="414">
        <f t="shared" si="20"/>
        <v>501</v>
      </c>
      <c r="AZ8" s="753">
        <f>ROUND(((AY8/AX8-1)*100), 1)</f>
        <v>67</v>
      </c>
      <c r="BA8" s="551">
        <v>22886</v>
      </c>
      <c r="BB8" s="414">
        <v>8590</v>
      </c>
      <c r="BC8" s="753">
        <f t="shared" si="4"/>
        <v>-62.5</v>
      </c>
      <c r="BD8" s="551">
        <f t="shared" si="21"/>
        <v>299</v>
      </c>
      <c r="BE8" s="414">
        <f t="shared" si="21"/>
        <v>448</v>
      </c>
      <c r="BF8" s="753">
        <f>ROUND(((BE8/BD8-1)*100), 1)</f>
        <v>49.8</v>
      </c>
      <c r="BG8" s="551">
        <v>23185</v>
      </c>
      <c r="BH8" s="414">
        <v>9038</v>
      </c>
      <c r="BI8" s="753">
        <f t="shared" si="5"/>
        <v>-61</v>
      </c>
      <c r="BJ8" s="551">
        <f t="shared" si="22"/>
        <v>299</v>
      </c>
      <c r="BK8" s="414">
        <f t="shared" si="22"/>
        <v>599</v>
      </c>
      <c r="BL8" s="753">
        <f>ROUND(((BK8/BJ8-1)*100), 1)</f>
        <v>100.3</v>
      </c>
      <c r="BM8" s="551">
        <v>23484</v>
      </c>
      <c r="BN8" s="414">
        <v>9637</v>
      </c>
      <c r="BO8" s="753">
        <f t="shared" si="6"/>
        <v>-59</v>
      </c>
      <c r="BP8" s="551">
        <f t="shared" si="23"/>
        <v>551</v>
      </c>
      <c r="BQ8" s="414">
        <f t="shared" si="23"/>
        <v>3098</v>
      </c>
      <c r="BR8" s="753">
        <f t="shared" si="7"/>
        <v>462.3</v>
      </c>
      <c r="BS8" s="551">
        <v>24035</v>
      </c>
      <c r="BT8" s="414">
        <v>12735</v>
      </c>
      <c r="BU8" s="753">
        <f t="shared" si="8"/>
        <v>-47</v>
      </c>
    </row>
    <row r="9" spans="1:73">
      <c r="A9" s="4"/>
      <c r="B9" s="43" t="s">
        <v>354</v>
      </c>
      <c r="C9" s="188">
        <v>669</v>
      </c>
      <c r="D9" s="188">
        <v>1379</v>
      </c>
      <c r="E9" s="188">
        <v>8908</v>
      </c>
      <c r="F9" s="188">
        <v>11469</v>
      </c>
      <c r="G9" s="188">
        <v>13173</v>
      </c>
      <c r="H9" s="188">
        <v>11585</v>
      </c>
      <c r="I9" s="188">
        <v>13984</v>
      </c>
      <c r="J9" s="340">
        <v>7884</v>
      </c>
      <c r="K9" s="323">
        <v>897</v>
      </c>
      <c r="L9" s="414">
        <v>848</v>
      </c>
      <c r="M9" s="232">
        <f>ROUND(((L9/K9-1)*100), 1)</f>
        <v>-5.5</v>
      </c>
      <c r="N9" s="323">
        <f t="shared" si="9"/>
        <v>299</v>
      </c>
      <c r="O9" s="414">
        <f t="shared" si="10"/>
        <v>299</v>
      </c>
      <c r="P9" s="242">
        <f>ROUND(((O9/N9-1)*100), 1)</f>
        <v>0</v>
      </c>
      <c r="Q9" s="323">
        <v>1196</v>
      </c>
      <c r="R9" s="414">
        <v>1147</v>
      </c>
      <c r="S9" s="242">
        <f>ROUND(((R9/Q9-1)*100), 1)</f>
        <v>-4.0999999999999996</v>
      </c>
      <c r="T9" s="323">
        <f t="shared" si="11"/>
        <v>500</v>
      </c>
      <c r="U9" s="414">
        <f t="shared" si="12"/>
        <v>701</v>
      </c>
      <c r="V9" s="242">
        <f>ROUND(((U9/T9-1)*100), 1)</f>
        <v>40.200000000000003</v>
      </c>
      <c r="W9" s="323">
        <v>1696</v>
      </c>
      <c r="X9" s="414">
        <v>1848</v>
      </c>
      <c r="Y9" s="242">
        <f>ROUND(((X9/W9-1)*100), 1)</f>
        <v>9</v>
      </c>
      <c r="Z9" s="323">
        <f t="shared" si="13"/>
        <v>599</v>
      </c>
      <c r="AA9" s="414">
        <f t="shared" si="14"/>
        <v>397</v>
      </c>
      <c r="AB9" s="242">
        <f>ROUND(((AA9/Z9-1)*100), 1)</f>
        <v>-33.700000000000003</v>
      </c>
      <c r="AC9" s="323">
        <v>2295</v>
      </c>
      <c r="AD9" s="414">
        <v>2245</v>
      </c>
      <c r="AE9" s="242">
        <f t="shared" si="0"/>
        <v>-2.2000000000000002</v>
      </c>
      <c r="AF9" s="323">
        <f t="shared" si="15"/>
        <v>300</v>
      </c>
      <c r="AG9" s="414">
        <f t="shared" si="15"/>
        <v>298</v>
      </c>
      <c r="AH9" s="242">
        <f>ROUND(((AG9/AF9-1)*100), 1)</f>
        <v>-0.7</v>
      </c>
      <c r="AI9" s="323">
        <v>2595</v>
      </c>
      <c r="AJ9" s="414">
        <v>2543</v>
      </c>
      <c r="AK9" s="242">
        <f t="shared" si="1"/>
        <v>-2</v>
      </c>
      <c r="AL9" s="323">
        <f t="shared" si="16"/>
        <v>500</v>
      </c>
      <c r="AM9" s="414">
        <f t="shared" si="17"/>
        <v>101</v>
      </c>
      <c r="AN9" s="242">
        <f>ROUND(((AM9/AL9-1)*100), 1)</f>
        <v>-79.8</v>
      </c>
      <c r="AO9" s="551">
        <v>3095</v>
      </c>
      <c r="AP9" s="414">
        <v>2644</v>
      </c>
      <c r="AQ9" s="242">
        <f t="shared" si="2"/>
        <v>-14.6</v>
      </c>
      <c r="AR9" s="551">
        <f t="shared" si="18"/>
        <v>1204</v>
      </c>
      <c r="AS9" s="414">
        <f t="shared" si="18"/>
        <v>1099</v>
      </c>
      <c r="AT9" s="753">
        <f>ROUND(((AS9/AR9-1)*100), 1)</f>
        <v>-8.6999999999999993</v>
      </c>
      <c r="AU9" s="951">
        <v>4299</v>
      </c>
      <c r="AV9" s="952">
        <v>3743</v>
      </c>
      <c r="AW9" s="753">
        <f t="shared" si="3"/>
        <v>-12.9</v>
      </c>
      <c r="AX9" s="551">
        <f t="shared" si="19"/>
        <v>396</v>
      </c>
      <c r="AY9" s="414">
        <f t="shared" si="20"/>
        <v>599</v>
      </c>
      <c r="AZ9" s="753">
        <f>ROUND(((AY9/AX9-1)*100), 1)</f>
        <v>51.3</v>
      </c>
      <c r="BA9" s="551">
        <v>4695</v>
      </c>
      <c r="BB9" s="414">
        <v>4342</v>
      </c>
      <c r="BC9" s="753">
        <f t="shared" si="4"/>
        <v>-7.5</v>
      </c>
      <c r="BD9" s="551">
        <f t="shared" si="21"/>
        <v>696</v>
      </c>
      <c r="BE9" s="414">
        <f t="shared" si="21"/>
        <v>896</v>
      </c>
      <c r="BF9" s="753">
        <f>ROUND(((BE9/BD9-1)*100), 1)</f>
        <v>28.7</v>
      </c>
      <c r="BG9" s="551">
        <v>5391</v>
      </c>
      <c r="BH9" s="414">
        <v>5238</v>
      </c>
      <c r="BI9" s="753">
        <f t="shared" si="5"/>
        <v>-2.8</v>
      </c>
      <c r="BJ9" s="551">
        <f t="shared" si="22"/>
        <v>895</v>
      </c>
      <c r="BK9" s="414">
        <f t="shared" si="22"/>
        <v>998</v>
      </c>
      <c r="BL9" s="753">
        <f>ROUND(((BK9/BJ9-1)*100), 1)</f>
        <v>11.5</v>
      </c>
      <c r="BM9" s="551">
        <v>6286</v>
      </c>
      <c r="BN9" s="414">
        <v>6236</v>
      </c>
      <c r="BO9" s="753">
        <f t="shared" si="6"/>
        <v>-0.8</v>
      </c>
      <c r="BP9" s="551">
        <f t="shared" si="23"/>
        <v>849</v>
      </c>
      <c r="BQ9" s="414">
        <f t="shared" si="23"/>
        <v>896</v>
      </c>
      <c r="BR9" s="753">
        <f t="shared" si="7"/>
        <v>5.5</v>
      </c>
      <c r="BS9" s="551">
        <v>7135</v>
      </c>
      <c r="BT9" s="414">
        <v>7132</v>
      </c>
      <c r="BU9" s="753">
        <f t="shared" si="8"/>
        <v>0</v>
      </c>
    </row>
    <row r="10" spans="1:73">
      <c r="A10" s="4"/>
      <c r="B10" s="43" t="s">
        <v>355</v>
      </c>
      <c r="C10" s="188">
        <v>101</v>
      </c>
      <c r="D10" s="188">
        <v>25</v>
      </c>
      <c r="E10" s="188">
        <v>0</v>
      </c>
      <c r="F10" s="188">
        <v>981</v>
      </c>
      <c r="G10" s="188">
        <v>496</v>
      </c>
      <c r="H10" s="188">
        <v>0</v>
      </c>
      <c r="I10" s="188">
        <v>649</v>
      </c>
      <c r="J10" s="340">
        <v>99</v>
      </c>
      <c r="K10" s="323">
        <v>0</v>
      </c>
      <c r="L10" s="414">
        <v>0</v>
      </c>
      <c r="M10" s="177">
        <v>0</v>
      </c>
      <c r="N10" s="323">
        <f t="shared" si="9"/>
        <v>0</v>
      </c>
      <c r="O10" s="414">
        <f t="shared" si="10"/>
        <v>0</v>
      </c>
      <c r="P10" s="177">
        <v>0</v>
      </c>
      <c r="Q10" s="323">
        <v>0</v>
      </c>
      <c r="R10" s="414">
        <v>0</v>
      </c>
      <c r="S10" s="177">
        <v>0</v>
      </c>
      <c r="T10" s="323">
        <f t="shared" si="11"/>
        <v>0</v>
      </c>
      <c r="U10" s="414">
        <f t="shared" si="12"/>
        <v>0</v>
      </c>
      <c r="V10" s="177">
        <v>0</v>
      </c>
      <c r="W10" s="323">
        <v>0</v>
      </c>
      <c r="X10" s="414">
        <v>0</v>
      </c>
      <c r="Y10" s="177">
        <v>0</v>
      </c>
      <c r="Z10" s="323">
        <f t="shared" si="13"/>
        <v>99</v>
      </c>
      <c r="AA10" s="414">
        <f t="shared" si="14"/>
        <v>0</v>
      </c>
      <c r="AB10" s="521">
        <v>0</v>
      </c>
      <c r="AC10" s="323">
        <v>99</v>
      </c>
      <c r="AD10" s="414">
        <v>0</v>
      </c>
      <c r="AE10" s="242">
        <f t="shared" si="0"/>
        <v>-100</v>
      </c>
      <c r="AF10" s="323">
        <f t="shared" si="15"/>
        <v>0</v>
      </c>
      <c r="AG10" s="414">
        <f t="shared" si="15"/>
        <v>0</v>
      </c>
      <c r="AH10" s="521">
        <v>0</v>
      </c>
      <c r="AI10" s="323">
        <v>99</v>
      </c>
      <c r="AJ10" s="414">
        <v>0</v>
      </c>
      <c r="AK10" s="242">
        <f t="shared" si="1"/>
        <v>-100</v>
      </c>
      <c r="AL10" s="323">
        <f t="shared" si="16"/>
        <v>0</v>
      </c>
      <c r="AM10" s="414">
        <f t="shared" si="17"/>
        <v>0</v>
      </c>
      <c r="AN10" s="521">
        <v>0</v>
      </c>
      <c r="AO10" s="551">
        <v>99</v>
      </c>
      <c r="AP10" s="414">
        <v>0</v>
      </c>
      <c r="AQ10" s="242">
        <f t="shared" si="2"/>
        <v>-100</v>
      </c>
      <c r="AR10" s="551">
        <f t="shared" si="18"/>
        <v>0</v>
      </c>
      <c r="AS10" s="414">
        <f t="shared" si="18"/>
        <v>0</v>
      </c>
      <c r="AT10" s="799">
        <v>0</v>
      </c>
      <c r="AU10" s="951">
        <v>99</v>
      </c>
      <c r="AV10" s="952">
        <v>0</v>
      </c>
      <c r="AW10" s="753">
        <f t="shared" si="3"/>
        <v>-100</v>
      </c>
      <c r="AX10" s="551">
        <f t="shared" si="19"/>
        <v>0</v>
      </c>
      <c r="AY10" s="414">
        <f t="shared" si="20"/>
        <v>0</v>
      </c>
      <c r="AZ10" s="799">
        <v>0</v>
      </c>
      <c r="BA10" s="551">
        <v>99</v>
      </c>
      <c r="BB10" s="414">
        <v>0</v>
      </c>
      <c r="BC10" s="753">
        <f t="shared" si="4"/>
        <v>-100</v>
      </c>
      <c r="BD10" s="551">
        <f t="shared" si="21"/>
        <v>0</v>
      </c>
      <c r="BE10" s="414">
        <f t="shared" si="21"/>
        <v>0</v>
      </c>
      <c r="BF10" s="799">
        <v>0</v>
      </c>
      <c r="BG10" s="551">
        <v>99</v>
      </c>
      <c r="BH10" s="414">
        <v>0</v>
      </c>
      <c r="BI10" s="753">
        <f t="shared" si="5"/>
        <v>-100</v>
      </c>
      <c r="BJ10" s="551">
        <f t="shared" si="22"/>
        <v>0</v>
      </c>
      <c r="BK10" s="414">
        <f t="shared" si="22"/>
        <v>0</v>
      </c>
      <c r="BL10" s="799">
        <v>0</v>
      </c>
      <c r="BM10" s="551">
        <v>99</v>
      </c>
      <c r="BN10" s="414">
        <v>0</v>
      </c>
      <c r="BO10" s="753">
        <f t="shared" si="6"/>
        <v>-100</v>
      </c>
      <c r="BP10" s="551">
        <f t="shared" si="23"/>
        <v>0</v>
      </c>
      <c r="BQ10" s="414">
        <f t="shared" si="23"/>
        <v>0</v>
      </c>
      <c r="BR10" s="799">
        <v>0</v>
      </c>
      <c r="BS10" s="551">
        <v>99</v>
      </c>
      <c r="BT10" s="414">
        <v>0</v>
      </c>
      <c r="BU10" s="753">
        <f t="shared" si="8"/>
        <v>-100</v>
      </c>
    </row>
    <row r="11" spans="1:73">
      <c r="A11" s="4"/>
      <c r="B11" s="43" t="s">
        <v>359</v>
      </c>
      <c r="C11" s="188">
        <v>0</v>
      </c>
      <c r="D11" s="188">
        <v>7985</v>
      </c>
      <c r="E11" s="188">
        <v>5395</v>
      </c>
      <c r="F11" s="188">
        <v>7301</v>
      </c>
      <c r="G11" s="188">
        <v>2544</v>
      </c>
      <c r="H11" s="188">
        <v>2768</v>
      </c>
      <c r="I11" s="188">
        <v>2</v>
      </c>
      <c r="J11" s="340">
        <v>2</v>
      </c>
      <c r="K11" s="323">
        <v>0</v>
      </c>
      <c r="L11" s="414">
        <v>0</v>
      </c>
      <c r="M11" s="177">
        <v>0</v>
      </c>
      <c r="N11" s="323">
        <f t="shared" si="9"/>
        <v>0</v>
      </c>
      <c r="O11" s="414">
        <f t="shared" si="10"/>
        <v>0</v>
      </c>
      <c r="P11" s="177">
        <v>0</v>
      </c>
      <c r="Q11" s="323">
        <v>0</v>
      </c>
      <c r="R11" s="414">
        <v>0</v>
      </c>
      <c r="S11" s="177">
        <v>0</v>
      </c>
      <c r="T11" s="323">
        <f t="shared" si="11"/>
        <v>0</v>
      </c>
      <c r="U11" s="414">
        <f t="shared" si="12"/>
        <v>0</v>
      </c>
      <c r="V11" s="177">
        <v>0</v>
      </c>
      <c r="W11" s="323">
        <v>0</v>
      </c>
      <c r="X11" s="414">
        <v>0</v>
      </c>
      <c r="Y11" s="177">
        <v>0</v>
      </c>
      <c r="Z11" s="323">
        <f t="shared" si="13"/>
        <v>0</v>
      </c>
      <c r="AA11" s="414">
        <f t="shared" si="14"/>
        <v>0</v>
      </c>
      <c r="AB11" s="521">
        <v>0</v>
      </c>
      <c r="AC11" s="323">
        <v>0</v>
      </c>
      <c r="AD11" s="414">
        <v>0</v>
      </c>
      <c r="AE11" s="521">
        <v>0</v>
      </c>
      <c r="AF11" s="323">
        <f t="shared" si="15"/>
        <v>1</v>
      </c>
      <c r="AG11" s="414">
        <f t="shared" si="15"/>
        <v>0</v>
      </c>
      <c r="AH11" s="242">
        <f t="shared" ref="AH11" si="24">ROUND(((AG11/AF11-1)*100), 1)</f>
        <v>-100</v>
      </c>
      <c r="AI11" s="323">
        <v>1</v>
      </c>
      <c r="AJ11" s="414">
        <v>0</v>
      </c>
      <c r="AK11" s="242">
        <f t="shared" si="1"/>
        <v>-100</v>
      </c>
      <c r="AL11" s="323">
        <f t="shared" si="16"/>
        <v>0</v>
      </c>
      <c r="AM11" s="414">
        <f t="shared" si="17"/>
        <v>0</v>
      </c>
      <c r="AN11" s="799">
        <v>0</v>
      </c>
      <c r="AO11" s="551">
        <v>1</v>
      </c>
      <c r="AP11" s="414">
        <v>0</v>
      </c>
      <c r="AQ11" s="242">
        <f t="shared" si="2"/>
        <v>-100</v>
      </c>
      <c r="AR11" s="551">
        <f t="shared" si="18"/>
        <v>0</v>
      </c>
      <c r="AS11" s="414">
        <f t="shared" si="18"/>
        <v>0</v>
      </c>
      <c r="AT11" s="799">
        <v>0</v>
      </c>
      <c r="AU11" s="951">
        <v>1</v>
      </c>
      <c r="AV11" s="952">
        <v>0</v>
      </c>
      <c r="AW11" s="753">
        <f t="shared" si="3"/>
        <v>-100</v>
      </c>
      <c r="AX11" s="551">
        <f t="shared" si="19"/>
        <v>0</v>
      </c>
      <c r="AY11" s="414">
        <f t="shared" si="20"/>
        <v>0</v>
      </c>
      <c r="AZ11" s="799">
        <v>0</v>
      </c>
      <c r="BA11" s="551">
        <v>1</v>
      </c>
      <c r="BB11" s="414">
        <v>0</v>
      </c>
      <c r="BC11" s="753">
        <f t="shared" si="4"/>
        <v>-100</v>
      </c>
      <c r="BD11" s="551">
        <f t="shared" si="21"/>
        <v>0</v>
      </c>
      <c r="BE11" s="414">
        <f t="shared" si="21"/>
        <v>0</v>
      </c>
      <c r="BF11" s="799">
        <v>0</v>
      </c>
      <c r="BG11" s="551">
        <v>1</v>
      </c>
      <c r="BH11" s="414">
        <v>0</v>
      </c>
      <c r="BI11" s="753">
        <f t="shared" si="5"/>
        <v>-100</v>
      </c>
      <c r="BJ11" s="551">
        <f t="shared" si="22"/>
        <v>1</v>
      </c>
      <c r="BK11" s="414">
        <f t="shared" si="22"/>
        <v>0</v>
      </c>
      <c r="BL11" s="753">
        <f>ROUND(((BK11/BJ11-1)*100), 1)</f>
        <v>-100</v>
      </c>
      <c r="BM11" s="551">
        <v>2</v>
      </c>
      <c r="BN11" s="414">
        <v>0</v>
      </c>
      <c r="BO11" s="753">
        <f t="shared" si="6"/>
        <v>-100</v>
      </c>
      <c r="BP11" s="551">
        <f t="shared" si="23"/>
        <v>0</v>
      </c>
      <c r="BQ11" s="414">
        <f t="shared" si="23"/>
        <v>0</v>
      </c>
      <c r="BR11" s="799">
        <v>0</v>
      </c>
      <c r="BS11" s="551">
        <v>2</v>
      </c>
      <c r="BT11" s="414">
        <v>0</v>
      </c>
      <c r="BU11" s="753">
        <f t="shared" si="8"/>
        <v>-100</v>
      </c>
    </row>
    <row r="12" spans="1:73">
      <c r="A12" s="4"/>
      <c r="B12" s="43" t="s">
        <v>356</v>
      </c>
      <c r="C12" s="188">
        <v>4098</v>
      </c>
      <c r="D12" s="188">
        <v>2492</v>
      </c>
      <c r="E12" s="188">
        <v>7042</v>
      </c>
      <c r="F12" s="188">
        <v>7299</v>
      </c>
      <c r="G12" s="188">
        <v>4275</v>
      </c>
      <c r="H12" s="188">
        <v>5176</v>
      </c>
      <c r="I12" s="188">
        <v>400</v>
      </c>
      <c r="J12" s="340">
        <v>0</v>
      </c>
      <c r="K12" s="323">
        <v>0</v>
      </c>
      <c r="L12" s="414">
        <v>0</v>
      </c>
      <c r="M12" s="177">
        <v>0</v>
      </c>
      <c r="N12" s="323">
        <f t="shared" si="9"/>
        <v>0</v>
      </c>
      <c r="O12" s="414">
        <f t="shared" si="10"/>
        <v>0</v>
      </c>
      <c r="P12" s="177">
        <v>0</v>
      </c>
      <c r="Q12" s="323">
        <v>0</v>
      </c>
      <c r="R12" s="414">
        <v>0</v>
      </c>
      <c r="S12" s="177">
        <v>0</v>
      </c>
      <c r="T12" s="323">
        <f t="shared" si="11"/>
        <v>0</v>
      </c>
      <c r="U12" s="414">
        <f t="shared" si="12"/>
        <v>0</v>
      </c>
      <c r="V12" s="177">
        <v>0</v>
      </c>
      <c r="W12" s="323">
        <v>0</v>
      </c>
      <c r="X12" s="414">
        <v>0</v>
      </c>
      <c r="Y12" s="177">
        <v>0</v>
      </c>
      <c r="Z12" s="323">
        <f t="shared" si="13"/>
        <v>0</v>
      </c>
      <c r="AA12" s="414">
        <f t="shared" si="14"/>
        <v>0</v>
      </c>
      <c r="AB12" s="521">
        <v>0</v>
      </c>
      <c r="AC12" s="323">
        <v>0</v>
      </c>
      <c r="AD12" s="414">
        <v>0</v>
      </c>
      <c r="AE12" s="521">
        <v>0</v>
      </c>
      <c r="AF12" s="323">
        <f t="shared" si="15"/>
        <v>0</v>
      </c>
      <c r="AG12" s="414">
        <f t="shared" si="15"/>
        <v>0</v>
      </c>
      <c r="AH12" s="521">
        <v>0</v>
      </c>
      <c r="AI12" s="323">
        <v>0</v>
      </c>
      <c r="AJ12" s="414">
        <v>0</v>
      </c>
      <c r="AK12" s="521">
        <v>0</v>
      </c>
      <c r="AL12" s="323">
        <f t="shared" si="16"/>
        <v>0</v>
      </c>
      <c r="AM12" s="414">
        <f t="shared" si="17"/>
        <v>0</v>
      </c>
      <c r="AN12" s="521">
        <v>0</v>
      </c>
      <c r="AO12" s="551">
        <v>0</v>
      </c>
      <c r="AP12" s="414">
        <v>0</v>
      </c>
      <c r="AQ12" s="521">
        <v>0</v>
      </c>
      <c r="AR12" s="551">
        <f t="shared" si="18"/>
        <v>0</v>
      </c>
      <c r="AS12" s="414">
        <f t="shared" si="18"/>
        <v>0</v>
      </c>
      <c r="AT12" s="799">
        <v>0</v>
      </c>
      <c r="AU12" s="951">
        <v>0</v>
      </c>
      <c r="AV12" s="952">
        <v>0</v>
      </c>
      <c r="AW12" s="799">
        <v>0</v>
      </c>
      <c r="AX12" s="551">
        <f t="shared" si="19"/>
        <v>0</v>
      </c>
      <c r="AY12" s="414">
        <f t="shared" si="20"/>
        <v>0</v>
      </c>
      <c r="AZ12" s="799">
        <v>0</v>
      </c>
      <c r="BA12" s="551">
        <v>0</v>
      </c>
      <c r="BB12" s="414">
        <v>0</v>
      </c>
      <c r="BC12" s="799">
        <v>0</v>
      </c>
      <c r="BD12" s="551">
        <f t="shared" si="21"/>
        <v>0</v>
      </c>
      <c r="BE12" s="414">
        <f t="shared" si="21"/>
        <v>0</v>
      </c>
      <c r="BF12" s="799">
        <v>0</v>
      </c>
      <c r="BG12" s="551">
        <v>0</v>
      </c>
      <c r="BH12" s="414">
        <v>0</v>
      </c>
      <c r="BI12" s="799">
        <v>0</v>
      </c>
      <c r="BJ12" s="551">
        <f t="shared" si="22"/>
        <v>0</v>
      </c>
      <c r="BK12" s="414">
        <f t="shared" si="22"/>
        <v>0</v>
      </c>
      <c r="BL12" s="799">
        <v>0</v>
      </c>
      <c r="BM12" s="551">
        <v>0</v>
      </c>
      <c r="BN12" s="414">
        <v>0</v>
      </c>
      <c r="BO12" s="799">
        <v>0</v>
      </c>
      <c r="BP12" s="551">
        <f t="shared" si="23"/>
        <v>0</v>
      </c>
      <c r="BQ12" s="414">
        <f t="shared" si="23"/>
        <v>0</v>
      </c>
      <c r="BR12" s="799">
        <v>0</v>
      </c>
      <c r="BS12" s="551">
        <v>0</v>
      </c>
      <c r="BT12" s="414">
        <v>0</v>
      </c>
      <c r="BU12" s="799">
        <v>0</v>
      </c>
    </row>
    <row r="13" spans="1:73">
      <c r="A13" s="4"/>
      <c r="B13" s="43" t="s">
        <v>357</v>
      </c>
      <c r="C13" s="188">
        <v>499</v>
      </c>
      <c r="D13" s="188">
        <v>0</v>
      </c>
      <c r="E13" s="188">
        <v>0</v>
      </c>
      <c r="F13" s="188">
        <v>0</v>
      </c>
      <c r="G13" s="188">
        <v>0</v>
      </c>
      <c r="H13" s="188">
        <v>791</v>
      </c>
      <c r="I13" s="188">
        <v>200</v>
      </c>
      <c r="J13" s="340">
        <v>0</v>
      </c>
      <c r="K13" s="323">
        <v>0</v>
      </c>
      <c r="L13" s="414">
        <v>0</v>
      </c>
      <c r="M13" s="177">
        <v>0</v>
      </c>
      <c r="N13" s="323">
        <f t="shared" si="9"/>
        <v>0</v>
      </c>
      <c r="O13" s="414">
        <f t="shared" si="10"/>
        <v>0</v>
      </c>
      <c r="P13" s="177">
        <v>0</v>
      </c>
      <c r="Q13" s="323">
        <v>0</v>
      </c>
      <c r="R13" s="414">
        <v>0</v>
      </c>
      <c r="S13" s="177">
        <v>0</v>
      </c>
      <c r="T13" s="323">
        <f t="shared" si="11"/>
        <v>0</v>
      </c>
      <c r="U13" s="414">
        <f t="shared" si="12"/>
        <v>0</v>
      </c>
      <c r="V13" s="177">
        <v>0</v>
      </c>
      <c r="W13" s="323">
        <v>0</v>
      </c>
      <c r="X13" s="414">
        <v>0</v>
      </c>
      <c r="Y13" s="177">
        <v>0</v>
      </c>
      <c r="Z13" s="323">
        <f t="shared" si="13"/>
        <v>0</v>
      </c>
      <c r="AA13" s="414">
        <f t="shared" si="14"/>
        <v>0</v>
      </c>
      <c r="AB13" s="521">
        <v>0</v>
      </c>
      <c r="AC13" s="323">
        <v>0</v>
      </c>
      <c r="AD13" s="414">
        <v>0</v>
      </c>
      <c r="AE13" s="521">
        <v>0</v>
      </c>
      <c r="AF13" s="323">
        <f t="shared" si="15"/>
        <v>0</v>
      </c>
      <c r="AG13" s="414">
        <f t="shared" si="15"/>
        <v>0</v>
      </c>
      <c r="AH13" s="521">
        <v>0</v>
      </c>
      <c r="AI13" s="323">
        <v>0</v>
      </c>
      <c r="AJ13" s="414">
        <v>0</v>
      </c>
      <c r="AK13" s="521">
        <v>0</v>
      </c>
      <c r="AL13" s="323">
        <f t="shared" si="16"/>
        <v>0</v>
      </c>
      <c r="AM13" s="414">
        <f t="shared" si="17"/>
        <v>0</v>
      </c>
      <c r="AN13" s="521">
        <v>0</v>
      </c>
      <c r="AO13" s="484">
        <v>0</v>
      </c>
      <c r="AP13" s="551">
        <v>0</v>
      </c>
      <c r="AQ13" s="521">
        <v>0</v>
      </c>
      <c r="AR13" s="551">
        <f t="shared" si="18"/>
        <v>0</v>
      </c>
      <c r="AS13" s="414">
        <f t="shared" si="18"/>
        <v>0</v>
      </c>
      <c r="AT13" s="799">
        <v>0</v>
      </c>
      <c r="AU13" s="951">
        <v>0</v>
      </c>
      <c r="AV13" s="952">
        <v>0</v>
      </c>
      <c r="AW13" s="799">
        <v>0</v>
      </c>
      <c r="AX13" s="551">
        <f t="shared" si="19"/>
        <v>0</v>
      </c>
      <c r="AY13" s="414">
        <f t="shared" si="20"/>
        <v>0</v>
      </c>
      <c r="AZ13" s="799">
        <v>0</v>
      </c>
      <c r="BA13" s="551">
        <v>0</v>
      </c>
      <c r="BB13" s="414">
        <v>0</v>
      </c>
      <c r="BC13" s="799">
        <v>0</v>
      </c>
      <c r="BD13" s="551">
        <f t="shared" si="21"/>
        <v>0</v>
      </c>
      <c r="BE13" s="414">
        <f t="shared" si="21"/>
        <v>0</v>
      </c>
      <c r="BF13" s="799">
        <v>0</v>
      </c>
      <c r="BG13" s="551">
        <v>0</v>
      </c>
      <c r="BH13" s="414">
        <v>0</v>
      </c>
      <c r="BI13" s="799">
        <v>0</v>
      </c>
      <c r="BJ13" s="551">
        <f t="shared" si="22"/>
        <v>0</v>
      </c>
      <c r="BK13" s="414">
        <f t="shared" si="22"/>
        <v>0</v>
      </c>
      <c r="BL13" s="799">
        <v>0</v>
      </c>
      <c r="BM13" s="551">
        <v>0</v>
      </c>
      <c r="BN13" s="414">
        <v>0</v>
      </c>
      <c r="BO13" s="799">
        <v>0</v>
      </c>
      <c r="BP13" s="551">
        <f t="shared" si="23"/>
        <v>0</v>
      </c>
      <c r="BQ13" s="414">
        <f t="shared" si="23"/>
        <v>0</v>
      </c>
      <c r="BR13" s="799">
        <v>0</v>
      </c>
      <c r="BS13" s="551">
        <v>0</v>
      </c>
      <c r="BT13" s="414">
        <v>0</v>
      </c>
      <c r="BU13" s="799">
        <v>0</v>
      </c>
    </row>
    <row r="14" spans="1:73">
      <c r="A14" s="4"/>
      <c r="B14" s="43" t="s">
        <v>358</v>
      </c>
      <c r="C14" s="188">
        <v>348</v>
      </c>
      <c r="D14" s="188">
        <v>262</v>
      </c>
      <c r="E14" s="188">
        <v>289</v>
      </c>
      <c r="F14" s="188">
        <v>607</v>
      </c>
      <c r="G14" s="188">
        <v>159</v>
      </c>
      <c r="H14" s="188">
        <v>408</v>
      </c>
      <c r="I14" s="188">
        <v>22</v>
      </c>
      <c r="J14" s="340">
        <v>0</v>
      </c>
      <c r="K14" s="323">
        <v>0</v>
      </c>
      <c r="L14" s="414">
        <v>0</v>
      </c>
      <c r="M14" s="177">
        <v>0</v>
      </c>
      <c r="N14" s="323">
        <f t="shared" si="9"/>
        <v>0</v>
      </c>
      <c r="O14" s="414">
        <f t="shared" si="10"/>
        <v>0</v>
      </c>
      <c r="P14" s="177">
        <v>0</v>
      </c>
      <c r="Q14" s="323">
        <v>0</v>
      </c>
      <c r="R14" s="414">
        <v>0</v>
      </c>
      <c r="S14" s="177">
        <v>0</v>
      </c>
      <c r="T14" s="323">
        <f t="shared" si="11"/>
        <v>0</v>
      </c>
      <c r="U14" s="414">
        <f t="shared" si="12"/>
        <v>0</v>
      </c>
      <c r="V14" s="177">
        <v>0</v>
      </c>
      <c r="W14" s="323">
        <v>0</v>
      </c>
      <c r="X14" s="414">
        <v>0</v>
      </c>
      <c r="Y14" s="177">
        <v>0</v>
      </c>
      <c r="Z14" s="323">
        <f t="shared" si="13"/>
        <v>0</v>
      </c>
      <c r="AA14" s="414">
        <f t="shared" si="14"/>
        <v>0</v>
      </c>
      <c r="AB14" s="521">
        <v>0</v>
      </c>
      <c r="AC14" s="323">
        <v>0</v>
      </c>
      <c r="AD14" s="414">
        <v>0</v>
      </c>
      <c r="AE14" s="521">
        <v>0</v>
      </c>
      <c r="AF14" s="323">
        <f t="shared" si="15"/>
        <v>0</v>
      </c>
      <c r="AG14" s="414">
        <f t="shared" si="15"/>
        <v>0</v>
      </c>
      <c r="AH14" s="521">
        <v>0</v>
      </c>
      <c r="AI14" s="323">
        <v>0</v>
      </c>
      <c r="AJ14" s="414">
        <v>0</v>
      </c>
      <c r="AK14" s="521">
        <v>0</v>
      </c>
      <c r="AL14" s="323">
        <f t="shared" si="16"/>
        <v>0</v>
      </c>
      <c r="AM14" s="414">
        <f t="shared" si="17"/>
        <v>0</v>
      </c>
      <c r="AN14" s="521">
        <v>0</v>
      </c>
      <c r="AO14" s="484">
        <v>0</v>
      </c>
      <c r="AP14" s="551">
        <v>0</v>
      </c>
      <c r="AQ14" s="521">
        <v>0</v>
      </c>
      <c r="AR14" s="551">
        <f t="shared" si="18"/>
        <v>0</v>
      </c>
      <c r="AS14" s="414">
        <f t="shared" si="18"/>
        <v>0</v>
      </c>
      <c r="AT14" s="799">
        <v>0</v>
      </c>
      <c r="AU14" s="951">
        <v>0</v>
      </c>
      <c r="AV14" s="952">
        <v>0</v>
      </c>
      <c r="AW14" s="799">
        <v>0</v>
      </c>
      <c r="AX14" s="551">
        <f t="shared" si="19"/>
        <v>0</v>
      </c>
      <c r="AY14" s="414">
        <f t="shared" si="20"/>
        <v>0</v>
      </c>
      <c r="AZ14" s="799">
        <v>0</v>
      </c>
      <c r="BA14" s="551">
        <v>0</v>
      </c>
      <c r="BB14" s="414">
        <v>0</v>
      </c>
      <c r="BC14" s="799">
        <v>0</v>
      </c>
      <c r="BD14" s="551">
        <f t="shared" si="21"/>
        <v>0</v>
      </c>
      <c r="BE14" s="414">
        <f t="shared" si="21"/>
        <v>0</v>
      </c>
      <c r="BF14" s="799">
        <v>0</v>
      </c>
      <c r="BG14" s="551">
        <v>0</v>
      </c>
      <c r="BH14" s="414">
        <v>0</v>
      </c>
      <c r="BI14" s="799">
        <v>0</v>
      </c>
      <c r="BJ14" s="551">
        <f t="shared" si="22"/>
        <v>0</v>
      </c>
      <c r="BK14" s="414">
        <f t="shared" si="22"/>
        <v>0</v>
      </c>
      <c r="BL14" s="799">
        <v>0</v>
      </c>
      <c r="BM14" s="551">
        <v>0</v>
      </c>
      <c r="BN14" s="414">
        <v>0</v>
      </c>
      <c r="BO14" s="799">
        <v>0</v>
      </c>
      <c r="BP14" s="551">
        <f t="shared" si="23"/>
        <v>0</v>
      </c>
      <c r="BQ14" s="414">
        <f t="shared" si="23"/>
        <v>0</v>
      </c>
      <c r="BR14" s="799">
        <v>0</v>
      </c>
      <c r="BS14" s="551">
        <v>0</v>
      </c>
      <c r="BT14" s="414">
        <v>0</v>
      </c>
      <c r="BU14" s="799">
        <v>0</v>
      </c>
    </row>
    <row r="15" spans="1:73">
      <c r="A15" s="4"/>
      <c r="B15" s="43" t="s">
        <v>63</v>
      </c>
      <c r="C15" s="188">
        <v>0</v>
      </c>
      <c r="D15" s="188">
        <v>0</v>
      </c>
      <c r="E15" s="188">
        <v>157</v>
      </c>
      <c r="F15" s="188">
        <v>1961</v>
      </c>
      <c r="G15" s="188">
        <v>1702</v>
      </c>
      <c r="H15" s="188">
        <v>0</v>
      </c>
      <c r="I15" s="188">
        <v>0</v>
      </c>
      <c r="J15" s="340">
        <v>0</v>
      </c>
      <c r="K15" s="323">
        <v>0</v>
      </c>
      <c r="L15" s="414">
        <v>0</v>
      </c>
      <c r="M15" s="177">
        <v>0</v>
      </c>
      <c r="N15" s="323">
        <f t="shared" si="9"/>
        <v>0</v>
      </c>
      <c r="O15" s="414">
        <f t="shared" si="10"/>
        <v>0</v>
      </c>
      <c r="P15" s="177">
        <v>0</v>
      </c>
      <c r="Q15" s="323">
        <v>0</v>
      </c>
      <c r="R15" s="414">
        <v>0</v>
      </c>
      <c r="S15" s="177">
        <v>0</v>
      </c>
      <c r="T15" s="323">
        <f t="shared" si="11"/>
        <v>0</v>
      </c>
      <c r="U15" s="414">
        <f t="shared" si="12"/>
        <v>0</v>
      </c>
      <c r="V15" s="177">
        <v>0</v>
      </c>
      <c r="W15" s="323">
        <v>0</v>
      </c>
      <c r="X15" s="414">
        <v>0</v>
      </c>
      <c r="Y15" s="177">
        <v>0</v>
      </c>
      <c r="Z15" s="323">
        <f t="shared" si="13"/>
        <v>0</v>
      </c>
      <c r="AA15" s="414">
        <f t="shared" si="14"/>
        <v>0</v>
      </c>
      <c r="AB15" s="521">
        <v>0</v>
      </c>
      <c r="AC15" s="323">
        <v>0</v>
      </c>
      <c r="AD15" s="414">
        <v>0</v>
      </c>
      <c r="AE15" s="521">
        <v>0</v>
      </c>
      <c r="AF15" s="323">
        <f t="shared" si="15"/>
        <v>0</v>
      </c>
      <c r="AG15" s="414">
        <f t="shared" si="15"/>
        <v>0</v>
      </c>
      <c r="AH15" s="521">
        <v>0</v>
      </c>
      <c r="AI15" s="323">
        <v>0</v>
      </c>
      <c r="AJ15" s="414">
        <v>0</v>
      </c>
      <c r="AK15" s="521">
        <v>0</v>
      </c>
      <c r="AL15" s="323">
        <f t="shared" si="16"/>
        <v>0</v>
      </c>
      <c r="AM15" s="414">
        <f t="shared" si="17"/>
        <v>0</v>
      </c>
      <c r="AN15" s="521">
        <v>0</v>
      </c>
      <c r="AO15" s="484">
        <v>0</v>
      </c>
      <c r="AP15" s="414">
        <v>0</v>
      </c>
      <c r="AQ15" s="809">
        <v>0</v>
      </c>
      <c r="AR15" s="551">
        <f t="shared" si="18"/>
        <v>0</v>
      </c>
      <c r="AS15" s="414">
        <f t="shared" si="18"/>
        <v>0</v>
      </c>
      <c r="AT15" s="799">
        <v>0</v>
      </c>
      <c r="AU15" s="951">
        <v>0</v>
      </c>
      <c r="AV15" s="952">
        <v>0</v>
      </c>
      <c r="AW15" s="809">
        <v>0</v>
      </c>
      <c r="AX15" s="551">
        <f t="shared" si="19"/>
        <v>0</v>
      </c>
      <c r="AY15" s="414">
        <f t="shared" si="20"/>
        <v>0</v>
      </c>
      <c r="AZ15" s="799">
        <v>0</v>
      </c>
      <c r="BA15" s="551">
        <v>0</v>
      </c>
      <c r="BB15" s="414">
        <v>0</v>
      </c>
      <c r="BC15" s="809">
        <v>0</v>
      </c>
      <c r="BD15" s="551">
        <f t="shared" si="21"/>
        <v>0</v>
      </c>
      <c r="BE15" s="414">
        <f t="shared" si="21"/>
        <v>0</v>
      </c>
      <c r="BF15" s="799">
        <v>0</v>
      </c>
      <c r="BG15" s="551">
        <v>0</v>
      </c>
      <c r="BH15" s="414">
        <v>0</v>
      </c>
      <c r="BI15" s="809">
        <v>0</v>
      </c>
      <c r="BJ15" s="551">
        <f t="shared" si="22"/>
        <v>0</v>
      </c>
      <c r="BK15" s="414">
        <f t="shared" si="22"/>
        <v>0</v>
      </c>
      <c r="BL15" s="799">
        <v>0</v>
      </c>
      <c r="BM15" s="551">
        <v>0</v>
      </c>
      <c r="BN15" s="414">
        <v>0</v>
      </c>
      <c r="BO15" s="809">
        <v>0</v>
      </c>
      <c r="BP15" s="551">
        <f t="shared" si="23"/>
        <v>0</v>
      </c>
      <c r="BQ15" s="414">
        <f t="shared" si="23"/>
        <v>0</v>
      </c>
      <c r="BR15" s="799">
        <v>0</v>
      </c>
      <c r="BS15" s="551">
        <v>0</v>
      </c>
      <c r="BT15" s="414">
        <v>0</v>
      </c>
      <c r="BU15" s="809">
        <v>0</v>
      </c>
    </row>
    <row r="16" spans="1:73">
      <c r="A16" s="4"/>
      <c r="B16" s="43" t="s">
        <v>360</v>
      </c>
      <c r="C16" s="188">
        <v>0</v>
      </c>
      <c r="D16" s="188">
        <v>0</v>
      </c>
      <c r="E16" s="188">
        <v>0</v>
      </c>
      <c r="F16" s="188">
        <v>25</v>
      </c>
      <c r="G16" s="188">
        <v>769</v>
      </c>
      <c r="H16" s="188">
        <v>0</v>
      </c>
      <c r="I16" s="188">
        <v>0</v>
      </c>
      <c r="J16" s="340">
        <v>0</v>
      </c>
      <c r="K16" s="323">
        <v>0</v>
      </c>
      <c r="L16" s="414">
        <v>0</v>
      </c>
      <c r="M16" s="177">
        <v>0</v>
      </c>
      <c r="N16" s="484">
        <f t="shared" si="9"/>
        <v>0</v>
      </c>
      <c r="O16" s="414">
        <f t="shared" si="10"/>
        <v>0</v>
      </c>
      <c r="P16" s="177">
        <v>0</v>
      </c>
      <c r="Q16" s="323">
        <v>0</v>
      </c>
      <c r="R16" s="414">
        <v>0</v>
      </c>
      <c r="S16" s="177">
        <v>0</v>
      </c>
      <c r="T16" s="484">
        <f t="shared" si="11"/>
        <v>0</v>
      </c>
      <c r="U16" s="414">
        <f t="shared" si="12"/>
        <v>0</v>
      </c>
      <c r="V16" s="177">
        <v>0</v>
      </c>
      <c r="W16" s="323">
        <v>0</v>
      </c>
      <c r="X16" s="414">
        <v>0</v>
      </c>
      <c r="Y16" s="177">
        <v>0</v>
      </c>
      <c r="Z16" s="484">
        <f t="shared" si="13"/>
        <v>0</v>
      </c>
      <c r="AA16" s="414">
        <f t="shared" si="14"/>
        <v>0</v>
      </c>
      <c r="AB16" s="521">
        <v>0</v>
      </c>
      <c r="AC16" s="323">
        <v>0</v>
      </c>
      <c r="AD16" s="414">
        <v>0</v>
      </c>
      <c r="AE16" s="521">
        <v>0</v>
      </c>
      <c r="AF16" s="484">
        <f t="shared" si="15"/>
        <v>0</v>
      </c>
      <c r="AG16" s="414">
        <f t="shared" si="15"/>
        <v>0</v>
      </c>
      <c r="AH16" s="521">
        <v>0</v>
      </c>
      <c r="AI16" s="323">
        <v>0</v>
      </c>
      <c r="AJ16" s="414">
        <v>0</v>
      </c>
      <c r="AK16" s="521">
        <v>0</v>
      </c>
      <c r="AL16" s="484">
        <f t="shared" si="16"/>
        <v>0</v>
      </c>
      <c r="AM16" s="414">
        <f t="shared" si="17"/>
        <v>0</v>
      </c>
      <c r="AN16" s="521">
        <v>0</v>
      </c>
      <c r="AO16" s="484">
        <v>0</v>
      </c>
      <c r="AP16" s="414">
        <v>0</v>
      </c>
      <c r="AQ16" s="809">
        <v>0</v>
      </c>
      <c r="AR16" s="484">
        <f t="shared" si="18"/>
        <v>0</v>
      </c>
      <c r="AS16" s="414">
        <f t="shared" si="18"/>
        <v>0</v>
      </c>
      <c r="AT16" s="799">
        <v>0</v>
      </c>
      <c r="AU16" s="951">
        <v>0</v>
      </c>
      <c r="AV16" s="952">
        <v>0</v>
      </c>
      <c r="AW16" s="809">
        <v>0</v>
      </c>
      <c r="AX16" s="484">
        <f t="shared" si="19"/>
        <v>0</v>
      </c>
      <c r="AY16" s="414">
        <f t="shared" si="20"/>
        <v>0</v>
      </c>
      <c r="AZ16" s="799">
        <v>0</v>
      </c>
      <c r="BA16" s="551">
        <v>0</v>
      </c>
      <c r="BB16" s="414">
        <v>0</v>
      </c>
      <c r="BC16" s="809">
        <v>0</v>
      </c>
      <c r="BD16" s="484">
        <f t="shared" si="21"/>
        <v>0</v>
      </c>
      <c r="BE16" s="414">
        <f t="shared" si="21"/>
        <v>0</v>
      </c>
      <c r="BF16" s="799">
        <v>0</v>
      </c>
      <c r="BG16" s="551">
        <v>0</v>
      </c>
      <c r="BH16" s="414">
        <v>0</v>
      </c>
      <c r="BI16" s="809">
        <v>0</v>
      </c>
      <c r="BJ16" s="484">
        <f t="shared" si="22"/>
        <v>0</v>
      </c>
      <c r="BK16" s="414">
        <f t="shared" si="22"/>
        <v>0</v>
      </c>
      <c r="BL16" s="799">
        <v>0</v>
      </c>
      <c r="BM16" s="551">
        <v>0</v>
      </c>
      <c r="BN16" s="414">
        <v>0</v>
      </c>
      <c r="BO16" s="809">
        <v>0</v>
      </c>
      <c r="BP16" s="484">
        <f t="shared" si="23"/>
        <v>0</v>
      </c>
      <c r="BQ16" s="414">
        <f t="shared" si="23"/>
        <v>0</v>
      </c>
      <c r="BR16" s="799">
        <v>0</v>
      </c>
      <c r="BS16" s="551">
        <v>0</v>
      </c>
      <c r="BT16" s="414">
        <v>0</v>
      </c>
      <c r="BU16" s="809">
        <v>0</v>
      </c>
    </row>
    <row r="17" spans="1:73">
      <c r="A17" s="4"/>
      <c r="B17" s="43" t="s">
        <v>361</v>
      </c>
      <c r="C17" s="188">
        <f t="shared" ref="C17:L17" si="25">C18-SUM(C5:C16)</f>
        <v>0</v>
      </c>
      <c r="D17" s="188">
        <f t="shared" si="25"/>
        <v>777</v>
      </c>
      <c r="E17" s="188">
        <f t="shared" si="25"/>
        <v>1466</v>
      </c>
      <c r="F17" s="188">
        <f t="shared" si="25"/>
        <v>529</v>
      </c>
      <c r="G17" s="188">
        <f t="shared" si="25"/>
        <v>0</v>
      </c>
      <c r="H17" s="188">
        <f t="shared" si="25"/>
        <v>8</v>
      </c>
      <c r="I17" s="188">
        <f t="shared" si="25"/>
        <v>500</v>
      </c>
      <c r="J17" s="44">
        <f>J18-SUM(J5:J16)</f>
        <v>0</v>
      </c>
      <c r="K17" s="323">
        <f t="shared" si="25"/>
        <v>0</v>
      </c>
      <c r="L17" s="414">
        <f t="shared" si="25"/>
        <v>0</v>
      </c>
      <c r="M17" s="178">
        <v>0</v>
      </c>
      <c r="N17" s="485">
        <f>N18-SUM(N5:N16)</f>
        <v>0</v>
      </c>
      <c r="O17" s="486">
        <f>O18-SUM(O5:O16)</f>
        <v>0</v>
      </c>
      <c r="P17" s="178">
        <v>0</v>
      </c>
      <c r="Q17" s="323">
        <f>Q18-SUM(Q5:Q16)</f>
        <v>0</v>
      </c>
      <c r="R17" s="414">
        <f>R18-SUM(R5:R16)</f>
        <v>0</v>
      </c>
      <c r="S17" s="178">
        <v>0</v>
      </c>
      <c r="T17" s="485">
        <f>T18-SUM(T5:T16)</f>
        <v>0</v>
      </c>
      <c r="U17" s="486">
        <f>U18-SUM(U5:U16)</f>
        <v>0</v>
      </c>
      <c r="V17" s="178">
        <v>0</v>
      </c>
      <c r="W17" s="323">
        <f>W18-SUM(W5:W16)</f>
        <v>0</v>
      </c>
      <c r="X17" s="414">
        <f>X18-SUM(X5:X16)</f>
        <v>0</v>
      </c>
      <c r="Y17" s="178">
        <v>0</v>
      </c>
      <c r="Z17" s="485">
        <f>Z18-SUM(Z5:Z16)</f>
        <v>0</v>
      </c>
      <c r="AA17" s="486">
        <f>AA18-SUM(AA5:AA16)</f>
        <v>0</v>
      </c>
      <c r="AB17" s="522">
        <v>0</v>
      </c>
      <c r="AC17" s="323">
        <f>AC18-SUM(AC5:AC16)</f>
        <v>0</v>
      </c>
      <c r="AD17" s="414">
        <f>AD18-SUM(AD5:AD16)</f>
        <v>0</v>
      </c>
      <c r="AE17" s="522">
        <v>0</v>
      </c>
      <c r="AF17" s="485">
        <f>AF18-SUM(AF5:AF16)</f>
        <v>0</v>
      </c>
      <c r="AG17" s="486">
        <f>AG18-SUM(AG5:AG16)</f>
        <v>0</v>
      </c>
      <c r="AH17" s="522">
        <v>0</v>
      </c>
      <c r="AI17" s="323">
        <f>AI18-SUM(AI5:AI16)</f>
        <v>0</v>
      </c>
      <c r="AJ17" s="414">
        <f>AJ18-SUM(AJ5:AJ16)</f>
        <v>0</v>
      </c>
      <c r="AK17" s="522">
        <v>0</v>
      </c>
      <c r="AL17" s="485">
        <f>AL18-SUM(AL5:AL16)</f>
        <v>0</v>
      </c>
      <c r="AM17" s="486">
        <f>AM18-SUM(AM5:AM16)</f>
        <v>0</v>
      </c>
      <c r="AN17" s="522">
        <v>0</v>
      </c>
      <c r="AO17" s="484">
        <f>AO18-SUM(AO5:AO16)</f>
        <v>0</v>
      </c>
      <c r="AP17" s="414">
        <f>AP18-SUM(AP5:AP16)</f>
        <v>0</v>
      </c>
      <c r="AQ17" s="923">
        <v>0</v>
      </c>
      <c r="AR17" s="485">
        <f>AR18-SUM(AR5:AR16)</f>
        <v>0</v>
      </c>
      <c r="AS17" s="486">
        <f>AS18-SUM(AS5:AS16)</f>
        <v>0</v>
      </c>
      <c r="AT17" s="800">
        <v>0</v>
      </c>
      <c r="AU17" s="953">
        <f>AU18-SUM(AU5:AU16)</f>
        <v>0</v>
      </c>
      <c r="AV17" s="952">
        <f>AV18-SUM(AV5:AV16)</f>
        <v>0</v>
      </c>
      <c r="AW17" s="923">
        <v>0</v>
      </c>
      <c r="AX17" s="485">
        <f>AX18-SUM(AX5:AX16)</f>
        <v>0</v>
      </c>
      <c r="AY17" s="486">
        <f>AY18-SUM(AY5:AY16)</f>
        <v>0</v>
      </c>
      <c r="AZ17" s="800">
        <v>0</v>
      </c>
      <c r="BA17" s="484">
        <f>BA18-SUM(BA5:BA16)</f>
        <v>0</v>
      </c>
      <c r="BB17" s="414">
        <f>BB18-SUM(BB5:BB16)</f>
        <v>0</v>
      </c>
      <c r="BC17" s="923">
        <v>0</v>
      </c>
      <c r="BD17" s="485">
        <f>BD18-SUM(BD5:BD16)</f>
        <v>0</v>
      </c>
      <c r="BE17" s="486">
        <f>BE18-SUM(BE5:BE16)</f>
        <v>0</v>
      </c>
      <c r="BF17" s="800">
        <v>0</v>
      </c>
      <c r="BG17" s="484">
        <f>BG18-SUM(BG5:BG16)</f>
        <v>0</v>
      </c>
      <c r="BH17" s="414">
        <f>BH18-SUM(BH5:BH16)</f>
        <v>0</v>
      </c>
      <c r="BI17" s="923">
        <v>0</v>
      </c>
      <c r="BJ17" s="485">
        <f>BJ18-SUM(BJ5:BJ16)</f>
        <v>0</v>
      </c>
      <c r="BK17" s="486">
        <f>BK18-SUM(BK5:BK16)</f>
        <v>0</v>
      </c>
      <c r="BL17" s="800">
        <v>0</v>
      </c>
      <c r="BM17" s="484">
        <f>BM18-SUM(BM5:BM16)</f>
        <v>0</v>
      </c>
      <c r="BN17" s="414">
        <f>BN18-SUM(BN5:BN16)</f>
        <v>0</v>
      </c>
      <c r="BO17" s="923">
        <v>0</v>
      </c>
      <c r="BP17" s="485">
        <f>BP18-SUM(BP5:BP16)</f>
        <v>0</v>
      </c>
      <c r="BQ17" s="486">
        <f>BQ18-SUM(BQ5:BQ16)</f>
        <v>0</v>
      </c>
      <c r="BR17" s="800">
        <v>0</v>
      </c>
      <c r="BS17" s="484">
        <f>BS18-SUM(BS5:BS16)</f>
        <v>0</v>
      </c>
      <c r="BT17" s="414">
        <f>BT18-SUM(BT5:BT16)</f>
        <v>0</v>
      </c>
      <c r="BU17" s="923">
        <v>0</v>
      </c>
    </row>
    <row r="18" spans="1:73">
      <c r="A18" s="9"/>
      <c r="B18" s="67" t="s">
        <v>108</v>
      </c>
      <c r="C18" s="324">
        <v>168772</v>
      </c>
      <c r="D18" s="324">
        <v>176621</v>
      </c>
      <c r="E18" s="324">
        <v>189565</v>
      </c>
      <c r="F18" s="324">
        <v>280136</v>
      </c>
      <c r="G18" s="324">
        <v>251454</v>
      </c>
      <c r="H18" s="324">
        <v>221889</v>
      </c>
      <c r="I18" s="324">
        <v>227517</v>
      </c>
      <c r="J18" s="46">
        <v>247593</v>
      </c>
      <c r="K18" s="399">
        <v>17689</v>
      </c>
      <c r="L18" s="400">
        <v>17841</v>
      </c>
      <c r="M18" s="233">
        <f>ROUND(((L18/K18-1)*100), 1)</f>
        <v>0.9</v>
      </c>
      <c r="N18" s="487">
        <f t="shared" ref="N18:N33" si="26">Q18-K18</f>
        <v>21604</v>
      </c>
      <c r="O18" s="399">
        <f t="shared" ref="O18:O33" si="27">R18-L18</f>
        <v>18523</v>
      </c>
      <c r="P18" s="243">
        <f>ROUND(((O18/N18-1)*100), 1)</f>
        <v>-14.3</v>
      </c>
      <c r="Q18" s="399">
        <v>39293</v>
      </c>
      <c r="R18" s="400">
        <v>36364</v>
      </c>
      <c r="S18" s="243">
        <f>ROUND(((R18/Q18-1)*100), 1)</f>
        <v>-7.5</v>
      </c>
      <c r="T18" s="487">
        <f t="shared" ref="T18:T33" si="28">W18-Q18</f>
        <v>18902</v>
      </c>
      <c r="U18" s="399">
        <f t="shared" ref="U18:U33" si="29">X18-R18</f>
        <v>12867</v>
      </c>
      <c r="V18" s="243">
        <f t="shared" ref="V18:V25" si="30">ROUND(((U18/T18-1)*100), 1)</f>
        <v>-31.9</v>
      </c>
      <c r="W18" s="399">
        <v>58195</v>
      </c>
      <c r="X18" s="400">
        <v>49231</v>
      </c>
      <c r="Y18" s="243">
        <f t="shared" ref="Y18:Y28" si="31">ROUND(((X18/W18-1)*100), 1)</f>
        <v>-15.4</v>
      </c>
      <c r="Z18" s="487">
        <f t="shared" ref="Z18:Z33" si="32">AC18-W18</f>
        <v>15747</v>
      </c>
      <c r="AA18" s="399">
        <f t="shared" ref="AA18:AA33" si="33">AD18-X18</f>
        <v>19926</v>
      </c>
      <c r="AB18" s="243">
        <f t="shared" ref="AB18:AB23" si="34">ROUND(((AA18/Z18-1)*100), 1)</f>
        <v>26.5</v>
      </c>
      <c r="AC18" s="399">
        <v>73942</v>
      </c>
      <c r="AD18" s="400">
        <v>69157</v>
      </c>
      <c r="AE18" s="243">
        <f t="shared" ref="AE18:AE28" si="35">ROUND(((AD18/AC18-1)*100), 1)</f>
        <v>-6.5</v>
      </c>
      <c r="AF18" s="487">
        <f t="shared" ref="AF18:AG33" si="36">AI18-AC18</f>
        <v>28378</v>
      </c>
      <c r="AG18" s="399">
        <f t="shared" si="36"/>
        <v>19134</v>
      </c>
      <c r="AH18" s="243">
        <f t="shared" ref="AH18:AH22" si="37">ROUND(((AG18/AF18-1)*100), 1)</f>
        <v>-32.6</v>
      </c>
      <c r="AI18" s="399">
        <v>102320</v>
      </c>
      <c r="AJ18" s="400">
        <v>88291</v>
      </c>
      <c r="AK18" s="243">
        <f t="shared" ref="AK18:AK28" si="38">ROUND(((AJ18/AI18-1)*100), 1)</f>
        <v>-13.7</v>
      </c>
      <c r="AL18" s="487">
        <f t="shared" ref="AL18:AL33" si="39">AO18-AI18</f>
        <v>19012</v>
      </c>
      <c r="AM18" s="399">
        <f t="shared" ref="AM18:AM33" si="40">AP18-AJ18</f>
        <v>24271</v>
      </c>
      <c r="AN18" s="243">
        <f t="shared" ref="AN18:AN24" si="41">ROUND(((AM18/AL18-1)*100), 1)</f>
        <v>27.7</v>
      </c>
      <c r="AO18" s="487">
        <v>121332</v>
      </c>
      <c r="AP18" s="924">
        <v>112562</v>
      </c>
      <c r="AQ18" s="909">
        <f t="shared" ref="AQ18:AQ28" si="42">ROUND(((AP18/AO18-1)*100), 1)</f>
        <v>-7.2</v>
      </c>
      <c r="AR18" s="487">
        <f t="shared" ref="AR18:AS33" si="43">AU18-AO18</f>
        <v>24739</v>
      </c>
      <c r="AS18" s="399">
        <f t="shared" si="43"/>
        <v>24817</v>
      </c>
      <c r="AT18" s="754">
        <f t="shared" ref="AT18:AT25" si="44">ROUND(((AS18/AR18-1)*100), 1)</f>
        <v>0.3</v>
      </c>
      <c r="AU18" s="954">
        <v>146071</v>
      </c>
      <c r="AV18" s="955">
        <v>137379</v>
      </c>
      <c r="AW18" s="909">
        <f t="shared" ref="AW18:AW28" si="45">ROUND(((AV18/AU18-1)*100), 1)</f>
        <v>-6</v>
      </c>
      <c r="AX18" s="487">
        <f t="shared" ref="AX18:AX33" si="46">BA18-AU18</f>
        <v>21870</v>
      </c>
      <c r="AY18" s="399">
        <f t="shared" ref="AY18:AY33" si="47">BB18-AV18</f>
        <v>19285</v>
      </c>
      <c r="AZ18" s="754">
        <f t="shared" ref="AZ18:AZ25" si="48">ROUND(((AY18/AX18-1)*100), 1)</f>
        <v>-11.8</v>
      </c>
      <c r="BA18" s="487">
        <v>167941</v>
      </c>
      <c r="BB18" s="924">
        <v>156664</v>
      </c>
      <c r="BC18" s="909">
        <f t="shared" ref="BC18:BC28" si="49">ROUND(((BB18/BA18-1)*100), 1)</f>
        <v>-6.7</v>
      </c>
      <c r="BD18" s="487">
        <f t="shared" ref="BD18:BE33" si="50">BG18-BA18</f>
        <v>16932</v>
      </c>
      <c r="BE18" s="399">
        <f t="shared" si="50"/>
        <v>20717</v>
      </c>
      <c r="BF18" s="754">
        <f t="shared" ref="BF18:BF25" si="51">ROUND(((BE18/BD18-1)*100), 1)</f>
        <v>22.4</v>
      </c>
      <c r="BG18" s="487">
        <v>184873</v>
      </c>
      <c r="BH18" s="924">
        <v>177381</v>
      </c>
      <c r="BI18" s="909">
        <f t="shared" ref="BI18:BI28" si="52">ROUND(((BH18/BG18-1)*100), 1)</f>
        <v>-4.0999999999999996</v>
      </c>
      <c r="BJ18" s="487">
        <f t="shared" ref="BJ18:BK33" si="53">BM18-BG18</f>
        <v>23532</v>
      </c>
      <c r="BK18" s="399">
        <f t="shared" si="53"/>
        <v>26087</v>
      </c>
      <c r="BL18" s="754">
        <f t="shared" ref="BL18:BL23" si="54">ROUND(((BK18/BJ18-1)*100), 1)</f>
        <v>10.9</v>
      </c>
      <c r="BM18" s="487">
        <v>208405</v>
      </c>
      <c r="BN18" s="924">
        <v>203468</v>
      </c>
      <c r="BO18" s="909">
        <f t="shared" ref="BO18:BO28" si="55">ROUND(((BN18/BM18-1)*100), 1)</f>
        <v>-2.4</v>
      </c>
      <c r="BP18" s="487">
        <f t="shared" ref="BP18:BQ33" si="56">BS18-BM18</f>
        <v>20055</v>
      </c>
      <c r="BQ18" s="399">
        <f t="shared" si="56"/>
        <v>24884</v>
      </c>
      <c r="BR18" s="754">
        <f t="shared" ref="BR18:BR23" si="57">ROUND(((BQ18/BP18-1)*100), 1)</f>
        <v>24.1</v>
      </c>
      <c r="BS18" s="487">
        <v>228460</v>
      </c>
      <c r="BT18" s="924">
        <v>228352</v>
      </c>
      <c r="BU18" s="909">
        <f t="shared" ref="BU18:BU28" si="58">ROUND(((BT18/BS18-1)*100), 1)</f>
        <v>0</v>
      </c>
    </row>
    <row r="19" spans="1:73">
      <c r="A19" s="4"/>
      <c r="B19" s="43" t="s">
        <v>362</v>
      </c>
      <c r="C19" s="188">
        <v>171902</v>
      </c>
      <c r="D19" s="188">
        <v>160090</v>
      </c>
      <c r="E19" s="188">
        <v>194259</v>
      </c>
      <c r="F19" s="188">
        <v>202509</v>
      </c>
      <c r="G19" s="188">
        <v>205886</v>
      </c>
      <c r="H19" s="188">
        <v>164041</v>
      </c>
      <c r="I19" s="188">
        <v>133253</v>
      </c>
      <c r="J19" s="44">
        <v>127560</v>
      </c>
      <c r="K19" s="323">
        <v>12438</v>
      </c>
      <c r="L19" s="414">
        <v>9438</v>
      </c>
      <c r="M19" s="242">
        <f>ROUND(((L19/K19-1)*100), 1)</f>
        <v>-24.1</v>
      </c>
      <c r="N19" s="323">
        <f t="shared" si="26"/>
        <v>13050</v>
      </c>
      <c r="O19" s="323">
        <f t="shared" si="27"/>
        <v>10078</v>
      </c>
      <c r="P19" s="242">
        <f>ROUND(((O19/N19-1)*100), 1)</f>
        <v>-22.8</v>
      </c>
      <c r="Q19" s="323">
        <v>25488</v>
      </c>
      <c r="R19" s="414">
        <v>19516</v>
      </c>
      <c r="S19" s="242">
        <f>ROUND(((R19/Q19-1)*100), 1)</f>
        <v>-23.4</v>
      </c>
      <c r="T19" s="323">
        <f t="shared" si="28"/>
        <v>11014</v>
      </c>
      <c r="U19" s="323">
        <f t="shared" si="29"/>
        <v>11115</v>
      </c>
      <c r="V19" s="242">
        <f t="shared" si="30"/>
        <v>0.9</v>
      </c>
      <c r="W19" s="323">
        <v>36502</v>
      </c>
      <c r="X19" s="414">
        <v>30631</v>
      </c>
      <c r="Y19" s="242">
        <f t="shared" si="31"/>
        <v>-16.100000000000001</v>
      </c>
      <c r="Z19" s="323">
        <f t="shared" si="32"/>
        <v>12533</v>
      </c>
      <c r="AA19" s="323">
        <f t="shared" si="33"/>
        <v>12508</v>
      </c>
      <c r="AB19" s="242">
        <f t="shared" si="34"/>
        <v>-0.2</v>
      </c>
      <c r="AC19" s="323">
        <v>49035</v>
      </c>
      <c r="AD19" s="414">
        <v>43139</v>
      </c>
      <c r="AE19" s="242">
        <f t="shared" si="35"/>
        <v>-12</v>
      </c>
      <c r="AF19" s="323">
        <f t="shared" si="36"/>
        <v>8980</v>
      </c>
      <c r="AG19" s="323">
        <f t="shared" si="36"/>
        <v>10017</v>
      </c>
      <c r="AH19" s="242">
        <f t="shared" si="37"/>
        <v>11.5</v>
      </c>
      <c r="AI19" s="323">
        <v>58015</v>
      </c>
      <c r="AJ19" s="414">
        <v>53156</v>
      </c>
      <c r="AK19" s="242">
        <f t="shared" si="38"/>
        <v>-8.4</v>
      </c>
      <c r="AL19" s="323">
        <f t="shared" si="39"/>
        <v>10512</v>
      </c>
      <c r="AM19" s="323">
        <f t="shared" si="40"/>
        <v>10609</v>
      </c>
      <c r="AN19" s="242">
        <f t="shared" si="41"/>
        <v>0.9</v>
      </c>
      <c r="AO19" s="484">
        <v>68527</v>
      </c>
      <c r="AP19" s="414">
        <v>63765</v>
      </c>
      <c r="AQ19" s="911">
        <f t="shared" si="42"/>
        <v>-6.9</v>
      </c>
      <c r="AR19" s="551">
        <f t="shared" si="43"/>
        <v>11210</v>
      </c>
      <c r="AS19" s="551">
        <f t="shared" si="43"/>
        <v>9207</v>
      </c>
      <c r="AT19" s="753">
        <f t="shared" si="44"/>
        <v>-17.899999999999999</v>
      </c>
      <c r="AU19" s="953">
        <v>79737</v>
      </c>
      <c r="AV19" s="952">
        <v>72972</v>
      </c>
      <c r="AW19" s="911">
        <f t="shared" si="45"/>
        <v>-8.5</v>
      </c>
      <c r="AX19" s="551">
        <f t="shared" si="46"/>
        <v>7439</v>
      </c>
      <c r="AY19" s="551">
        <f t="shared" si="47"/>
        <v>7931</v>
      </c>
      <c r="AZ19" s="753">
        <f t="shared" si="48"/>
        <v>6.6</v>
      </c>
      <c r="BA19" s="484">
        <v>87176</v>
      </c>
      <c r="BB19" s="414">
        <v>80903</v>
      </c>
      <c r="BC19" s="911">
        <f t="shared" si="49"/>
        <v>-7.2</v>
      </c>
      <c r="BD19" s="551">
        <f t="shared" si="50"/>
        <v>12692</v>
      </c>
      <c r="BE19" s="551">
        <f t="shared" si="50"/>
        <v>8606</v>
      </c>
      <c r="BF19" s="753">
        <f t="shared" si="51"/>
        <v>-32.200000000000003</v>
      </c>
      <c r="BG19" s="484">
        <v>99868</v>
      </c>
      <c r="BH19" s="414">
        <v>89509</v>
      </c>
      <c r="BI19" s="911">
        <f t="shared" si="52"/>
        <v>-10.4</v>
      </c>
      <c r="BJ19" s="551">
        <f t="shared" si="53"/>
        <v>11907</v>
      </c>
      <c r="BK19" s="551">
        <f t="shared" si="53"/>
        <v>8706</v>
      </c>
      <c r="BL19" s="753">
        <f t="shared" si="54"/>
        <v>-26.9</v>
      </c>
      <c r="BM19" s="484">
        <v>111775</v>
      </c>
      <c r="BN19" s="414">
        <v>98215</v>
      </c>
      <c r="BO19" s="911">
        <f t="shared" si="55"/>
        <v>-12.1</v>
      </c>
      <c r="BP19" s="551">
        <f t="shared" si="56"/>
        <v>8651</v>
      </c>
      <c r="BQ19" s="551">
        <f t="shared" si="56"/>
        <v>10915</v>
      </c>
      <c r="BR19" s="753">
        <f t="shared" si="57"/>
        <v>26.2</v>
      </c>
      <c r="BS19" s="484">
        <v>120426</v>
      </c>
      <c r="BT19" s="414">
        <v>109130</v>
      </c>
      <c r="BU19" s="911">
        <f t="shared" si="58"/>
        <v>-9.4</v>
      </c>
    </row>
    <row r="20" spans="1:73">
      <c r="A20" s="4" t="s">
        <v>110</v>
      </c>
      <c r="B20" s="43" t="s">
        <v>363</v>
      </c>
      <c r="C20" s="188">
        <v>29385</v>
      </c>
      <c r="D20" s="188">
        <v>28969</v>
      </c>
      <c r="E20" s="188">
        <v>34965</v>
      </c>
      <c r="F20" s="188">
        <v>52152</v>
      </c>
      <c r="G20" s="188">
        <v>92497</v>
      </c>
      <c r="H20" s="188">
        <v>96912</v>
      </c>
      <c r="I20" s="188">
        <v>90055</v>
      </c>
      <c r="J20" s="44">
        <v>64776</v>
      </c>
      <c r="K20" s="323">
        <v>7231</v>
      </c>
      <c r="L20" s="414">
        <v>3822</v>
      </c>
      <c r="M20" s="242">
        <f>ROUND(((L20/K20-1)*100), 1)</f>
        <v>-47.1</v>
      </c>
      <c r="N20" s="323">
        <f t="shared" si="26"/>
        <v>3490</v>
      </c>
      <c r="O20" s="323">
        <f t="shared" si="27"/>
        <v>4755</v>
      </c>
      <c r="P20" s="242">
        <f>ROUND(((O20/N20-1)*100), 1)</f>
        <v>36.200000000000003</v>
      </c>
      <c r="Q20" s="323">
        <v>10721</v>
      </c>
      <c r="R20" s="414">
        <v>8577</v>
      </c>
      <c r="S20" s="242">
        <f>ROUND(((R20/Q20-1)*100), 1)</f>
        <v>-20</v>
      </c>
      <c r="T20" s="323">
        <f t="shared" si="28"/>
        <v>7126</v>
      </c>
      <c r="U20" s="323">
        <f t="shared" si="29"/>
        <v>5556</v>
      </c>
      <c r="V20" s="242">
        <f t="shared" si="30"/>
        <v>-22</v>
      </c>
      <c r="W20" s="323">
        <v>17847</v>
      </c>
      <c r="X20" s="414">
        <v>14133</v>
      </c>
      <c r="Y20" s="242">
        <f t="shared" si="31"/>
        <v>-20.8</v>
      </c>
      <c r="Z20" s="323">
        <f t="shared" si="32"/>
        <v>5146</v>
      </c>
      <c r="AA20" s="323">
        <f t="shared" si="33"/>
        <v>8050</v>
      </c>
      <c r="AB20" s="242">
        <f t="shared" si="34"/>
        <v>56.4</v>
      </c>
      <c r="AC20" s="323">
        <v>22993</v>
      </c>
      <c r="AD20" s="414">
        <v>22183</v>
      </c>
      <c r="AE20" s="242">
        <f t="shared" si="35"/>
        <v>-3.5</v>
      </c>
      <c r="AF20" s="323">
        <f t="shared" si="36"/>
        <v>4410</v>
      </c>
      <c r="AG20" s="323">
        <f t="shared" si="36"/>
        <v>5693</v>
      </c>
      <c r="AH20" s="242">
        <f t="shared" si="37"/>
        <v>29.1</v>
      </c>
      <c r="AI20" s="323">
        <v>27403</v>
      </c>
      <c r="AJ20" s="414">
        <v>27876</v>
      </c>
      <c r="AK20" s="242">
        <f t="shared" si="38"/>
        <v>1.7</v>
      </c>
      <c r="AL20" s="323">
        <f t="shared" si="39"/>
        <v>5932</v>
      </c>
      <c r="AM20" s="323">
        <f t="shared" si="40"/>
        <v>5302</v>
      </c>
      <c r="AN20" s="242">
        <f t="shared" si="41"/>
        <v>-10.6</v>
      </c>
      <c r="AO20" s="484">
        <v>33335</v>
      </c>
      <c r="AP20" s="414">
        <v>33178</v>
      </c>
      <c r="AQ20" s="911">
        <f t="shared" si="42"/>
        <v>-0.5</v>
      </c>
      <c r="AR20" s="551">
        <f t="shared" si="43"/>
        <v>6200</v>
      </c>
      <c r="AS20" s="551">
        <f t="shared" si="43"/>
        <v>5906</v>
      </c>
      <c r="AT20" s="753">
        <f t="shared" si="44"/>
        <v>-4.7</v>
      </c>
      <c r="AU20" s="953">
        <v>39535</v>
      </c>
      <c r="AV20" s="952">
        <v>39084</v>
      </c>
      <c r="AW20" s="911">
        <f t="shared" si="45"/>
        <v>-1.1000000000000001</v>
      </c>
      <c r="AX20" s="551">
        <f t="shared" si="46"/>
        <v>6119</v>
      </c>
      <c r="AY20" s="551">
        <f t="shared" si="47"/>
        <v>5356</v>
      </c>
      <c r="AZ20" s="753">
        <f t="shared" si="48"/>
        <v>-12.5</v>
      </c>
      <c r="BA20" s="484">
        <v>45654</v>
      </c>
      <c r="BB20" s="414">
        <v>44440</v>
      </c>
      <c r="BC20" s="911">
        <f t="shared" si="49"/>
        <v>-2.7</v>
      </c>
      <c r="BD20" s="551">
        <f t="shared" si="50"/>
        <v>4428</v>
      </c>
      <c r="BE20" s="551">
        <f t="shared" si="50"/>
        <v>6635</v>
      </c>
      <c r="BF20" s="753">
        <f t="shared" si="51"/>
        <v>49.8</v>
      </c>
      <c r="BG20" s="484">
        <v>50082</v>
      </c>
      <c r="BH20" s="414">
        <v>51075</v>
      </c>
      <c r="BI20" s="911">
        <f t="shared" si="52"/>
        <v>2</v>
      </c>
      <c r="BJ20" s="551">
        <f t="shared" si="53"/>
        <v>3312</v>
      </c>
      <c r="BK20" s="551">
        <f t="shared" si="53"/>
        <v>4932</v>
      </c>
      <c r="BL20" s="753">
        <f t="shared" si="54"/>
        <v>48.9</v>
      </c>
      <c r="BM20" s="484">
        <v>53394</v>
      </c>
      <c r="BN20" s="414">
        <v>56007</v>
      </c>
      <c r="BO20" s="911">
        <f t="shared" si="55"/>
        <v>4.9000000000000004</v>
      </c>
      <c r="BP20" s="551">
        <f t="shared" si="56"/>
        <v>6603</v>
      </c>
      <c r="BQ20" s="551">
        <f t="shared" si="56"/>
        <v>7377</v>
      </c>
      <c r="BR20" s="753">
        <f t="shared" si="57"/>
        <v>11.7</v>
      </c>
      <c r="BS20" s="484">
        <v>59997</v>
      </c>
      <c r="BT20" s="414">
        <v>63384</v>
      </c>
      <c r="BU20" s="911">
        <f t="shared" si="58"/>
        <v>5.6</v>
      </c>
    </row>
    <row r="21" spans="1:73">
      <c r="A21" s="4"/>
      <c r="B21" s="43" t="s">
        <v>364</v>
      </c>
      <c r="C21" s="188">
        <v>1643</v>
      </c>
      <c r="D21" s="188">
        <v>1102</v>
      </c>
      <c r="E21" s="188">
        <v>4086</v>
      </c>
      <c r="F21" s="188">
        <v>1154</v>
      </c>
      <c r="G21" s="188">
        <v>14169</v>
      </c>
      <c r="H21" s="188">
        <v>3544</v>
      </c>
      <c r="I21" s="188">
        <v>10882</v>
      </c>
      <c r="J21" s="44">
        <v>14787</v>
      </c>
      <c r="K21" s="323">
        <v>3491</v>
      </c>
      <c r="L21" s="414">
        <v>803</v>
      </c>
      <c r="M21" s="242">
        <f>ROUND(((L21/K21-1)*100), 1)</f>
        <v>-77</v>
      </c>
      <c r="N21" s="323">
        <f t="shared" si="26"/>
        <v>900</v>
      </c>
      <c r="O21" s="323">
        <f t="shared" si="27"/>
        <v>778</v>
      </c>
      <c r="P21" s="242">
        <f>ROUND(((O21/N21-1)*100), 1)</f>
        <v>-13.6</v>
      </c>
      <c r="Q21" s="323">
        <v>4391</v>
      </c>
      <c r="R21" s="414">
        <v>1581</v>
      </c>
      <c r="S21" s="242">
        <f>ROUND(((R21/Q21-1)*100), 1)</f>
        <v>-64</v>
      </c>
      <c r="T21" s="323">
        <f t="shared" si="28"/>
        <v>987</v>
      </c>
      <c r="U21" s="323">
        <f t="shared" si="29"/>
        <v>1841</v>
      </c>
      <c r="V21" s="242">
        <f t="shared" si="30"/>
        <v>86.5</v>
      </c>
      <c r="W21" s="323">
        <v>5378</v>
      </c>
      <c r="X21" s="414">
        <v>3422</v>
      </c>
      <c r="Y21" s="242">
        <f t="shared" si="31"/>
        <v>-36.4</v>
      </c>
      <c r="Z21" s="323">
        <f t="shared" si="32"/>
        <v>869</v>
      </c>
      <c r="AA21" s="323">
        <f t="shared" si="33"/>
        <v>470</v>
      </c>
      <c r="AB21" s="242">
        <f t="shared" si="34"/>
        <v>-45.9</v>
      </c>
      <c r="AC21" s="323">
        <v>6247</v>
      </c>
      <c r="AD21" s="414">
        <v>3892</v>
      </c>
      <c r="AE21" s="242">
        <f t="shared" si="35"/>
        <v>-37.700000000000003</v>
      </c>
      <c r="AF21" s="323">
        <f t="shared" si="36"/>
        <v>644</v>
      </c>
      <c r="AG21" s="323">
        <f t="shared" si="36"/>
        <v>621</v>
      </c>
      <c r="AH21" s="242">
        <f t="shared" si="37"/>
        <v>-3.6</v>
      </c>
      <c r="AI21" s="323">
        <v>6891</v>
      </c>
      <c r="AJ21" s="414">
        <v>4513</v>
      </c>
      <c r="AK21" s="242">
        <f t="shared" si="38"/>
        <v>-34.5</v>
      </c>
      <c r="AL21" s="323">
        <f t="shared" si="39"/>
        <v>1683</v>
      </c>
      <c r="AM21" s="323">
        <f t="shared" si="40"/>
        <v>2172</v>
      </c>
      <c r="AN21" s="242">
        <f t="shared" si="41"/>
        <v>29.1</v>
      </c>
      <c r="AO21" s="484">
        <v>8574</v>
      </c>
      <c r="AP21" s="414">
        <v>6685</v>
      </c>
      <c r="AQ21" s="911">
        <f t="shared" si="42"/>
        <v>-22</v>
      </c>
      <c r="AR21" s="551">
        <f t="shared" si="43"/>
        <v>2254</v>
      </c>
      <c r="AS21" s="551">
        <f t="shared" si="43"/>
        <v>673</v>
      </c>
      <c r="AT21" s="753">
        <f t="shared" si="44"/>
        <v>-70.099999999999994</v>
      </c>
      <c r="AU21" s="953">
        <v>10828</v>
      </c>
      <c r="AV21" s="952">
        <v>7358</v>
      </c>
      <c r="AW21" s="911">
        <f t="shared" si="45"/>
        <v>-32</v>
      </c>
      <c r="AX21" s="551">
        <f t="shared" si="46"/>
        <v>832</v>
      </c>
      <c r="AY21" s="551">
        <f t="shared" si="47"/>
        <v>721</v>
      </c>
      <c r="AZ21" s="753">
        <f t="shared" si="48"/>
        <v>-13.3</v>
      </c>
      <c r="BA21" s="484">
        <v>11660</v>
      </c>
      <c r="BB21" s="414">
        <v>8079</v>
      </c>
      <c r="BC21" s="911">
        <f t="shared" si="49"/>
        <v>-30.7</v>
      </c>
      <c r="BD21" s="551">
        <f t="shared" si="50"/>
        <v>1227</v>
      </c>
      <c r="BE21" s="551">
        <f t="shared" si="50"/>
        <v>450</v>
      </c>
      <c r="BF21" s="753">
        <f t="shared" si="51"/>
        <v>-63.3</v>
      </c>
      <c r="BG21" s="484">
        <v>12887</v>
      </c>
      <c r="BH21" s="414">
        <v>8529</v>
      </c>
      <c r="BI21" s="911">
        <f t="shared" si="52"/>
        <v>-33.799999999999997</v>
      </c>
      <c r="BJ21" s="551">
        <f t="shared" si="53"/>
        <v>399</v>
      </c>
      <c r="BK21" s="551">
        <f t="shared" si="53"/>
        <v>518</v>
      </c>
      <c r="BL21" s="753">
        <f t="shared" si="54"/>
        <v>29.8</v>
      </c>
      <c r="BM21" s="484">
        <v>13286</v>
      </c>
      <c r="BN21" s="414">
        <v>9047</v>
      </c>
      <c r="BO21" s="911">
        <f t="shared" si="55"/>
        <v>-31.9</v>
      </c>
      <c r="BP21" s="551">
        <f t="shared" si="56"/>
        <v>698</v>
      </c>
      <c r="BQ21" s="551">
        <f t="shared" si="56"/>
        <v>0</v>
      </c>
      <c r="BR21" s="753">
        <f t="shared" si="57"/>
        <v>-100</v>
      </c>
      <c r="BS21" s="484">
        <v>13984</v>
      </c>
      <c r="BT21" s="414">
        <v>9047</v>
      </c>
      <c r="BU21" s="911">
        <f t="shared" si="58"/>
        <v>-35.299999999999997</v>
      </c>
    </row>
    <row r="22" spans="1:73">
      <c r="A22" s="4"/>
      <c r="B22" s="43" t="s">
        <v>365</v>
      </c>
      <c r="C22" s="188">
        <v>9189</v>
      </c>
      <c r="D22" s="188">
        <v>40419</v>
      </c>
      <c r="E22" s="188">
        <v>17505</v>
      </c>
      <c r="F22" s="188">
        <v>34734</v>
      </c>
      <c r="G22" s="188">
        <v>32062</v>
      </c>
      <c r="H22" s="188">
        <v>17126</v>
      </c>
      <c r="I22" s="188">
        <v>10205</v>
      </c>
      <c r="J22" s="44">
        <v>12888</v>
      </c>
      <c r="K22" s="323">
        <v>748</v>
      </c>
      <c r="L22" s="414">
        <v>1719</v>
      </c>
      <c r="M22" s="242">
        <f>ROUND(((L22/K22-1)*100), 1)</f>
        <v>129.80000000000001</v>
      </c>
      <c r="N22" s="323">
        <f t="shared" si="26"/>
        <v>1216</v>
      </c>
      <c r="O22" s="323">
        <f t="shared" si="27"/>
        <v>298</v>
      </c>
      <c r="P22" s="242">
        <f>ROUND(((O22/N22-1)*100), 1)</f>
        <v>-75.5</v>
      </c>
      <c r="Q22" s="323">
        <v>1964</v>
      </c>
      <c r="R22" s="414">
        <v>2017</v>
      </c>
      <c r="S22" s="242">
        <f>ROUND(((R22/Q22-1)*100), 1)</f>
        <v>2.7</v>
      </c>
      <c r="T22" s="323">
        <f t="shared" si="28"/>
        <v>2762</v>
      </c>
      <c r="U22" s="323">
        <f t="shared" si="29"/>
        <v>99</v>
      </c>
      <c r="V22" s="242">
        <f t="shared" si="30"/>
        <v>-96.4</v>
      </c>
      <c r="W22" s="323">
        <v>4726</v>
      </c>
      <c r="X22" s="414">
        <v>2116</v>
      </c>
      <c r="Y22" s="242">
        <f t="shared" si="31"/>
        <v>-55.2</v>
      </c>
      <c r="Z22" s="323">
        <f t="shared" si="32"/>
        <v>794</v>
      </c>
      <c r="AA22" s="323">
        <f t="shared" si="33"/>
        <v>0</v>
      </c>
      <c r="AB22" s="242">
        <f t="shared" si="34"/>
        <v>-100</v>
      </c>
      <c r="AC22" s="323">
        <v>5520</v>
      </c>
      <c r="AD22" s="414">
        <v>2116</v>
      </c>
      <c r="AE22" s="242">
        <f t="shared" si="35"/>
        <v>-61.7</v>
      </c>
      <c r="AF22" s="323">
        <f t="shared" si="36"/>
        <v>1893</v>
      </c>
      <c r="AG22" s="323">
        <f t="shared" si="36"/>
        <v>877</v>
      </c>
      <c r="AH22" s="242">
        <f t="shared" si="37"/>
        <v>-53.7</v>
      </c>
      <c r="AI22" s="323">
        <v>7413</v>
      </c>
      <c r="AJ22" s="414">
        <v>2993</v>
      </c>
      <c r="AK22" s="242">
        <f t="shared" si="38"/>
        <v>-59.6</v>
      </c>
      <c r="AL22" s="323">
        <f t="shared" si="39"/>
        <v>467</v>
      </c>
      <c r="AM22" s="323">
        <f t="shared" si="40"/>
        <v>853</v>
      </c>
      <c r="AN22" s="242">
        <f t="shared" si="41"/>
        <v>82.7</v>
      </c>
      <c r="AO22" s="484">
        <v>7880</v>
      </c>
      <c r="AP22" s="414">
        <v>3846</v>
      </c>
      <c r="AQ22" s="911">
        <f t="shared" si="42"/>
        <v>-51.2</v>
      </c>
      <c r="AR22" s="551">
        <f t="shared" si="43"/>
        <v>697</v>
      </c>
      <c r="AS22" s="551">
        <f t="shared" si="43"/>
        <v>1247</v>
      </c>
      <c r="AT22" s="753">
        <f t="shared" si="44"/>
        <v>78.900000000000006</v>
      </c>
      <c r="AU22" s="953">
        <v>8577</v>
      </c>
      <c r="AV22" s="952">
        <v>5093</v>
      </c>
      <c r="AW22" s="911">
        <f t="shared" si="45"/>
        <v>-40.6</v>
      </c>
      <c r="AX22" s="551">
        <f t="shared" si="46"/>
        <v>1092</v>
      </c>
      <c r="AY22" s="551">
        <f t="shared" si="47"/>
        <v>125</v>
      </c>
      <c r="AZ22" s="753">
        <f t="shared" si="48"/>
        <v>-88.6</v>
      </c>
      <c r="BA22" s="484">
        <v>9669</v>
      </c>
      <c r="BB22" s="414">
        <v>5218</v>
      </c>
      <c r="BC22" s="911">
        <f t="shared" si="49"/>
        <v>-46</v>
      </c>
      <c r="BD22" s="551">
        <f t="shared" si="50"/>
        <v>693</v>
      </c>
      <c r="BE22" s="551">
        <f t="shared" si="50"/>
        <v>303</v>
      </c>
      <c r="BF22" s="753">
        <f t="shared" si="51"/>
        <v>-56.3</v>
      </c>
      <c r="BG22" s="484">
        <v>10362</v>
      </c>
      <c r="BH22" s="414">
        <v>5521</v>
      </c>
      <c r="BI22" s="911">
        <f t="shared" si="52"/>
        <v>-46.7</v>
      </c>
      <c r="BJ22" s="551">
        <f t="shared" si="53"/>
        <v>838</v>
      </c>
      <c r="BK22" s="551">
        <f t="shared" si="53"/>
        <v>5587</v>
      </c>
      <c r="BL22" s="753">
        <f t="shared" si="54"/>
        <v>566.70000000000005</v>
      </c>
      <c r="BM22" s="484">
        <v>11200</v>
      </c>
      <c r="BN22" s="414">
        <v>11108</v>
      </c>
      <c r="BO22" s="911">
        <f t="shared" si="55"/>
        <v>-0.8</v>
      </c>
      <c r="BP22" s="551">
        <f t="shared" si="56"/>
        <v>700</v>
      </c>
      <c r="BQ22" s="551">
        <f t="shared" si="56"/>
        <v>1249</v>
      </c>
      <c r="BR22" s="753">
        <f t="shared" si="57"/>
        <v>78.400000000000006</v>
      </c>
      <c r="BS22" s="484">
        <v>11900</v>
      </c>
      <c r="BT22" s="414">
        <v>12357</v>
      </c>
      <c r="BU22" s="911">
        <f t="shared" si="58"/>
        <v>3.8</v>
      </c>
    </row>
    <row r="23" spans="1:73">
      <c r="A23" s="4"/>
      <c r="B23" s="43" t="s">
        <v>367</v>
      </c>
      <c r="C23" s="188">
        <v>79</v>
      </c>
      <c r="D23" s="188">
        <v>41</v>
      </c>
      <c r="E23" s="188">
        <v>658</v>
      </c>
      <c r="F23" s="188">
        <v>915</v>
      </c>
      <c r="G23" s="188">
        <v>0</v>
      </c>
      <c r="H23" s="188">
        <v>2691</v>
      </c>
      <c r="I23" s="188">
        <v>1348</v>
      </c>
      <c r="J23" s="44">
        <v>3387</v>
      </c>
      <c r="K23" s="323">
        <v>0</v>
      </c>
      <c r="L23" s="414">
        <v>307</v>
      </c>
      <c r="M23" s="177">
        <v>0</v>
      </c>
      <c r="N23" s="323">
        <f t="shared" si="26"/>
        <v>0</v>
      </c>
      <c r="O23" s="323">
        <f t="shared" si="27"/>
        <v>103</v>
      </c>
      <c r="P23" s="177">
        <v>0</v>
      </c>
      <c r="Q23" s="323">
        <v>0</v>
      </c>
      <c r="R23" s="414">
        <v>410</v>
      </c>
      <c r="S23" s="177">
        <v>0</v>
      </c>
      <c r="T23" s="323">
        <f t="shared" si="28"/>
        <v>162</v>
      </c>
      <c r="U23" s="323">
        <f t="shared" si="29"/>
        <v>0</v>
      </c>
      <c r="V23" s="242">
        <f t="shared" si="30"/>
        <v>-100</v>
      </c>
      <c r="W23" s="323">
        <v>162</v>
      </c>
      <c r="X23" s="414">
        <v>410</v>
      </c>
      <c r="Y23" s="242">
        <f t="shared" si="31"/>
        <v>153.1</v>
      </c>
      <c r="Z23" s="323">
        <f t="shared" si="32"/>
        <v>135</v>
      </c>
      <c r="AA23" s="323">
        <f t="shared" si="33"/>
        <v>0</v>
      </c>
      <c r="AB23" s="242">
        <f t="shared" si="34"/>
        <v>-100</v>
      </c>
      <c r="AC23" s="323">
        <v>297</v>
      </c>
      <c r="AD23" s="414">
        <v>410</v>
      </c>
      <c r="AE23" s="242">
        <f t="shared" si="35"/>
        <v>38</v>
      </c>
      <c r="AF23" s="323">
        <f t="shared" si="36"/>
        <v>0</v>
      </c>
      <c r="AG23" s="323">
        <f t="shared" si="36"/>
        <v>500</v>
      </c>
      <c r="AH23" s="521">
        <v>0</v>
      </c>
      <c r="AI23" s="323">
        <v>297</v>
      </c>
      <c r="AJ23" s="414">
        <v>910</v>
      </c>
      <c r="AK23" s="242">
        <f t="shared" si="38"/>
        <v>206.4</v>
      </c>
      <c r="AL23" s="323">
        <f t="shared" si="39"/>
        <v>107</v>
      </c>
      <c r="AM23" s="323">
        <f t="shared" si="40"/>
        <v>519</v>
      </c>
      <c r="AN23" s="753">
        <f t="shared" si="41"/>
        <v>385</v>
      </c>
      <c r="AO23" s="484">
        <v>404</v>
      </c>
      <c r="AP23" s="414">
        <v>1429</v>
      </c>
      <c r="AQ23" s="911">
        <f t="shared" si="42"/>
        <v>253.7</v>
      </c>
      <c r="AR23" s="551">
        <f t="shared" si="43"/>
        <v>63</v>
      </c>
      <c r="AS23" s="551">
        <f t="shared" si="43"/>
        <v>321</v>
      </c>
      <c r="AT23" s="753">
        <f t="shared" si="44"/>
        <v>409.5</v>
      </c>
      <c r="AU23" s="953">
        <v>467</v>
      </c>
      <c r="AV23" s="952">
        <v>1750</v>
      </c>
      <c r="AW23" s="911">
        <f t="shared" si="45"/>
        <v>274.7</v>
      </c>
      <c r="AX23" s="551">
        <f t="shared" si="46"/>
        <v>48</v>
      </c>
      <c r="AY23" s="551">
        <f t="shared" si="47"/>
        <v>1225</v>
      </c>
      <c r="AZ23" s="753">
        <f t="shared" si="48"/>
        <v>2452.1</v>
      </c>
      <c r="BA23" s="484">
        <v>515</v>
      </c>
      <c r="BB23" s="414">
        <v>2975</v>
      </c>
      <c r="BC23" s="911">
        <f t="shared" si="49"/>
        <v>477.7</v>
      </c>
      <c r="BD23" s="551">
        <f t="shared" si="50"/>
        <v>65</v>
      </c>
      <c r="BE23" s="551">
        <f t="shared" si="50"/>
        <v>450</v>
      </c>
      <c r="BF23" s="753">
        <f t="shared" si="51"/>
        <v>592.29999999999995</v>
      </c>
      <c r="BG23" s="484">
        <v>580</v>
      </c>
      <c r="BH23" s="414">
        <v>3425</v>
      </c>
      <c r="BI23" s="911">
        <f t="shared" si="52"/>
        <v>490.5</v>
      </c>
      <c r="BJ23" s="551">
        <f t="shared" si="53"/>
        <v>0</v>
      </c>
      <c r="BK23" s="551">
        <f t="shared" si="53"/>
        <v>509</v>
      </c>
      <c r="BL23" s="753" t="e">
        <f t="shared" si="54"/>
        <v>#DIV/0!</v>
      </c>
      <c r="BM23" s="484">
        <v>580</v>
      </c>
      <c r="BN23" s="414">
        <v>3934</v>
      </c>
      <c r="BO23" s="911">
        <f t="shared" si="55"/>
        <v>578.29999999999995</v>
      </c>
      <c r="BP23" s="551">
        <f t="shared" si="56"/>
        <v>1259</v>
      </c>
      <c r="BQ23" s="551">
        <f t="shared" si="56"/>
        <v>907</v>
      </c>
      <c r="BR23" s="753">
        <f t="shared" si="57"/>
        <v>-28</v>
      </c>
      <c r="BS23" s="484">
        <v>1839</v>
      </c>
      <c r="BT23" s="414">
        <v>4841</v>
      </c>
      <c r="BU23" s="911">
        <f t="shared" si="58"/>
        <v>163.19999999999999</v>
      </c>
    </row>
    <row r="24" spans="1:73">
      <c r="A24" s="4"/>
      <c r="B24" s="43" t="s">
        <v>366</v>
      </c>
      <c r="C24" s="188">
        <v>41341</v>
      </c>
      <c r="D24" s="188">
        <v>35684</v>
      </c>
      <c r="E24" s="188">
        <v>51257</v>
      </c>
      <c r="F24" s="188">
        <v>49654</v>
      </c>
      <c r="G24" s="188">
        <v>26423</v>
      </c>
      <c r="H24" s="188">
        <v>19864</v>
      </c>
      <c r="I24" s="188">
        <v>9597</v>
      </c>
      <c r="J24" s="44">
        <v>2299</v>
      </c>
      <c r="K24" s="323">
        <v>384</v>
      </c>
      <c r="L24" s="414">
        <v>0</v>
      </c>
      <c r="M24" s="232">
        <f>ROUND(((L24/K24-1)*100), 1)</f>
        <v>-100</v>
      </c>
      <c r="N24" s="323">
        <f t="shared" si="26"/>
        <v>199</v>
      </c>
      <c r="O24" s="323">
        <f t="shared" si="27"/>
        <v>0</v>
      </c>
      <c r="P24" s="242">
        <f>ROUND(((O24/N24-1)*100), 1)</f>
        <v>-100</v>
      </c>
      <c r="Q24" s="323">
        <v>583</v>
      </c>
      <c r="R24" s="414">
        <v>0</v>
      </c>
      <c r="S24" s="242">
        <f>ROUND(((R24/Q24-1)*100), 1)</f>
        <v>-100</v>
      </c>
      <c r="T24" s="323">
        <f t="shared" si="28"/>
        <v>0</v>
      </c>
      <c r="U24" s="323">
        <f t="shared" si="29"/>
        <v>597</v>
      </c>
      <c r="V24" s="177">
        <v>0</v>
      </c>
      <c r="W24" s="323">
        <v>583</v>
      </c>
      <c r="X24" s="414">
        <v>597</v>
      </c>
      <c r="Y24" s="242">
        <f t="shared" si="31"/>
        <v>2.4</v>
      </c>
      <c r="Z24" s="323">
        <f t="shared" si="32"/>
        <v>301</v>
      </c>
      <c r="AA24" s="323">
        <f t="shared" si="33"/>
        <v>0</v>
      </c>
      <c r="AB24" s="242">
        <f>ROUND(((AA24/Z24-1)*100), 1)</f>
        <v>-100</v>
      </c>
      <c r="AC24" s="323">
        <v>884</v>
      </c>
      <c r="AD24" s="414">
        <v>597</v>
      </c>
      <c r="AE24" s="242">
        <f t="shared" si="35"/>
        <v>-32.5</v>
      </c>
      <c r="AF24" s="323">
        <f t="shared" si="36"/>
        <v>0</v>
      </c>
      <c r="AG24" s="323">
        <f t="shared" si="36"/>
        <v>83</v>
      </c>
      <c r="AH24" s="521">
        <v>0</v>
      </c>
      <c r="AI24" s="323">
        <v>884</v>
      </c>
      <c r="AJ24" s="414">
        <v>680</v>
      </c>
      <c r="AK24" s="242">
        <f t="shared" si="38"/>
        <v>-23.1</v>
      </c>
      <c r="AL24" s="323">
        <f t="shared" si="39"/>
        <v>503</v>
      </c>
      <c r="AM24" s="323">
        <f t="shared" si="40"/>
        <v>105</v>
      </c>
      <c r="AN24" s="753">
        <f t="shared" si="41"/>
        <v>-79.099999999999994</v>
      </c>
      <c r="AO24" s="484">
        <v>1387</v>
      </c>
      <c r="AP24" s="414">
        <v>785</v>
      </c>
      <c r="AQ24" s="911">
        <f t="shared" si="42"/>
        <v>-43.4</v>
      </c>
      <c r="AR24" s="551">
        <f t="shared" si="43"/>
        <v>402</v>
      </c>
      <c r="AS24" s="551">
        <f t="shared" si="43"/>
        <v>0</v>
      </c>
      <c r="AT24" s="753">
        <f t="shared" si="44"/>
        <v>-100</v>
      </c>
      <c r="AU24" s="953">
        <v>1789</v>
      </c>
      <c r="AV24" s="952">
        <v>785</v>
      </c>
      <c r="AW24" s="911">
        <f t="shared" si="45"/>
        <v>-56.1</v>
      </c>
      <c r="AX24" s="551">
        <f t="shared" si="46"/>
        <v>414</v>
      </c>
      <c r="AY24" s="551">
        <f t="shared" si="47"/>
        <v>0</v>
      </c>
      <c r="AZ24" s="753">
        <f t="shared" si="48"/>
        <v>-100</v>
      </c>
      <c r="BA24" s="484">
        <v>2203</v>
      </c>
      <c r="BB24" s="414">
        <v>785</v>
      </c>
      <c r="BC24" s="911">
        <f t="shared" si="49"/>
        <v>-64.400000000000006</v>
      </c>
      <c r="BD24" s="551">
        <f t="shared" si="50"/>
        <v>0</v>
      </c>
      <c r="BE24" s="551">
        <f t="shared" si="50"/>
        <v>0</v>
      </c>
      <c r="BF24" s="799">
        <v>0</v>
      </c>
      <c r="BG24" s="484">
        <v>2203</v>
      </c>
      <c r="BH24" s="414">
        <v>785</v>
      </c>
      <c r="BI24" s="911">
        <f t="shared" si="52"/>
        <v>-64.400000000000006</v>
      </c>
      <c r="BJ24" s="551">
        <f t="shared" si="53"/>
        <v>0</v>
      </c>
      <c r="BK24" s="551">
        <f t="shared" si="53"/>
        <v>0</v>
      </c>
      <c r="BL24" s="799">
        <v>0</v>
      </c>
      <c r="BM24" s="484">
        <v>2203</v>
      </c>
      <c r="BN24" s="414">
        <v>785</v>
      </c>
      <c r="BO24" s="911">
        <f t="shared" si="55"/>
        <v>-64.400000000000006</v>
      </c>
      <c r="BP24" s="551">
        <f t="shared" si="56"/>
        <v>0</v>
      </c>
      <c r="BQ24" s="551">
        <f t="shared" si="56"/>
        <v>52</v>
      </c>
      <c r="BR24" s="799">
        <v>0</v>
      </c>
      <c r="BS24" s="484">
        <v>2203</v>
      </c>
      <c r="BT24" s="414">
        <v>837</v>
      </c>
      <c r="BU24" s="911">
        <f t="shared" si="58"/>
        <v>-62</v>
      </c>
    </row>
    <row r="25" spans="1:73">
      <c r="A25" s="4"/>
      <c r="B25" s="43" t="s">
        <v>355</v>
      </c>
      <c r="C25" s="188">
        <v>10092</v>
      </c>
      <c r="D25" s="188">
        <v>5534</v>
      </c>
      <c r="E25" s="188">
        <v>7925</v>
      </c>
      <c r="F25" s="188">
        <v>2260</v>
      </c>
      <c r="G25" s="188">
        <v>772</v>
      </c>
      <c r="H25" s="188">
        <v>1455</v>
      </c>
      <c r="I25" s="188">
        <v>1741</v>
      </c>
      <c r="J25" s="44">
        <v>1730</v>
      </c>
      <c r="K25" s="323">
        <v>140</v>
      </c>
      <c r="L25" s="414">
        <v>108</v>
      </c>
      <c r="M25" s="232">
        <f>ROUND(((L25/K25-1)*100), 1)</f>
        <v>-22.9</v>
      </c>
      <c r="N25" s="323">
        <f t="shared" si="26"/>
        <v>170</v>
      </c>
      <c r="O25" s="323">
        <f t="shared" si="27"/>
        <v>61</v>
      </c>
      <c r="P25" s="242">
        <f>ROUND(((O25/N25-1)*100), 1)</f>
        <v>-64.099999999999994</v>
      </c>
      <c r="Q25" s="323">
        <v>310</v>
      </c>
      <c r="R25" s="414">
        <v>169</v>
      </c>
      <c r="S25" s="242">
        <f>ROUND(((R25/Q25-1)*100), 1)</f>
        <v>-45.5</v>
      </c>
      <c r="T25" s="323">
        <f t="shared" si="28"/>
        <v>351</v>
      </c>
      <c r="U25" s="323">
        <f t="shared" si="29"/>
        <v>127</v>
      </c>
      <c r="V25" s="242">
        <f t="shared" si="30"/>
        <v>-63.8</v>
      </c>
      <c r="W25" s="323">
        <v>661</v>
      </c>
      <c r="X25" s="414">
        <v>296</v>
      </c>
      <c r="Y25" s="242">
        <f t="shared" si="31"/>
        <v>-55.2</v>
      </c>
      <c r="Z25" s="323">
        <f t="shared" si="32"/>
        <v>120</v>
      </c>
      <c r="AA25" s="323">
        <f t="shared" si="33"/>
        <v>81</v>
      </c>
      <c r="AB25" s="242">
        <f t="shared" ref="AB25" si="59">ROUND(((AA25/Z25-1)*100), 1)</f>
        <v>-32.5</v>
      </c>
      <c r="AC25" s="323">
        <v>781</v>
      </c>
      <c r="AD25" s="414">
        <v>377</v>
      </c>
      <c r="AE25" s="242">
        <f t="shared" si="35"/>
        <v>-51.7</v>
      </c>
      <c r="AF25" s="323">
        <f t="shared" si="36"/>
        <v>123</v>
      </c>
      <c r="AG25" s="323">
        <f t="shared" si="36"/>
        <v>104</v>
      </c>
      <c r="AH25" s="242">
        <f t="shared" ref="AH25" si="60">ROUND(((AG25/AF25-1)*100), 1)</f>
        <v>-15.4</v>
      </c>
      <c r="AI25" s="323">
        <v>904</v>
      </c>
      <c r="AJ25" s="414">
        <v>481</v>
      </c>
      <c r="AK25" s="242">
        <f t="shared" si="38"/>
        <v>-46.8</v>
      </c>
      <c r="AL25" s="323">
        <f t="shared" si="39"/>
        <v>101</v>
      </c>
      <c r="AM25" s="323">
        <f t="shared" si="40"/>
        <v>80</v>
      </c>
      <c r="AN25" s="242">
        <f t="shared" ref="AN25" si="61">ROUND(((AM25/AL25-1)*100), 1)</f>
        <v>-20.8</v>
      </c>
      <c r="AO25" s="484">
        <v>1005</v>
      </c>
      <c r="AP25" s="551">
        <v>561</v>
      </c>
      <c r="AQ25" s="242">
        <f t="shared" si="42"/>
        <v>-44.2</v>
      </c>
      <c r="AR25" s="551">
        <f t="shared" si="43"/>
        <v>106</v>
      </c>
      <c r="AS25" s="551">
        <f t="shared" si="43"/>
        <v>41</v>
      </c>
      <c r="AT25" s="753">
        <f t="shared" si="44"/>
        <v>-61.3</v>
      </c>
      <c r="AU25" s="953">
        <v>1111</v>
      </c>
      <c r="AV25" s="952">
        <v>602</v>
      </c>
      <c r="AW25" s="753">
        <f t="shared" si="45"/>
        <v>-45.8</v>
      </c>
      <c r="AX25" s="551">
        <f t="shared" si="46"/>
        <v>104</v>
      </c>
      <c r="AY25" s="551">
        <f t="shared" si="47"/>
        <v>47</v>
      </c>
      <c r="AZ25" s="753">
        <f t="shared" si="48"/>
        <v>-54.8</v>
      </c>
      <c r="BA25" s="484">
        <v>1215</v>
      </c>
      <c r="BB25" s="414">
        <v>649</v>
      </c>
      <c r="BC25" s="753">
        <f t="shared" si="49"/>
        <v>-46.6</v>
      </c>
      <c r="BD25" s="551">
        <f t="shared" si="50"/>
        <v>158</v>
      </c>
      <c r="BE25" s="551">
        <f t="shared" si="50"/>
        <v>80</v>
      </c>
      <c r="BF25" s="753">
        <f t="shared" si="51"/>
        <v>-49.4</v>
      </c>
      <c r="BG25" s="484">
        <v>1373</v>
      </c>
      <c r="BH25" s="414">
        <v>729</v>
      </c>
      <c r="BI25" s="753">
        <f t="shared" si="52"/>
        <v>-46.9</v>
      </c>
      <c r="BJ25" s="551">
        <f t="shared" si="53"/>
        <v>174</v>
      </c>
      <c r="BK25" s="551">
        <f t="shared" si="53"/>
        <v>99</v>
      </c>
      <c r="BL25" s="753">
        <f t="shared" ref="BL25" si="62">ROUND(((BK25/BJ25-1)*100), 1)</f>
        <v>-43.1</v>
      </c>
      <c r="BM25" s="484">
        <v>1547</v>
      </c>
      <c r="BN25" s="414">
        <v>828</v>
      </c>
      <c r="BO25" s="753">
        <f t="shared" si="55"/>
        <v>-46.5</v>
      </c>
      <c r="BP25" s="551">
        <f t="shared" si="56"/>
        <v>79</v>
      </c>
      <c r="BQ25" s="551">
        <f t="shared" si="56"/>
        <v>123</v>
      </c>
      <c r="BR25" s="753">
        <f>ROUND(((BQ25/BP25-1)*100), 1)</f>
        <v>55.7</v>
      </c>
      <c r="BS25" s="484">
        <v>1626</v>
      </c>
      <c r="BT25" s="414">
        <v>951</v>
      </c>
      <c r="BU25" s="753">
        <f t="shared" si="58"/>
        <v>-41.5</v>
      </c>
    </row>
    <row r="26" spans="1:73">
      <c r="A26" s="4"/>
      <c r="B26" s="43" t="s">
        <v>370</v>
      </c>
      <c r="C26" s="188">
        <v>1593</v>
      </c>
      <c r="D26" s="188">
        <v>303</v>
      </c>
      <c r="E26" s="188">
        <v>195</v>
      </c>
      <c r="F26" s="188">
        <v>0</v>
      </c>
      <c r="G26" s="188">
        <v>3999</v>
      </c>
      <c r="H26" s="188">
        <v>984</v>
      </c>
      <c r="I26" s="188">
        <v>964</v>
      </c>
      <c r="J26" s="44">
        <v>659</v>
      </c>
      <c r="K26" s="323">
        <v>0</v>
      </c>
      <c r="L26" s="414">
        <v>0</v>
      </c>
      <c r="M26" s="177">
        <v>0</v>
      </c>
      <c r="N26" s="323">
        <f t="shared" si="26"/>
        <v>136</v>
      </c>
      <c r="O26" s="323">
        <f t="shared" si="27"/>
        <v>0</v>
      </c>
      <c r="P26" s="242">
        <f>ROUND(((O26/N26-1)*100), 1)</f>
        <v>-100</v>
      </c>
      <c r="Q26" s="323">
        <v>136</v>
      </c>
      <c r="R26" s="414">
        <v>0</v>
      </c>
      <c r="S26" s="242">
        <f>ROUND(((R26/Q26-1)*100), 1)</f>
        <v>-100</v>
      </c>
      <c r="T26" s="323">
        <f t="shared" si="28"/>
        <v>0</v>
      </c>
      <c r="U26" s="323">
        <f t="shared" si="29"/>
        <v>0</v>
      </c>
      <c r="V26" s="177">
        <v>0</v>
      </c>
      <c r="W26" s="323">
        <v>136</v>
      </c>
      <c r="X26" s="414">
        <v>0</v>
      </c>
      <c r="Y26" s="242">
        <f t="shared" si="31"/>
        <v>-100</v>
      </c>
      <c r="Z26" s="323">
        <f t="shared" si="32"/>
        <v>0</v>
      </c>
      <c r="AA26" s="323">
        <f t="shared" si="33"/>
        <v>0</v>
      </c>
      <c r="AB26" s="521">
        <v>0</v>
      </c>
      <c r="AC26" s="323">
        <v>136</v>
      </c>
      <c r="AD26" s="414">
        <v>0</v>
      </c>
      <c r="AE26" s="242">
        <f t="shared" si="35"/>
        <v>-100</v>
      </c>
      <c r="AF26" s="323">
        <f t="shared" si="36"/>
        <v>0</v>
      </c>
      <c r="AG26" s="323">
        <f t="shared" si="36"/>
        <v>0</v>
      </c>
      <c r="AH26" s="521">
        <v>0</v>
      </c>
      <c r="AI26" s="323">
        <v>136</v>
      </c>
      <c r="AJ26" s="414">
        <v>0</v>
      </c>
      <c r="AK26" s="242">
        <f t="shared" si="38"/>
        <v>-100</v>
      </c>
      <c r="AL26" s="323">
        <f t="shared" si="39"/>
        <v>0</v>
      </c>
      <c r="AM26" s="323">
        <f t="shared" si="40"/>
        <v>0</v>
      </c>
      <c r="AN26" s="521">
        <v>0</v>
      </c>
      <c r="AO26" s="484">
        <v>136</v>
      </c>
      <c r="AP26" s="551">
        <v>0</v>
      </c>
      <c r="AQ26" s="242">
        <f t="shared" si="42"/>
        <v>-100</v>
      </c>
      <c r="AR26" s="551">
        <f t="shared" si="43"/>
        <v>0</v>
      </c>
      <c r="AS26" s="551">
        <f t="shared" si="43"/>
        <v>0</v>
      </c>
      <c r="AT26" s="799">
        <v>0</v>
      </c>
      <c r="AU26" s="953">
        <v>136</v>
      </c>
      <c r="AV26" s="952">
        <v>0</v>
      </c>
      <c r="AW26" s="753">
        <f t="shared" si="45"/>
        <v>-100</v>
      </c>
      <c r="AX26" s="551">
        <f t="shared" si="46"/>
        <v>0</v>
      </c>
      <c r="AY26" s="551">
        <f t="shared" si="47"/>
        <v>0</v>
      </c>
      <c r="AZ26" s="799">
        <v>0</v>
      </c>
      <c r="BA26" s="484">
        <v>136</v>
      </c>
      <c r="BB26" s="414">
        <v>0</v>
      </c>
      <c r="BC26" s="753">
        <f t="shared" si="49"/>
        <v>-100</v>
      </c>
      <c r="BD26" s="551">
        <f t="shared" si="50"/>
        <v>0</v>
      </c>
      <c r="BE26" s="551">
        <f t="shared" si="50"/>
        <v>0</v>
      </c>
      <c r="BF26" s="799">
        <v>0</v>
      </c>
      <c r="BG26" s="484">
        <v>136</v>
      </c>
      <c r="BH26" s="414">
        <v>0</v>
      </c>
      <c r="BI26" s="753">
        <f t="shared" si="52"/>
        <v>-100</v>
      </c>
      <c r="BJ26" s="551">
        <f t="shared" si="53"/>
        <v>500</v>
      </c>
      <c r="BK26" s="551">
        <f t="shared" si="53"/>
        <v>0</v>
      </c>
      <c r="BL26" s="753">
        <f>ROUND(((BK26/BJ26-1)*100), 1)</f>
        <v>-100</v>
      </c>
      <c r="BM26" s="484">
        <v>636</v>
      </c>
      <c r="BN26" s="414">
        <v>0</v>
      </c>
      <c r="BO26" s="753">
        <f t="shared" si="55"/>
        <v>-100</v>
      </c>
      <c r="BP26" s="551">
        <f t="shared" si="56"/>
        <v>23</v>
      </c>
      <c r="BQ26" s="551">
        <f t="shared" si="56"/>
        <v>0</v>
      </c>
      <c r="BR26" s="753">
        <f>ROUND(((BQ26/BP26-1)*100), 1)</f>
        <v>-100</v>
      </c>
      <c r="BS26" s="484">
        <v>659</v>
      </c>
      <c r="BT26" s="414">
        <v>0</v>
      </c>
      <c r="BU26" s="753">
        <f t="shared" si="58"/>
        <v>-100</v>
      </c>
    </row>
    <row r="27" spans="1:73">
      <c r="A27" s="4"/>
      <c r="B27" s="43" t="s">
        <v>369</v>
      </c>
      <c r="C27" s="188">
        <v>503</v>
      </c>
      <c r="D27" s="188">
        <v>0</v>
      </c>
      <c r="E27" s="188">
        <v>386</v>
      </c>
      <c r="F27" s="188">
        <v>8</v>
      </c>
      <c r="G27" s="188">
        <v>0</v>
      </c>
      <c r="H27" s="188">
        <v>200</v>
      </c>
      <c r="I27" s="188">
        <v>1008</v>
      </c>
      <c r="J27" s="44">
        <v>502</v>
      </c>
      <c r="K27" s="323">
        <v>502</v>
      </c>
      <c r="L27" s="414">
        <v>0</v>
      </c>
      <c r="M27" s="242">
        <f>ROUND(((L27/K27-1)*100), 1)</f>
        <v>-100</v>
      </c>
      <c r="N27" s="323">
        <f t="shared" si="26"/>
        <v>0</v>
      </c>
      <c r="O27" s="323">
        <f t="shared" si="27"/>
        <v>0</v>
      </c>
      <c r="P27" s="242" t="e">
        <f>ROUND(((O27/N27-1)*100), 1)</f>
        <v>#DIV/0!</v>
      </c>
      <c r="Q27" s="323">
        <v>502</v>
      </c>
      <c r="R27" s="414">
        <v>0</v>
      </c>
      <c r="S27" s="242">
        <f>ROUND(((R27/Q27-1)*100), 1)</f>
        <v>-100</v>
      </c>
      <c r="T27" s="323">
        <f t="shared" si="28"/>
        <v>0</v>
      </c>
      <c r="U27" s="323">
        <f t="shared" si="29"/>
        <v>806</v>
      </c>
      <c r="V27" s="177">
        <v>0</v>
      </c>
      <c r="W27" s="323">
        <v>502</v>
      </c>
      <c r="X27" s="414">
        <v>806</v>
      </c>
      <c r="Y27" s="242">
        <f t="shared" si="31"/>
        <v>60.6</v>
      </c>
      <c r="Z27" s="323">
        <f t="shared" si="32"/>
        <v>0</v>
      </c>
      <c r="AA27" s="323">
        <f t="shared" si="33"/>
        <v>0</v>
      </c>
      <c r="AB27" s="521">
        <v>0</v>
      </c>
      <c r="AC27" s="323">
        <v>502</v>
      </c>
      <c r="AD27" s="414">
        <v>806</v>
      </c>
      <c r="AE27" s="242">
        <f t="shared" si="35"/>
        <v>60.6</v>
      </c>
      <c r="AF27" s="323">
        <f t="shared" si="36"/>
        <v>0</v>
      </c>
      <c r="AG27" s="323">
        <f t="shared" si="36"/>
        <v>0</v>
      </c>
      <c r="AH27" s="521">
        <v>0</v>
      </c>
      <c r="AI27" s="323">
        <v>502</v>
      </c>
      <c r="AJ27" s="414">
        <v>806</v>
      </c>
      <c r="AK27" s="242">
        <f t="shared" si="38"/>
        <v>60.6</v>
      </c>
      <c r="AL27" s="323">
        <f t="shared" si="39"/>
        <v>0</v>
      </c>
      <c r="AM27" s="323">
        <f t="shared" si="40"/>
        <v>0</v>
      </c>
      <c r="AN27" s="521">
        <v>0</v>
      </c>
      <c r="AO27" s="484">
        <v>502</v>
      </c>
      <c r="AP27" s="551">
        <v>806</v>
      </c>
      <c r="AQ27" s="242">
        <f t="shared" si="42"/>
        <v>60.6</v>
      </c>
      <c r="AR27" s="551">
        <f t="shared" si="43"/>
        <v>0</v>
      </c>
      <c r="AS27" s="551">
        <f t="shared" si="43"/>
        <v>0</v>
      </c>
      <c r="AT27" s="799">
        <v>0</v>
      </c>
      <c r="AU27" s="953">
        <v>502</v>
      </c>
      <c r="AV27" s="952">
        <v>806</v>
      </c>
      <c r="AW27" s="753">
        <f t="shared" si="45"/>
        <v>60.6</v>
      </c>
      <c r="AX27" s="551">
        <f t="shared" si="46"/>
        <v>0</v>
      </c>
      <c r="AY27" s="551">
        <f t="shared" si="47"/>
        <v>0</v>
      </c>
      <c r="AZ27" s="799">
        <v>0</v>
      </c>
      <c r="BA27" s="484">
        <v>502</v>
      </c>
      <c r="BB27" s="414">
        <v>806</v>
      </c>
      <c r="BC27" s="753">
        <f t="shared" si="49"/>
        <v>60.6</v>
      </c>
      <c r="BD27" s="551">
        <f t="shared" si="50"/>
        <v>0</v>
      </c>
      <c r="BE27" s="551">
        <f t="shared" si="50"/>
        <v>0</v>
      </c>
      <c r="BF27" s="799">
        <v>0</v>
      </c>
      <c r="BG27" s="484">
        <v>502</v>
      </c>
      <c r="BH27" s="414">
        <v>806</v>
      </c>
      <c r="BI27" s="753">
        <f t="shared" si="52"/>
        <v>60.6</v>
      </c>
      <c r="BJ27" s="551">
        <f t="shared" si="53"/>
        <v>0</v>
      </c>
      <c r="BK27" s="551">
        <f t="shared" si="53"/>
        <v>0</v>
      </c>
      <c r="BL27" s="799">
        <v>0</v>
      </c>
      <c r="BM27" s="484">
        <v>502</v>
      </c>
      <c r="BN27" s="414">
        <v>806</v>
      </c>
      <c r="BO27" s="753">
        <f t="shared" si="55"/>
        <v>60.6</v>
      </c>
      <c r="BP27" s="551">
        <f t="shared" si="56"/>
        <v>0</v>
      </c>
      <c r="BQ27" s="551">
        <f t="shared" si="56"/>
        <v>0</v>
      </c>
      <c r="BR27" s="799">
        <v>0</v>
      </c>
      <c r="BS27" s="484">
        <v>502</v>
      </c>
      <c r="BT27" s="414">
        <v>806</v>
      </c>
      <c r="BU27" s="753">
        <f t="shared" si="58"/>
        <v>60.6</v>
      </c>
    </row>
    <row r="28" spans="1:73">
      <c r="A28" s="4"/>
      <c r="B28" s="43" t="s">
        <v>359</v>
      </c>
      <c r="C28" s="188">
        <v>0</v>
      </c>
      <c r="D28" s="188">
        <v>0</v>
      </c>
      <c r="E28" s="188">
        <v>6200</v>
      </c>
      <c r="F28" s="188">
        <v>800</v>
      </c>
      <c r="G28" s="188">
        <v>408</v>
      </c>
      <c r="H28" s="188">
        <v>960</v>
      </c>
      <c r="I28" s="188">
        <v>1735</v>
      </c>
      <c r="J28" s="44">
        <v>408</v>
      </c>
      <c r="K28" s="323">
        <v>0</v>
      </c>
      <c r="L28" s="414">
        <v>0</v>
      </c>
      <c r="M28" s="177">
        <v>0</v>
      </c>
      <c r="N28" s="323">
        <f t="shared" si="26"/>
        <v>102</v>
      </c>
      <c r="O28" s="323">
        <f t="shared" si="27"/>
        <v>102</v>
      </c>
      <c r="P28" s="242">
        <f>ROUND(((O28/N28-1)*100), 1)</f>
        <v>0</v>
      </c>
      <c r="Q28" s="323">
        <v>102</v>
      </c>
      <c r="R28" s="414">
        <v>102</v>
      </c>
      <c r="S28" s="242">
        <f>ROUND(((R28/Q28-1)*100), 1)</f>
        <v>0</v>
      </c>
      <c r="T28" s="323">
        <f t="shared" si="28"/>
        <v>0</v>
      </c>
      <c r="U28" s="323">
        <f t="shared" si="29"/>
        <v>101</v>
      </c>
      <c r="V28" s="177">
        <v>0</v>
      </c>
      <c r="W28" s="323">
        <v>102</v>
      </c>
      <c r="X28" s="414">
        <v>203</v>
      </c>
      <c r="Y28" s="242">
        <f t="shared" si="31"/>
        <v>99</v>
      </c>
      <c r="Z28" s="323">
        <f t="shared" si="32"/>
        <v>0</v>
      </c>
      <c r="AA28" s="323">
        <f t="shared" si="33"/>
        <v>0</v>
      </c>
      <c r="AB28" s="521">
        <v>0</v>
      </c>
      <c r="AC28" s="323">
        <v>102</v>
      </c>
      <c r="AD28" s="414">
        <v>203</v>
      </c>
      <c r="AE28" s="242">
        <f t="shared" si="35"/>
        <v>99</v>
      </c>
      <c r="AF28" s="323">
        <f t="shared" si="36"/>
        <v>0</v>
      </c>
      <c r="AG28" s="323">
        <f t="shared" si="36"/>
        <v>102</v>
      </c>
      <c r="AH28" s="521">
        <v>0</v>
      </c>
      <c r="AI28" s="323">
        <v>102</v>
      </c>
      <c r="AJ28" s="414">
        <v>305</v>
      </c>
      <c r="AK28" s="242">
        <f t="shared" si="38"/>
        <v>199</v>
      </c>
      <c r="AL28" s="323">
        <f t="shared" si="39"/>
        <v>0</v>
      </c>
      <c r="AM28" s="323">
        <f t="shared" si="40"/>
        <v>102</v>
      </c>
      <c r="AN28" s="521">
        <v>0</v>
      </c>
      <c r="AO28" s="484">
        <v>102</v>
      </c>
      <c r="AP28" s="551">
        <v>407</v>
      </c>
      <c r="AQ28" s="242">
        <f t="shared" si="42"/>
        <v>299</v>
      </c>
      <c r="AR28" s="551">
        <f t="shared" si="43"/>
        <v>0</v>
      </c>
      <c r="AS28" s="551">
        <f t="shared" si="43"/>
        <v>102</v>
      </c>
      <c r="AT28" s="799">
        <v>0</v>
      </c>
      <c r="AU28" s="953">
        <v>102</v>
      </c>
      <c r="AV28" s="952">
        <v>509</v>
      </c>
      <c r="AW28" s="753">
        <f t="shared" si="45"/>
        <v>399</v>
      </c>
      <c r="AX28" s="551">
        <f t="shared" si="46"/>
        <v>0</v>
      </c>
      <c r="AY28" s="551">
        <f t="shared" si="47"/>
        <v>0</v>
      </c>
      <c r="AZ28" s="799">
        <v>0</v>
      </c>
      <c r="BA28" s="484">
        <v>102</v>
      </c>
      <c r="BB28" s="414">
        <v>509</v>
      </c>
      <c r="BC28" s="753">
        <f t="shared" si="49"/>
        <v>399</v>
      </c>
      <c r="BD28" s="551">
        <f t="shared" si="50"/>
        <v>0</v>
      </c>
      <c r="BE28" s="551">
        <f t="shared" si="50"/>
        <v>0</v>
      </c>
      <c r="BF28" s="799">
        <v>0</v>
      </c>
      <c r="BG28" s="484">
        <v>102</v>
      </c>
      <c r="BH28" s="414">
        <v>509</v>
      </c>
      <c r="BI28" s="753">
        <f t="shared" si="52"/>
        <v>399</v>
      </c>
      <c r="BJ28" s="551">
        <f t="shared" si="53"/>
        <v>0</v>
      </c>
      <c r="BK28" s="551">
        <f t="shared" si="53"/>
        <v>550</v>
      </c>
      <c r="BL28" s="799">
        <v>0</v>
      </c>
      <c r="BM28" s="484">
        <v>102</v>
      </c>
      <c r="BN28" s="414">
        <v>1059</v>
      </c>
      <c r="BO28" s="753">
        <f t="shared" si="55"/>
        <v>938.2</v>
      </c>
      <c r="BP28" s="551">
        <f t="shared" si="56"/>
        <v>0</v>
      </c>
      <c r="BQ28" s="551">
        <f t="shared" si="56"/>
        <v>0</v>
      </c>
      <c r="BR28" s="799">
        <v>0</v>
      </c>
      <c r="BS28" s="484">
        <v>102</v>
      </c>
      <c r="BT28" s="414">
        <v>1059</v>
      </c>
      <c r="BU28" s="753">
        <f t="shared" si="58"/>
        <v>938.2</v>
      </c>
    </row>
    <row r="29" spans="1:73">
      <c r="A29" s="4"/>
      <c r="B29" s="43" t="s">
        <v>368</v>
      </c>
      <c r="C29" s="188">
        <v>4088</v>
      </c>
      <c r="D29" s="188">
        <v>2208</v>
      </c>
      <c r="E29" s="188">
        <v>2929</v>
      </c>
      <c r="F29" s="188">
        <v>1887</v>
      </c>
      <c r="G29" s="188">
        <v>1101</v>
      </c>
      <c r="H29" s="188">
        <v>501</v>
      </c>
      <c r="I29" s="188">
        <v>1277</v>
      </c>
      <c r="J29" s="44">
        <v>0</v>
      </c>
      <c r="K29" s="323">
        <v>0</v>
      </c>
      <c r="L29" s="414">
        <v>0</v>
      </c>
      <c r="M29" s="177">
        <v>0</v>
      </c>
      <c r="N29" s="323">
        <f t="shared" si="26"/>
        <v>0</v>
      </c>
      <c r="O29" s="323">
        <f t="shared" si="27"/>
        <v>499</v>
      </c>
      <c r="P29" s="177">
        <v>0</v>
      </c>
      <c r="Q29" s="323">
        <v>0</v>
      </c>
      <c r="R29" s="414">
        <v>499</v>
      </c>
      <c r="S29" s="177">
        <v>0</v>
      </c>
      <c r="T29" s="323">
        <f t="shared" si="28"/>
        <v>0</v>
      </c>
      <c r="U29" s="323">
        <f t="shared" si="29"/>
        <v>0</v>
      </c>
      <c r="V29" s="177">
        <v>0</v>
      </c>
      <c r="W29" s="323">
        <v>0</v>
      </c>
      <c r="X29" s="414">
        <v>499</v>
      </c>
      <c r="Y29" s="177">
        <v>0</v>
      </c>
      <c r="Z29" s="323">
        <f t="shared" si="32"/>
        <v>0</v>
      </c>
      <c r="AA29" s="323">
        <f t="shared" si="33"/>
        <v>0</v>
      </c>
      <c r="AB29" s="521">
        <v>0</v>
      </c>
      <c r="AC29" s="323">
        <v>0</v>
      </c>
      <c r="AD29" s="414">
        <v>499</v>
      </c>
      <c r="AE29" s="521">
        <v>0</v>
      </c>
      <c r="AF29" s="323">
        <f t="shared" si="36"/>
        <v>0</v>
      </c>
      <c r="AG29" s="323">
        <f t="shared" si="36"/>
        <v>0</v>
      </c>
      <c r="AH29" s="521">
        <v>0</v>
      </c>
      <c r="AI29" s="323">
        <v>0</v>
      </c>
      <c r="AJ29" s="414">
        <v>499</v>
      </c>
      <c r="AK29" s="521">
        <v>0</v>
      </c>
      <c r="AL29" s="323">
        <f t="shared" si="39"/>
        <v>0</v>
      </c>
      <c r="AM29" s="323">
        <f t="shared" si="40"/>
        <v>361</v>
      </c>
      <c r="AN29" s="521">
        <v>0</v>
      </c>
      <c r="AO29" s="484">
        <v>0</v>
      </c>
      <c r="AP29" s="551">
        <v>860</v>
      </c>
      <c r="AQ29" s="521">
        <v>0</v>
      </c>
      <c r="AR29" s="551">
        <f t="shared" si="43"/>
        <v>0</v>
      </c>
      <c r="AS29" s="551">
        <f t="shared" si="43"/>
        <v>0</v>
      </c>
      <c r="AT29" s="799">
        <v>0</v>
      </c>
      <c r="AU29" s="953">
        <v>0</v>
      </c>
      <c r="AV29" s="952">
        <v>860</v>
      </c>
      <c r="AW29" s="799">
        <v>0</v>
      </c>
      <c r="AX29" s="551">
        <f t="shared" si="46"/>
        <v>0</v>
      </c>
      <c r="AY29" s="551">
        <f t="shared" si="47"/>
        <v>243</v>
      </c>
      <c r="AZ29" s="799">
        <v>0</v>
      </c>
      <c r="BA29" s="484">
        <v>0</v>
      </c>
      <c r="BB29" s="414">
        <v>1103</v>
      </c>
      <c r="BC29" s="799">
        <v>0</v>
      </c>
      <c r="BD29" s="551">
        <f t="shared" si="50"/>
        <v>0</v>
      </c>
      <c r="BE29" s="551">
        <f t="shared" si="50"/>
        <v>0</v>
      </c>
      <c r="BF29" s="799">
        <v>0</v>
      </c>
      <c r="BG29" s="484">
        <v>0</v>
      </c>
      <c r="BH29" s="414">
        <v>1103</v>
      </c>
      <c r="BI29" s="799">
        <v>0</v>
      </c>
      <c r="BJ29" s="551">
        <f t="shared" si="53"/>
        <v>0</v>
      </c>
      <c r="BK29" s="551">
        <f t="shared" si="53"/>
        <v>0</v>
      </c>
      <c r="BL29" s="799">
        <v>0</v>
      </c>
      <c r="BM29" s="484">
        <v>0</v>
      </c>
      <c r="BN29" s="414">
        <v>1103</v>
      </c>
      <c r="BO29" s="799">
        <v>0</v>
      </c>
      <c r="BP29" s="551">
        <f t="shared" si="56"/>
        <v>0</v>
      </c>
      <c r="BQ29" s="551">
        <f t="shared" si="56"/>
        <v>449</v>
      </c>
      <c r="BR29" s="799">
        <v>0</v>
      </c>
      <c r="BS29" s="484">
        <v>0</v>
      </c>
      <c r="BT29" s="414">
        <v>1552</v>
      </c>
      <c r="BU29" s="799">
        <v>0</v>
      </c>
    </row>
    <row r="30" spans="1:73">
      <c r="A30" s="4"/>
      <c r="B30" s="43" t="s">
        <v>371</v>
      </c>
      <c r="C30" s="188">
        <v>0</v>
      </c>
      <c r="D30" s="188">
        <v>601</v>
      </c>
      <c r="E30" s="188">
        <v>50</v>
      </c>
      <c r="F30" s="188">
        <v>300</v>
      </c>
      <c r="G30" s="188">
        <v>100</v>
      </c>
      <c r="H30" s="188">
        <v>200</v>
      </c>
      <c r="I30" s="188">
        <v>0</v>
      </c>
      <c r="J30" s="44">
        <v>0</v>
      </c>
      <c r="K30" s="323">
        <v>0</v>
      </c>
      <c r="L30" s="414">
        <v>0</v>
      </c>
      <c r="M30" s="177">
        <v>0</v>
      </c>
      <c r="N30" s="323">
        <f t="shared" si="26"/>
        <v>0</v>
      </c>
      <c r="O30" s="323">
        <f t="shared" si="27"/>
        <v>0</v>
      </c>
      <c r="P30" s="177">
        <v>0</v>
      </c>
      <c r="Q30" s="323">
        <v>0</v>
      </c>
      <c r="R30" s="414">
        <v>0</v>
      </c>
      <c r="S30" s="177">
        <v>0</v>
      </c>
      <c r="T30" s="323">
        <f t="shared" si="28"/>
        <v>0</v>
      </c>
      <c r="U30" s="323">
        <f t="shared" si="29"/>
        <v>0</v>
      </c>
      <c r="V30" s="177">
        <v>0</v>
      </c>
      <c r="W30" s="323">
        <v>0</v>
      </c>
      <c r="X30" s="414">
        <v>0</v>
      </c>
      <c r="Y30" s="177">
        <v>0</v>
      </c>
      <c r="Z30" s="323">
        <f t="shared" si="32"/>
        <v>0</v>
      </c>
      <c r="AA30" s="323">
        <f t="shared" si="33"/>
        <v>0</v>
      </c>
      <c r="AB30" s="521">
        <v>0</v>
      </c>
      <c r="AC30" s="323">
        <v>0</v>
      </c>
      <c r="AD30" s="414">
        <v>0</v>
      </c>
      <c r="AE30" s="521">
        <v>0</v>
      </c>
      <c r="AF30" s="323">
        <f t="shared" si="36"/>
        <v>0</v>
      </c>
      <c r="AG30" s="323">
        <f t="shared" si="36"/>
        <v>0</v>
      </c>
      <c r="AH30" s="521">
        <v>0</v>
      </c>
      <c r="AI30" s="323">
        <v>0</v>
      </c>
      <c r="AJ30" s="414">
        <v>0</v>
      </c>
      <c r="AK30" s="521">
        <v>0</v>
      </c>
      <c r="AL30" s="323">
        <f t="shared" si="39"/>
        <v>0</v>
      </c>
      <c r="AM30" s="323">
        <f t="shared" si="40"/>
        <v>0</v>
      </c>
      <c r="AN30" s="521">
        <v>0</v>
      </c>
      <c r="AO30" s="484">
        <v>0</v>
      </c>
      <c r="AP30" s="551">
        <v>0</v>
      </c>
      <c r="AQ30" s="521">
        <v>0</v>
      </c>
      <c r="AR30" s="551">
        <f t="shared" si="43"/>
        <v>0</v>
      </c>
      <c r="AS30" s="551">
        <f t="shared" si="43"/>
        <v>0</v>
      </c>
      <c r="AT30" s="799">
        <v>0</v>
      </c>
      <c r="AU30" s="953">
        <v>0</v>
      </c>
      <c r="AV30" s="952">
        <v>0</v>
      </c>
      <c r="AW30" s="799">
        <v>0</v>
      </c>
      <c r="AX30" s="551">
        <f t="shared" si="46"/>
        <v>0</v>
      </c>
      <c r="AY30" s="551">
        <f t="shared" si="47"/>
        <v>0</v>
      </c>
      <c r="AZ30" s="799">
        <v>0</v>
      </c>
      <c r="BA30" s="484">
        <v>0</v>
      </c>
      <c r="BB30" s="414">
        <v>0</v>
      </c>
      <c r="BC30" s="799">
        <v>0</v>
      </c>
      <c r="BD30" s="551">
        <f t="shared" si="50"/>
        <v>0</v>
      </c>
      <c r="BE30" s="551">
        <f t="shared" si="50"/>
        <v>0</v>
      </c>
      <c r="BF30" s="799">
        <v>0</v>
      </c>
      <c r="BG30" s="484">
        <v>0</v>
      </c>
      <c r="BH30" s="414">
        <v>0</v>
      </c>
      <c r="BI30" s="799">
        <v>0</v>
      </c>
      <c r="BJ30" s="551">
        <f t="shared" si="53"/>
        <v>0</v>
      </c>
      <c r="BK30" s="551">
        <f t="shared" si="53"/>
        <v>0</v>
      </c>
      <c r="BL30" s="799">
        <v>0</v>
      </c>
      <c r="BM30" s="484">
        <v>0</v>
      </c>
      <c r="BN30" s="414">
        <v>0</v>
      </c>
      <c r="BO30" s="799">
        <v>0</v>
      </c>
      <c r="BP30" s="551">
        <f t="shared" si="56"/>
        <v>0</v>
      </c>
      <c r="BQ30" s="551">
        <f t="shared" si="56"/>
        <v>0</v>
      </c>
      <c r="BR30" s="799">
        <v>0</v>
      </c>
      <c r="BS30" s="484">
        <v>0</v>
      </c>
      <c r="BT30" s="414">
        <v>0</v>
      </c>
      <c r="BU30" s="799">
        <v>0</v>
      </c>
    </row>
    <row r="31" spans="1:73">
      <c r="A31" s="4"/>
      <c r="B31" s="43" t="s">
        <v>372</v>
      </c>
      <c r="C31" s="188">
        <v>0</v>
      </c>
      <c r="D31" s="188">
        <v>0</v>
      </c>
      <c r="E31" s="188">
        <v>0</v>
      </c>
      <c r="F31" s="188">
        <v>0</v>
      </c>
      <c r="G31" s="188">
        <v>99</v>
      </c>
      <c r="H31" s="188">
        <v>102</v>
      </c>
      <c r="I31" s="188">
        <v>0</v>
      </c>
      <c r="J31" s="44">
        <v>0</v>
      </c>
      <c r="K31" s="323">
        <v>0</v>
      </c>
      <c r="L31" s="414">
        <v>0</v>
      </c>
      <c r="M31" s="177">
        <v>0</v>
      </c>
      <c r="N31" s="323">
        <f t="shared" si="26"/>
        <v>0</v>
      </c>
      <c r="O31" s="323">
        <f t="shared" si="27"/>
        <v>0</v>
      </c>
      <c r="P31" s="177">
        <v>0</v>
      </c>
      <c r="Q31" s="323">
        <v>0</v>
      </c>
      <c r="R31" s="414">
        <v>0</v>
      </c>
      <c r="S31" s="177">
        <v>0</v>
      </c>
      <c r="T31" s="323">
        <f t="shared" si="28"/>
        <v>0</v>
      </c>
      <c r="U31" s="323">
        <f t="shared" si="29"/>
        <v>0</v>
      </c>
      <c r="V31" s="177">
        <v>0</v>
      </c>
      <c r="W31" s="323">
        <v>0</v>
      </c>
      <c r="X31" s="414">
        <v>0</v>
      </c>
      <c r="Y31" s="177">
        <v>0</v>
      </c>
      <c r="Z31" s="323">
        <f t="shared" si="32"/>
        <v>0</v>
      </c>
      <c r="AA31" s="323">
        <f t="shared" si="33"/>
        <v>0</v>
      </c>
      <c r="AB31" s="521">
        <v>0</v>
      </c>
      <c r="AC31" s="323">
        <v>0</v>
      </c>
      <c r="AD31" s="414">
        <v>0</v>
      </c>
      <c r="AE31" s="521">
        <v>0</v>
      </c>
      <c r="AF31" s="323">
        <f t="shared" si="36"/>
        <v>0</v>
      </c>
      <c r="AG31" s="323">
        <f t="shared" si="36"/>
        <v>0</v>
      </c>
      <c r="AH31" s="521">
        <v>0</v>
      </c>
      <c r="AI31" s="323">
        <v>0</v>
      </c>
      <c r="AJ31" s="414">
        <v>0</v>
      </c>
      <c r="AK31" s="521">
        <v>0</v>
      </c>
      <c r="AL31" s="323">
        <f t="shared" si="39"/>
        <v>0</v>
      </c>
      <c r="AM31" s="323">
        <f t="shared" si="40"/>
        <v>0</v>
      </c>
      <c r="AN31" s="521">
        <v>0</v>
      </c>
      <c r="AO31" s="484">
        <v>0</v>
      </c>
      <c r="AP31" s="551">
        <v>0</v>
      </c>
      <c r="AQ31" s="521">
        <v>0</v>
      </c>
      <c r="AR31" s="551">
        <f t="shared" si="43"/>
        <v>0</v>
      </c>
      <c r="AS31" s="551">
        <f t="shared" si="43"/>
        <v>0</v>
      </c>
      <c r="AT31" s="799">
        <v>0</v>
      </c>
      <c r="AU31" s="953">
        <v>0</v>
      </c>
      <c r="AV31" s="952">
        <v>0</v>
      </c>
      <c r="AW31" s="799">
        <v>0</v>
      </c>
      <c r="AX31" s="551">
        <f t="shared" si="46"/>
        <v>0</v>
      </c>
      <c r="AY31" s="551">
        <f t="shared" si="47"/>
        <v>0</v>
      </c>
      <c r="AZ31" s="799">
        <v>0</v>
      </c>
      <c r="BA31" s="484">
        <v>0</v>
      </c>
      <c r="BB31" s="414">
        <v>0</v>
      </c>
      <c r="BC31" s="799">
        <v>0</v>
      </c>
      <c r="BD31" s="551">
        <f t="shared" si="50"/>
        <v>0</v>
      </c>
      <c r="BE31" s="551">
        <f t="shared" si="50"/>
        <v>0</v>
      </c>
      <c r="BF31" s="799">
        <v>0</v>
      </c>
      <c r="BG31" s="484">
        <v>0</v>
      </c>
      <c r="BH31" s="414">
        <v>0</v>
      </c>
      <c r="BI31" s="799">
        <v>0</v>
      </c>
      <c r="BJ31" s="551">
        <f t="shared" si="53"/>
        <v>0</v>
      </c>
      <c r="BK31" s="551">
        <f t="shared" si="53"/>
        <v>0</v>
      </c>
      <c r="BL31" s="799">
        <v>0</v>
      </c>
      <c r="BM31" s="484">
        <v>0</v>
      </c>
      <c r="BN31" s="414">
        <v>0</v>
      </c>
      <c r="BO31" s="799">
        <v>0</v>
      </c>
      <c r="BP31" s="551">
        <f t="shared" si="56"/>
        <v>0</v>
      </c>
      <c r="BQ31" s="551">
        <f t="shared" si="56"/>
        <v>0</v>
      </c>
      <c r="BR31" s="799">
        <v>0</v>
      </c>
      <c r="BS31" s="484">
        <v>0</v>
      </c>
      <c r="BT31" s="414">
        <v>0</v>
      </c>
      <c r="BU31" s="799">
        <v>0</v>
      </c>
    </row>
    <row r="32" spans="1:73">
      <c r="A32" s="4"/>
      <c r="B32" s="43" t="s">
        <v>373</v>
      </c>
      <c r="C32" s="188">
        <v>3189</v>
      </c>
      <c r="D32" s="188">
        <v>6843</v>
      </c>
      <c r="E32" s="188">
        <v>10166</v>
      </c>
      <c r="F32" s="188">
        <v>4247</v>
      </c>
      <c r="G32" s="188">
        <v>1</v>
      </c>
      <c r="H32" s="188">
        <v>64</v>
      </c>
      <c r="I32" s="188">
        <v>0</v>
      </c>
      <c r="J32" s="44">
        <v>0</v>
      </c>
      <c r="K32" s="323">
        <v>0</v>
      </c>
      <c r="L32" s="414">
        <v>0</v>
      </c>
      <c r="M32" s="177">
        <v>0</v>
      </c>
      <c r="N32" s="323">
        <f t="shared" si="26"/>
        <v>0</v>
      </c>
      <c r="O32" s="323">
        <f t="shared" si="27"/>
        <v>0</v>
      </c>
      <c r="P32" s="177">
        <v>0</v>
      </c>
      <c r="Q32" s="323">
        <v>0</v>
      </c>
      <c r="R32" s="414">
        <v>0</v>
      </c>
      <c r="S32" s="177">
        <v>0</v>
      </c>
      <c r="T32" s="323">
        <f t="shared" si="28"/>
        <v>0</v>
      </c>
      <c r="U32" s="323">
        <f t="shared" si="29"/>
        <v>0</v>
      </c>
      <c r="V32" s="177">
        <v>0</v>
      </c>
      <c r="W32" s="323">
        <v>0</v>
      </c>
      <c r="X32" s="414">
        <v>0</v>
      </c>
      <c r="Y32" s="177">
        <v>0</v>
      </c>
      <c r="Z32" s="323">
        <f t="shared" si="32"/>
        <v>0</v>
      </c>
      <c r="AA32" s="323">
        <f t="shared" si="33"/>
        <v>0</v>
      </c>
      <c r="AB32" s="521">
        <v>0</v>
      </c>
      <c r="AC32" s="323">
        <v>0</v>
      </c>
      <c r="AD32" s="414">
        <v>0</v>
      </c>
      <c r="AE32" s="521">
        <v>0</v>
      </c>
      <c r="AF32" s="323">
        <f t="shared" si="36"/>
        <v>0</v>
      </c>
      <c r="AG32" s="323">
        <f t="shared" si="36"/>
        <v>0</v>
      </c>
      <c r="AH32" s="521">
        <v>0</v>
      </c>
      <c r="AI32" s="323">
        <v>0</v>
      </c>
      <c r="AJ32" s="414">
        <v>0</v>
      </c>
      <c r="AK32" s="521">
        <v>0</v>
      </c>
      <c r="AL32" s="323">
        <f t="shared" si="39"/>
        <v>0</v>
      </c>
      <c r="AM32" s="323">
        <f t="shared" si="40"/>
        <v>0</v>
      </c>
      <c r="AN32" s="521">
        <v>0</v>
      </c>
      <c r="AO32" s="551">
        <v>0</v>
      </c>
      <c r="AP32" s="414">
        <v>0</v>
      </c>
      <c r="AQ32" s="521">
        <v>0</v>
      </c>
      <c r="AR32" s="551">
        <f t="shared" si="43"/>
        <v>0</v>
      </c>
      <c r="AS32" s="551">
        <f t="shared" si="43"/>
        <v>10</v>
      </c>
      <c r="AT32" s="799">
        <v>0</v>
      </c>
      <c r="AU32" s="953">
        <v>0</v>
      </c>
      <c r="AV32" s="952">
        <v>10</v>
      </c>
      <c r="AW32" s="799">
        <v>0</v>
      </c>
      <c r="AX32" s="551">
        <f t="shared" si="46"/>
        <v>0</v>
      </c>
      <c r="AY32" s="551">
        <f t="shared" si="47"/>
        <v>0</v>
      </c>
      <c r="AZ32" s="799">
        <v>0</v>
      </c>
      <c r="BA32" s="484">
        <v>0</v>
      </c>
      <c r="BB32" s="414">
        <v>10</v>
      </c>
      <c r="BC32" s="799">
        <v>0</v>
      </c>
      <c r="BD32" s="551">
        <f t="shared" si="50"/>
        <v>0</v>
      </c>
      <c r="BE32" s="551">
        <f t="shared" si="50"/>
        <v>0</v>
      </c>
      <c r="BF32" s="799">
        <v>0</v>
      </c>
      <c r="BG32" s="484">
        <v>0</v>
      </c>
      <c r="BH32" s="414">
        <v>10</v>
      </c>
      <c r="BI32" s="799">
        <v>0</v>
      </c>
      <c r="BJ32" s="551">
        <f t="shared" si="53"/>
        <v>0</v>
      </c>
      <c r="BK32" s="551">
        <f t="shared" si="53"/>
        <v>0</v>
      </c>
      <c r="BL32" s="799">
        <v>0</v>
      </c>
      <c r="BM32" s="484">
        <v>0</v>
      </c>
      <c r="BN32" s="414">
        <v>10</v>
      </c>
      <c r="BO32" s="799">
        <v>0</v>
      </c>
      <c r="BP32" s="551">
        <f t="shared" si="56"/>
        <v>0</v>
      </c>
      <c r="BQ32" s="551">
        <f t="shared" si="56"/>
        <v>0</v>
      </c>
      <c r="BR32" s="799">
        <v>0</v>
      </c>
      <c r="BS32" s="484">
        <v>0</v>
      </c>
      <c r="BT32" s="414">
        <v>10</v>
      </c>
      <c r="BU32" s="799">
        <v>0</v>
      </c>
    </row>
    <row r="33" spans="1:73">
      <c r="A33" s="4"/>
      <c r="B33" s="43" t="s">
        <v>374</v>
      </c>
      <c r="C33" s="188">
        <v>502</v>
      </c>
      <c r="D33" s="188">
        <v>300</v>
      </c>
      <c r="E33" s="188">
        <v>0</v>
      </c>
      <c r="F33" s="188">
        <v>1507</v>
      </c>
      <c r="G33" s="188">
        <v>1991</v>
      </c>
      <c r="H33" s="188">
        <v>0</v>
      </c>
      <c r="I33" s="188">
        <v>0</v>
      </c>
      <c r="J33" s="44">
        <v>0</v>
      </c>
      <c r="K33" s="323">
        <v>0</v>
      </c>
      <c r="L33" s="414">
        <v>0</v>
      </c>
      <c r="M33" s="177">
        <v>0</v>
      </c>
      <c r="N33" s="323">
        <f t="shared" si="26"/>
        <v>0</v>
      </c>
      <c r="O33" s="323">
        <f t="shared" si="27"/>
        <v>0</v>
      </c>
      <c r="P33" s="177">
        <v>0</v>
      </c>
      <c r="Q33" s="323">
        <v>0</v>
      </c>
      <c r="R33" s="414">
        <v>0</v>
      </c>
      <c r="S33" s="177">
        <v>0</v>
      </c>
      <c r="T33" s="323">
        <f t="shared" si="28"/>
        <v>0</v>
      </c>
      <c r="U33" s="323">
        <f t="shared" si="29"/>
        <v>0</v>
      </c>
      <c r="V33" s="177">
        <v>0</v>
      </c>
      <c r="W33" s="323">
        <v>0</v>
      </c>
      <c r="X33" s="414">
        <v>0</v>
      </c>
      <c r="Y33" s="177">
        <v>0</v>
      </c>
      <c r="Z33" s="323">
        <f t="shared" si="32"/>
        <v>0</v>
      </c>
      <c r="AA33" s="323">
        <f t="shared" si="33"/>
        <v>0</v>
      </c>
      <c r="AB33" s="521">
        <v>0</v>
      </c>
      <c r="AC33" s="323">
        <v>0</v>
      </c>
      <c r="AD33" s="414">
        <v>0</v>
      </c>
      <c r="AE33" s="521">
        <v>0</v>
      </c>
      <c r="AF33" s="323">
        <f t="shared" si="36"/>
        <v>0</v>
      </c>
      <c r="AG33" s="323">
        <f t="shared" si="36"/>
        <v>0</v>
      </c>
      <c r="AH33" s="521">
        <v>0</v>
      </c>
      <c r="AI33" s="323">
        <v>0</v>
      </c>
      <c r="AJ33" s="414">
        <v>0</v>
      </c>
      <c r="AK33" s="521">
        <v>0</v>
      </c>
      <c r="AL33" s="323">
        <f t="shared" si="39"/>
        <v>0</v>
      </c>
      <c r="AM33" s="323">
        <f t="shared" si="40"/>
        <v>0</v>
      </c>
      <c r="AN33" s="521">
        <v>0</v>
      </c>
      <c r="AO33" s="551">
        <v>0</v>
      </c>
      <c r="AP33" s="414">
        <v>0</v>
      </c>
      <c r="AQ33" s="521">
        <v>0</v>
      </c>
      <c r="AR33" s="551">
        <f t="shared" si="43"/>
        <v>0</v>
      </c>
      <c r="AS33" s="551">
        <f t="shared" si="43"/>
        <v>0</v>
      </c>
      <c r="AT33" s="799">
        <v>0</v>
      </c>
      <c r="AU33" s="953">
        <v>0</v>
      </c>
      <c r="AV33" s="952">
        <v>0</v>
      </c>
      <c r="AW33" s="799">
        <v>0</v>
      </c>
      <c r="AX33" s="551">
        <f t="shared" si="46"/>
        <v>0</v>
      </c>
      <c r="AY33" s="551">
        <f t="shared" si="47"/>
        <v>0</v>
      </c>
      <c r="AZ33" s="799">
        <v>0</v>
      </c>
      <c r="BA33" s="484">
        <v>0</v>
      </c>
      <c r="BB33" s="414">
        <v>0</v>
      </c>
      <c r="BC33" s="799">
        <v>0</v>
      </c>
      <c r="BD33" s="551">
        <f t="shared" si="50"/>
        <v>0</v>
      </c>
      <c r="BE33" s="551">
        <f t="shared" si="50"/>
        <v>0</v>
      </c>
      <c r="BF33" s="799">
        <v>0</v>
      </c>
      <c r="BG33" s="484">
        <v>0</v>
      </c>
      <c r="BH33" s="414">
        <v>0</v>
      </c>
      <c r="BI33" s="799">
        <v>0</v>
      </c>
      <c r="BJ33" s="551">
        <f t="shared" si="53"/>
        <v>0</v>
      </c>
      <c r="BK33" s="551">
        <f t="shared" si="53"/>
        <v>0</v>
      </c>
      <c r="BL33" s="799">
        <v>0</v>
      </c>
      <c r="BM33" s="484">
        <v>0</v>
      </c>
      <c r="BN33" s="414">
        <v>0</v>
      </c>
      <c r="BO33" s="799">
        <v>0</v>
      </c>
      <c r="BP33" s="551">
        <f t="shared" si="56"/>
        <v>0</v>
      </c>
      <c r="BQ33" s="551">
        <f t="shared" si="56"/>
        <v>0</v>
      </c>
      <c r="BR33" s="799">
        <v>0</v>
      </c>
      <c r="BS33" s="484">
        <v>0</v>
      </c>
      <c r="BT33" s="414">
        <v>0</v>
      </c>
      <c r="BU33" s="799">
        <v>0</v>
      </c>
    </row>
    <row r="34" spans="1:73">
      <c r="A34" s="4"/>
      <c r="B34" s="43" t="s">
        <v>361</v>
      </c>
      <c r="C34" s="188">
        <f t="shared" ref="C34:L34" si="63">C35-SUM(C19:C33)</f>
        <v>9080</v>
      </c>
      <c r="D34" s="188">
        <f t="shared" si="63"/>
        <v>2540</v>
      </c>
      <c r="E34" s="188">
        <f t="shared" si="63"/>
        <v>1101</v>
      </c>
      <c r="F34" s="188">
        <f t="shared" si="63"/>
        <v>7706</v>
      </c>
      <c r="G34" s="188">
        <f t="shared" si="63"/>
        <v>7</v>
      </c>
      <c r="H34" s="188">
        <f t="shared" si="63"/>
        <v>302</v>
      </c>
      <c r="I34" s="188">
        <f t="shared" si="63"/>
        <v>563</v>
      </c>
      <c r="J34" s="44">
        <f>J35-SUM(J19:J33)</f>
        <v>103</v>
      </c>
      <c r="K34" s="323">
        <f t="shared" si="63"/>
        <v>0</v>
      </c>
      <c r="L34" s="414">
        <f t="shared" si="63"/>
        <v>52</v>
      </c>
      <c r="M34" s="178">
        <v>0</v>
      </c>
      <c r="N34" s="485">
        <f>N35-SUM(N19:N33)</f>
        <v>0</v>
      </c>
      <c r="O34" s="486">
        <f>O35-SUM(O19:O33)</f>
        <v>0</v>
      </c>
      <c r="P34" s="178">
        <v>0</v>
      </c>
      <c r="Q34" s="323">
        <f>Q35-SUM(Q19:Q33)</f>
        <v>0</v>
      </c>
      <c r="R34" s="414">
        <f>R35-SUM(R19:R33)</f>
        <v>52</v>
      </c>
      <c r="S34" s="178">
        <v>0</v>
      </c>
      <c r="T34" s="485">
        <f>T35-SUM(T19:T33)</f>
        <v>0</v>
      </c>
      <c r="U34" s="486">
        <f>U35-SUM(U19:U33)</f>
        <v>1</v>
      </c>
      <c r="V34" s="178">
        <v>0</v>
      </c>
      <c r="W34" s="323">
        <f>W35-SUM(W19:W33)</f>
        <v>0</v>
      </c>
      <c r="X34" s="414">
        <f>X35-SUM(X19:X33)</f>
        <v>53</v>
      </c>
      <c r="Y34" s="178">
        <v>0</v>
      </c>
      <c r="Z34" s="485">
        <f>Z35-SUM(Z19:Z33)</f>
        <v>0</v>
      </c>
      <c r="AA34" s="486">
        <f>AA35-SUM(AA19:AA33)</f>
        <v>0</v>
      </c>
      <c r="AB34" s="522">
        <v>0</v>
      </c>
      <c r="AC34" s="323">
        <f>AC35-SUM(AC19:AC33)</f>
        <v>0</v>
      </c>
      <c r="AD34" s="414">
        <f>AD35-SUM(AD19:AD33)</f>
        <v>53</v>
      </c>
      <c r="AE34" s="522">
        <v>0</v>
      </c>
      <c r="AF34" s="485">
        <f>AF35-SUM(AF19:AF33)</f>
        <v>0</v>
      </c>
      <c r="AG34" s="486">
        <f>AG35-SUM(AG19:AG33)</f>
        <v>0</v>
      </c>
      <c r="AH34" s="522">
        <v>0</v>
      </c>
      <c r="AI34" s="323">
        <f>AI35-SUM(AI19:AI33)</f>
        <v>0</v>
      </c>
      <c r="AJ34" s="414">
        <f>AJ35-SUM(AJ19:AJ33)</f>
        <v>53</v>
      </c>
      <c r="AK34" s="522">
        <v>0</v>
      </c>
      <c r="AL34" s="485">
        <f>AL35-SUM(AL19:AL33)</f>
        <v>0</v>
      </c>
      <c r="AM34" s="486">
        <f>AM35-SUM(AM19:AM33)</f>
        <v>0</v>
      </c>
      <c r="AN34" s="800">
        <v>0</v>
      </c>
      <c r="AO34" s="551">
        <f>AO35-SUM(AO19:AO33)</f>
        <v>0</v>
      </c>
      <c r="AP34" s="414">
        <f>AP35-SUM(AP19:AP33)</f>
        <v>53</v>
      </c>
      <c r="AQ34" s="800">
        <v>0</v>
      </c>
      <c r="AR34" s="485">
        <f>AR35-SUM(AR19:AR33)</f>
        <v>102</v>
      </c>
      <c r="AS34" s="486">
        <f>AS35-SUM(AS19:AS33)</f>
        <v>0</v>
      </c>
      <c r="AT34" s="753">
        <f t="shared" ref="AT34" si="64">ROUND(((AS34/AR34-1)*100), 1)</f>
        <v>-100</v>
      </c>
      <c r="AU34" s="951">
        <f>AU35-SUM(AU19:AU33)</f>
        <v>102</v>
      </c>
      <c r="AV34" s="952">
        <f>AV35-SUM(AV19:AV33)</f>
        <v>53</v>
      </c>
      <c r="AW34" s="753">
        <f t="shared" ref="AW34" si="65">ROUND(((AV34/AU34-1)*100), 1)</f>
        <v>-48</v>
      </c>
      <c r="AX34" s="485">
        <f>AX35-SUM(AX19:AX33)</f>
        <v>0</v>
      </c>
      <c r="AY34" s="486">
        <f>AY35-SUM(AY19:AY33)</f>
        <v>0</v>
      </c>
      <c r="AZ34" s="800">
        <v>0</v>
      </c>
      <c r="BA34" s="551">
        <f>BA35-SUM(BA19:BA33)</f>
        <v>102</v>
      </c>
      <c r="BB34" s="414">
        <f>BB35-SUM(BB19:BB33)</f>
        <v>53</v>
      </c>
      <c r="BC34" s="753">
        <f t="shared" ref="BC34" si="66">ROUND(((BB34/BA34-1)*100), 1)</f>
        <v>-48</v>
      </c>
      <c r="BD34" s="485">
        <f>BD35-SUM(BD19:BD33)</f>
        <v>0</v>
      </c>
      <c r="BE34" s="486">
        <f>BE35-SUM(BE19:BE33)</f>
        <v>0</v>
      </c>
      <c r="BF34" s="800">
        <v>0</v>
      </c>
      <c r="BG34" s="551">
        <f>BG35-SUM(BG19:BG33)</f>
        <v>102</v>
      </c>
      <c r="BH34" s="414">
        <f>BH35-SUM(BH19:BH33)</f>
        <v>53</v>
      </c>
      <c r="BI34" s="753">
        <f t="shared" ref="BI34" si="67">ROUND(((BH34/BG34-1)*100), 1)</f>
        <v>-48</v>
      </c>
      <c r="BJ34" s="485">
        <f>BJ35-SUM(BJ19:BJ33)</f>
        <v>1</v>
      </c>
      <c r="BK34" s="486">
        <f>BK35-SUM(BK19:BK33)</f>
        <v>200</v>
      </c>
      <c r="BL34" s="753">
        <f>ROUND(((BK34/BJ34-1)*100), 1)</f>
        <v>19900</v>
      </c>
      <c r="BM34" s="551">
        <f>BM35-SUM(BM19:BM33)</f>
        <v>103</v>
      </c>
      <c r="BN34" s="414">
        <f>BN35-SUM(BN19:BN33)</f>
        <v>253</v>
      </c>
      <c r="BO34" s="753">
        <f t="shared" ref="BO34" si="68">ROUND(((BN34/BM34-1)*100), 1)</f>
        <v>145.6</v>
      </c>
      <c r="BP34" s="485">
        <f>BP35-SUM(BP19:BP33)</f>
        <v>0</v>
      </c>
      <c r="BQ34" s="486">
        <f>BQ35-SUM(BQ19:BQ33)</f>
        <v>1</v>
      </c>
      <c r="BR34" s="800">
        <v>0</v>
      </c>
      <c r="BS34" s="551">
        <f>BS35-SUM(BS19:BS33)</f>
        <v>103</v>
      </c>
      <c r="BT34" s="414">
        <f>BT35-SUM(BT19:BT33)</f>
        <v>254</v>
      </c>
      <c r="BU34" s="753">
        <f>ROUND(((BT34/BS34-1)*100), 1)</f>
        <v>146.6</v>
      </c>
    </row>
    <row r="35" spans="1:73">
      <c r="A35" s="9"/>
      <c r="B35" s="67" t="s">
        <v>108</v>
      </c>
      <c r="C35" s="324">
        <v>282586</v>
      </c>
      <c r="D35" s="324">
        <v>284634</v>
      </c>
      <c r="E35" s="324">
        <v>331682</v>
      </c>
      <c r="F35" s="324">
        <v>359833</v>
      </c>
      <c r="G35" s="324">
        <v>379515</v>
      </c>
      <c r="H35" s="324">
        <v>308946</v>
      </c>
      <c r="I35" s="324">
        <v>262628</v>
      </c>
      <c r="J35" s="46">
        <v>229099</v>
      </c>
      <c r="K35" s="399">
        <v>24934</v>
      </c>
      <c r="L35" s="400">
        <v>16249</v>
      </c>
      <c r="M35" s="233">
        <f>ROUND(((L35/K35-1)*100), 1)</f>
        <v>-34.799999999999997</v>
      </c>
      <c r="N35" s="487">
        <f>Q35-K35</f>
        <v>19263</v>
      </c>
      <c r="O35" s="399">
        <f>R35-L35</f>
        <v>16674</v>
      </c>
      <c r="P35" s="243">
        <f>ROUND(((O35/N35-1)*100), 1)</f>
        <v>-13.4</v>
      </c>
      <c r="Q35" s="399">
        <v>44197</v>
      </c>
      <c r="R35" s="400">
        <v>32923</v>
      </c>
      <c r="S35" s="243">
        <f>ROUND(((R35/Q35-1)*100), 1)</f>
        <v>-25.5</v>
      </c>
      <c r="T35" s="487">
        <f>W35-Q35</f>
        <v>22402</v>
      </c>
      <c r="U35" s="399">
        <f>X35-R35</f>
        <v>20243</v>
      </c>
      <c r="V35" s="243">
        <f>ROUND(((U35/T35-1)*100), 1)</f>
        <v>-9.6</v>
      </c>
      <c r="W35" s="399">
        <v>66599</v>
      </c>
      <c r="X35" s="400">
        <v>53166</v>
      </c>
      <c r="Y35" s="243">
        <f>ROUND(((X35/W35-1)*100), 1)</f>
        <v>-20.2</v>
      </c>
      <c r="Z35" s="487">
        <f>AC35-W35</f>
        <v>19898</v>
      </c>
      <c r="AA35" s="399">
        <f>AD35-X35</f>
        <v>21109</v>
      </c>
      <c r="AB35" s="243">
        <f>ROUND(((AA35/Z35-1)*100), 1)</f>
        <v>6.1</v>
      </c>
      <c r="AC35" s="399">
        <v>86497</v>
      </c>
      <c r="AD35" s="400">
        <v>74275</v>
      </c>
      <c r="AE35" s="243">
        <f>ROUND(((AD35/AC35-1)*100), 1)</f>
        <v>-14.1</v>
      </c>
      <c r="AF35" s="487">
        <f>AI35-AC35</f>
        <v>16050</v>
      </c>
      <c r="AG35" s="399">
        <f>AJ35-AD35</f>
        <v>17997</v>
      </c>
      <c r="AH35" s="243">
        <f>ROUND(((AG35/AF35-1)*100), 1)</f>
        <v>12.1</v>
      </c>
      <c r="AI35" s="399">
        <v>102547</v>
      </c>
      <c r="AJ35" s="400">
        <v>92272</v>
      </c>
      <c r="AK35" s="243">
        <f>ROUND(((AJ35/AI35-1)*100), 1)</f>
        <v>-10</v>
      </c>
      <c r="AL35" s="487">
        <f>AO35-AI35</f>
        <v>19305</v>
      </c>
      <c r="AM35" s="399">
        <f>AP35-AJ35</f>
        <v>20103</v>
      </c>
      <c r="AN35" s="243">
        <f>ROUND(((AM35/AL35-1)*100), 1)</f>
        <v>4.0999999999999996</v>
      </c>
      <c r="AO35" s="399">
        <v>121852</v>
      </c>
      <c r="AP35" s="400">
        <v>112375</v>
      </c>
      <c r="AQ35" s="243">
        <f>ROUND(((AP35/AO35-1)*100), 1)</f>
        <v>-7.8</v>
      </c>
      <c r="AR35" s="487">
        <f>AU35-AO35</f>
        <v>21034</v>
      </c>
      <c r="AS35" s="399">
        <f>AV35-AP35</f>
        <v>17507</v>
      </c>
      <c r="AT35" s="754">
        <f>ROUND(((AS35/AR35-1)*100), 1)</f>
        <v>-16.8</v>
      </c>
      <c r="AU35" s="956">
        <v>142886</v>
      </c>
      <c r="AV35" s="957">
        <v>129882</v>
      </c>
      <c r="AW35" s="754">
        <f>ROUND(((AV35/AU35-1)*100), 1)</f>
        <v>-9.1</v>
      </c>
      <c r="AX35" s="487">
        <f>BA35-AU35</f>
        <v>16048</v>
      </c>
      <c r="AY35" s="399">
        <f>BB35-AV35</f>
        <v>15648</v>
      </c>
      <c r="AZ35" s="754">
        <f>ROUND(((AY35/AX35-1)*100), 1)</f>
        <v>-2.5</v>
      </c>
      <c r="BA35" s="399">
        <v>158934</v>
      </c>
      <c r="BB35" s="400">
        <v>145530</v>
      </c>
      <c r="BC35" s="754">
        <f>ROUND(((BB35/BA35-1)*100), 1)</f>
        <v>-8.4</v>
      </c>
      <c r="BD35" s="487">
        <f>BG35-BA35</f>
        <v>19263</v>
      </c>
      <c r="BE35" s="399">
        <f>BH35-BB35</f>
        <v>16524</v>
      </c>
      <c r="BF35" s="754">
        <f>ROUND(((BE35/BD35-1)*100), 1)</f>
        <v>-14.2</v>
      </c>
      <c r="BG35" s="399">
        <v>178197</v>
      </c>
      <c r="BH35" s="400">
        <v>162054</v>
      </c>
      <c r="BI35" s="754">
        <f>ROUND(((BH35/BG35-1)*100), 1)</f>
        <v>-9.1</v>
      </c>
      <c r="BJ35" s="487">
        <f>BM35-BG35</f>
        <v>17131</v>
      </c>
      <c r="BK35" s="399">
        <f>BN35-BH35</f>
        <v>21101</v>
      </c>
      <c r="BL35" s="754">
        <f>ROUND(((BK35/BJ35-1)*100), 1)</f>
        <v>23.2</v>
      </c>
      <c r="BM35" s="399">
        <v>195328</v>
      </c>
      <c r="BN35" s="400">
        <v>183155</v>
      </c>
      <c r="BO35" s="754">
        <f>ROUND(((BN35/BM35-1)*100), 1)</f>
        <v>-6.2</v>
      </c>
      <c r="BP35" s="487">
        <f>BS35-BM35</f>
        <v>18013</v>
      </c>
      <c r="BQ35" s="399">
        <f>BT35-BN35</f>
        <v>21073</v>
      </c>
      <c r="BR35" s="754">
        <f>ROUND(((BQ35/BP35-1)*100), 1)</f>
        <v>17</v>
      </c>
      <c r="BS35" s="399">
        <v>213341</v>
      </c>
      <c r="BT35" s="400">
        <v>204228</v>
      </c>
      <c r="BU35" s="754">
        <f>ROUND(((BT35/BS35-1)*100), 1)</f>
        <v>-4.3</v>
      </c>
    </row>
    <row r="36" spans="1:73">
      <c r="A36" s="68" t="s">
        <v>118</v>
      </c>
      <c r="B36" s="292"/>
      <c r="C36" s="70"/>
      <c r="D36" s="70"/>
      <c r="E36" s="70"/>
      <c r="F36" s="70"/>
      <c r="G36" s="70"/>
      <c r="H36" s="70"/>
      <c r="I36" s="230"/>
      <c r="J36" s="230"/>
      <c r="K36" s="230"/>
      <c r="L36" s="230"/>
      <c r="M36" s="237"/>
      <c r="N36" s="230"/>
      <c r="O36" s="230"/>
      <c r="P36" s="237"/>
      <c r="Q36" s="230"/>
      <c r="R36" s="230"/>
      <c r="S36" s="237"/>
      <c r="T36" s="230"/>
      <c r="U36" s="230"/>
      <c r="V36" s="237"/>
      <c r="W36" s="230"/>
      <c r="X36" s="230"/>
      <c r="Y36" s="237"/>
      <c r="Z36" s="230"/>
      <c r="AA36" s="230"/>
      <c r="AB36" s="237"/>
      <c r="AC36" s="230"/>
      <c r="AD36" s="230"/>
      <c r="AE36" s="237"/>
      <c r="AF36" s="230"/>
      <c r="AG36" s="230"/>
      <c r="AH36" s="237"/>
      <c r="AI36" s="230"/>
      <c r="AJ36" s="230"/>
      <c r="AK36" s="237"/>
      <c r="AL36" s="230"/>
      <c r="AM36" s="230"/>
      <c r="AN36" s="237"/>
      <c r="AO36" s="650"/>
      <c r="AP36" s="650"/>
      <c r="AQ36" s="237"/>
      <c r="AR36" s="650"/>
      <c r="AS36" s="650"/>
      <c r="AT36" s="237"/>
      <c r="AU36" s="958"/>
      <c r="AV36" s="958"/>
      <c r="AW36" s="237"/>
      <c r="AX36" s="650"/>
      <c r="AY36" s="650"/>
      <c r="AZ36" s="237"/>
      <c r="BA36" s="650"/>
      <c r="BB36" s="650"/>
      <c r="BC36" s="237"/>
      <c r="BD36" s="650"/>
      <c r="BE36" s="650"/>
      <c r="BF36" s="237"/>
      <c r="BG36" s="650"/>
      <c r="BH36" s="650"/>
      <c r="BI36" s="237"/>
      <c r="BJ36" s="650"/>
      <c r="BK36" s="650"/>
      <c r="BL36" s="237"/>
      <c r="BM36" s="650"/>
      <c r="BN36" s="650"/>
      <c r="BO36" s="237"/>
      <c r="BP36" s="650"/>
      <c r="BQ36" s="650"/>
      <c r="BR36" s="237"/>
      <c r="BS36" s="650"/>
      <c r="BT36" s="650"/>
      <c r="BU36" s="237"/>
    </row>
    <row r="37" spans="1:73">
      <c r="K37" s="307"/>
      <c r="N37" s="307"/>
      <c r="Q37" s="307"/>
      <c r="T37" s="307"/>
      <c r="W37" s="307"/>
      <c r="Z37" s="307"/>
      <c r="AC37" s="307"/>
      <c r="AF37" s="307"/>
      <c r="AI37" s="307"/>
      <c r="AL37" s="307"/>
      <c r="AO37" s="837"/>
      <c r="AR37" s="837"/>
      <c r="AU37" s="959"/>
      <c r="AX37" s="837"/>
      <c r="BA37" s="837"/>
      <c r="BD37" s="837"/>
      <c r="BG37" s="837"/>
      <c r="BJ37" s="837"/>
      <c r="BM37" s="837"/>
      <c r="BP37" s="837"/>
      <c r="BS37" s="837"/>
    </row>
    <row r="38" spans="1:73">
      <c r="A38" s="1158" t="s">
        <v>119</v>
      </c>
      <c r="B38" s="1158"/>
      <c r="C38" s="61"/>
      <c r="D38" s="61"/>
      <c r="E38" s="61"/>
      <c r="F38" s="61"/>
      <c r="G38" s="61"/>
      <c r="J38" s="62" t="s">
        <v>120</v>
      </c>
      <c r="K38" s="228"/>
      <c r="L38" s="228"/>
      <c r="M38" s="234"/>
      <c r="N38" s="228"/>
      <c r="O38" s="228"/>
      <c r="P38" s="234"/>
      <c r="Q38" s="228"/>
      <c r="R38" s="228"/>
      <c r="S38" s="234"/>
      <c r="T38" s="228"/>
      <c r="U38" s="228"/>
      <c r="V38" s="234"/>
      <c r="W38" s="228"/>
      <c r="X38" s="228"/>
      <c r="Y38" s="234"/>
      <c r="Z38" s="228"/>
      <c r="AA38" s="228"/>
      <c r="AB38" s="234"/>
      <c r="AC38" s="228"/>
      <c r="AD38" s="228"/>
      <c r="AE38" s="234"/>
      <c r="AF38" s="228"/>
      <c r="AG38" s="228"/>
      <c r="AH38" s="234"/>
      <c r="AI38" s="228"/>
      <c r="AJ38" s="228"/>
      <c r="AK38" s="234"/>
      <c r="AL38" s="228"/>
      <c r="AM38" s="228"/>
      <c r="AN38" s="234"/>
      <c r="AO38" s="228"/>
      <c r="AP38" s="228"/>
      <c r="AQ38" s="234"/>
      <c r="AR38" s="228"/>
      <c r="AS38" s="228"/>
      <c r="AT38" s="234"/>
      <c r="AU38" s="947"/>
      <c r="AV38" s="947"/>
      <c r="AW38" s="234"/>
      <c r="AX38" s="228"/>
      <c r="AY38" s="228"/>
      <c r="AZ38" s="234"/>
      <c r="BA38" s="228"/>
      <c r="BB38" s="228"/>
      <c r="BC38" s="234"/>
      <c r="BD38" s="228"/>
      <c r="BE38" s="228"/>
      <c r="BF38" s="234"/>
      <c r="BG38" s="228"/>
      <c r="BH38" s="228"/>
      <c r="BI38" s="234"/>
      <c r="BJ38" s="228"/>
      <c r="BK38" s="228"/>
      <c r="BL38" s="234"/>
      <c r="BM38" s="228"/>
      <c r="BN38" s="228"/>
      <c r="BO38" s="234"/>
      <c r="BP38" s="228"/>
      <c r="BQ38" s="228"/>
      <c r="BR38" s="234"/>
      <c r="BS38" s="228"/>
      <c r="BT38" s="228"/>
      <c r="BU38" s="234"/>
    </row>
    <row r="39" spans="1:73">
      <c r="A39" s="73"/>
      <c r="B39" s="30"/>
      <c r="C39" s="74"/>
      <c r="D39" s="74"/>
      <c r="E39" s="74"/>
      <c r="F39" s="74"/>
      <c r="G39" s="74"/>
      <c r="H39" s="74"/>
      <c r="I39" s="279"/>
      <c r="J39" s="279"/>
      <c r="K39" s="279"/>
      <c r="L39" s="279"/>
      <c r="M39" s="238" t="s">
        <v>94</v>
      </c>
      <c r="N39" s="279"/>
      <c r="O39" s="279"/>
      <c r="P39" s="251"/>
      <c r="Q39" s="279"/>
      <c r="R39" s="279"/>
      <c r="S39" s="251" t="s">
        <v>94</v>
      </c>
      <c r="T39" s="279"/>
      <c r="U39" s="279"/>
      <c r="V39" s="251"/>
      <c r="W39" s="279"/>
      <c r="X39" s="279"/>
      <c r="Y39" s="251" t="s">
        <v>94</v>
      </c>
      <c r="Z39" s="279"/>
      <c r="AA39" s="279"/>
      <c r="AB39" s="251"/>
      <c r="AC39" s="279"/>
      <c r="AD39" s="279"/>
      <c r="AE39" s="251" t="s">
        <v>94</v>
      </c>
      <c r="AF39" s="279"/>
      <c r="AG39" s="279"/>
      <c r="AH39" s="251"/>
      <c r="AI39" s="279"/>
      <c r="AJ39" s="279"/>
      <c r="AK39" s="251" t="s">
        <v>94</v>
      </c>
      <c r="AL39" s="279"/>
      <c r="AM39" s="279"/>
      <c r="AN39" s="251"/>
      <c r="AO39" s="746"/>
      <c r="AP39" s="746"/>
      <c r="AQ39" s="251" t="s">
        <v>94</v>
      </c>
      <c r="AR39" s="746"/>
      <c r="AS39" s="746"/>
      <c r="AT39" s="675"/>
      <c r="AU39" s="961"/>
      <c r="AV39" s="961"/>
      <c r="AW39" s="675" t="s">
        <v>94</v>
      </c>
      <c r="AX39" s="746"/>
      <c r="AY39" s="746"/>
      <c r="AZ39" s="675"/>
      <c r="BA39" s="746"/>
      <c r="BB39" s="746"/>
      <c r="BC39" s="675" t="s">
        <v>94</v>
      </c>
      <c r="BD39" s="746"/>
      <c r="BE39" s="746"/>
      <c r="BF39" s="675"/>
      <c r="BG39" s="746"/>
      <c r="BH39" s="746"/>
      <c r="BI39" s="675" t="s">
        <v>94</v>
      </c>
      <c r="BJ39" s="746"/>
      <c r="BK39" s="746"/>
      <c r="BL39" s="675"/>
      <c r="BM39" s="746"/>
      <c r="BN39" s="746"/>
      <c r="BO39" s="675" t="s">
        <v>94</v>
      </c>
      <c r="BP39" s="746"/>
      <c r="BQ39" s="746"/>
      <c r="BR39" s="675"/>
      <c r="BS39" s="746"/>
      <c r="BT39" s="746"/>
      <c r="BU39" s="675" t="s">
        <v>94</v>
      </c>
    </row>
    <row r="40" spans="1:73">
      <c r="A40" s="1157" t="s">
        <v>95</v>
      </c>
      <c r="B40" s="1157"/>
      <c r="C40" s="1156" t="s">
        <v>3</v>
      </c>
      <c r="D40" s="1156" t="s">
        <v>4</v>
      </c>
      <c r="E40" s="1156" t="s">
        <v>5</v>
      </c>
      <c r="F40" s="1156" t="s">
        <v>6</v>
      </c>
      <c r="G40" s="1156" t="s">
        <v>7</v>
      </c>
      <c r="H40" s="1156" t="s">
        <v>8</v>
      </c>
      <c r="I40" s="1156" t="s">
        <v>83</v>
      </c>
      <c r="J40" s="1156" t="s">
        <v>315</v>
      </c>
      <c r="K40" s="1155" t="s">
        <v>40</v>
      </c>
      <c r="L40" s="1156"/>
      <c r="M40" s="1157"/>
      <c r="N40" s="1155" t="s">
        <v>505</v>
      </c>
      <c r="O40" s="1156"/>
      <c r="P40" s="1157"/>
      <c r="Q40" s="1155" t="s">
        <v>506</v>
      </c>
      <c r="R40" s="1156"/>
      <c r="S40" s="1157"/>
      <c r="T40" s="1155" t="s">
        <v>513</v>
      </c>
      <c r="U40" s="1156"/>
      <c r="V40" s="1157"/>
      <c r="W40" s="1155" t="s">
        <v>514</v>
      </c>
      <c r="X40" s="1156"/>
      <c r="Y40" s="1157"/>
      <c r="Z40" s="1155" t="s">
        <v>531</v>
      </c>
      <c r="AA40" s="1156"/>
      <c r="AB40" s="1157"/>
      <c r="AC40" s="1155" t="s">
        <v>533</v>
      </c>
      <c r="AD40" s="1156"/>
      <c r="AE40" s="1157"/>
      <c r="AF40" s="1155" t="s">
        <v>575</v>
      </c>
      <c r="AG40" s="1156"/>
      <c r="AH40" s="1157"/>
      <c r="AI40" s="1155" t="s">
        <v>576</v>
      </c>
      <c r="AJ40" s="1156"/>
      <c r="AK40" s="1157"/>
      <c r="AL40" s="1155" t="s">
        <v>583</v>
      </c>
      <c r="AM40" s="1156"/>
      <c r="AN40" s="1157"/>
      <c r="AO40" s="1155" t="s">
        <v>584</v>
      </c>
      <c r="AP40" s="1156"/>
      <c r="AQ40" s="1157"/>
      <c r="AR40" s="1155" t="s">
        <v>621</v>
      </c>
      <c r="AS40" s="1156"/>
      <c r="AT40" s="1157"/>
      <c r="AU40" s="1155" t="s">
        <v>622</v>
      </c>
      <c r="AV40" s="1156"/>
      <c r="AW40" s="1157"/>
      <c r="AX40" s="1155" t="s">
        <v>626</v>
      </c>
      <c r="AY40" s="1156"/>
      <c r="AZ40" s="1157"/>
      <c r="BA40" s="1155" t="s">
        <v>628</v>
      </c>
      <c r="BB40" s="1156"/>
      <c r="BC40" s="1157"/>
      <c r="BD40" s="1155" t="s">
        <v>648</v>
      </c>
      <c r="BE40" s="1156"/>
      <c r="BF40" s="1157"/>
      <c r="BG40" s="1155" t="s">
        <v>651</v>
      </c>
      <c r="BH40" s="1156"/>
      <c r="BI40" s="1157"/>
      <c r="BJ40" s="1155" t="s">
        <v>674</v>
      </c>
      <c r="BK40" s="1156"/>
      <c r="BL40" s="1157"/>
      <c r="BM40" s="1155" t="s">
        <v>675</v>
      </c>
      <c r="BN40" s="1156"/>
      <c r="BO40" s="1157"/>
      <c r="BP40" s="1155" t="s">
        <v>712</v>
      </c>
      <c r="BQ40" s="1156"/>
      <c r="BR40" s="1157"/>
      <c r="BS40" s="1155" t="s">
        <v>741</v>
      </c>
      <c r="BT40" s="1156"/>
      <c r="BU40" s="1157"/>
    </row>
    <row r="41" spans="1:73">
      <c r="A41" s="1157"/>
      <c r="B41" s="1157"/>
      <c r="C41" s="1156"/>
      <c r="D41" s="1156"/>
      <c r="E41" s="1156"/>
      <c r="F41" s="1156"/>
      <c r="G41" s="1156"/>
      <c r="H41" s="1156"/>
      <c r="I41" s="1156"/>
      <c r="J41" s="1156"/>
      <c r="K41" s="413" t="s">
        <v>445</v>
      </c>
      <c r="L41" s="294" t="s">
        <v>446</v>
      </c>
      <c r="M41" s="236" t="s">
        <v>10</v>
      </c>
      <c r="N41" s="413" t="s">
        <v>445</v>
      </c>
      <c r="O41" s="294" t="s">
        <v>446</v>
      </c>
      <c r="P41" s="250" t="s">
        <v>10</v>
      </c>
      <c r="Q41" s="413" t="s">
        <v>445</v>
      </c>
      <c r="R41" s="294" t="s">
        <v>446</v>
      </c>
      <c r="S41" s="250" t="s">
        <v>10</v>
      </c>
      <c r="T41" s="413" t="s">
        <v>445</v>
      </c>
      <c r="U41" s="294" t="s">
        <v>446</v>
      </c>
      <c r="V41" s="250" t="s">
        <v>10</v>
      </c>
      <c r="W41" s="413" t="s">
        <v>445</v>
      </c>
      <c r="X41" s="294" t="s">
        <v>446</v>
      </c>
      <c r="Y41" s="250" t="s">
        <v>10</v>
      </c>
      <c r="Z41" s="413" t="s">
        <v>445</v>
      </c>
      <c r="AA41" s="294" t="s">
        <v>446</v>
      </c>
      <c r="AB41" s="250" t="s">
        <v>10</v>
      </c>
      <c r="AC41" s="413" t="s">
        <v>445</v>
      </c>
      <c r="AD41" s="294" t="s">
        <v>446</v>
      </c>
      <c r="AE41" s="250" t="s">
        <v>10</v>
      </c>
      <c r="AF41" s="413" t="s">
        <v>577</v>
      </c>
      <c r="AG41" s="294" t="s">
        <v>578</v>
      </c>
      <c r="AH41" s="250" t="s">
        <v>10</v>
      </c>
      <c r="AI41" s="413" t="s">
        <v>577</v>
      </c>
      <c r="AJ41" s="294" t="s">
        <v>578</v>
      </c>
      <c r="AK41" s="250" t="s">
        <v>10</v>
      </c>
      <c r="AL41" s="413" t="s">
        <v>445</v>
      </c>
      <c r="AM41" s="294" t="s">
        <v>446</v>
      </c>
      <c r="AN41" s="250" t="s">
        <v>10</v>
      </c>
      <c r="AO41" s="685" t="s">
        <v>445</v>
      </c>
      <c r="AP41" s="680" t="s">
        <v>446</v>
      </c>
      <c r="AQ41" s="250" t="s">
        <v>10</v>
      </c>
      <c r="AR41" s="685" t="s">
        <v>445</v>
      </c>
      <c r="AS41" s="680" t="s">
        <v>446</v>
      </c>
      <c r="AT41" s="674" t="s">
        <v>10</v>
      </c>
      <c r="AU41" s="949" t="s">
        <v>445</v>
      </c>
      <c r="AV41" s="950" t="s">
        <v>446</v>
      </c>
      <c r="AW41" s="674" t="s">
        <v>10</v>
      </c>
      <c r="AX41" s="685" t="s">
        <v>445</v>
      </c>
      <c r="AY41" s="680" t="s">
        <v>446</v>
      </c>
      <c r="AZ41" s="674" t="s">
        <v>10</v>
      </c>
      <c r="BA41" s="685" t="s">
        <v>445</v>
      </c>
      <c r="BB41" s="680" t="s">
        <v>446</v>
      </c>
      <c r="BC41" s="674" t="s">
        <v>10</v>
      </c>
      <c r="BD41" s="685" t="s">
        <v>670</v>
      </c>
      <c r="BE41" s="680" t="s">
        <v>671</v>
      </c>
      <c r="BF41" s="674" t="s">
        <v>10</v>
      </c>
      <c r="BG41" s="685" t="s">
        <v>670</v>
      </c>
      <c r="BH41" s="680" t="s">
        <v>671</v>
      </c>
      <c r="BI41" s="674" t="s">
        <v>10</v>
      </c>
      <c r="BJ41" s="685" t="s">
        <v>698</v>
      </c>
      <c r="BK41" s="680" t="s">
        <v>699</v>
      </c>
      <c r="BL41" s="674" t="s">
        <v>10</v>
      </c>
      <c r="BM41" s="685" t="s">
        <v>698</v>
      </c>
      <c r="BN41" s="680" t="s">
        <v>699</v>
      </c>
      <c r="BO41" s="674" t="s">
        <v>10</v>
      </c>
      <c r="BP41" s="685" t="s">
        <v>445</v>
      </c>
      <c r="BQ41" s="680" t="s">
        <v>446</v>
      </c>
      <c r="BR41" s="674" t="s">
        <v>10</v>
      </c>
      <c r="BS41" s="685" t="s">
        <v>445</v>
      </c>
      <c r="BT41" s="680" t="s">
        <v>446</v>
      </c>
      <c r="BU41" s="674" t="s">
        <v>10</v>
      </c>
    </row>
    <row r="42" spans="1:73">
      <c r="A42" s="76"/>
      <c r="B42" s="77" t="s">
        <v>373</v>
      </c>
      <c r="C42" s="189">
        <v>18473</v>
      </c>
      <c r="D42" s="189">
        <v>18684</v>
      </c>
      <c r="E42" s="189">
        <v>20203</v>
      </c>
      <c r="F42" s="189">
        <v>20628</v>
      </c>
      <c r="G42" s="189">
        <v>13775</v>
      </c>
      <c r="H42" s="189">
        <v>17365</v>
      </c>
      <c r="I42" s="188">
        <v>15932</v>
      </c>
      <c r="J42" s="44">
        <v>14360</v>
      </c>
      <c r="K42" s="323">
        <v>1360</v>
      </c>
      <c r="L42" s="414">
        <v>1056</v>
      </c>
      <c r="M42" s="231">
        <f t="shared" ref="M42:M57" si="69">ROUND(((L42/K42-1)*100), 1)</f>
        <v>-22.4</v>
      </c>
      <c r="N42" s="323">
        <f t="shared" ref="N42:N61" si="70">Q42-K42</f>
        <v>931</v>
      </c>
      <c r="O42" s="414">
        <f t="shared" ref="O42:O61" si="71">R42-L42</f>
        <v>1025</v>
      </c>
      <c r="P42" s="231">
        <f t="shared" ref="P42:P57" si="72">ROUND(((O42/N42-1)*100), 1)</f>
        <v>10.1</v>
      </c>
      <c r="Q42" s="323">
        <v>2291</v>
      </c>
      <c r="R42" s="414">
        <v>2081</v>
      </c>
      <c r="S42" s="231">
        <f t="shared" ref="S42:S57" si="73">ROUND(((R42/Q42-1)*100), 1)</f>
        <v>-9.1999999999999993</v>
      </c>
      <c r="T42" s="323">
        <f t="shared" ref="T42:T61" si="74">W42-Q42</f>
        <v>1154</v>
      </c>
      <c r="U42" s="414">
        <f t="shared" ref="U42:U61" si="75">X42-R42</f>
        <v>1237</v>
      </c>
      <c r="V42" s="231">
        <f t="shared" ref="V42:V58" si="76">ROUND(((U42/T42-1)*100), 1)</f>
        <v>7.2</v>
      </c>
      <c r="W42" s="323">
        <v>3445</v>
      </c>
      <c r="X42" s="414">
        <v>3318</v>
      </c>
      <c r="Y42" s="231">
        <f t="shared" ref="Y42:Y58" si="77">ROUND(((X42/W42-1)*100), 1)</f>
        <v>-3.7</v>
      </c>
      <c r="Z42" s="323">
        <f t="shared" ref="Z42:Z61" si="78">AC42-W42</f>
        <v>1127</v>
      </c>
      <c r="AA42" s="414">
        <f t="shared" ref="AA42:AA61" si="79">AD42-X42</f>
        <v>1340</v>
      </c>
      <c r="AB42" s="231">
        <f t="shared" ref="AB42:AB52" si="80">ROUND(((AA42/Z42-1)*100), 1)</f>
        <v>18.899999999999999</v>
      </c>
      <c r="AC42" s="323">
        <v>4572</v>
      </c>
      <c r="AD42" s="414">
        <v>4658</v>
      </c>
      <c r="AE42" s="231">
        <f t="shared" ref="AE42:AE58" si="81">ROUND(((AD42/AC42-1)*100), 1)</f>
        <v>1.9</v>
      </c>
      <c r="AF42" s="323">
        <f t="shared" ref="AF42:AG61" si="82">AI42-AC42</f>
        <v>1337</v>
      </c>
      <c r="AG42" s="414">
        <f t="shared" si="82"/>
        <v>1102</v>
      </c>
      <c r="AH42" s="231">
        <f t="shared" ref="AH42:AH58" si="83">ROUND(((AG42/AF42-1)*100), 1)</f>
        <v>-17.600000000000001</v>
      </c>
      <c r="AI42" s="323">
        <v>5909</v>
      </c>
      <c r="AJ42" s="414">
        <v>5760</v>
      </c>
      <c r="AK42" s="231">
        <f t="shared" ref="AK42:AK58" si="84">ROUND(((AJ42/AI42-1)*100), 1)</f>
        <v>-2.5</v>
      </c>
      <c r="AL42" s="323">
        <f t="shared" ref="AL42:AL61" si="85">AO42-AI42</f>
        <v>1019</v>
      </c>
      <c r="AM42" s="414">
        <f t="shared" ref="AM42:AM61" si="86">AP42-AJ42</f>
        <v>1185</v>
      </c>
      <c r="AN42" s="231">
        <f t="shared" ref="AN42:AN58" si="87">ROUND(((AM42/AL42-1)*100), 1)</f>
        <v>16.3</v>
      </c>
      <c r="AO42" s="551">
        <v>6928</v>
      </c>
      <c r="AP42" s="414">
        <v>6945</v>
      </c>
      <c r="AQ42" s="231">
        <f t="shared" ref="AQ42:AQ58" si="88">ROUND(((AP42/AO42-1)*100), 1)</f>
        <v>0.2</v>
      </c>
      <c r="AR42" s="551">
        <f t="shared" ref="AR42:AS61" si="89">AU42-AO42</f>
        <v>1405</v>
      </c>
      <c r="AS42" s="414">
        <f t="shared" si="89"/>
        <v>1281</v>
      </c>
      <c r="AT42" s="651">
        <f t="shared" ref="AT42:AT58" si="90">ROUND(((AS42/AR42-1)*100), 1)</f>
        <v>-8.8000000000000007</v>
      </c>
      <c r="AU42" s="951">
        <v>8333</v>
      </c>
      <c r="AV42" s="952">
        <v>8226</v>
      </c>
      <c r="AW42" s="651">
        <f t="shared" ref="AW42:AW58" si="91">ROUND(((AV42/AU42-1)*100), 1)</f>
        <v>-1.3</v>
      </c>
      <c r="AX42" s="551">
        <f t="shared" ref="AX42:AX61" si="92">BA42-AU42</f>
        <v>886</v>
      </c>
      <c r="AY42" s="414">
        <f t="shared" ref="AY42:AY61" si="93">BB42-AV42</f>
        <v>1155</v>
      </c>
      <c r="AZ42" s="651">
        <f t="shared" ref="AZ42:AZ59" si="94">ROUND(((AY42/AX42-1)*100), 1)</f>
        <v>30.4</v>
      </c>
      <c r="BA42" s="551">
        <v>9219</v>
      </c>
      <c r="BB42" s="414">
        <v>9381</v>
      </c>
      <c r="BC42" s="651">
        <f t="shared" ref="BC42:BC58" si="95">ROUND(((BB42/BA42-1)*100), 1)</f>
        <v>1.8</v>
      </c>
      <c r="BD42" s="551">
        <f t="shared" ref="BD42:BE61" si="96">BG42-BA42</f>
        <v>1021</v>
      </c>
      <c r="BE42" s="414">
        <f t="shared" si="96"/>
        <v>1472</v>
      </c>
      <c r="BF42" s="651">
        <f t="shared" ref="BF42:BF55" si="97">ROUND(((BE42/BD42-1)*100), 1)</f>
        <v>44.2</v>
      </c>
      <c r="BG42" s="551">
        <v>10240</v>
      </c>
      <c r="BH42" s="414">
        <v>10853</v>
      </c>
      <c r="BI42" s="651">
        <f t="shared" ref="BI42:BI58" si="98">ROUND(((BH42/BG42-1)*100), 1)</f>
        <v>6</v>
      </c>
      <c r="BJ42" s="551">
        <f t="shared" ref="BJ42:BK61" si="99">BM42-BG42</f>
        <v>1294</v>
      </c>
      <c r="BK42" s="414">
        <f t="shared" si="99"/>
        <v>1363</v>
      </c>
      <c r="BL42" s="651">
        <f t="shared" ref="BL42:BL46" si="100">ROUND(((BK42/BJ42-1)*100), 1)</f>
        <v>5.3</v>
      </c>
      <c r="BM42" s="551">
        <v>11534</v>
      </c>
      <c r="BN42" s="414">
        <v>12216</v>
      </c>
      <c r="BO42" s="651">
        <f t="shared" ref="BO42:BO58" si="101">ROUND(((BN42/BM42-1)*100), 1)</f>
        <v>5.9</v>
      </c>
      <c r="BP42" s="551">
        <f t="shared" ref="BP42:BQ61" si="102">BS42-BM42</f>
        <v>1494</v>
      </c>
      <c r="BQ42" s="414">
        <f t="shared" si="102"/>
        <v>1523</v>
      </c>
      <c r="BR42" s="651">
        <f t="shared" ref="BR42:BR55" si="103">ROUND(((BQ42/BP42-1)*100), 1)</f>
        <v>1.9</v>
      </c>
      <c r="BS42" s="551">
        <v>13028</v>
      </c>
      <c r="BT42" s="414">
        <v>13739</v>
      </c>
      <c r="BU42" s="651">
        <f t="shared" ref="BU42:BU58" si="104">ROUND(((BT42/BS42-1)*100), 1)</f>
        <v>5.5</v>
      </c>
    </row>
    <row r="43" spans="1:73">
      <c r="A43" s="4" t="s">
        <v>121</v>
      </c>
      <c r="B43" s="79" t="s">
        <v>367</v>
      </c>
      <c r="C43" s="188">
        <v>16056</v>
      </c>
      <c r="D43" s="188">
        <v>17442</v>
      </c>
      <c r="E43" s="188">
        <v>17810</v>
      </c>
      <c r="F43" s="188">
        <v>12449</v>
      </c>
      <c r="G43" s="188">
        <v>6612</v>
      </c>
      <c r="H43" s="188">
        <v>8492</v>
      </c>
      <c r="I43" s="188">
        <v>9636</v>
      </c>
      <c r="J43" s="44">
        <v>8677</v>
      </c>
      <c r="K43" s="323">
        <v>954</v>
      </c>
      <c r="L43" s="414">
        <v>586</v>
      </c>
      <c r="M43" s="242">
        <f t="shared" si="69"/>
        <v>-38.6</v>
      </c>
      <c r="N43" s="323">
        <f t="shared" si="70"/>
        <v>641</v>
      </c>
      <c r="O43" s="414">
        <f t="shared" si="71"/>
        <v>601</v>
      </c>
      <c r="P43" s="242">
        <f t="shared" si="72"/>
        <v>-6.2</v>
      </c>
      <c r="Q43" s="323">
        <v>1595</v>
      </c>
      <c r="R43" s="414">
        <v>1187</v>
      </c>
      <c r="S43" s="242">
        <f t="shared" si="73"/>
        <v>-25.6</v>
      </c>
      <c r="T43" s="323">
        <f t="shared" si="74"/>
        <v>961</v>
      </c>
      <c r="U43" s="414">
        <f t="shared" si="75"/>
        <v>637</v>
      </c>
      <c r="V43" s="242">
        <f t="shared" si="76"/>
        <v>-33.700000000000003</v>
      </c>
      <c r="W43" s="323">
        <v>2556</v>
      </c>
      <c r="X43" s="414">
        <v>1824</v>
      </c>
      <c r="Y43" s="242">
        <f t="shared" si="77"/>
        <v>-28.6</v>
      </c>
      <c r="Z43" s="323">
        <f t="shared" si="78"/>
        <v>711</v>
      </c>
      <c r="AA43" s="414">
        <f t="shared" si="79"/>
        <v>599</v>
      </c>
      <c r="AB43" s="242">
        <f t="shared" si="80"/>
        <v>-15.8</v>
      </c>
      <c r="AC43" s="323">
        <v>3267</v>
      </c>
      <c r="AD43" s="414">
        <v>2423</v>
      </c>
      <c r="AE43" s="242">
        <f t="shared" si="81"/>
        <v>-25.8</v>
      </c>
      <c r="AF43" s="323">
        <f t="shared" si="82"/>
        <v>664</v>
      </c>
      <c r="AG43" s="414">
        <f t="shared" si="82"/>
        <v>498</v>
      </c>
      <c r="AH43" s="242">
        <f t="shared" si="83"/>
        <v>-25</v>
      </c>
      <c r="AI43" s="323">
        <v>3931</v>
      </c>
      <c r="AJ43" s="414">
        <v>2921</v>
      </c>
      <c r="AK43" s="242">
        <f t="shared" si="84"/>
        <v>-25.7</v>
      </c>
      <c r="AL43" s="323">
        <f t="shared" si="85"/>
        <v>590</v>
      </c>
      <c r="AM43" s="414">
        <f t="shared" si="86"/>
        <v>439</v>
      </c>
      <c r="AN43" s="242">
        <f t="shared" si="87"/>
        <v>-25.6</v>
      </c>
      <c r="AO43" s="551">
        <v>4521</v>
      </c>
      <c r="AP43" s="414">
        <v>3360</v>
      </c>
      <c r="AQ43" s="242">
        <f t="shared" si="88"/>
        <v>-25.7</v>
      </c>
      <c r="AR43" s="551">
        <f t="shared" si="89"/>
        <v>683</v>
      </c>
      <c r="AS43" s="414">
        <f t="shared" si="89"/>
        <v>602</v>
      </c>
      <c r="AT43" s="753">
        <f t="shared" si="90"/>
        <v>-11.9</v>
      </c>
      <c r="AU43" s="951">
        <v>5204</v>
      </c>
      <c r="AV43" s="952">
        <v>3962</v>
      </c>
      <c r="AW43" s="753">
        <f t="shared" si="91"/>
        <v>-23.9</v>
      </c>
      <c r="AX43" s="551">
        <f t="shared" si="92"/>
        <v>581</v>
      </c>
      <c r="AY43" s="414">
        <f t="shared" si="93"/>
        <v>399</v>
      </c>
      <c r="AZ43" s="753">
        <f t="shared" si="94"/>
        <v>-31.3</v>
      </c>
      <c r="BA43" s="551">
        <v>5785</v>
      </c>
      <c r="BB43" s="414">
        <v>4361</v>
      </c>
      <c r="BC43" s="753">
        <f t="shared" si="95"/>
        <v>-24.6</v>
      </c>
      <c r="BD43" s="551">
        <f t="shared" si="96"/>
        <v>538</v>
      </c>
      <c r="BE43" s="414">
        <f t="shared" si="96"/>
        <v>626</v>
      </c>
      <c r="BF43" s="753">
        <f t="shared" si="97"/>
        <v>16.399999999999999</v>
      </c>
      <c r="BG43" s="551">
        <v>6323</v>
      </c>
      <c r="BH43" s="414">
        <v>4987</v>
      </c>
      <c r="BI43" s="753">
        <f t="shared" si="98"/>
        <v>-21.1</v>
      </c>
      <c r="BJ43" s="551">
        <f t="shared" si="99"/>
        <v>773</v>
      </c>
      <c r="BK43" s="414">
        <f t="shared" si="99"/>
        <v>525</v>
      </c>
      <c r="BL43" s="753">
        <f t="shared" si="100"/>
        <v>-32.1</v>
      </c>
      <c r="BM43" s="551">
        <v>7096</v>
      </c>
      <c r="BN43" s="414">
        <v>5512</v>
      </c>
      <c r="BO43" s="753">
        <f t="shared" si="101"/>
        <v>-22.3</v>
      </c>
      <c r="BP43" s="551">
        <f t="shared" si="102"/>
        <v>742</v>
      </c>
      <c r="BQ43" s="414">
        <f t="shared" si="102"/>
        <v>640</v>
      </c>
      <c r="BR43" s="753">
        <f t="shared" si="103"/>
        <v>-13.7</v>
      </c>
      <c r="BS43" s="551">
        <v>7838</v>
      </c>
      <c r="BT43" s="414">
        <v>6152</v>
      </c>
      <c r="BU43" s="753">
        <f t="shared" si="104"/>
        <v>-21.5</v>
      </c>
    </row>
    <row r="44" spans="1:73">
      <c r="A44" s="4"/>
      <c r="B44" s="79" t="s">
        <v>354</v>
      </c>
      <c r="C44" s="188">
        <v>5430</v>
      </c>
      <c r="D44" s="188">
        <v>6190</v>
      </c>
      <c r="E44" s="188">
        <v>4846</v>
      </c>
      <c r="F44" s="188">
        <v>8049</v>
      </c>
      <c r="G44" s="188">
        <v>4445</v>
      </c>
      <c r="H44" s="188">
        <v>8634</v>
      </c>
      <c r="I44" s="188">
        <v>9244</v>
      </c>
      <c r="J44" s="44">
        <v>7459</v>
      </c>
      <c r="K44" s="323">
        <v>530</v>
      </c>
      <c r="L44" s="414">
        <v>910</v>
      </c>
      <c r="M44" s="242">
        <f t="shared" si="69"/>
        <v>71.7</v>
      </c>
      <c r="N44" s="323">
        <f t="shared" si="70"/>
        <v>560</v>
      </c>
      <c r="O44" s="414">
        <f t="shared" si="71"/>
        <v>1297</v>
      </c>
      <c r="P44" s="242">
        <f t="shared" si="72"/>
        <v>131.6</v>
      </c>
      <c r="Q44" s="323">
        <v>1090</v>
      </c>
      <c r="R44" s="414">
        <v>2207</v>
      </c>
      <c r="S44" s="242">
        <f t="shared" si="73"/>
        <v>102.5</v>
      </c>
      <c r="T44" s="323">
        <f t="shared" si="74"/>
        <v>694</v>
      </c>
      <c r="U44" s="414">
        <f t="shared" si="75"/>
        <v>636</v>
      </c>
      <c r="V44" s="242">
        <f t="shared" si="76"/>
        <v>-8.4</v>
      </c>
      <c r="W44" s="323">
        <v>1784</v>
      </c>
      <c r="X44" s="414">
        <v>2843</v>
      </c>
      <c r="Y44" s="242">
        <f t="shared" si="77"/>
        <v>59.4</v>
      </c>
      <c r="Z44" s="323">
        <f t="shared" si="78"/>
        <v>534</v>
      </c>
      <c r="AA44" s="414">
        <f t="shared" si="79"/>
        <v>934</v>
      </c>
      <c r="AB44" s="242">
        <f t="shared" si="80"/>
        <v>74.900000000000006</v>
      </c>
      <c r="AC44" s="323">
        <v>2318</v>
      </c>
      <c r="AD44" s="414">
        <v>3777</v>
      </c>
      <c r="AE44" s="242">
        <f t="shared" si="81"/>
        <v>62.9</v>
      </c>
      <c r="AF44" s="323">
        <f t="shared" si="82"/>
        <v>662</v>
      </c>
      <c r="AG44" s="414">
        <f t="shared" si="82"/>
        <v>523</v>
      </c>
      <c r="AH44" s="242">
        <f t="shared" si="83"/>
        <v>-21</v>
      </c>
      <c r="AI44" s="323">
        <v>2980</v>
      </c>
      <c r="AJ44" s="414">
        <v>4300</v>
      </c>
      <c r="AK44" s="242">
        <f t="shared" si="84"/>
        <v>44.3</v>
      </c>
      <c r="AL44" s="323">
        <f t="shared" si="85"/>
        <v>826</v>
      </c>
      <c r="AM44" s="414">
        <f t="shared" si="86"/>
        <v>456</v>
      </c>
      <c r="AN44" s="242">
        <f t="shared" si="87"/>
        <v>-44.8</v>
      </c>
      <c r="AO44" s="551">
        <v>3806</v>
      </c>
      <c r="AP44" s="414">
        <v>4756</v>
      </c>
      <c r="AQ44" s="242">
        <f t="shared" si="88"/>
        <v>25</v>
      </c>
      <c r="AR44" s="551">
        <f t="shared" si="89"/>
        <v>721</v>
      </c>
      <c r="AS44" s="414">
        <f t="shared" si="89"/>
        <v>451</v>
      </c>
      <c r="AT44" s="753">
        <f t="shared" si="90"/>
        <v>-37.4</v>
      </c>
      <c r="AU44" s="951">
        <v>4527</v>
      </c>
      <c r="AV44" s="952">
        <v>5207</v>
      </c>
      <c r="AW44" s="753">
        <f t="shared" si="91"/>
        <v>15</v>
      </c>
      <c r="AX44" s="551">
        <f t="shared" si="92"/>
        <v>604</v>
      </c>
      <c r="AY44" s="414">
        <f t="shared" si="93"/>
        <v>405</v>
      </c>
      <c r="AZ44" s="753">
        <f t="shared" si="94"/>
        <v>-32.9</v>
      </c>
      <c r="BA44" s="551">
        <v>5131</v>
      </c>
      <c r="BB44" s="414">
        <v>5612</v>
      </c>
      <c r="BC44" s="753">
        <f t="shared" si="95"/>
        <v>9.4</v>
      </c>
      <c r="BD44" s="551">
        <f t="shared" si="96"/>
        <v>532</v>
      </c>
      <c r="BE44" s="414">
        <f t="shared" si="96"/>
        <v>825</v>
      </c>
      <c r="BF44" s="753">
        <f t="shared" si="97"/>
        <v>55.1</v>
      </c>
      <c r="BG44" s="551">
        <v>5663</v>
      </c>
      <c r="BH44" s="414">
        <v>6437</v>
      </c>
      <c r="BI44" s="753">
        <f t="shared" si="98"/>
        <v>13.7</v>
      </c>
      <c r="BJ44" s="551">
        <f t="shared" si="99"/>
        <v>469</v>
      </c>
      <c r="BK44" s="414">
        <f t="shared" si="99"/>
        <v>1187</v>
      </c>
      <c r="BL44" s="753">
        <f t="shared" si="100"/>
        <v>153.1</v>
      </c>
      <c r="BM44" s="551">
        <v>6132</v>
      </c>
      <c r="BN44" s="414">
        <v>7624</v>
      </c>
      <c r="BO44" s="753">
        <f t="shared" si="101"/>
        <v>24.3</v>
      </c>
      <c r="BP44" s="551">
        <f t="shared" si="102"/>
        <v>526</v>
      </c>
      <c r="BQ44" s="414">
        <f t="shared" si="102"/>
        <v>604</v>
      </c>
      <c r="BR44" s="753">
        <f t="shared" si="103"/>
        <v>14.8</v>
      </c>
      <c r="BS44" s="551">
        <v>6658</v>
      </c>
      <c r="BT44" s="414">
        <v>8228</v>
      </c>
      <c r="BU44" s="753">
        <f t="shared" si="104"/>
        <v>23.6</v>
      </c>
    </row>
    <row r="45" spans="1:73">
      <c r="A45" s="4"/>
      <c r="B45" s="79" t="s">
        <v>375</v>
      </c>
      <c r="C45" s="188">
        <v>721</v>
      </c>
      <c r="D45" s="188">
        <v>722</v>
      </c>
      <c r="E45" s="188">
        <v>1176</v>
      </c>
      <c r="F45" s="188">
        <v>2351</v>
      </c>
      <c r="G45" s="188">
        <v>3032</v>
      </c>
      <c r="H45" s="188">
        <v>2693</v>
      </c>
      <c r="I45" s="188">
        <v>3470</v>
      </c>
      <c r="J45" s="44">
        <v>3847</v>
      </c>
      <c r="K45" s="323">
        <v>297</v>
      </c>
      <c r="L45" s="414">
        <v>265</v>
      </c>
      <c r="M45" s="242">
        <f t="shared" si="69"/>
        <v>-10.8</v>
      </c>
      <c r="N45" s="323">
        <f t="shared" si="70"/>
        <v>203</v>
      </c>
      <c r="O45" s="414">
        <f t="shared" si="71"/>
        <v>295</v>
      </c>
      <c r="P45" s="242">
        <f t="shared" si="72"/>
        <v>45.3</v>
      </c>
      <c r="Q45" s="323">
        <v>500</v>
      </c>
      <c r="R45" s="414">
        <v>560</v>
      </c>
      <c r="S45" s="242">
        <f t="shared" si="73"/>
        <v>12</v>
      </c>
      <c r="T45" s="323">
        <f t="shared" si="74"/>
        <v>493</v>
      </c>
      <c r="U45" s="414">
        <f t="shared" si="75"/>
        <v>287</v>
      </c>
      <c r="V45" s="242">
        <f t="shared" si="76"/>
        <v>-41.8</v>
      </c>
      <c r="W45" s="323">
        <v>993</v>
      </c>
      <c r="X45" s="414">
        <v>847</v>
      </c>
      <c r="Y45" s="242">
        <f t="shared" si="77"/>
        <v>-14.7</v>
      </c>
      <c r="Z45" s="323">
        <f t="shared" si="78"/>
        <v>361</v>
      </c>
      <c r="AA45" s="414">
        <f t="shared" si="79"/>
        <v>175</v>
      </c>
      <c r="AB45" s="242">
        <f t="shared" si="80"/>
        <v>-51.5</v>
      </c>
      <c r="AC45" s="323">
        <v>1354</v>
      </c>
      <c r="AD45" s="414">
        <v>1022</v>
      </c>
      <c r="AE45" s="242">
        <f t="shared" si="81"/>
        <v>-24.5</v>
      </c>
      <c r="AF45" s="323">
        <f t="shared" si="82"/>
        <v>242</v>
      </c>
      <c r="AG45" s="414">
        <f t="shared" si="82"/>
        <v>272</v>
      </c>
      <c r="AH45" s="242">
        <f t="shared" si="83"/>
        <v>12.4</v>
      </c>
      <c r="AI45" s="323">
        <v>1596</v>
      </c>
      <c r="AJ45" s="414">
        <v>1294</v>
      </c>
      <c r="AK45" s="242">
        <f t="shared" si="84"/>
        <v>-18.899999999999999</v>
      </c>
      <c r="AL45" s="323">
        <f t="shared" si="85"/>
        <v>246</v>
      </c>
      <c r="AM45" s="414">
        <f t="shared" si="86"/>
        <v>235</v>
      </c>
      <c r="AN45" s="242">
        <f t="shared" si="87"/>
        <v>-4.5</v>
      </c>
      <c r="AO45" s="551">
        <v>1842</v>
      </c>
      <c r="AP45" s="414">
        <v>1529</v>
      </c>
      <c r="AQ45" s="242">
        <f t="shared" si="88"/>
        <v>-17</v>
      </c>
      <c r="AR45" s="551">
        <f t="shared" si="89"/>
        <v>305</v>
      </c>
      <c r="AS45" s="414">
        <f t="shared" si="89"/>
        <v>197</v>
      </c>
      <c r="AT45" s="753">
        <f t="shared" si="90"/>
        <v>-35.4</v>
      </c>
      <c r="AU45" s="951">
        <v>2147</v>
      </c>
      <c r="AV45" s="952">
        <v>1726</v>
      </c>
      <c r="AW45" s="753">
        <f t="shared" si="91"/>
        <v>-19.600000000000001</v>
      </c>
      <c r="AX45" s="551">
        <f t="shared" si="92"/>
        <v>258</v>
      </c>
      <c r="AY45" s="414">
        <f t="shared" si="93"/>
        <v>207</v>
      </c>
      <c r="AZ45" s="753">
        <f t="shared" si="94"/>
        <v>-19.8</v>
      </c>
      <c r="BA45" s="551">
        <v>2405</v>
      </c>
      <c r="BB45" s="414">
        <v>1933</v>
      </c>
      <c r="BC45" s="753">
        <f t="shared" si="95"/>
        <v>-19.600000000000001</v>
      </c>
      <c r="BD45" s="551">
        <f t="shared" si="96"/>
        <v>319</v>
      </c>
      <c r="BE45" s="414">
        <f t="shared" si="96"/>
        <v>276</v>
      </c>
      <c r="BF45" s="753">
        <f t="shared" si="97"/>
        <v>-13.5</v>
      </c>
      <c r="BG45" s="551">
        <v>2724</v>
      </c>
      <c r="BH45" s="414">
        <v>2209</v>
      </c>
      <c r="BI45" s="753">
        <f t="shared" si="98"/>
        <v>-18.899999999999999</v>
      </c>
      <c r="BJ45" s="551">
        <f t="shared" si="99"/>
        <v>373</v>
      </c>
      <c r="BK45" s="414">
        <f t="shared" si="99"/>
        <v>241</v>
      </c>
      <c r="BL45" s="753">
        <f t="shared" si="100"/>
        <v>-35.4</v>
      </c>
      <c r="BM45" s="551">
        <v>3097</v>
      </c>
      <c r="BN45" s="414">
        <v>2450</v>
      </c>
      <c r="BO45" s="753">
        <f t="shared" si="101"/>
        <v>-20.9</v>
      </c>
      <c r="BP45" s="551">
        <f t="shared" si="102"/>
        <v>578</v>
      </c>
      <c r="BQ45" s="414">
        <f t="shared" si="102"/>
        <v>447</v>
      </c>
      <c r="BR45" s="753">
        <f t="shared" si="103"/>
        <v>-22.7</v>
      </c>
      <c r="BS45" s="551">
        <v>3675</v>
      </c>
      <c r="BT45" s="414">
        <v>2897</v>
      </c>
      <c r="BU45" s="753">
        <f t="shared" si="104"/>
        <v>-21.2</v>
      </c>
    </row>
    <row r="46" spans="1:73">
      <c r="A46" s="4"/>
      <c r="B46" s="79" t="s">
        <v>56</v>
      </c>
      <c r="C46" s="188">
        <v>2877</v>
      </c>
      <c r="D46" s="188">
        <v>2029</v>
      </c>
      <c r="E46" s="188">
        <v>2624</v>
      </c>
      <c r="F46" s="188">
        <v>1947</v>
      </c>
      <c r="G46" s="188">
        <v>2589</v>
      </c>
      <c r="H46" s="188">
        <v>2380</v>
      </c>
      <c r="I46" s="188">
        <v>2855</v>
      </c>
      <c r="J46" s="44">
        <v>2265</v>
      </c>
      <c r="K46" s="323">
        <v>241</v>
      </c>
      <c r="L46" s="414">
        <v>113</v>
      </c>
      <c r="M46" s="242">
        <f t="shared" si="69"/>
        <v>-53.1</v>
      </c>
      <c r="N46" s="323">
        <f t="shared" si="70"/>
        <v>94</v>
      </c>
      <c r="O46" s="414">
        <f t="shared" si="71"/>
        <v>100</v>
      </c>
      <c r="P46" s="242">
        <f t="shared" si="72"/>
        <v>6.4</v>
      </c>
      <c r="Q46" s="323">
        <v>335</v>
      </c>
      <c r="R46" s="414">
        <v>213</v>
      </c>
      <c r="S46" s="242">
        <f t="shared" si="73"/>
        <v>-36.4</v>
      </c>
      <c r="T46" s="323">
        <f t="shared" si="74"/>
        <v>167</v>
      </c>
      <c r="U46" s="414">
        <f t="shared" si="75"/>
        <v>181</v>
      </c>
      <c r="V46" s="242">
        <f t="shared" si="76"/>
        <v>8.4</v>
      </c>
      <c r="W46" s="323">
        <v>502</v>
      </c>
      <c r="X46" s="414">
        <v>394</v>
      </c>
      <c r="Y46" s="242">
        <f t="shared" si="77"/>
        <v>-21.5</v>
      </c>
      <c r="Z46" s="323">
        <f t="shared" si="78"/>
        <v>188</v>
      </c>
      <c r="AA46" s="414">
        <f t="shared" si="79"/>
        <v>146</v>
      </c>
      <c r="AB46" s="242">
        <f t="shared" si="80"/>
        <v>-22.3</v>
      </c>
      <c r="AC46" s="323">
        <v>690</v>
      </c>
      <c r="AD46" s="414">
        <v>540</v>
      </c>
      <c r="AE46" s="242">
        <f t="shared" si="81"/>
        <v>-21.7</v>
      </c>
      <c r="AF46" s="323">
        <f t="shared" si="82"/>
        <v>197</v>
      </c>
      <c r="AG46" s="414">
        <f t="shared" si="82"/>
        <v>121</v>
      </c>
      <c r="AH46" s="242">
        <f t="shared" si="83"/>
        <v>-38.6</v>
      </c>
      <c r="AI46" s="323">
        <v>887</v>
      </c>
      <c r="AJ46" s="414">
        <v>661</v>
      </c>
      <c r="AK46" s="242">
        <f t="shared" si="84"/>
        <v>-25.5</v>
      </c>
      <c r="AL46" s="323">
        <f t="shared" si="85"/>
        <v>298</v>
      </c>
      <c r="AM46" s="414">
        <f t="shared" si="86"/>
        <v>163</v>
      </c>
      <c r="AN46" s="242">
        <f t="shared" si="87"/>
        <v>-45.3</v>
      </c>
      <c r="AO46" s="551">
        <v>1185</v>
      </c>
      <c r="AP46" s="414">
        <v>824</v>
      </c>
      <c r="AQ46" s="242">
        <f t="shared" si="88"/>
        <v>-30.5</v>
      </c>
      <c r="AR46" s="551">
        <f t="shared" si="89"/>
        <v>286</v>
      </c>
      <c r="AS46" s="414">
        <f t="shared" si="89"/>
        <v>275</v>
      </c>
      <c r="AT46" s="753">
        <f t="shared" si="90"/>
        <v>-3.8</v>
      </c>
      <c r="AU46" s="951">
        <v>1471</v>
      </c>
      <c r="AV46" s="952">
        <v>1099</v>
      </c>
      <c r="AW46" s="753">
        <f t="shared" si="91"/>
        <v>-25.3</v>
      </c>
      <c r="AX46" s="551">
        <f t="shared" si="92"/>
        <v>107</v>
      </c>
      <c r="AY46" s="414">
        <f t="shared" si="93"/>
        <v>318</v>
      </c>
      <c r="AZ46" s="753">
        <f t="shared" si="94"/>
        <v>197.2</v>
      </c>
      <c r="BA46" s="551">
        <v>1578</v>
      </c>
      <c r="BB46" s="414">
        <v>1417</v>
      </c>
      <c r="BC46" s="753">
        <f t="shared" si="95"/>
        <v>-10.199999999999999</v>
      </c>
      <c r="BD46" s="551">
        <f t="shared" si="96"/>
        <v>102</v>
      </c>
      <c r="BE46" s="414">
        <f t="shared" si="96"/>
        <v>242</v>
      </c>
      <c r="BF46" s="753">
        <f t="shared" si="97"/>
        <v>137.30000000000001</v>
      </c>
      <c r="BG46" s="551">
        <v>1680</v>
      </c>
      <c r="BH46" s="414">
        <v>1659</v>
      </c>
      <c r="BI46" s="753">
        <f t="shared" si="98"/>
        <v>-1.3</v>
      </c>
      <c r="BJ46" s="551">
        <f t="shared" si="99"/>
        <v>164</v>
      </c>
      <c r="BK46" s="414">
        <f t="shared" si="99"/>
        <v>304</v>
      </c>
      <c r="BL46" s="753">
        <f t="shared" si="100"/>
        <v>85.4</v>
      </c>
      <c r="BM46" s="551">
        <v>1844</v>
      </c>
      <c r="BN46" s="414">
        <v>1963</v>
      </c>
      <c r="BO46" s="753">
        <f t="shared" si="101"/>
        <v>6.5</v>
      </c>
      <c r="BP46" s="551">
        <f t="shared" si="102"/>
        <v>255</v>
      </c>
      <c r="BQ46" s="414">
        <f t="shared" si="102"/>
        <v>317</v>
      </c>
      <c r="BR46" s="753">
        <f t="shared" si="103"/>
        <v>24.3</v>
      </c>
      <c r="BS46" s="551">
        <v>2099</v>
      </c>
      <c r="BT46" s="414">
        <v>2280</v>
      </c>
      <c r="BU46" s="753">
        <f t="shared" si="104"/>
        <v>8.6</v>
      </c>
    </row>
    <row r="47" spans="1:73">
      <c r="A47" s="4"/>
      <c r="B47" s="79" t="s">
        <v>353</v>
      </c>
      <c r="C47" s="188">
        <v>1676</v>
      </c>
      <c r="D47" s="188">
        <v>1087</v>
      </c>
      <c r="E47" s="188">
        <v>1305</v>
      </c>
      <c r="F47" s="188">
        <v>948</v>
      </c>
      <c r="G47" s="188">
        <v>992</v>
      </c>
      <c r="H47" s="188">
        <v>1258</v>
      </c>
      <c r="I47" s="188">
        <v>1418</v>
      </c>
      <c r="J47" s="44">
        <v>2071</v>
      </c>
      <c r="K47" s="323">
        <v>188</v>
      </c>
      <c r="L47" s="414">
        <v>167</v>
      </c>
      <c r="M47" s="242">
        <f t="shared" si="69"/>
        <v>-11.2</v>
      </c>
      <c r="N47" s="323">
        <f t="shared" si="70"/>
        <v>187</v>
      </c>
      <c r="O47" s="414">
        <f t="shared" si="71"/>
        <v>179</v>
      </c>
      <c r="P47" s="242">
        <f t="shared" si="72"/>
        <v>-4.3</v>
      </c>
      <c r="Q47" s="323">
        <v>375</v>
      </c>
      <c r="R47" s="414">
        <v>346</v>
      </c>
      <c r="S47" s="242">
        <f t="shared" si="73"/>
        <v>-7.7</v>
      </c>
      <c r="T47" s="323">
        <f t="shared" si="74"/>
        <v>164</v>
      </c>
      <c r="U47" s="414">
        <f t="shared" si="75"/>
        <v>236</v>
      </c>
      <c r="V47" s="242">
        <f t="shared" si="76"/>
        <v>43.9</v>
      </c>
      <c r="W47" s="323">
        <v>539</v>
      </c>
      <c r="X47" s="414">
        <v>582</v>
      </c>
      <c r="Y47" s="242">
        <f t="shared" si="77"/>
        <v>8</v>
      </c>
      <c r="Z47" s="323">
        <f t="shared" si="78"/>
        <v>309</v>
      </c>
      <c r="AA47" s="414">
        <f t="shared" si="79"/>
        <v>510</v>
      </c>
      <c r="AB47" s="242">
        <f t="shared" si="80"/>
        <v>65</v>
      </c>
      <c r="AC47" s="323">
        <v>848</v>
      </c>
      <c r="AD47" s="414">
        <v>1092</v>
      </c>
      <c r="AE47" s="242">
        <f t="shared" si="81"/>
        <v>28.8</v>
      </c>
      <c r="AF47" s="323">
        <f t="shared" si="82"/>
        <v>339</v>
      </c>
      <c r="AG47" s="414">
        <f t="shared" si="82"/>
        <v>277</v>
      </c>
      <c r="AH47" s="242">
        <f t="shared" si="83"/>
        <v>-18.3</v>
      </c>
      <c r="AI47" s="323">
        <v>1187</v>
      </c>
      <c r="AJ47" s="414">
        <v>1369</v>
      </c>
      <c r="AK47" s="242">
        <f t="shared" si="84"/>
        <v>15.3</v>
      </c>
      <c r="AL47" s="323">
        <f t="shared" si="85"/>
        <v>209</v>
      </c>
      <c r="AM47" s="414">
        <f t="shared" si="86"/>
        <v>281</v>
      </c>
      <c r="AN47" s="242">
        <f t="shared" si="87"/>
        <v>34.4</v>
      </c>
      <c r="AO47" s="551">
        <v>1396</v>
      </c>
      <c r="AP47" s="414">
        <v>1650</v>
      </c>
      <c r="AQ47" s="242">
        <f t="shared" si="88"/>
        <v>18.2</v>
      </c>
      <c r="AR47" s="551">
        <f t="shared" si="89"/>
        <v>123</v>
      </c>
      <c r="AS47" s="414">
        <f t="shared" si="89"/>
        <v>144</v>
      </c>
      <c r="AT47" s="753">
        <f t="shared" si="90"/>
        <v>17.100000000000001</v>
      </c>
      <c r="AU47" s="951">
        <v>1519</v>
      </c>
      <c r="AV47" s="952">
        <v>1794</v>
      </c>
      <c r="AW47" s="753">
        <f t="shared" si="91"/>
        <v>18.100000000000001</v>
      </c>
      <c r="AX47" s="551">
        <f t="shared" si="92"/>
        <v>165</v>
      </c>
      <c r="AY47" s="414">
        <f t="shared" si="93"/>
        <v>177</v>
      </c>
      <c r="AZ47" s="753">
        <f t="shared" si="94"/>
        <v>7.3</v>
      </c>
      <c r="BA47" s="551">
        <v>1684</v>
      </c>
      <c r="BB47" s="414">
        <v>1971</v>
      </c>
      <c r="BC47" s="753">
        <f t="shared" si="95"/>
        <v>17</v>
      </c>
      <c r="BD47" s="551">
        <f t="shared" si="96"/>
        <v>0</v>
      </c>
      <c r="BE47" s="414">
        <f t="shared" si="96"/>
        <v>284</v>
      </c>
      <c r="BF47" s="799">
        <v>0</v>
      </c>
      <c r="BG47" s="551">
        <v>1684</v>
      </c>
      <c r="BH47" s="414">
        <v>2255</v>
      </c>
      <c r="BI47" s="753">
        <f t="shared" si="98"/>
        <v>33.9</v>
      </c>
      <c r="BJ47" s="551">
        <f t="shared" si="99"/>
        <v>129</v>
      </c>
      <c r="BK47" s="414">
        <f t="shared" si="99"/>
        <v>128</v>
      </c>
      <c r="BL47" s="753">
        <f>ROUND(((BK47/BJ47-1)*100), 1)</f>
        <v>-0.8</v>
      </c>
      <c r="BM47" s="551">
        <v>1813</v>
      </c>
      <c r="BN47" s="414">
        <v>2383</v>
      </c>
      <c r="BO47" s="753">
        <f t="shared" si="101"/>
        <v>31.4</v>
      </c>
      <c r="BP47" s="551">
        <f t="shared" si="102"/>
        <v>114</v>
      </c>
      <c r="BQ47" s="414">
        <f t="shared" si="102"/>
        <v>280</v>
      </c>
      <c r="BR47" s="753">
        <f t="shared" si="103"/>
        <v>145.6</v>
      </c>
      <c r="BS47" s="551">
        <v>1927</v>
      </c>
      <c r="BT47" s="414">
        <v>2663</v>
      </c>
      <c r="BU47" s="753">
        <f t="shared" si="104"/>
        <v>38.200000000000003</v>
      </c>
    </row>
    <row r="48" spans="1:73">
      <c r="A48" s="4"/>
      <c r="B48" s="79" t="s">
        <v>358</v>
      </c>
      <c r="C48" s="188">
        <v>7024</v>
      </c>
      <c r="D48" s="188">
        <v>8079</v>
      </c>
      <c r="E48" s="188">
        <v>6741</v>
      </c>
      <c r="F48" s="188">
        <v>5452</v>
      </c>
      <c r="G48" s="188">
        <v>2300</v>
      </c>
      <c r="H48" s="188">
        <v>2243</v>
      </c>
      <c r="I48" s="188">
        <v>2147</v>
      </c>
      <c r="J48" s="44">
        <v>1866</v>
      </c>
      <c r="K48" s="323">
        <v>187</v>
      </c>
      <c r="L48" s="414">
        <v>84</v>
      </c>
      <c r="M48" s="242">
        <f t="shared" si="69"/>
        <v>-55.1</v>
      </c>
      <c r="N48" s="323">
        <f t="shared" si="70"/>
        <v>169</v>
      </c>
      <c r="O48" s="414">
        <f t="shared" si="71"/>
        <v>80</v>
      </c>
      <c r="P48" s="242">
        <f t="shared" si="72"/>
        <v>-52.7</v>
      </c>
      <c r="Q48" s="323">
        <v>356</v>
      </c>
      <c r="R48" s="414">
        <v>164</v>
      </c>
      <c r="S48" s="242">
        <f t="shared" si="73"/>
        <v>-53.9</v>
      </c>
      <c r="T48" s="323">
        <f t="shared" si="74"/>
        <v>122</v>
      </c>
      <c r="U48" s="414">
        <f t="shared" si="75"/>
        <v>206</v>
      </c>
      <c r="V48" s="242">
        <f t="shared" si="76"/>
        <v>68.900000000000006</v>
      </c>
      <c r="W48" s="323">
        <v>478</v>
      </c>
      <c r="X48" s="414">
        <v>370</v>
      </c>
      <c r="Y48" s="242">
        <f t="shared" si="77"/>
        <v>-22.6</v>
      </c>
      <c r="Z48" s="323">
        <f t="shared" si="78"/>
        <v>108</v>
      </c>
      <c r="AA48" s="414">
        <f t="shared" si="79"/>
        <v>181</v>
      </c>
      <c r="AB48" s="242">
        <f t="shared" si="80"/>
        <v>67.599999999999994</v>
      </c>
      <c r="AC48" s="323">
        <v>586</v>
      </c>
      <c r="AD48" s="414">
        <v>551</v>
      </c>
      <c r="AE48" s="242">
        <f t="shared" si="81"/>
        <v>-6</v>
      </c>
      <c r="AF48" s="323">
        <f t="shared" si="82"/>
        <v>204</v>
      </c>
      <c r="AG48" s="414">
        <f t="shared" si="82"/>
        <v>141</v>
      </c>
      <c r="AH48" s="242">
        <f t="shared" si="83"/>
        <v>-30.9</v>
      </c>
      <c r="AI48" s="323">
        <v>790</v>
      </c>
      <c r="AJ48" s="414">
        <v>692</v>
      </c>
      <c r="AK48" s="242">
        <f t="shared" si="84"/>
        <v>-12.4</v>
      </c>
      <c r="AL48" s="323">
        <f t="shared" si="85"/>
        <v>149</v>
      </c>
      <c r="AM48" s="414">
        <f t="shared" si="86"/>
        <v>129</v>
      </c>
      <c r="AN48" s="242">
        <f t="shared" si="87"/>
        <v>-13.4</v>
      </c>
      <c r="AO48" s="551">
        <v>939</v>
      </c>
      <c r="AP48" s="414">
        <v>821</v>
      </c>
      <c r="AQ48" s="242">
        <f t="shared" si="88"/>
        <v>-12.6</v>
      </c>
      <c r="AR48" s="551">
        <f t="shared" si="89"/>
        <v>197</v>
      </c>
      <c r="AS48" s="414">
        <f t="shared" si="89"/>
        <v>172</v>
      </c>
      <c r="AT48" s="753">
        <f t="shared" si="90"/>
        <v>-12.7</v>
      </c>
      <c r="AU48" s="951">
        <v>1136</v>
      </c>
      <c r="AV48" s="952">
        <v>993</v>
      </c>
      <c r="AW48" s="753">
        <f t="shared" si="91"/>
        <v>-12.6</v>
      </c>
      <c r="AX48" s="551">
        <f t="shared" si="92"/>
        <v>171</v>
      </c>
      <c r="AY48" s="414">
        <f t="shared" si="93"/>
        <v>103</v>
      </c>
      <c r="AZ48" s="753">
        <f t="shared" si="94"/>
        <v>-39.799999999999997</v>
      </c>
      <c r="BA48" s="551">
        <v>1307</v>
      </c>
      <c r="BB48" s="414">
        <v>1096</v>
      </c>
      <c r="BC48" s="753">
        <f t="shared" si="95"/>
        <v>-16.100000000000001</v>
      </c>
      <c r="BD48" s="551">
        <f t="shared" si="96"/>
        <v>137</v>
      </c>
      <c r="BE48" s="414">
        <f t="shared" si="96"/>
        <v>247</v>
      </c>
      <c r="BF48" s="753">
        <f t="shared" si="97"/>
        <v>80.3</v>
      </c>
      <c r="BG48" s="551">
        <v>1444</v>
      </c>
      <c r="BH48" s="414">
        <v>1343</v>
      </c>
      <c r="BI48" s="753">
        <f t="shared" si="98"/>
        <v>-7</v>
      </c>
      <c r="BJ48" s="551">
        <f t="shared" si="99"/>
        <v>158</v>
      </c>
      <c r="BK48" s="414">
        <f t="shared" si="99"/>
        <v>222</v>
      </c>
      <c r="BL48" s="753">
        <f t="shared" ref="BL48:BL55" si="105">ROUND(((BK48/BJ48-1)*100), 1)</f>
        <v>40.5</v>
      </c>
      <c r="BM48" s="551">
        <v>1602</v>
      </c>
      <c r="BN48" s="414">
        <v>1565</v>
      </c>
      <c r="BO48" s="753">
        <f t="shared" si="101"/>
        <v>-2.2999999999999998</v>
      </c>
      <c r="BP48" s="551">
        <f t="shared" si="102"/>
        <v>144</v>
      </c>
      <c r="BQ48" s="414">
        <f t="shared" si="102"/>
        <v>256</v>
      </c>
      <c r="BR48" s="753">
        <f t="shared" si="103"/>
        <v>77.8</v>
      </c>
      <c r="BS48" s="551">
        <v>1746</v>
      </c>
      <c r="BT48" s="414">
        <v>1821</v>
      </c>
      <c r="BU48" s="753">
        <f t="shared" si="104"/>
        <v>4.3</v>
      </c>
    </row>
    <row r="49" spans="1:73">
      <c r="A49" s="4"/>
      <c r="B49" s="79" t="s">
        <v>360</v>
      </c>
      <c r="C49" s="188">
        <v>1018</v>
      </c>
      <c r="D49" s="188">
        <v>1861</v>
      </c>
      <c r="E49" s="188">
        <v>1334</v>
      </c>
      <c r="F49" s="188">
        <v>2095</v>
      </c>
      <c r="G49" s="188">
        <v>1184</v>
      </c>
      <c r="H49" s="188">
        <v>2224</v>
      </c>
      <c r="I49" s="188">
        <v>2073</v>
      </c>
      <c r="J49" s="44">
        <v>1662</v>
      </c>
      <c r="K49" s="323">
        <v>47</v>
      </c>
      <c r="L49" s="414">
        <v>47</v>
      </c>
      <c r="M49" s="242">
        <f t="shared" si="69"/>
        <v>0</v>
      </c>
      <c r="N49" s="323">
        <f t="shared" si="70"/>
        <v>42</v>
      </c>
      <c r="O49" s="414">
        <f t="shared" si="71"/>
        <v>193</v>
      </c>
      <c r="P49" s="242">
        <f t="shared" si="72"/>
        <v>359.5</v>
      </c>
      <c r="Q49" s="323">
        <v>89</v>
      </c>
      <c r="R49" s="414">
        <v>240</v>
      </c>
      <c r="S49" s="242">
        <f t="shared" si="73"/>
        <v>169.7</v>
      </c>
      <c r="T49" s="323">
        <f t="shared" si="74"/>
        <v>113</v>
      </c>
      <c r="U49" s="414">
        <f t="shared" si="75"/>
        <v>185</v>
      </c>
      <c r="V49" s="242">
        <f t="shared" si="76"/>
        <v>63.7</v>
      </c>
      <c r="W49" s="323">
        <v>202</v>
      </c>
      <c r="X49" s="414">
        <v>425</v>
      </c>
      <c r="Y49" s="242">
        <f t="shared" si="77"/>
        <v>110.4</v>
      </c>
      <c r="Z49" s="323">
        <f t="shared" si="78"/>
        <v>221</v>
      </c>
      <c r="AA49" s="414">
        <f t="shared" si="79"/>
        <v>76</v>
      </c>
      <c r="AB49" s="242">
        <f t="shared" si="80"/>
        <v>-65.599999999999994</v>
      </c>
      <c r="AC49" s="323">
        <v>423</v>
      </c>
      <c r="AD49" s="414">
        <v>501</v>
      </c>
      <c r="AE49" s="242">
        <f t="shared" si="81"/>
        <v>18.399999999999999</v>
      </c>
      <c r="AF49" s="323">
        <f t="shared" si="82"/>
        <v>101</v>
      </c>
      <c r="AG49" s="414">
        <f t="shared" si="82"/>
        <v>174</v>
      </c>
      <c r="AH49" s="242">
        <f t="shared" si="83"/>
        <v>72.3</v>
      </c>
      <c r="AI49" s="323">
        <v>524</v>
      </c>
      <c r="AJ49" s="414">
        <v>675</v>
      </c>
      <c r="AK49" s="242">
        <f t="shared" si="84"/>
        <v>28.8</v>
      </c>
      <c r="AL49" s="323">
        <f t="shared" si="85"/>
        <v>207</v>
      </c>
      <c r="AM49" s="414">
        <f t="shared" si="86"/>
        <v>128</v>
      </c>
      <c r="AN49" s="242">
        <f t="shared" si="87"/>
        <v>-38.200000000000003</v>
      </c>
      <c r="AO49" s="551">
        <v>731</v>
      </c>
      <c r="AP49" s="414">
        <v>803</v>
      </c>
      <c r="AQ49" s="242">
        <f t="shared" si="88"/>
        <v>9.8000000000000007</v>
      </c>
      <c r="AR49" s="551">
        <f t="shared" si="89"/>
        <v>108</v>
      </c>
      <c r="AS49" s="414">
        <f t="shared" si="89"/>
        <v>106</v>
      </c>
      <c r="AT49" s="753">
        <f t="shared" si="90"/>
        <v>-1.9</v>
      </c>
      <c r="AU49" s="951">
        <v>839</v>
      </c>
      <c r="AV49" s="952">
        <v>909</v>
      </c>
      <c r="AW49" s="753">
        <f t="shared" si="91"/>
        <v>8.3000000000000007</v>
      </c>
      <c r="AX49" s="551">
        <f t="shared" si="92"/>
        <v>60</v>
      </c>
      <c r="AY49" s="414">
        <f t="shared" si="93"/>
        <v>121</v>
      </c>
      <c r="AZ49" s="753">
        <f t="shared" si="94"/>
        <v>101.7</v>
      </c>
      <c r="BA49" s="551">
        <v>899</v>
      </c>
      <c r="BB49" s="414">
        <v>1030</v>
      </c>
      <c r="BC49" s="753">
        <f t="shared" si="95"/>
        <v>14.6</v>
      </c>
      <c r="BD49" s="551">
        <f t="shared" si="96"/>
        <v>135</v>
      </c>
      <c r="BE49" s="414">
        <f t="shared" si="96"/>
        <v>198</v>
      </c>
      <c r="BF49" s="753">
        <f t="shared" si="97"/>
        <v>46.7</v>
      </c>
      <c r="BG49" s="551">
        <v>1034</v>
      </c>
      <c r="BH49" s="414">
        <v>1228</v>
      </c>
      <c r="BI49" s="753">
        <f t="shared" si="98"/>
        <v>18.8</v>
      </c>
      <c r="BJ49" s="551">
        <f t="shared" si="99"/>
        <v>251</v>
      </c>
      <c r="BK49" s="414">
        <f t="shared" si="99"/>
        <v>179</v>
      </c>
      <c r="BL49" s="753">
        <f t="shared" si="105"/>
        <v>-28.7</v>
      </c>
      <c r="BM49" s="551">
        <v>1285</v>
      </c>
      <c r="BN49" s="414">
        <v>1407</v>
      </c>
      <c r="BO49" s="753">
        <f t="shared" si="101"/>
        <v>9.5</v>
      </c>
      <c r="BP49" s="551">
        <f t="shared" si="102"/>
        <v>224</v>
      </c>
      <c r="BQ49" s="414">
        <f t="shared" si="102"/>
        <v>189</v>
      </c>
      <c r="BR49" s="753">
        <f t="shared" si="103"/>
        <v>-15.6</v>
      </c>
      <c r="BS49" s="551">
        <v>1509</v>
      </c>
      <c r="BT49" s="414">
        <v>1596</v>
      </c>
      <c r="BU49" s="753">
        <f t="shared" si="104"/>
        <v>5.8</v>
      </c>
    </row>
    <row r="50" spans="1:73">
      <c r="A50" s="4"/>
      <c r="B50" s="79" t="s">
        <v>355</v>
      </c>
      <c r="C50" s="188">
        <v>3742</v>
      </c>
      <c r="D50" s="188">
        <v>4275</v>
      </c>
      <c r="E50" s="188">
        <v>3682</v>
      </c>
      <c r="F50" s="188">
        <v>2589</v>
      </c>
      <c r="G50" s="188">
        <v>1226</v>
      </c>
      <c r="H50" s="188">
        <v>1457</v>
      </c>
      <c r="I50" s="188">
        <v>1450</v>
      </c>
      <c r="J50" s="44">
        <v>1317</v>
      </c>
      <c r="K50" s="323">
        <v>124</v>
      </c>
      <c r="L50" s="414">
        <v>125</v>
      </c>
      <c r="M50" s="242">
        <f t="shared" si="69"/>
        <v>0.8</v>
      </c>
      <c r="N50" s="323">
        <f t="shared" si="70"/>
        <v>112</v>
      </c>
      <c r="O50" s="414">
        <f t="shared" si="71"/>
        <v>46</v>
      </c>
      <c r="P50" s="242">
        <f t="shared" si="72"/>
        <v>-58.9</v>
      </c>
      <c r="Q50" s="323">
        <v>236</v>
      </c>
      <c r="R50" s="414">
        <v>171</v>
      </c>
      <c r="S50" s="242">
        <f t="shared" si="73"/>
        <v>-27.5</v>
      </c>
      <c r="T50" s="323">
        <f t="shared" si="74"/>
        <v>102</v>
      </c>
      <c r="U50" s="414">
        <f t="shared" si="75"/>
        <v>146</v>
      </c>
      <c r="V50" s="242">
        <f t="shared" si="76"/>
        <v>43.1</v>
      </c>
      <c r="W50" s="323">
        <v>338</v>
      </c>
      <c r="X50" s="414">
        <v>317</v>
      </c>
      <c r="Y50" s="242">
        <f t="shared" si="77"/>
        <v>-6.2</v>
      </c>
      <c r="Z50" s="323">
        <f t="shared" si="78"/>
        <v>100</v>
      </c>
      <c r="AA50" s="414">
        <f t="shared" si="79"/>
        <v>110</v>
      </c>
      <c r="AB50" s="242">
        <f t="shared" si="80"/>
        <v>10</v>
      </c>
      <c r="AC50" s="323">
        <v>438</v>
      </c>
      <c r="AD50" s="414">
        <v>427</v>
      </c>
      <c r="AE50" s="242">
        <f t="shared" si="81"/>
        <v>-2.5</v>
      </c>
      <c r="AF50" s="323">
        <f t="shared" si="82"/>
        <v>114</v>
      </c>
      <c r="AG50" s="414">
        <f t="shared" si="82"/>
        <v>87</v>
      </c>
      <c r="AH50" s="242">
        <f t="shared" si="83"/>
        <v>-23.7</v>
      </c>
      <c r="AI50" s="323">
        <v>552</v>
      </c>
      <c r="AJ50" s="414">
        <v>514</v>
      </c>
      <c r="AK50" s="242">
        <f t="shared" si="84"/>
        <v>-6.9</v>
      </c>
      <c r="AL50" s="323">
        <f t="shared" si="85"/>
        <v>126</v>
      </c>
      <c r="AM50" s="414">
        <f t="shared" si="86"/>
        <v>107</v>
      </c>
      <c r="AN50" s="242">
        <f t="shared" si="87"/>
        <v>-15.1</v>
      </c>
      <c r="AO50" s="551">
        <v>678</v>
      </c>
      <c r="AP50" s="414">
        <v>621</v>
      </c>
      <c r="AQ50" s="242">
        <f t="shared" si="88"/>
        <v>-8.4</v>
      </c>
      <c r="AR50" s="551">
        <f t="shared" si="89"/>
        <v>109</v>
      </c>
      <c r="AS50" s="414">
        <f t="shared" si="89"/>
        <v>91</v>
      </c>
      <c r="AT50" s="753">
        <f t="shared" si="90"/>
        <v>-16.5</v>
      </c>
      <c r="AU50" s="951">
        <v>787</v>
      </c>
      <c r="AV50" s="952">
        <v>712</v>
      </c>
      <c r="AW50" s="753">
        <f t="shared" si="91"/>
        <v>-9.5</v>
      </c>
      <c r="AX50" s="551">
        <f t="shared" si="92"/>
        <v>108</v>
      </c>
      <c r="AY50" s="414">
        <f t="shared" si="93"/>
        <v>78</v>
      </c>
      <c r="AZ50" s="753">
        <f t="shared" si="94"/>
        <v>-27.8</v>
      </c>
      <c r="BA50" s="551">
        <v>895</v>
      </c>
      <c r="BB50" s="414">
        <v>790</v>
      </c>
      <c r="BC50" s="753">
        <f t="shared" si="95"/>
        <v>-11.7</v>
      </c>
      <c r="BD50" s="551">
        <f t="shared" si="96"/>
        <v>97</v>
      </c>
      <c r="BE50" s="414">
        <f t="shared" si="96"/>
        <v>141</v>
      </c>
      <c r="BF50" s="753">
        <f t="shared" si="97"/>
        <v>45.4</v>
      </c>
      <c r="BG50" s="551">
        <v>992</v>
      </c>
      <c r="BH50" s="414">
        <v>931</v>
      </c>
      <c r="BI50" s="753">
        <f t="shared" si="98"/>
        <v>-6.1</v>
      </c>
      <c r="BJ50" s="551">
        <f t="shared" si="99"/>
        <v>210</v>
      </c>
      <c r="BK50" s="414">
        <f t="shared" si="99"/>
        <v>137</v>
      </c>
      <c r="BL50" s="753">
        <f t="shared" si="105"/>
        <v>-34.799999999999997</v>
      </c>
      <c r="BM50" s="551">
        <v>1202</v>
      </c>
      <c r="BN50" s="414">
        <v>1068</v>
      </c>
      <c r="BO50" s="753">
        <f t="shared" si="101"/>
        <v>-11.1</v>
      </c>
      <c r="BP50" s="551">
        <f t="shared" si="102"/>
        <v>48</v>
      </c>
      <c r="BQ50" s="414">
        <f t="shared" si="102"/>
        <v>115</v>
      </c>
      <c r="BR50" s="753">
        <f t="shared" si="103"/>
        <v>139.6</v>
      </c>
      <c r="BS50" s="551">
        <v>1250</v>
      </c>
      <c r="BT50" s="414">
        <v>1183</v>
      </c>
      <c r="BU50" s="753">
        <f t="shared" si="104"/>
        <v>-5.4</v>
      </c>
    </row>
    <row r="51" spans="1:73">
      <c r="A51" s="4"/>
      <c r="B51" s="79" t="s">
        <v>377</v>
      </c>
      <c r="C51" s="188">
        <v>35</v>
      </c>
      <c r="D51" s="188">
        <v>114</v>
      </c>
      <c r="E51" s="188">
        <v>242</v>
      </c>
      <c r="F51" s="188">
        <v>412</v>
      </c>
      <c r="G51" s="188">
        <v>327</v>
      </c>
      <c r="H51" s="188">
        <v>486</v>
      </c>
      <c r="I51" s="188">
        <v>982</v>
      </c>
      <c r="J51" s="44">
        <v>1129</v>
      </c>
      <c r="K51" s="323">
        <v>47</v>
      </c>
      <c r="L51" s="414">
        <v>237</v>
      </c>
      <c r="M51" s="242">
        <f t="shared" si="69"/>
        <v>404.3</v>
      </c>
      <c r="N51" s="323">
        <f t="shared" si="70"/>
        <v>55</v>
      </c>
      <c r="O51" s="414">
        <f t="shared" si="71"/>
        <v>133</v>
      </c>
      <c r="P51" s="242">
        <f t="shared" si="72"/>
        <v>141.80000000000001</v>
      </c>
      <c r="Q51" s="323">
        <v>102</v>
      </c>
      <c r="R51" s="414">
        <v>370</v>
      </c>
      <c r="S51" s="242">
        <f t="shared" si="73"/>
        <v>262.7</v>
      </c>
      <c r="T51" s="323">
        <f t="shared" si="74"/>
        <v>154</v>
      </c>
      <c r="U51" s="414">
        <f t="shared" si="75"/>
        <v>189</v>
      </c>
      <c r="V51" s="242">
        <f t="shared" si="76"/>
        <v>22.7</v>
      </c>
      <c r="W51" s="323">
        <v>256</v>
      </c>
      <c r="X51" s="414">
        <v>559</v>
      </c>
      <c r="Y51" s="242">
        <f t="shared" si="77"/>
        <v>118.4</v>
      </c>
      <c r="Z51" s="323">
        <f t="shared" si="78"/>
        <v>54</v>
      </c>
      <c r="AA51" s="414">
        <f t="shared" si="79"/>
        <v>20</v>
      </c>
      <c r="AB51" s="242">
        <f t="shared" si="80"/>
        <v>-63</v>
      </c>
      <c r="AC51" s="323">
        <v>310</v>
      </c>
      <c r="AD51" s="414">
        <v>579</v>
      </c>
      <c r="AE51" s="242">
        <f t="shared" si="81"/>
        <v>86.8</v>
      </c>
      <c r="AF51" s="323">
        <f t="shared" si="82"/>
        <v>48</v>
      </c>
      <c r="AG51" s="414">
        <f t="shared" si="82"/>
        <v>182</v>
      </c>
      <c r="AH51" s="242">
        <f t="shared" si="83"/>
        <v>279.2</v>
      </c>
      <c r="AI51" s="323">
        <v>358</v>
      </c>
      <c r="AJ51" s="414">
        <v>761</v>
      </c>
      <c r="AK51" s="242">
        <f t="shared" si="84"/>
        <v>112.6</v>
      </c>
      <c r="AL51" s="323">
        <f t="shared" si="85"/>
        <v>98</v>
      </c>
      <c r="AM51" s="414">
        <f t="shared" si="86"/>
        <v>150</v>
      </c>
      <c r="AN51" s="242">
        <f t="shared" si="87"/>
        <v>53.1</v>
      </c>
      <c r="AO51" s="551">
        <v>456</v>
      </c>
      <c r="AP51" s="414">
        <v>911</v>
      </c>
      <c r="AQ51" s="242">
        <f t="shared" si="88"/>
        <v>99.8</v>
      </c>
      <c r="AR51" s="551">
        <f t="shared" si="89"/>
        <v>167</v>
      </c>
      <c r="AS51" s="414">
        <f t="shared" si="89"/>
        <v>271</v>
      </c>
      <c r="AT51" s="753">
        <f t="shared" si="90"/>
        <v>62.3</v>
      </c>
      <c r="AU51" s="951">
        <v>623</v>
      </c>
      <c r="AV51" s="952">
        <v>1182</v>
      </c>
      <c r="AW51" s="753">
        <f t="shared" si="91"/>
        <v>89.7</v>
      </c>
      <c r="AX51" s="551">
        <f t="shared" si="92"/>
        <v>40</v>
      </c>
      <c r="AY51" s="414">
        <f t="shared" si="93"/>
        <v>250</v>
      </c>
      <c r="AZ51" s="753">
        <f t="shared" si="94"/>
        <v>525</v>
      </c>
      <c r="BA51" s="551">
        <v>663</v>
      </c>
      <c r="BB51" s="414">
        <v>1432</v>
      </c>
      <c r="BC51" s="753">
        <f t="shared" si="95"/>
        <v>116</v>
      </c>
      <c r="BD51" s="551">
        <f t="shared" si="96"/>
        <v>183</v>
      </c>
      <c r="BE51" s="414">
        <f t="shared" si="96"/>
        <v>177</v>
      </c>
      <c r="BF51" s="753">
        <f t="shared" si="97"/>
        <v>-3.3</v>
      </c>
      <c r="BG51" s="551">
        <v>846</v>
      </c>
      <c r="BH51" s="414">
        <v>1609</v>
      </c>
      <c r="BI51" s="753">
        <f t="shared" si="98"/>
        <v>90.2</v>
      </c>
      <c r="BJ51" s="551">
        <f t="shared" si="99"/>
        <v>88</v>
      </c>
      <c r="BK51" s="414">
        <f t="shared" si="99"/>
        <v>132</v>
      </c>
      <c r="BL51" s="753">
        <f t="shared" si="105"/>
        <v>50</v>
      </c>
      <c r="BM51" s="551">
        <v>934</v>
      </c>
      <c r="BN51" s="414">
        <v>1741</v>
      </c>
      <c r="BO51" s="753">
        <f t="shared" si="101"/>
        <v>86.4</v>
      </c>
      <c r="BP51" s="551">
        <f t="shared" si="102"/>
        <v>88</v>
      </c>
      <c r="BQ51" s="414">
        <f t="shared" si="102"/>
        <v>213</v>
      </c>
      <c r="BR51" s="753">
        <f t="shared" si="103"/>
        <v>142</v>
      </c>
      <c r="BS51" s="551">
        <v>1022</v>
      </c>
      <c r="BT51" s="414">
        <v>1954</v>
      </c>
      <c r="BU51" s="753">
        <f t="shared" si="104"/>
        <v>91.2</v>
      </c>
    </row>
    <row r="52" spans="1:73">
      <c r="A52" s="4"/>
      <c r="B52" s="79" t="s">
        <v>364</v>
      </c>
      <c r="C52" s="188">
        <v>1947</v>
      </c>
      <c r="D52" s="188">
        <v>1670</v>
      </c>
      <c r="E52" s="188">
        <v>1821</v>
      </c>
      <c r="F52" s="188">
        <v>1434</v>
      </c>
      <c r="G52" s="188">
        <v>906</v>
      </c>
      <c r="H52" s="188">
        <v>1375</v>
      </c>
      <c r="I52" s="188">
        <v>1067</v>
      </c>
      <c r="J52" s="44">
        <v>873</v>
      </c>
      <c r="K52" s="323">
        <v>41</v>
      </c>
      <c r="L52" s="414">
        <v>55</v>
      </c>
      <c r="M52" s="242">
        <f t="shared" si="69"/>
        <v>34.1</v>
      </c>
      <c r="N52" s="323">
        <f t="shared" si="70"/>
        <v>10</v>
      </c>
      <c r="O52" s="414">
        <f t="shared" si="71"/>
        <v>84</v>
      </c>
      <c r="P52" s="242">
        <f t="shared" si="72"/>
        <v>740</v>
      </c>
      <c r="Q52" s="323">
        <v>51</v>
      </c>
      <c r="R52" s="414">
        <v>139</v>
      </c>
      <c r="S52" s="242">
        <f t="shared" si="73"/>
        <v>172.5</v>
      </c>
      <c r="T52" s="323">
        <f t="shared" si="74"/>
        <v>147</v>
      </c>
      <c r="U52" s="414">
        <f t="shared" si="75"/>
        <v>28</v>
      </c>
      <c r="V52" s="242">
        <f t="shared" si="76"/>
        <v>-81</v>
      </c>
      <c r="W52" s="323">
        <v>198</v>
      </c>
      <c r="X52" s="414">
        <v>167</v>
      </c>
      <c r="Y52" s="242">
        <f t="shared" si="77"/>
        <v>-15.7</v>
      </c>
      <c r="Z52" s="323">
        <f t="shared" si="78"/>
        <v>51</v>
      </c>
      <c r="AA52" s="414">
        <f t="shared" si="79"/>
        <v>71</v>
      </c>
      <c r="AB52" s="242">
        <f t="shared" si="80"/>
        <v>39.200000000000003</v>
      </c>
      <c r="AC52" s="323">
        <v>249</v>
      </c>
      <c r="AD52" s="414">
        <v>238</v>
      </c>
      <c r="AE52" s="242">
        <f t="shared" si="81"/>
        <v>-4.4000000000000004</v>
      </c>
      <c r="AF52" s="323">
        <f t="shared" si="82"/>
        <v>52</v>
      </c>
      <c r="AG52" s="414">
        <f t="shared" si="82"/>
        <v>63</v>
      </c>
      <c r="AH52" s="242">
        <f t="shared" si="83"/>
        <v>21.2</v>
      </c>
      <c r="AI52" s="323">
        <v>301</v>
      </c>
      <c r="AJ52" s="414">
        <v>301</v>
      </c>
      <c r="AK52" s="242">
        <f t="shared" si="84"/>
        <v>0</v>
      </c>
      <c r="AL52" s="323">
        <f t="shared" si="85"/>
        <v>105</v>
      </c>
      <c r="AM52" s="414">
        <f t="shared" si="86"/>
        <v>93</v>
      </c>
      <c r="AN52" s="242">
        <f t="shared" si="87"/>
        <v>-11.4</v>
      </c>
      <c r="AO52" s="551">
        <v>406</v>
      </c>
      <c r="AP52" s="414">
        <v>394</v>
      </c>
      <c r="AQ52" s="242">
        <f t="shared" si="88"/>
        <v>-3</v>
      </c>
      <c r="AR52" s="551">
        <f t="shared" si="89"/>
        <v>82</v>
      </c>
      <c r="AS52" s="414">
        <f t="shared" si="89"/>
        <v>110</v>
      </c>
      <c r="AT52" s="753">
        <f t="shared" si="90"/>
        <v>34.1</v>
      </c>
      <c r="AU52" s="951">
        <v>488</v>
      </c>
      <c r="AV52" s="952">
        <v>504</v>
      </c>
      <c r="AW52" s="753">
        <f t="shared" si="91"/>
        <v>3.3</v>
      </c>
      <c r="AX52" s="551">
        <f t="shared" si="92"/>
        <v>38</v>
      </c>
      <c r="AY52" s="414">
        <f t="shared" si="93"/>
        <v>50</v>
      </c>
      <c r="AZ52" s="753">
        <f t="shared" si="94"/>
        <v>31.6</v>
      </c>
      <c r="BA52" s="551">
        <v>526</v>
      </c>
      <c r="BB52" s="414">
        <v>554</v>
      </c>
      <c r="BC52" s="753">
        <f t="shared" si="95"/>
        <v>5.3</v>
      </c>
      <c r="BD52" s="551">
        <f t="shared" si="96"/>
        <v>157</v>
      </c>
      <c r="BE52" s="414">
        <f t="shared" si="96"/>
        <v>103</v>
      </c>
      <c r="BF52" s="753">
        <f t="shared" si="97"/>
        <v>-34.4</v>
      </c>
      <c r="BG52" s="551">
        <v>683</v>
      </c>
      <c r="BH52" s="414">
        <v>657</v>
      </c>
      <c r="BI52" s="753">
        <f t="shared" si="98"/>
        <v>-3.8</v>
      </c>
      <c r="BJ52" s="551">
        <f t="shared" si="99"/>
        <v>68</v>
      </c>
      <c r="BK52" s="414">
        <f t="shared" si="99"/>
        <v>60</v>
      </c>
      <c r="BL52" s="753">
        <f t="shared" si="105"/>
        <v>-11.8</v>
      </c>
      <c r="BM52" s="551">
        <v>751</v>
      </c>
      <c r="BN52" s="414">
        <v>717</v>
      </c>
      <c r="BO52" s="753">
        <f t="shared" si="101"/>
        <v>-4.5</v>
      </c>
      <c r="BP52" s="551">
        <f t="shared" si="102"/>
        <v>29</v>
      </c>
      <c r="BQ52" s="414">
        <f t="shared" si="102"/>
        <v>65</v>
      </c>
      <c r="BR52" s="753">
        <f t="shared" si="103"/>
        <v>124.1</v>
      </c>
      <c r="BS52" s="551">
        <v>780</v>
      </c>
      <c r="BT52" s="414">
        <v>782</v>
      </c>
      <c r="BU52" s="753">
        <f t="shared" si="104"/>
        <v>0.3</v>
      </c>
    </row>
    <row r="53" spans="1:73">
      <c r="A53" s="4"/>
      <c r="B53" s="79" t="s">
        <v>376</v>
      </c>
      <c r="C53" s="188">
        <v>4</v>
      </c>
      <c r="D53" s="188">
        <v>6</v>
      </c>
      <c r="E53" s="188">
        <v>0</v>
      </c>
      <c r="F53" s="188">
        <v>11</v>
      </c>
      <c r="G53" s="188">
        <v>81</v>
      </c>
      <c r="H53" s="188">
        <v>449</v>
      </c>
      <c r="I53" s="188">
        <v>1633</v>
      </c>
      <c r="J53" s="44">
        <v>812</v>
      </c>
      <c r="K53" s="323">
        <v>120</v>
      </c>
      <c r="L53" s="414">
        <v>92</v>
      </c>
      <c r="M53" s="242">
        <f t="shared" si="69"/>
        <v>-23.3</v>
      </c>
      <c r="N53" s="323">
        <f t="shared" si="70"/>
        <v>84</v>
      </c>
      <c r="O53" s="414">
        <f t="shared" si="71"/>
        <v>70</v>
      </c>
      <c r="P53" s="242">
        <f t="shared" si="72"/>
        <v>-16.7</v>
      </c>
      <c r="Q53" s="323">
        <v>204</v>
      </c>
      <c r="R53" s="414">
        <v>162</v>
      </c>
      <c r="S53" s="242">
        <f t="shared" si="73"/>
        <v>-20.6</v>
      </c>
      <c r="T53" s="323">
        <f t="shared" si="74"/>
        <v>0</v>
      </c>
      <c r="U53" s="414">
        <f t="shared" si="75"/>
        <v>154</v>
      </c>
      <c r="V53" s="177">
        <v>0</v>
      </c>
      <c r="W53" s="323">
        <v>204</v>
      </c>
      <c r="X53" s="414">
        <v>316</v>
      </c>
      <c r="Y53" s="242">
        <f t="shared" si="77"/>
        <v>54.9</v>
      </c>
      <c r="Z53" s="323">
        <f t="shared" si="78"/>
        <v>0</v>
      </c>
      <c r="AA53" s="414">
        <f t="shared" si="79"/>
        <v>148</v>
      </c>
      <c r="AB53" s="521">
        <v>0</v>
      </c>
      <c r="AC53" s="323">
        <v>204</v>
      </c>
      <c r="AD53" s="414">
        <v>464</v>
      </c>
      <c r="AE53" s="242">
        <f t="shared" si="81"/>
        <v>127.5</v>
      </c>
      <c r="AF53" s="323">
        <f t="shared" si="82"/>
        <v>8</v>
      </c>
      <c r="AG53" s="414">
        <f t="shared" si="82"/>
        <v>157</v>
      </c>
      <c r="AH53" s="242">
        <f t="shared" si="83"/>
        <v>1862.5</v>
      </c>
      <c r="AI53" s="323">
        <v>212</v>
      </c>
      <c r="AJ53" s="414">
        <v>621</v>
      </c>
      <c r="AK53" s="242">
        <f t="shared" si="84"/>
        <v>192.9</v>
      </c>
      <c r="AL53" s="323">
        <f t="shared" si="85"/>
        <v>62</v>
      </c>
      <c r="AM53" s="414">
        <f t="shared" si="86"/>
        <v>0</v>
      </c>
      <c r="AN53" s="242">
        <f t="shared" si="87"/>
        <v>-100</v>
      </c>
      <c r="AO53" s="551">
        <v>274</v>
      </c>
      <c r="AP53" s="414">
        <v>621</v>
      </c>
      <c r="AQ53" s="242">
        <f t="shared" si="88"/>
        <v>126.6</v>
      </c>
      <c r="AR53" s="551">
        <f t="shared" si="89"/>
        <v>91</v>
      </c>
      <c r="AS53" s="414">
        <f t="shared" si="89"/>
        <v>156</v>
      </c>
      <c r="AT53" s="753">
        <f t="shared" si="90"/>
        <v>71.400000000000006</v>
      </c>
      <c r="AU53" s="951">
        <v>365</v>
      </c>
      <c r="AV53" s="952">
        <v>777</v>
      </c>
      <c r="AW53" s="753">
        <f t="shared" si="91"/>
        <v>112.9</v>
      </c>
      <c r="AX53" s="551">
        <f t="shared" si="92"/>
        <v>62</v>
      </c>
      <c r="AY53" s="414">
        <f t="shared" si="93"/>
        <v>152</v>
      </c>
      <c r="AZ53" s="753">
        <f t="shared" si="94"/>
        <v>145.19999999999999</v>
      </c>
      <c r="BA53" s="551">
        <v>427</v>
      </c>
      <c r="BB53" s="414">
        <v>929</v>
      </c>
      <c r="BC53" s="753">
        <f t="shared" si="95"/>
        <v>117.6</v>
      </c>
      <c r="BD53" s="551">
        <f t="shared" si="96"/>
        <v>40</v>
      </c>
      <c r="BE53" s="414">
        <f t="shared" si="96"/>
        <v>186</v>
      </c>
      <c r="BF53" s="753">
        <f t="shared" si="97"/>
        <v>365</v>
      </c>
      <c r="BG53" s="551">
        <v>467</v>
      </c>
      <c r="BH53" s="414">
        <v>1115</v>
      </c>
      <c r="BI53" s="753">
        <f t="shared" si="98"/>
        <v>138.80000000000001</v>
      </c>
      <c r="BJ53" s="551">
        <f t="shared" si="99"/>
        <v>72</v>
      </c>
      <c r="BK53" s="414">
        <f t="shared" si="99"/>
        <v>153</v>
      </c>
      <c r="BL53" s="753">
        <f t="shared" si="105"/>
        <v>112.5</v>
      </c>
      <c r="BM53" s="551">
        <v>539</v>
      </c>
      <c r="BN53" s="414">
        <v>1268</v>
      </c>
      <c r="BO53" s="753">
        <f t="shared" si="101"/>
        <v>135.30000000000001</v>
      </c>
      <c r="BP53" s="551">
        <f t="shared" si="102"/>
        <v>101</v>
      </c>
      <c r="BQ53" s="414">
        <f t="shared" si="102"/>
        <v>0</v>
      </c>
      <c r="BR53" s="753">
        <f t="shared" si="103"/>
        <v>-100</v>
      </c>
      <c r="BS53" s="551">
        <v>640</v>
      </c>
      <c r="BT53" s="414">
        <v>1268</v>
      </c>
      <c r="BU53" s="753">
        <f t="shared" si="104"/>
        <v>98.1</v>
      </c>
    </row>
    <row r="54" spans="1:73">
      <c r="A54" s="4"/>
      <c r="B54" s="79" t="s">
        <v>359</v>
      </c>
      <c r="C54" s="188">
        <v>1322</v>
      </c>
      <c r="D54" s="188">
        <v>1634</v>
      </c>
      <c r="E54" s="188">
        <v>1873</v>
      </c>
      <c r="F54" s="188">
        <v>1557</v>
      </c>
      <c r="G54" s="188">
        <v>976</v>
      </c>
      <c r="H54" s="188">
        <v>933</v>
      </c>
      <c r="I54" s="188">
        <v>807</v>
      </c>
      <c r="J54" s="44">
        <v>727</v>
      </c>
      <c r="K54" s="323">
        <v>64</v>
      </c>
      <c r="L54" s="414">
        <v>120</v>
      </c>
      <c r="M54" s="242">
        <f t="shared" si="69"/>
        <v>87.5</v>
      </c>
      <c r="N54" s="323">
        <f t="shared" si="70"/>
        <v>62</v>
      </c>
      <c r="O54" s="414">
        <f t="shared" si="71"/>
        <v>69</v>
      </c>
      <c r="P54" s="242">
        <f t="shared" si="72"/>
        <v>11.3</v>
      </c>
      <c r="Q54" s="323">
        <v>126</v>
      </c>
      <c r="R54" s="414">
        <v>189</v>
      </c>
      <c r="S54" s="242">
        <f t="shared" si="73"/>
        <v>50</v>
      </c>
      <c r="T54" s="323">
        <f t="shared" si="74"/>
        <v>26</v>
      </c>
      <c r="U54" s="414">
        <f t="shared" si="75"/>
        <v>215</v>
      </c>
      <c r="V54" s="242">
        <f t="shared" si="76"/>
        <v>726.9</v>
      </c>
      <c r="W54" s="323">
        <v>152</v>
      </c>
      <c r="X54" s="414">
        <v>404</v>
      </c>
      <c r="Y54" s="242">
        <f t="shared" si="77"/>
        <v>165.8</v>
      </c>
      <c r="Z54" s="323">
        <f t="shared" si="78"/>
        <v>73</v>
      </c>
      <c r="AA54" s="414">
        <f t="shared" si="79"/>
        <v>44</v>
      </c>
      <c r="AB54" s="242">
        <f t="shared" ref="AB54:AB58" si="106">ROUND(((AA54/Z54-1)*100), 1)</f>
        <v>-39.700000000000003</v>
      </c>
      <c r="AC54" s="323">
        <v>225</v>
      </c>
      <c r="AD54" s="414">
        <v>448</v>
      </c>
      <c r="AE54" s="242">
        <f t="shared" si="81"/>
        <v>99.1</v>
      </c>
      <c r="AF54" s="323">
        <f t="shared" si="82"/>
        <v>3</v>
      </c>
      <c r="AG54" s="414">
        <f t="shared" si="82"/>
        <v>7</v>
      </c>
      <c r="AH54" s="242">
        <f t="shared" si="83"/>
        <v>133.30000000000001</v>
      </c>
      <c r="AI54" s="323">
        <v>228</v>
      </c>
      <c r="AJ54" s="414">
        <v>455</v>
      </c>
      <c r="AK54" s="242">
        <f t="shared" si="84"/>
        <v>99.6</v>
      </c>
      <c r="AL54" s="323">
        <f t="shared" si="85"/>
        <v>81</v>
      </c>
      <c r="AM54" s="414">
        <f t="shared" si="86"/>
        <v>81</v>
      </c>
      <c r="AN54" s="242">
        <f t="shared" si="87"/>
        <v>0</v>
      </c>
      <c r="AO54" s="551">
        <v>309</v>
      </c>
      <c r="AP54" s="414">
        <v>536</v>
      </c>
      <c r="AQ54" s="242">
        <f t="shared" si="88"/>
        <v>73.5</v>
      </c>
      <c r="AR54" s="551">
        <f t="shared" si="89"/>
        <v>51</v>
      </c>
      <c r="AS54" s="414">
        <f t="shared" si="89"/>
        <v>40</v>
      </c>
      <c r="AT54" s="753">
        <f t="shared" si="90"/>
        <v>-21.6</v>
      </c>
      <c r="AU54" s="951">
        <v>360</v>
      </c>
      <c r="AV54" s="952">
        <v>576</v>
      </c>
      <c r="AW54" s="753">
        <f t="shared" si="91"/>
        <v>60</v>
      </c>
      <c r="AX54" s="551">
        <f t="shared" si="92"/>
        <v>82</v>
      </c>
      <c r="AY54" s="414">
        <f t="shared" si="93"/>
        <v>80</v>
      </c>
      <c r="AZ54" s="753">
        <f t="shared" si="94"/>
        <v>-2.4</v>
      </c>
      <c r="BA54" s="551">
        <v>442</v>
      </c>
      <c r="BB54" s="414">
        <v>656</v>
      </c>
      <c r="BC54" s="753">
        <f t="shared" si="95"/>
        <v>48.4</v>
      </c>
      <c r="BD54" s="551">
        <f t="shared" si="96"/>
        <v>71</v>
      </c>
      <c r="BE54" s="414">
        <f t="shared" si="96"/>
        <v>0</v>
      </c>
      <c r="BF54" s="753">
        <f t="shared" si="97"/>
        <v>-100</v>
      </c>
      <c r="BG54" s="551">
        <v>513</v>
      </c>
      <c r="BH54" s="414">
        <v>656</v>
      </c>
      <c r="BI54" s="753">
        <f t="shared" si="98"/>
        <v>27.9</v>
      </c>
      <c r="BJ54" s="551">
        <f t="shared" si="99"/>
        <v>82</v>
      </c>
      <c r="BK54" s="414">
        <f t="shared" si="99"/>
        <v>42</v>
      </c>
      <c r="BL54" s="753">
        <f t="shared" si="105"/>
        <v>-48.8</v>
      </c>
      <c r="BM54" s="551">
        <v>595</v>
      </c>
      <c r="BN54" s="414">
        <v>698</v>
      </c>
      <c r="BO54" s="753">
        <f t="shared" si="101"/>
        <v>17.3</v>
      </c>
      <c r="BP54" s="551">
        <f t="shared" si="102"/>
        <v>108</v>
      </c>
      <c r="BQ54" s="414">
        <f t="shared" si="102"/>
        <v>42</v>
      </c>
      <c r="BR54" s="753">
        <f t="shared" si="103"/>
        <v>-61.1</v>
      </c>
      <c r="BS54" s="551">
        <v>703</v>
      </c>
      <c r="BT54" s="414">
        <v>740</v>
      </c>
      <c r="BU54" s="753">
        <f t="shared" si="104"/>
        <v>5.3</v>
      </c>
    </row>
    <row r="55" spans="1:73">
      <c r="A55" s="4"/>
      <c r="B55" s="79" t="s">
        <v>378</v>
      </c>
      <c r="C55" s="188">
        <v>649</v>
      </c>
      <c r="D55" s="188">
        <v>558</v>
      </c>
      <c r="E55" s="188">
        <v>553</v>
      </c>
      <c r="F55" s="188">
        <v>456</v>
      </c>
      <c r="G55" s="188">
        <v>300</v>
      </c>
      <c r="H55" s="188">
        <v>478</v>
      </c>
      <c r="I55" s="188">
        <v>514</v>
      </c>
      <c r="J55" s="44">
        <v>473</v>
      </c>
      <c r="K55" s="323">
        <v>16</v>
      </c>
      <c r="L55" s="414">
        <v>18</v>
      </c>
      <c r="M55" s="242">
        <f t="shared" si="69"/>
        <v>12.5</v>
      </c>
      <c r="N55" s="323">
        <f t="shared" si="70"/>
        <v>46</v>
      </c>
      <c r="O55" s="414">
        <f t="shared" si="71"/>
        <v>27</v>
      </c>
      <c r="P55" s="242">
        <f t="shared" si="72"/>
        <v>-41.3</v>
      </c>
      <c r="Q55" s="323">
        <v>62</v>
      </c>
      <c r="R55" s="414">
        <v>45</v>
      </c>
      <c r="S55" s="242">
        <f t="shared" si="73"/>
        <v>-27.4</v>
      </c>
      <c r="T55" s="323">
        <f t="shared" si="74"/>
        <v>53</v>
      </c>
      <c r="U55" s="414">
        <f t="shared" si="75"/>
        <v>16</v>
      </c>
      <c r="V55" s="242">
        <f t="shared" si="76"/>
        <v>-69.8</v>
      </c>
      <c r="W55" s="323">
        <v>115</v>
      </c>
      <c r="X55" s="414">
        <v>61</v>
      </c>
      <c r="Y55" s="242">
        <f t="shared" si="77"/>
        <v>-47</v>
      </c>
      <c r="Z55" s="323">
        <f t="shared" si="78"/>
        <v>40</v>
      </c>
      <c r="AA55" s="414">
        <f t="shared" si="79"/>
        <v>23</v>
      </c>
      <c r="AB55" s="242">
        <f t="shared" si="106"/>
        <v>-42.5</v>
      </c>
      <c r="AC55" s="323">
        <v>155</v>
      </c>
      <c r="AD55" s="414">
        <v>84</v>
      </c>
      <c r="AE55" s="242">
        <f t="shared" si="81"/>
        <v>-45.8</v>
      </c>
      <c r="AF55" s="323">
        <f t="shared" si="82"/>
        <v>44</v>
      </c>
      <c r="AG55" s="414">
        <f t="shared" si="82"/>
        <v>14</v>
      </c>
      <c r="AH55" s="242">
        <f t="shared" si="83"/>
        <v>-68.2</v>
      </c>
      <c r="AI55" s="323">
        <v>199</v>
      </c>
      <c r="AJ55" s="414">
        <v>98</v>
      </c>
      <c r="AK55" s="242">
        <f t="shared" si="84"/>
        <v>-50.8</v>
      </c>
      <c r="AL55" s="323">
        <f t="shared" si="85"/>
        <v>35</v>
      </c>
      <c r="AM55" s="414">
        <f t="shared" si="86"/>
        <v>33</v>
      </c>
      <c r="AN55" s="242">
        <f t="shared" si="87"/>
        <v>-5.7</v>
      </c>
      <c r="AO55" s="551">
        <v>234</v>
      </c>
      <c r="AP55" s="414">
        <v>131</v>
      </c>
      <c r="AQ55" s="242">
        <f t="shared" si="88"/>
        <v>-44</v>
      </c>
      <c r="AR55" s="551">
        <f t="shared" si="89"/>
        <v>12</v>
      </c>
      <c r="AS55" s="414">
        <f t="shared" si="89"/>
        <v>41</v>
      </c>
      <c r="AT55" s="753">
        <f t="shared" si="90"/>
        <v>241.7</v>
      </c>
      <c r="AU55" s="951">
        <v>246</v>
      </c>
      <c r="AV55" s="952">
        <v>172</v>
      </c>
      <c r="AW55" s="753">
        <f t="shared" si="91"/>
        <v>-30.1</v>
      </c>
      <c r="AX55" s="551">
        <f t="shared" si="92"/>
        <v>73</v>
      </c>
      <c r="AY55" s="414">
        <f t="shared" si="93"/>
        <v>0</v>
      </c>
      <c r="AZ55" s="753">
        <f t="shared" si="94"/>
        <v>-100</v>
      </c>
      <c r="BA55" s="551">
        <v>319</v>
      </c>
      <c r="BB55" s="414">
        <v>172</v>
      </c>
      <c r="BC55" s="753">
        <f t="shared" si="95"/>
        <v>-46.1</v>
      </c>
      <c r="BD55" s="551">
        <f t="shared" si="96"/>
        <v>3</v>
      </c>
      <c r="BE55" s="414">
        <f t="shared" si="96"/>
        <v>34</v>
      </c>
      <c r="BF55" s="753">
        <f t="shared" si="97"/>
        <v>1033.3</v>
      </c>
      <c r="BG55" s="551">
        <v>322</v>
      </c>
      <c r="BH55" s="414">
        <v>206</v>
      </c>
      <c r="BI55" s="753">
        <f t="shared" si="98"/>
        <v>-36</v>
      </c>
      <c r="BJ55" s="551">
        <f t="shared" si="99"/>
        <v>40</v>
      </c>
      <c r="BK55" s="414">
        <f t="shared" si="99"/>
        <v>31</v>
      </c>
      <c r="BL55" s="753">
        <f t="shared" si="105"/>
        <v>-22.5</v>
      </c>
      <c r="BM55" s="551">
        <v>362</v>
      </c>
      <c r="BN55" s="414">
        <v>237</v>
      </c>
      <c r="BO55" s="753">
        <f t="shared" si="101"/>
        <v>-34.5</v>
      </c>
      <c r="BP55" s="551">
        <f t="shared" si="102"/>
        <v>58</v>
      </c>
      <c r="BQ55" s="414">
        <f t="shared" si="102"/>
        <v>42</v>
      </c>
      <c r="BR55" s="753">
        <f t="shared" si="103"/>
        <v>-27.6</v>
      </c>
      <c r="BS55" s="551">
        <v>420</v>
      </c>
      <c r="BT55" s="414">
        <v>279</v>
      </c>
      <c r="BU55" s="753">
        <f t="shared" si="104"/>
        <v>-33.6</v>
      </c>
    </row>
    <row r="56" spans="1:73">
      <c r="A56" s="4"/>
      <c r="B56" s="79" t="s">
        <v>72</v>
      </c>
      <c r="C56" s="188">
        <v>724</v>
      </c>
      <c r="D56" s="188">
        <v>568</v>
      </c>
      <c r="E56" s="188">
        <v>867</v>
      </c>
      <c r="F56" s="188">
        <v>535</v>
      </c>
      <c r="G56" s="188">
        <v>419</v>
      </c>
      <c r="H56" s="188">
        <v>445</v>
      </c>
      <c r="I56" s="188">
        <v>441</v>
      </c>
      <c r="J56" s="44">
        <v>425</v>
      </c>
      <c r="K56" s="323">
        <v>48</v>
      </c>
      <c r="L56" s="414">
        <v>45</v>
      </c>
      <c r="M56" s="242">
        <f t="shared" si="69"/>
        <v>-6.3</v>
      </c>
      <c r="N56" s="323">
        <f t="shared" si="70"/>
        <v>25</v>
      </c>
      <c r="O56" s="414">
        <f t="shared" si="71"/>
        <v>37</v>
      </c>
      <c r="P56" s="242">
        <f t="shared" si="72"/>
        <v>48</v>
      </c>
      <c r="Q56" s="323">
        <v>73</v>
      </c>
      <c r="R56" s="414">
        <v>82</v>
      </c>
      <c r="S56" s="242">
        <f t="shared" si="73"/>
        <v>12.3</v>
      </c>
      <c r="T56" s="323">
        <f t="shared" si="74"/>
        <v>62</v>
      </c>
      <c r="U56" s="414">
        <f t="shared" si="75"/>
        <v>30</v>
      </c>
      <c r="V56" s="242">
        <f t="shared" si="76"/>
        <v>-51.6</v>
      </c>
      <c r="W56" s="323">
        <v>135</v>
      </c>
      <c r="X56" s="414">
        <v>112</v>
      </c>
      <c r="Y56" s="242">
        <f t="shared" si="77"/>
        <v>-17</v>
      </c>
      <c r="Z56" s="323">
        <f t="shared" si="78"/>
        <v>51</v>
      </c>
      <c r="AA56" s="414">
        <f t="shared" si="79"/>
        <v>37</v>
      </c>
      <c r="AB56" s="242">
        <f t="shared" si="106"/>
        <v>-27.5</v>
      </c>
      <c r="AC56" s="323">
        <v>186</v>
      </c>
      <c r="AD56" s="414">
        <v>149</v>
      </c>
      <c r="AE56" s="242">
        <f t="shared" si="81"/>
        <v>-19.899999999999999</v>
      </c>
      <c r="AF56" s="323">
        <f t="shared" si="82"/>
        <v>9</v>
      </c>
      <c r="AG56" s="414">
        <f t="shared" si="82"/>
        <v>38</v>
      </c>
      <c r="AH56" s="242">
        <f t="shared" si="83"/>
        <v>322.2</v>
      </c>
      <c r="AI56" s="323">
        <v>195</v>
      </c>
      <c r="AJ56" s="414">
        <v>187</v>
      </c>
      <c r="AK56" s="242">
        <f t="shared" si="84"/>
        <v>-4.0999999999999996</v>
      </c>
      <c r="AL56" s="323">
        <f t="shared" si="85"/>
        <v>40</v>
      </c>
      <c r="AM56" s="414">
        <f t="shared" si="86"/>
        <v>16</v>
      </c>
      <c r="AN56" s="242">
        <f t="shared" si="87"/>
        <v>-60</v>
      </c>
      <c r="AO56" s="551">
        <v>235</v>
      </c>
      <c r="AP56" s="414">
        <v>203</v>
      </c>
      <c r="AQ56" s="242">
        <f t="shared" si="88"/>
        <v>-13.6</v>
      </c>
      <c r="AR56" s="551">
        <f t="shared" si="89"/>
        <v>11</v>
      </c>
      <c r="AS56" s="414">
        <f t="shared" si="89"/>
        <v>20</v>
      </c>
      <c r="AT56" s="753">
        <f t="shared" si="90"/>
        <v>81.8</v>
      </c>
      <c r="AU56" s="951">
        <v>246</v>
      </c>
      <c r="AV56" s="952">
        <v>223</v>
      </c>
      <c r="AW56" s="753">
        <f t="shared" si="91"/>
        <v>-9.3000000000000007</v>
      </c>
      <c r="AX56" s="551">
        <f t="shared" si="92"/>
        <v>0</v>
      </c>
      <c r="AY56" s="414">
        <f t="shared" si="93"/>
        <v>23</v>
      </c>
      <c r="AZ56" s="799">
        <v>0</v>
      </c>
      <c r="BA56" s="551">
        <v>246</v>
      </c>
      <c r="BB56" s="414">
        <v>246</v>
      </c>
      <c r="BC56" s="753">
        <f t="shared" si="95"/>
        <v>0</v>
      </c>
      <c r="BD56" s="551">
        <f t="shared" si="96"/>
        <v>59</v>
      </c>
      <c r="BE56" s="414">
        <f t="shared" si="96"/>
        <v>19</v>
      </c>
      <c r="BF56" s="753">
        <f>ROUND(((BE56/BD56-1)*100), 1)</f>
        <v>-67.8</v>
      </c>
      <c r="BG56" s="551">
        <v>305</v>
      </c>
      <c r="BH56" s="414">
        <v>265</v>
      </c>
      <c r="BI56" s="753">
        <f t="shared" si="98"/>
        <v>-13.1</v>
      </c>
      <c r="BJ56" s="551">
        <f t="shared" si="99"/>
        <v>25</v>
      </c>
      <c r="BK56" s="414">
        <f t="shared" si="99"/>
        <v>0</v>
      </c>
      <c r="BL56" s="753">
        <f>ROUND(((BK56/BJ56-1)*100), 1)</f>
        <v>-100</v>
      </c>
      <c r="BM56" s="551">
        <v>330</v>
      </c>
      <c r="BN56" s="414">
        <v>265</v>
      </c>
      <c r="BO56" s="753">
        <f t="shared" si="101"/>
        <v>-19.7</v>
      </c>
      <c r="BP56" s="551">
        <f t="shared" si="102"/>
        <v>63</v>
      </c>
      <c r="BQ56" s="414">
        <f t="shared" si="102"/>
        <v>32</v>
      </c>
      <c r="BR56" s="753">
        <f>ROUND(((BQ56/BP56-1)*100), 1)</f>
        <v>-49.2</v>
      </c>
      <c r="BS56" s="551">
        <v>393</v>
      </c>
      <c r="BT56" s="414">
        <v>297</v>
      </c>
      <c r="BU56" s="753">
        <f t="shared" si="104"/>
        <v>-24.4</v>
      </c>
    </row>
    <row r="57" spans="1:73">
      <c r="A57" s="4"/>
      <c r="B57" s="79" t="s">
        <v>379</v>
      </c>
      <c r="C57" s="188">
        <v>128</v>
      </c>
      <c r="D57" s="188">
        <v>423</v>
      </c>
      <c r="E57" s="188">
        <v>419</v>
      </c>
      <c r="F57" s="188">
        <v>510</v>
      </c>
      <c r="G57" s="188">
        <v>450</v>
      </c>
      <c r="H57" s="188">
        <v>520</v>
      </c>
      <c r="I57" s="188">
        <v>437</v>
      </c>
      <c r="J57" s="44">
        <v>394</v>
      </c>
      <c r="K57" s="323">
        <v>20</v>
      </c>
      <c r="L57" s="414">
        <v>20</v>
      </c>
      <c r="M57" s="242">
        <f t="shared" si="69"/>
        <v>0</v>
      </c>
      <c r="N57" s="323">
        <f t="shared" si="70"/>
        <v>20</v>
      </c>
      <c r="O57" s="414">
        <f t="shared" si="71"/>
        <v>41</v>
      </c>
      <c r="P57" s="242">
        <f t="shared" si="72"/>
        <v>105</v>
      </c>
      <c r="Q57" s="323">
        <v>40</v>
      </c>
      <c r="R57" s="414">
        <v>61</v>
      </c>
      <c r="S57" s="242">
        <f t="shared" si="73"/>
        <v>52.5</v>
      </c>
      <c r="T57" s="323">
        <f t="shared" si="74"/>
        <v>37</v>
      </c>
      <c r="U57" s="414">
        <f t="shared" si="75"/>
        <v>44</v>
      </c>
      <c r="V57" s="242">
        <f t="shared" si="76"/>
        <v>18.899999999999999</v>
      </c>
      <c r="W57" s="323">
        <v>77</v>
      </c>
      <c r="X57" s="414">
        <v>105</v>
      </c>
      <c r="Y57" s="242">
        <f t="shared" si="77"/>
        <v>36.4</v>
      </c>
      <c r="Z57" s="323">
        <f t="shared" si="78"/>
        <v>41</v>
      </c>
      <c r="AA57" s="414">
        <f t="shared" si="79"/>
        <v>22</v>
      </c>
      <c r="AB57" s="242">
        <f t="shared" si="106"/>
        <v>-46.3</v>
      </c>
      <c r="AC57" s="323">
        <v>118</v>
      </c>
      <c r="AD57" s="414">
        <v>127</v>
      </c>
      <c r="AE57" s="242">
        <f t="shared" si="81"/>
        <v>7.6</v>
      </c>
      <c r="AF57" s="323">
        <f t="shared" si="82"/>
        <v>20</v>
      </c>
      <c r="AG57" s="414">
        <f t="shared" si="82"/>
        <v>20</v>
      </c>
      <c r="AH57" s="242">
        <f t="shared" si="83"/>
        <v>0</v>
      </c>
      <c r="AI57" s="323">
        <v>138</v>
      </c>
      <c r="AJ57" s="414">
        <v>147</v>
      </c>
      <c r="AK57" s="242">
        <f t="shared" si="84"/>
        <v>6.5</v>
      </c>
      <c r="AL57" s="323">
        <f t="shared" si="85"/>
        <v>38</v>
      </c>
      <c r="AM57" s="414">
        <f t="shared" si="86"/>
        <v>38</v>
      </c>
      <c r="AN57" s="242">
        <f t="shared" si="87"/>
        <v>0</v>
      </c>
      <c r="AO57" s="551">
        <v>176</v>
      </c>
      <c r="AP57" s="414">
        <v>185</v>
      </c>
      <c r="AQ57" s="242">
        <f t="shared" si="88"/>
        <v>5.0999999999999996</v>
      </c>
      <c r="AR57" s="551">
        <f t="shared" si="89"/>
        <v>40</v>
      </c>
      <c r="AS57" s="414">
        <f t="shared" si="89"/>
        <v>41</v>
      </c>
      <c r="AT57" s="753">
        <f t="shared" si="90"/>
        <v>2.5</v>
      </c>
      <c r="AU57" s="951">
        <v>216</v>
      </c>
      <c r="AV57" s="952">
        <v>226</v>
      </c>
      <c r="AW57" s="753">
        <f t="shared" si="91"/>
        <v>4.5999999999999996</v>
      </c>
      <c r="AX57" s="551">
        <f t="shared" si="92"/>
        <v>40</v>
      </c>
      <c r="AY57" s="414">
        <f t="shared" si="93"/>
        <v>21</v>
      </c>
      <c r="AZ57" s="753">
        <f t="shared" si="94"/>
        <v>-47.5</v>
      </c>
      <c r="BA57" s="551">
        <v>256</v>
      </c>
      <c r="BB57" s="414">
        <v>247</v>
      </c>
      <c r="BC57" s="753">
        <f t="shared" si="95"/>
        <v>-3.5</v>
      </c>
      <c r="BD57" s="551">
        <f t="shared" si="96"/>
        <v>20</v>
      </c>
      <c r="BE57" s="414">
        <f t="shared" si="96"/>
        <v>22</v>
      </c>
      <c r="BF57" s="753">
        <f t="shared" ref="BF57:BF59" si="107">ROUND(((BE57/BD57-1)*100), 1)</f>
        <v>10</v>
      </c>
      <c r="BG57" s="551">
        <v>276</v>
      </c>
      <c r="BH57" s="414">
        <v>269</v>
      </c>
      <c r="BI57" s="753">
        <f t="shared" si="98"/>
        <v>-2.5</v>
      </c>
      <c r="BJ57" s="551">
        <f t="shared" si="99"/>
        <v>40</v>
      </c>
      <c r="BK57" s="414">
        <f t="shared" si="99"/>
        <v>23</v>
      </c>
      <c r="BL57" s="753">
        <f t="shared" ref="BL57:BL59" si="108">ROUND(((BK57/BJ57-1)*100), 1)</f>
        <v>-42.5</v>
      </c>
      <c r="BM57" s="551">
        <v>316</v>
      </c>
      <c r="BN57" s="414">
        <v>292</v>
      </c>
      <c r="BO57" s="753">
        <f t="shared" si="101"/>
        <v>-7.6</v>
      </c>
      <c r="BP57" s="551">
        <f t="shared" si="102"/>
        <v>20</v>
      </c>
      <c r="BQ57" s="414">
        <f t="shared" si="102"/>
        <v>21</v>
      </c>
      <c r="BR57" s="753">
        <f>ROUND(((BQ57/BP57-1)*100), 1)</f>
        <v>5</v>
      </c>
      <c r="BS57" s="551">
        <v>336</v>
      </c>
      <c r="BT57" s="414">
        <v>313</v>
      </c>
      <c r="BU57" s="753">
        <f t="shared" si="104"/>
        <v>-6.8</v>
      </c>
    </row>
    <row r="58" spans="1:73">
      <c r="A58" s="4"/>
      <c r="B58" s="79" t="s">
        <v>381</v>
      </c>
      <c r="C58" s="188">
        <v>40</v>
      </c>
      <c r="D58" s="188">
        <v>45</v>
      </c>
      <c r="E58" s="188">
        <v>138</v>
      </c>
      <c r="F58" s="188">
        <v>104</v>
      </c>
      <c r="G58" s="188">
        <v>28</v>
      </c>
      <c r="H58" s="188">
        <v>79</v>
      </c>
      <c r="I58" s="188">
        <v>65</v>
      </c>
      <c r="J58" s="44">
        <v>182</v>
      </c>
      <c r="K58" s="323">
        <v>0</v>
      </c>
      <c r="L58" s="414">
        <v>0</v>
      </c>
      <c r="M58" s="177">
        <v>0</v>
      </c>
      <c r="N58" s="323">
        <f t="shared" si="70"/>
        <v>0</v>
      </c>
      <c r="O58" s="414">
        <f t="shared" si="71"/>
        <v>5</v>
      </c>
      <c r="P58" s="177">
        <v>0</v>
      </c>
      <c r="Q58" s="323">
        <v>0</v>
      </c>
      <c r="R58" s="414">
        <v>5</v>
      </c>
      <c r="S58" s="177">
        <v>0</v>
      </c>
      <c r="T58" s="323">
        <f t="shared" si="74"/>
        <v>20</v>
      </c>
      <c r="U58" s="414">
        <f t="shared" si="75"/>
        <v>8</v>
      </c>
      <c r="V58" s="242">
        <f t="shared" si="76"/>
        <v>-60</v>
      </c>
      <c r="W58" s="323">
        <v>20</v>
      </c>
      <c r="X58" s="414">
        <v>13</v>
      </c>
      <c r="Y58" s="242">
        <f t="shared" si="77"/>
        <v>-35</v>
      </c>
      <c r="Z58" s="323">
        <f t="shared" si="78"/>
        <v>19</v>
      </c>
      <c r="AA58" s="414">
        <f t="shared" si="79"/>
        <v>3</v>
      </c>
      <c r="AB58" s="242">
        <f t="shared" si="106"/>
        <v>-84.2</v>
      </c>
      <c r="AC58" s="323">
        <v>39</v>
      </c>
      <c r="AD58" s="414">
        <v>16</v>
      </c>
      <c r="AE58" s="242">
        <f t="shared" si="81"/>
        <v>-59</v>
      </c>
      <c r="AF58" s="323">
        <f t="shared" si="82"/>
        <v>14</v>
      </c>
      <c r="AG58" s="414">
        <f t="shared" si="82"/>
        <v>8</v>
      </c>
      <c r="AH58" s="242">
        <f t="shared" si="83"/>
        <v>-42.9</v>
      </c>
      <c r="AI58" s="323">
        <v>53</v>
      </c>
      <c r="AJ58" s="414">
        <v>24</v>
      </c>
      <c r="AK58" s="242">
        <f t="shared" si="84"/>
        <v>-54.7</v>
      </c>
      <c r="AL58" s="323">
        <f t="shared" si="85"/>
        <v>17</v>
      </c>
      <c r="AM58" s="414">
        <f t="shared" si="86"/>
        <v>0</v>
      </c>
      <c r="AN58" s="242">
        <f t="shared" si="87"/>
        <v>-100</v>
      </c>
      <c r="AO58" s="551">
        <v>70</v>
      </c>
      <c r="AP58" s="414">
        <v>24</v>
      </c>
      <c r="AQ58" s="242">
        <f t="shared" si="88"/>
        <v>-65.7</v>
      </c>
      <c r="AR58" s="551">
        <f t="shared" si="89"/>
        <v>37</v>
      </c>
      <c r="AS58" s="414">
        <f t="shared" si="89"/>
        <v>12</v>
      </c>
      <c r="AT58" s="753">
        <f t="shared" si="90"/>
        <v>-67.599999999999994</v>
      </c>
      <c r="AU58" s="951">
        <v>107</v>
      </c>
      <c r="AV58" s="952">
        <v>36</v>
      </c>
      <c r="AW58" s="753">
        <f t="shared" si="91"/>
        <v>-66.400000000000006</v>
      </c>
      <c r="AX58" s="551">
        <f t="shared" si="92"/>
        <v>1</v>
      </c>
      <c r="AY58" s="414">
        <f t="shared" si="93"/>
        <v>3</v>
      </c>
      <c r="AZ58" s="753">
        <f t="shared" si="94"/>
        <v>200</v>
      </c>
      <c r="BA58" s="551">
        <v>108</v>
      </c>
      <c r="BB58" s="414">
        <v>39</v>
      </c>
      <c r="BC58" s="753">
        <f t="shared" si="95"/>
        <v>-63.9</v>
      </c>
      <c r="BD58" s="551">
        <f t="shared" si="96"/>
        <v>19</v>
      </c>
      <c r="BE58" s="414">
        <f t="shared" si="96"/>
        <v>11</v>
      </c>
      <c r="BF58" s="753">
        <f t="shared" si="107"/>
        <v>-42.1</v>
      </c>
      <c r="BG58" s="551">
        <v>127</v>
      </c>
      <c r="BH58" s="414">
        <v>50</v>
      </c>
      <c r="BI58" s="753">
        <f t="shared" si="98"/>
        <v>-60.6</v>
      </c>
      <c r="BJ58" s="551">
        <f t="shared" si="99"/>
        <v>19</v>
      </c>
      <c r="BK58" s="414">
        <f t="shared" si="99"/>
        <v>0</v>
      </c>
      <c r="BL58" s="753">
        <f t="shared" si="108"/>
        <v>-100</v>
      </c>
      <c r="BM58" s="551">
        <v>146</v>
      </c>
      <c r="BN58" s="414">
        <v>50</v>
      </c>
      <c r="BO58" s="753">
        <f t="shared" si="101"/>
        <v>-65.8</v>
      </c>
      <c r="BP58" s="551">
        <f t="shared" si="102"/>
        <v>18</v>
      </c>
      <c r="BQ58" s="414">
        <f t="shared" si="102"/>
        <v>22</v>
      </c>
      <c r="BR58" s="753">
        <f>ROUND(((BQ58/BP58-1)*100), 1)</f>
        <v>22.2</v>
      </c>
      <c r="BS58" s="551">
        <v>164</v>
      </c>
      <c r="BT58" s="414">
        <v>72</v>
      </c>
      <c r="BU58" s="753">
        <f t="shared" si="104"/>
        <v>-56.1</v>
      </c>
    </row>
    <row r="59" spans="1:73">
      <c r="A59" s="4"/>
      <c r="B59" s="79" t="s">
        <v>380</v>
      </c>
      <c r="C59" s="188">
        <v>15</v>
      </c>
      <c r="D59" s="188">
        <v>57</v>
      </c>
      <c r="E59" s="188">
        <v>165</v>
      </c>
      <c r="F59" s="188">
        <v>154</v>
      </c>
      <c r="G59" s="188">
        <v>206</v>
      </c>
      <c r="H59" s="188">
        <v>157</v>
      </c>
      <c r="I59" s="188">
        <v>182</v>
      </c>
      <c r="J59" s="44">
        <v>90</v>
      </c>
      <c r="K59" s="323">
        <v>0</v>
      </c>
      <c r="L59" s="414">
        <v>17</v>
      </c>
      <c r="M59" s="177">
        <v>0</v>
      </c>
      <c r="N59" s="323">
        <f t="shared" si="70"/>
        <v>12</v>
      </c>
      <c r="O59" s="414">
        <f t="shared" si="71"/>
        <v>1</v>
      </c>
      <c r="P59" s="242">
        <f>ROUND(((O59/N59-1)*100), 1)</f>
        <v>-91.7</v>
      </c>
      <c r="Q59" s="323">
        <v>12</v>
      </c>
      <c r="R59" s="414">
        <v>18</v>
      </c>
      <c r="S59" s="242">
        <f>ROUND(((R59/Q59-1)*100), 1)</f>
        <v>50</v>
      </c>
      <c r="T59" s="323">
        <f t="shared" si="74"/>
        <v>0</v>
      </c>
      <c r="U59" s="414">
        <f t="shared" si="75"/>
        <v>11</v>
      </c>
      <c r="V59" s="177">
        <v>0</v>
      </c>
      <c r="W59" s="323">
        <v>12</v>
      </c>
      <c r="X59" s="414">
        <v>29</v>
      </c>
      <c r="Y59" s="242">
        <f>ROUND(((X59/W59-1)*100), 1)</f>
        <v>141.69999999999999</v>
      </c>
      <c r="Z59" s="323">
        <f t="shared" si="78"/>
        <v>20</v>
      </c>
      <c r="AA59" s="414">
        <f t="shared" si="79"/>
        <v>0</v>
      </c>
      <c r="AB59" s="242">
        <f>ROUND(((AA59/Z59-1)*100), 1)</f>
        <v>-100</v>
      </c>
      <c r="AC59" s="323">
        <v>32</v>
      </c>
      <c r="AD59" s="414">
        <v>29</v>
      </c>
      <c r="AE59" s="242">
        <f>ROUND(((AD59/AC59-1)*100), 1)</f>
        <v>-9.4</v>
      </c>
      <c r="AF59" s="323">
        <f t="shared" si="82"/>
        <v>1</v>
      </c>
      <c r="AG59" s="414">
        <f t="shared" si="82"/>
        <v>0</v>
      </c>
      <c r="AH59" s="242">
        <f>ROUND(((AG59/AF59-1)*100), 1)</f>
        <v>-100</v>
      </c>
      <c r="AI59" s="323">
        <v>33</v>
      </c>
      <c r="AJ59" s="414">
        <v>29</v>
      </c>
      <c r="AK59" s="242">
        <f>ROUND(((AJ59/AI59-1)*100), 1)</f>
        <v>-12.1</v>
      </c>
      <c r="AL59" s="323">
        <f t="shared" si="85"/>
        <v>14</v>
      </c>
      <c r="AM59" s="414">
        <f t="shared" si="86"/>
        <v>4</v>
      </c>
      <c r="AN59" s="242">
        <f>ROUND(((AM59/AL59-1)*100), 1)</f>
        <v>-71.400000000000006</v>
      </c>
      <c r="AO59" s="551">
        <v>47</v>
      </c>
      <c r="AP59" s="414">
        <v>33</v>
      </c>
      <c r="AQ59" s="242">
        <f>ROUND(((AP59/AO59-1)*100), 1)</f>
        <v>-29.8</v>
      </c>
      <c r="AR59" s="551">
        <f t="shared" si="89"/>
        <v>0</v>
      </c>
      <c r="AS59" s="414">
        <f t="shared" si="89"/>
        <v>1</v>
      </c>
      <c r="AT59" s="799">
        <v>0</v>
      </c>
      <c r="AU59" s="951">
        <v>47</v>
      </c>
      <c r="AV59" s="952">
        <v>34</v>
      </c>
      <c r="AW59" s="753">
        <f>ROUND(((AV59/AU59-1)*100), 1)</f>
        <v>-27.7</v>
      </c>
      <c r="AX59" s="551">
        <f t="shared" si="92"/>
        <v>6</v>
      </c>
      <c r="AY59" s="414">
        <f t="shared" si="93"/>
        <v>4</v>
      </c>
      <c r="AZ59" s="753">
        <f t="shared" si="94"/>
        <v>-33.299999999999997</v>
      </c>
      <c r="BA59" s="551">
        <v>53</v>
      </c>
      <c r="BB59" s="414">
        <v>38</v>
      </c>
      <c r="BC59" s="753">
        <f>ROUND(((BB59/BA59-1)*100), 1)</f>
        <v>-28.3</v>
      </c>
      <c r="BD59" s="551">
        <f t="shared" si="96"/>
        <v>8</v>
      </c>
      <c r="BE59" s="414">
        <f t="shared" si="96"/>
        <v>2</v>
      </c>
      <c r="BF59" s="753">
        <f t="shared" si="107"/>
        <v>-75</v>
      </c>
      <c r="BG59" s="551">
        <v>61</v>
      </c>
      <c r="BH59" s="414">
        <v>40</v>
      </c>
      <c r="BI59" s="753">
        <f>ROUND(((BH59/BG59-1)*100), 1)</f>
        <v>-34.4</v>
      </c>
      <c r="BJ59" s="551">
        <f t="shared" si="99"/>
        <v>1</v>
      </c>
      <c r="BK59" s="414">
        <f t="shared" si="99"/>
        <v>3</v>
      </c>
      <c r="BL59" s="753">
        <f t="shared" si="108"/>
        <v>200</v>
      </c>
      <c r="BM59" s="551">
        <v>62</v>
      </c>
      <c r="BN59" s="414">
        <v>43</v>
      </c>
      <c r="BO59" s="753">
        <f>ROUND(((BN59/BM59-1)*100), 1)</f>
        <v>-30.6</v>
      </c>
      <c r="BP59" s="551">
        <f t="shared" si="102"/>
        <v>7</v>
      </c>
      <c r="BQ59" s="414">
        <f t="shared" si="102"/>
        <v>1</v>
      </c>
      <c r="BR59" s="753">
        <f>ROUND(((BQ59/BP59-1)*100), 1)</f>
        <v>-85.7</v>
      </c>
      <c r="BS59" s="551">
        <v>69</v>
      </c>
      <c r="BT59" s="414">
        <v>44</v>
      </c>
      <c r="BU59" s="753">
        <f>ROUND(((BT59/BS59-1)*100), 1)</f>
        <v>-36.200000000000003</v>
      </c>
    </row>
    <row r="60" spans="1:73">
      <c r="A60" s="4"/>
      <c r="B60" s="79" t="s">
        <v>382</v>
      </c>
      <c r="C60" s="188">
        <v>4</v>
      </c>
      <c r="D60" s="188">
        <v>6</v>
      </c>
      <c r="E60" s="188">
        <v>24</v>
      </c>
      <c r="F60" s="188">
        <v>3</v>
      </c>
      <c r="G60" s="188">
        <v>141</v>
      </c>
      <c r="H60" s="188">
        <v>55</v>
      </c>
      <c r="I60" s="188">
        <v>43</v>
      </c>
      <c r="J60" s="44">
        <v>0</v>
      </c>
      <c r="K60" s="323">
        <v>0</v>
      </c>
      <c r="L60" s="414">
        <v>1</v>
      </c>
      <c r="M60" s="177">
        <v>0</v>
      </c>
      <c r="N60" s="323">
        <f t="shared" si="70"/>
        <v>0</v>
      </c>
      <c r="O60" s="414">
        <f t="shared" si="71"/>
        <v>0</v>
      </c>
      <c r="P60" s="177">
        <v>0</v>
      </c>
      <c r="Q60" s="323">
        <v>0</v>
      </c>
      <c r="R60" s="414">
        <v>1</v>
      </c>
      <c r="S60" s="177">
        <v>0</v>
      </c>
      <c r="T60" s="323">
        <f t="shared" si="74"/>
        <v>0</v>
      </c>
      <c r="U60" s="414">
        <f t="shared" si="75"/>
        <v>0</v>
      </c>
      <c r="V60" s="177">
        <v>0</v>
      </c>
      <c r="W60" s="323">
        <v>0</v>
      </c>
      <c r="X60" s="414">
        <v>1</v>
      </c>
      <c r="Y60" s="177">
        <v>0</v>
      </c>
      <c r="Z60" s="323">
        <f t="shared" si="78"/>
        <v>0</v>
      </c>
      <c r="AA60" s="414">
        <f t="shared" si="79"/>
        <v>0</v>
      </c>
      <c r="AB60" s="521">
        <v>0</v>
      </c>
      <c r="AC60" s="323">
        <v>0</v>
      </c>
      <c r="AD60" s="414">
        <v>1</v>
      </c>
      <c r="AE60" s="521">
        <v>0</v>
      </c>
      <c r="AF60" s="323">
        <f t="shared" si="82"/>
        <v>0</v>
      </c>
      <c r="AG60" s="414">
        <f t="shared" si="82"/>
        <v>0</v>
      </c>
      <c r="AH60" s="521">
        <v>0</v>
      </c>
      <c r="AI60" s="323">
        <v>0</v>
      </c>
      <c r="AJ60" s="414">
        <v>1</v>
      </c>
      <c r="AK60" s="521">
        <v>0</v>
      </c>
      <c r="AL60" s="323">
        <f t="shared" si="85"/>
        <v>0</v>
      </c>
      <c r="AM60" s="414">
        <f t="shared" si="86"/>
        <v>0</v>
      </c>
      <c r="AN60" s="521">
        <v>0</v>
      </c>
      <c r="AO60" s="551">
        <v>0</v>
      </c>
      <c r="AP60" s="414">
        <v>1</v>
      </c>
      <c r="AQ60" s="521">
        <v>0</v>
      </c>
      <c r="AR60" s="551">
        <f t="shared" si="89"/>
        <v>0</v>
      </c>
      <c r="AS60" s="414">
        <f t="shared" si="89"/>
        <v>0</v>
      </c>
      <c r="AT60" s="799">
        <v>0</v>
      </c>
      <c r="AU60" s="951">
        <v>0</v>
      </c>
      <c r="AV60" s="952">
        <v>1</v>
      </c>
      <c r="AW60" s="799">
        <v>0</v>
      </c>
      <c r="AX60" s="551">
        <f t="shared" si="92"/>
        <v>0</v>
      </c>
      <c r="AY60" s="414">
        <f t="shared" si="93"/>
        <v>0</v>
      </c>
      <c r="AZ60" s="799">
        <v>0</v>
      </c>
      <c r="BA60" s="551">
        <v>0</v>
      </c>
      <c r="BB60" s="414">
        <v>1</v>
      </c>
      <c r="BC60" s="799">
        <v>0</v>
      </c>
      <c r="BD60" s="551">
        <f t="shared" si="96"/>
        <v>0</v>
      </c>
      <c r="BE60" s="414">
        <f t="shared" si="96"/>
        <v>0</v>
      </c>
      <c r="BF60" s="799">
        <v>0</v>
      </c>
      <c r="BG60" s="551">
        <v>0</v>
      </c>
      <c r="BH60" s="414">
        <v>1</v>
      </c>
      <c r="BI60" s="799">
        <v>0</v>
      </c>
      <c r="BJ60" s="551">
        <f t="shared" si="99"/>
        <v>0</v>
      </c>
      <c r="BK60" s="414">
        <f t="shared" si="99"/>
        <v>0</v>
      </c>
      <c r="BL60" s="799">
        <v>0</v>
      </c>
      <c r="BM60" s="551">
        <v>0</v>
      </c>
      <c r="BN60" s="414">
        <v>1</v>
      </c>
      <c r="BO60" s="799">
        <v>0</v>
      </c>
      <c r="BP60" s="551">
        <f t="shared" si="102"/>
        <v>0</v>
      </c>
      <c r="BQ60" s="414">
        <f t="shared" si="102"/>
        <v>0</v>
      </c>
      <c r="BR60" s="799">
        <v>0</v>
      </c>
      <c r="BS60" s="551">
        <v>0</v>
      </c>
      <c r="BT60" s="414">
        <v>1</v>
      </c>
      <c r="BU60" s="799">
        <v>0</v>
      </c>
    </row>
    <row r="61" spans="1:73">
      <c r="A61" s="4"/>
      <c r="B61" s="79" t="s">
        <v>127</v>
      </c>
      <c r="C61" s="188">
        <v>62</v>
      </c>
      <c r="D61" s="188">
        <v>125</v>
      </c>
      <c r="E61" s="188">
        <v>3</v>
      </c>
      <c r="F61" s="188">
        <v>90</v>
      </c>
      <c r="G61" s="188">
        <v>71</v>
      </c>
      <c r="H61" s="188">
        <v>11</v>
      </c>
      <c r="I61" s="188">
        <v>0</v>
      </c>
      <c r="J61" s="44">
        <v>0</v>
      </c>
      <c r="K61" s="323">
        <v>0</v>
      </c>
      <c r="L61" s="414">
        <v>0</v>
      </c>
      <c r="M61" s="177">
        <v>0</v>
      </c>
      <c r="N61" s="323">
        <f t="shared" si="70"/>
        <v>0</v>
      </c>
      <c r="O61" s="414">
        <f t="shared" si="71"/>
        <v>0</v>
      </c>
      <c r="P61" s="177">
        <v>0</v>
      </c>
      <c r="Q61" s="323">
        <v>0</v>
      </c>
      <c r="R61" s="414">
        <v>0</v>
      </c>
      <c r="S61" s="177">
        <v>0</v>
      </c>
      <c r="T61" s="323">
        <f t="shared" si="74"/>
        <v>0</v>
      </c>
      <c r="U61" s="414">
        <f t="shared" si="75"/>
        <v>0</v>
      </c>
      <c r="V61" s="177">
        <v>0</v>
      </c>
      <c r="W61" s="323">
        <v>0</v>
      </c>
      <c r="X61" s="414">
        <v>0</v>
      </c>
      <c r="Y61" s="177">
        <v>0</v>
      </c>
      <c r="Z61" s="323">
        <f t="shared" si="78"/>
        <v>0</v>
      </c>
      <c r="AA61" s="414">
        <f t="shared" si="79"/>
        <v>0</v>
      </c>
      <c r="AB61" s="521">
        <v>0</v>
      </c>
      <c r="AC61" s="323">
        <v>0</v>
      </c>
      <c r="AD61" s="414">
        <v>0</v>
      </c>
      <c r="AE61" s="521">
        <v>0</v>
      </c>
      <c r="AF61" s="323">
        <f t="shared" si="82"/>
        <v>0</v>
      </c>
      <c r="AG61" s="414">
        <f t="shared" si="82"/>
        <v>0</v>
      </c>
      <c r="AH61" s="521">
        <v>0</v>
      </c>
      <c r="AI61" s="323">
        <v>0</v>
      </c>
      <c r="AJ61" s="414">
        <v>0</v>
      </c>
      <c r="AK61" s="521">
        <v>0</v>
      </c>
      <c r="AL61" s="323">
        <f t="shared" si="85"/>
        <v>0</v>
      </c>
      <c r="AM61" s="414">
        <f t="shared" si="86"/>
        <v>0</v>
      </c>
      <c r="AN61" s="521">
        <v>0</v>
      </c>
      <c r="AO61" s="551">
        <v>0</v>
      </c>
      <c r="AP61" s="414">
        <v>0</v>
      </c>
      <c r="AQ61" s="521">
        <v>0</v>
      </c>
      <c r="AR61" s="551">
        <f t="shared" si="89"/>
        <v>0</v>
      </c>
      <c r="AS61" s="414">
        <f t="shared" si="89"/>
        <v>0</v>
      </c>
      <c r="AT61" s="799">
        <v>0</v>
      </c>
      <c r="AU61" s="951">
        <v>0</v>
      </c>
      <c r="AV61" s="952">
        <v>0</v>
      </c>
      <c r="AW61" s="799">
        <v>0</v>
      </c>
      <c r="AX61" s="551">
        <f t="shared" si="92"/>
        <v>0</v>
      </c>
      <c r="AY61" s="414">
        <f t="shared" si="93"/>
        <v>0</v>
      </c>
      <c r="AZ61" s="799">
        <v>0</v>
      </c>
      <c r="BA61" s="551">
        <v>0</v>
      </c>
      <c r="BB61" s="414">
        <v>0</v>
      </c>
      <c r="BC61" s="799">
        <v>0</v>
      </c>
      <c r="BD61" s="551">
        <f t="shared" si="96"/>
        <v>0</v>
      </c>
      <c r="BE61" s="414">
        <f t="shared" si="96"/>
        <v>0</v>
      </c>
      <c r="BF61" s="799">
        <v>0</v>
      </c>
      <c r="BG61" s="551">
        <v>0</v>
      </c>
      <c r="BH61" s="414">
        <v>0</v>
      </c>
      <c r="BI61" s="799">
        <v>0</v>
      </c>
      <c r="BJ61" s="551">
        <f t="shared" si="99"/>
        <v>0</v>
      </c>
      <c r="BK61" s="414">
        <f t="shared" si="99"/>
        <v>0</v>
      </c>
      <c r="BL61" s="799">
        <v>0</v>
      </c>
      <c r="BM61" s="551">
        <v>0</v>
      </c>
      <c r="BN61" s="414">
        <v>0</v>
      </c>
      <c r="BO61" s="799">
        <v>0</v>
      </c>
      <c r="BP61" s="551">
        <f t="shared" si="102"/>
        <v>0</v>
      </c>
      <c r="BQ61" s="414">
        <f t="shared" si="102"/>
        <v>0</v>
      </c>
      <c r="BR61" s="799">
        <v>0</v>
      </c>
      <c r="BS61" s="551">
        <v>0</v>
      </c>
      <c r="BT61" s="414">
        <v>0</v>
      </c>
      <c r="BU61" s="799">
        <v>0</v>
      </c>
    </row>
    <row r="62" spans="1:73">
      <c r="A62" s="4"/>
      <c r="B62" s="79" t="s">
        <v>383</v>
      </c>
      <c r="C62" s="188">
        <f t="shared" ref="C62:L62" si="109">C63-SUM(C42:C61)</f>
        <v>1169</v>
      </c>
      <c r="D62" s="188">
        <f t="shared" si="109"/>
        <v>711</v>
      </c>
      <c r="E62" s="188">
        <f t="shared" si="109"/>
        <v>542</v>
      </c>
      <c r="F62" s="188">
        <f t="shared" si="109"/>
        <v>531</v>
      </c>
      <c r="G62" s="188">
        <f t="shared" si="109"/>
        <v>285</v>
      </c>
      <c r="H62" s="188">
        <f t="shared" si="109"/>
        <v>448</v>
      </c>
      <c r="I62" s="188">
        <f t="shared" si="109"/>
        <v>535</v>
      </c>
      <c r="J62" s="44">
        <f>J63-SUM(J42:J61)</f>
        <v>570</v>
      </c>
      <c r="K62" s="323">
        <f t="shared" si="109"/>
        <v>29</v>
      </c>
      <c r="L62" s="414">
        <f t="shared" si="109"/>
        <v>11</v>
      </c>
      <c r="M62" s="232">
        <f>ROUND(((L62/K62-1)*100), 1)</f>
        <v>-62.1</v>
      </c>
      <c r="N62" s="323">
        <f>N63-SUM(N42:N61)</f>
        <v>32</v>
      </c>
      <c r="O62" s="414">
        <f>O63-SUM(O42:O61)</f>
        <v>42</v>
      </c>
      <c r="P62" s="242">
        <f>ROUND(((O62/N62-1)*100), 1)</f>
        <v>31.3</v>
      </c>
      <c r="Q62" s="323">
        <f>Q63-SUM(Q42:Q61)</f>
        <v>61</v>
      </c>
      <c r="R62" s="414">
        <f>R63-SUM(R42:R61)</f>
        <v>53</v>
      </c>
      <c r="S62" s="242">
        <f>ROUND(((R62/Q62-1)*100), 1)</f>
        <v>-13.1</v>
      </c>
      <c r="T62" s="323">
        <f>T63-SUM(T42:T61)</f>
        <v>52</v>
      </c>
      <c r="U62" s="414">
        <f>U63-SUM(U42:U61)</f>
        <v>88</v>
      </c>
      <c r="V62" s="242">
        <f>ROUND(((U62/T62-1)*100), 1)</f>
        <v>69.2</v>
      </c>
      <c r="W62" s="323">
        <f>W63-SUM(W42:W61)</f>
        <v>113</v>
      </c>
      <c r="X62" s="414">
        <f>X63-SUM(X42:X61)</f>
        <v>141</v>
      </c>
      <c r="Y62" s="242">
        <f>ROUND(((X62/W62-1)*100), 1)</f>
        <v>24.8</v>
      </c>
      <c r="Z62" s="323">
        <f>Z63-SUM(Z42:Z61)</f>
        <v>58</v>
      </c>
      <c r="AA62" s="414">
        <f>AA63-SUM(AA42:AA61)</f>
        <v>65</v>
      </c>
      <c r="AB62" s="242">
        <f>ROUND(((AA62/Z62-1)*100), 1)</f>
        <v>12.1</v>
      </c>
      <c r="AC62" s="323">
        <f>AC63-SUM(AC42:AC61)</f>
        <v>171</v>
      </c>
      <c r="AD62" s="414">
        <f>AD63-SUM(AD42:AD61)</f>
        <v>206</v>
      </c>
      <c r="AE62" s="242">
        <f>ROUND(((AD62/AC62-1)*100), 1)</f>
        <v>20.5</v>
      </c>
      <c r="AF62" s="323">
        <f>AF63-SUM(AF42:AF61)</f>
        <v>36</v>
      </c>
      <c r="AG62" s="414">
        <f>AG63-SUM(AG42:AG61)</f>
        <v>81</v>
      </c>
      <c r="AH62" s="242">
        <f>ROUND(((AG62/AF62-1)*100), 1)</f>
        <v>125</v>
      </c>
      <c r="AI62" s="323">
        <f>AI63-SUM(AI42:AI61)</f>
        <v>207</v>
      </c>
      <c r="AJ62" s="414">
        <f>AJ63-SUM(AJ42:AJ61)</f>
        <v>287</v>
      </c>
      <c r="AK62" s="242">
        <f>ROUND(((AJ62/AI62-1)*100), 1)</f>
        <v>38.6</v>
      </c>
      <c r="AL62" s="323">
        <f>AL63-SUM(AL42:AL61)</f>
        <v>38</v>
      </c>
      <c r="AM62" s="414">
        <f>AM63-SUM(AM42:AM61)</f>
        <v>75</v>
      </c>
      <c r="AN62" s="242">
        <f>ROUND(((AM62/AL62-1)*100), 1)</f>
        <v>97.4</v>
      </c>
      <c r="AO62" s="551">
        <f>AO63-SUM(AO42:AO61)</f>
        <v>245</v>
      </c>
      <c r="AP62" s="414">
        <f>AP63-SUM(AP42:AP61)</f>
        <v>362</v>
      </c>
      <c r="AQ62" s="242">
        <f>ROUND(((AP62/AO62-1)*100), 1)</f>
        <v>47.8</v>
      </c>
      <c r="AR62" s="551">
        <f>AR63-SUM(AR42:AR61)</f>
        <v>72</v>
      </c>
      <c r="AS62" s="414">
        <f>AS63-SUM(AS42:AS61)</f>
        <v>94</v>
      </c>
      <c r="AT62" s="753">
        <f>ROUND(((AS62/AR62-1)*100), 1)</f>
        <v>30.6</v>
      </c>
      <c r="AU62" s="951">
        <f>AU63-SUM(AU42:AU61)</f>
        <v>317</v>
      </c>
      <c r="AV62" s="952">
        <f>AV63-SUM(AV42:AV61)</f>
        <v>456</v>
      </c>
      <c r="AW62" s="753">
        <f>ROUND(((AV62/AU62-1)*100), 1)</f>
        <v>43.8</v>
      </c>
      <c r="AX62" s="551">
        <f>AX63-SUM(AX42:AX61)</f>
        <v>38</v>
      </c>
      <c r="AY62" s="414">
        <f>AY63-SUM(AY42:AY61)</f>
        <v>65</v>
      </c>
      <c r="AZ62" s="753">
        <f>ROUND(((AY62/AX62-1)*100), 1)</f>
        <v>71.099999999999994</v>
      </c>
      <c r="BA62" s="551">
        <f>BA63-SUM(BA42:BA61)</f>
        <v>355</v>
      </c>
      <c r="BB62" s="414">
        <f>BB63-SUM(BB42:BB61)</f>
        <v>521</v>
      </c>
      <c r="BC62" s="753">
        <f>ROUND(((BB62/BA62-1)*100), 1)</f>
        <v>46.8</v>
      </c>
      <c r="BD62" s="551">
        <f>BD63-SUM(BD42:BD61)</f>
        <v>73</v>
      </c>
      <c r="BE62" s="414">
        <f>BE63-SUM(BE42:BE61)</f>
        <v>61</v>
      </c>
      <c r="BF62" s="753">
        <f>ROUND(((BE62/BD62-1)*100), 1)</f>
        <v>-16.399999999999999</v>
      </c>
      <c r="BG62" s="551">
        <f>BG63-SUM(BG42:BG61)</f>
        <v>428</v>
      </c>
      <c r="BH62" s="414">
        <f>BH63-SUM(BH42:BH61)</f>
        <v>582</v>
      </c>
      <c r="BI62" s="753">
        <f>ROUND(((BH62/BG62-1)*100), 1)</f>
        <v>36</v>
      </c>
      <c r="BJ62" s="551">
        <f>BJ63-SUM(BJ42:BJ61)</f>
        <v>58</v>
      </c>
      <c r="BK62" s="414">
        <f>BK63-SUM(BK42:BK61)</f>
        <v>56</v>
      </c>
      <c r="BL62" s="753">
        <f>ROUND(((BK62/BJ62-1)*100), 1)</f>
        <v>-3.4</v>
      </c>
      <c r="BM62" s="551">
        <f>BM63-SUM(BM42:BM61)</f>
        <v>486</v>
      </c>
      <c r="BN62" s="414">
        <f>BN63-SUM(BN42:BN61)</f>
        <v>638</v>
      </c>
      <c r="BO62" s="753">
        <f>ROUND(((BN62/BM62-1)*100), 1)</f>
        <v>31.3</v>
      </c>
      <c r="BP62" s="551">
        <f>BP63-SUM(BP42:BP61)</f>
        <v>40</v>
      </c>
      <c r="BQ62" s="414">
        <f>BQ63-SUM(BQ42:BQ61)</f>
        <v>65</v>
      </c>
      <c r="BR62" s="753">
        <f t="shared" ref="BR62:BR74" si="110">ROUND(((BQ62/BP62-1)*100), 1)</f>
        <v>62.5</v>
      </c>
      <c r="BS62" s="551">
        <f>BS63-SUM(BS42:BS61)</f>
        <v>526</v>
      </c>
      <c r="BT62" s="414">
        <f>BT63-SUM(BT42:BT61)</f>
        <v>703</v>
      </c>
      <c r="BU62" s="753">
        <f>ROUND(((BT62/BS62-1)*100), 1)</f>
        <v>33.700000000000003</v>
      </c>
    </row>
    <row r="63" spans="1:73">
      <c r="A63" s="9"/>
      <c r="B63" s="80" t="s">
        <v>108</v>
      </c>
      <c r="C63" s="324">
        <v>63116</v>
      </c>
      <c r="D63" s="324">
        <v>66286</v>
      </c>
      <c r="E63" s="324">
        <v>66368</v>
      </c>
      <c r="F63" s="324">
        <v>62305</v>
      </c>
      <c r="G63" s="324">
        <v>40345</v>
      </c>
      <c r="H63" s="324">
        <v>52182</v>
      </c>
      <c r="I63" s="324">
        <v>54931</v>
      </c>
      <c r="J63" s="46">
        <v>49199</v>
      </c>
      <c r="K63" s="399">
        <v>4313</v>
      </c>
      <c r="L63" s="400">
        <v>3969</v>
      </c>
      <c r="M63" s="233">
        <f>ROUND(((L63/K63-1)*100), 1)</f>
        <v>-8</v>
      </c>
      <c r="N63" s="399">
        <f t="shared" ref="N63:N80" si="111">Q63-K63</f>
        <v>3285</v>
      </c>
      <c r="O63" s="400">
        <f t="shared" ref="O63:O80" si="112">R63-L63</f>
        <v>4325</v>
      </c>
      <c r="P63" s="243">
        <f>ROUND(((O63/N63-1)*100), 1)</f>
        <v>31.7</v>
      </c>
      <c r="Q63" s="399">
        <v>7598</v>
      </c>
      <c r="R63" s="400">
        <v>8294</v>
      </c>
      <c r="S63" s="243">
        <f>ROUND(((R63/Q63-1)*100), 1)</f>
        <v>9.1999999999999993</v>
      </c>
      <c r="T63" s="399">
        <f t="shared" ref="T63:T80" si="113">W63-Q63</f>
        <v>4521</v>
      </c>
      <c r="U63" s="400">
        <f t="shared" ref="U63:U80" si="114">X63-R63</f>
        <v>4534</v>
      </c>
      <c r="V63" s="243">
        <f>ROUND(((U63/T63-1)*100), 1)</f>
        <v>0.3</v>
      </c>
      <c r="W63" s="399">
        <v>12119</v>
      </c>
      <c r="X63" s="400">
        <v>12828</v>
      </c>
      <c r="Y63" s="243">
        <f>ROUND(((X63/W63-1)*100), 1)</f>
        <v>5.9</v>
      </c>
      <c r="Z63" s="399">
        <f t="shared" ref="Z63:Z80" si="115">AC63-W63</f>
        <v>4066</v>
      </c>
      <c r="AA63" s="400">
        <f t="shared" ref="AA63:AA80" si="116">AD63-X63</f>
        <v>4504</v>
      </c>
      <c r="AB63" s="243">
        <f>ROUND(((AA63/Z63-1)*100), 1)</f>
        <v>10.8</v>
      </c>
      <c r="AC63" s="399">
        <v>16185</v>
      </c>
      <c r="AD63" s="400">
        <v>17332</v>
      </c>
      <c r="AE63" s="243">
        <f>ROUND(((AD63/AC63-1)*100), 1)</f>
        <v>7.1</v>
      </c>
      <c r="AF63" s="399">
        <f t="shared" ref="AF63:AG80" si="117">AI63-AC63</f>
        <v>4095</v>
      </c>
      <c r="AG63" s="400">
        <f t="shared" si="117"/>
        <v>3765</v>
      </c>
      <c r="AH63" s="243">
        <f>ROUND(((AG63/AF63-1)*100), 1)</f>
        <v>-8.1</v>
      </c>
      <c r="AI63" s="399">
        <v>20280</v>
      </c>
      <c r="AJ63" s="400">
        <v>21097</v>
      </c>
      <c r="AK63" s="243">
        <f>ROUND(((AJ63/AI63-1)*100), 1)</f>
        <v>4</v>
      </c>
      <c r="AL63" s="399">
        <f t="shared" ref="AL63:AL80" si="118">AO63-AI63</f>
        <v>4198</v>
      </c>
      <c r="AM63" s="400">
        <f t="shared" ref="AM63:AM80" si="119">AP63-AJ63</f>
        <v>3613</v>
      </c>
      <c r="AN63" s="243">
        <f>ROUND(((AM63/AL63-1)*100), 1)</f>
        <v>-13.9</v>
      </c>
      <c r="AO63" s="399">
        <v>24478</v>
      </c>
      <c r="AP63" s="400">
        <v>24710</v>
      </c>
      <c r="AQ63" s="243">
        <f>ROUND(((AP63/AO63-1)*100), 1)</f>
        <v>0.9</v>
      </c>
      <c r="AR63" s="399">
        <f t="shared" ref="AR63:AS80" si="120">AU63-AO63</f>
        <v>4500</v>
      </c>
      <c r="AS63" s="400">
        <f t="shared" si="120"/>
        <v>4105</v>
      </c>
      <c r="AT63" s="754">
        <f>ROUND(((AS63/AR63-1)*100), 1)</f>
        <v>-8.8000000000000007</v>
      </c>
      <c r="AU63" s="956">
        <v>28978</v>
      </c>
      <c r="AV63" s="957">
        <v>28815</v>
      </c>
      <c r="AW63" s="754">
        <f>ROUND(((AV63/AU63-1)*100), 1)</f>
        <v>-0.6</v>
      </c>
      <c r="AX63" s="399">
        <f t="shared" ref="AX63:AX80" si="121">BA63-AU63</f>
        <v>3320</v>
      </c>
      <c r="AY63" s="400">
        <f t="shared" ref="AY63:AY80" si="122">BB63-AV63</f>
        <v>3611</v>
      </c>
      <c r="AZ63" s="754">
        <f>ROUND(((AY63/AX63-1)*100), 1)</f>
        <v>8.8000000000000007</v>
      </c>
      <c r="BA63" s="399">
        <v>32298</v>
      </c>
      <c r="BB63" s="400">
        <v>32426</v>
      </c>
      <c r="BC63" s="754">
        <f>ROUND(((BB63/BA63-1)*100), 1)</f>
        <v>0.4</v>
      </c>
      <c r="BD63" s="399">
        <f t="shared" ref="BD63:BE80" si="123">BG63-BA63</f>
        <v>3514</v>
      </c>
      <c r="BE63" s="400">
        <f t="shared" si="123"/>
        <v>4926</v>
      </c>
      <c r="BF63" s="754">
        <f>ROUND(((BE63/BD63-1)*100), 1)</f>
        <v>40.200000000000003</v>
      </c>
      <c r="BG63" s="399">
        <v>35812</v>
      </c>
      <c r="BH63" s="400">
        <v>37352</v>
      </c>
      <c r="BI63" s="754">
        <f>ROUND(((BH63/BG63-1)*100), 1)</f>
        <v>4.3</v>
      </c>
      <c r="BJ63" s="399">
        <f t="shared" ref="BJ63:BK80" si="124">BM63-BG63</f>
        <v>4314</v>
      </c>
      <c r="BK63" s="400">
        <f t="shared" si="124"/>
        <v>4786</v>
      </c>
      <c r="BL63" s="754">
        <f>ROUND(((BK63/BJ63-1)*100), 1)</f>
        <v>10.9</v>
      </c>
      <c r="BM63" s="399">
        <v>40126</v>
      </c>
      <c r="BN63" s="400">
        <v>42138</v>
      </c>
      <c r="BO63" s="754">
        <f>ROUND(((BN63/BM63-1)*100), 1)</f>
        <v>5</v>
      </c>
      <c r="BP63" s="399">
        <f t="shared" ref="BP63:BQ80" si="125">BS63-BM63</f>
        <v>4657</v>
      </c>
      <c r="BQ63" s="400">
        <f t="shared" si="125"/>
        <v>4874</v>
      </c>
      <c r="BR63" s="754">
        <f t="shared" si="110"/>
        <v>4.7</v>
      </c>
      <c r="BS63" s="399">
        <v>44783</v>
      </c>
      <c r="BT63" s="400">
        <v>47012</v>
      </c>
      <c r="BU63" s="754">
        <f>ROUND(((BT63/BS63-1)*100), 1)</f>
        <v>5</v>
      </c>
    </row>
    <row r="64" spans="1:73">
      <c r="A64" s="4"/>
      <c r="B64" s="79" t="s">
        <v>384</v>
      </c>
      <c r="C64" s="188">
        <v>948</v>
      </c>
      <c r="D64" s="188">
        <v>669</v>
      </c>
      <c r="E64" s="188">
        <v>698</v>
      </c>
      <c r="F64" s="188">
        <v>936</v>
      </c>
      <c r="G64" s="188">
        <v>1029</v>
      </c>
      <c r="H64" s="188">
        <v>777</v>
      </c>
      <c r="I64" s="188">
        <v>807</v>
      </c>
      <c r="J64" s="44">
        <v>665</v>
      </c>
      <c r="K64" s="323">
        <v>54</v>
      </c>
      <c r="L64" s="414">
        <v>53</v>
      </c>
      <c r="M64" s="231">
        <f>ROUND(((L64/K64-1)*100), 1)</f>
        <v>-1.9</v>
      </c>
      <c r="N64" s="323">
        <f t="shared" si="111"/>
        <v>32</v>
      </c>
      <c r="O64" s="414">
        <f t="shared" si="112"/>
        <v>40</v>
      </c>
      <c r="P64" s="231">
        <f>ROUND(((O64/N64-1)*100), 1)</f>
        <v>25</v>
      </c>
      <c r="Q64" s="323">
        <v>86</v>
      </c>
      <c r="R64" s="414">
        <v>93</v>
      </c>
      <c r="S64" s="231">
        <f>ROUND(((R64/Q64-1)*100), 1)</f>
        <v>8.1</v>
      </c>
      <c r="T64" s="323">
        <f t="shared" si="113"/>
        <v>70</v>
      </c>
      <c r="U64" s="414">
        <f t="shared" si="114"/>
        <v>68</v>
      </c>
      <c r="V64" s="231">
        <f>ROUND(((U64/T64-1)*100), 1)</f>
        <v>-2.9</v>
      </c>
      <c r="W64" s="323">
        <v>156</v>
      </c>
      <c r="X64" s="414">
        <v>161</v>
      </c>
      <c r="Y64" s="231">
        <f>ROUND(((X64/W64-1)*100), 1)</f>
        <v>3.2</v>
      </c>
      <c r="Z64" s="323">
        <f t="shared" si="115"/>
        <v>47</v>
      </c>
      <c r="AA64" s="414">
        <f t="shared" si="116"/>
        <v>56</v>
      </c>
      <c r="AB64" s="231">
        <f>ROUND(((AA64/Z64-1)*100), 1)</f>
        <v>19.100000000000001</v>
      </c>
      <c r="AC64" s="323">
        <v>203</v>
      </c>
      <c r="AD64" s="414">
        <v>217</v>
      </c>
      <c r="AE64" s="231">
        <f>ROUND(((AD64/AC64-1)*100), 1)</f>
        <v>6.9</v>
      </c>
      <c r="AF64" s="323">
        <f t="shared" si="117"/>
        <v>41</v>
      </c>
      <c r="AG64" s="414">
        <f t="shared" si="117"/>
        <v>52</v>
      </c>
      <c r="AH64" s="231">
        <f>ROUND(((AG64/AF64-1)*100), 1)</f>
        <v>26.8</v>
      </c>
      <c r="AI64" s="323">
        <v>244</v>
      </c>
      <c r="AJ64" s="414">
        <v>269</v>
      </c>
      <c r="AK64" s="231">
        <f>ROUND(((AJ64/AI64-1)*100), 1)</f>
        <v>10.199999999999999</v>
      </c>
      <c r="AL64" s="323">
        <f t="shared" si="118"/>
        <v>44</v>
      </c>
      <c r="AM64" s="414">
        <f t="shared" si="119"/>
        <v>33</v>
      </c>
      <c r="AN64" s="231">
        <f>ROUND(((AM64/AL64-1)*100), 1)</f>
        <v>-25</v>
      </c>
      <c r="AO64" s="551">
        <v>288</v>
      </c>
      <c r="AP64" s="414">
        <v>302</v>
      </c>
      <c r="AQ64" s="231">
        <f>ROUND(((AP64/AO64-1)*100), 1)</f>
        <v>4.9000000000000004</v>
      </c>
      <c r="AR64" s="551">
        <f t="shared" si="120"/>
        <v>69</v>
      </c>
      <c r="AS64" s="414">
        <f t="shared" si="120"/>
        <v>32</v>
      </c>
      <c r="AT64" s="651">
        <f>ROUND(((AS64/AR64-1)*100), 1)</f>
        <v>-53.6</v>
      </c>
      <c r="AU64" s="951">
        <v>357</v>
      </c>
      <c r="AV64" s="952">
        <v>334</v>
      </c>
      <c r="AW64" s="651">
        <f>ROUND(((AV64/AU64-1)*100), 1)</f>
        <v>-6.4</v>
      </c>
      <c r="AX64" s="551">
        <f t="shared" si="121"/>
        <v>48</v>
      </c>
      <c r="AY64" s="414">
        <f t="shared" si="122"/>
        <v>32</v>
      </c>
      <c r="AZ64" s="651">
        <f>ROUND(((AY64/AX64-1)*100), 1)</f>
        <v>-33.299999999999997</v>
      </c>
      <c r="BA64" s="551">
        <v>405</v>
      </c>
      <c r="BB64" s="414">
        <v>366</v>
      </c>
      <c r="BC64" s="651">
        <f>ROUND(((BB64/BA64-1)*100), 1)</f>
        <v>-9.6</v>
      </c>
      <c r="BD64" s="551">
        <f t="shared" si="123"/>
        <v>51</v>
      </c>
      <c r="BE64" s="414">
        <f t="shared" si="123"/>
        <v>75</v>
      </c>
      <c r="BF64" s="651">
        <f>ROUND(((BE64/BD64-1)*100), 1)</f>
        <v>47.1</v>
      </c>
      <c r="BG64" s="551">
        <v>456</v>
      </c>
      <c r="BH64" s="414">
        <v>441</v>
      </c>
      <c r="BI64" s="651">
        <f>ROUND(((BH64/BG64-1)*100), 1)</f>
        <v>-3.3</v>
      </c>
      <c r="BJ64" s="551">
        <f t="shared" si="124"/>
        <v>115</v>
      </c>
      <c r="BK64" s="414">
        <f t="shared" si="124"/>
        <v>48</v>
      </c>
      <c r="BL64" s="651">
        <f>ROUND(((BK64/BJ64-1)*100), 1)</f>
        <v>-58.3</v>
      </c>
      <c r="BM64" s="551">
        <v>571</v>
      </c>
      <c r="BN64" s="414">
        <v>489</v>
      </c>
      <c r="BO64" s="651">
        <f>ROUND(((BN64/BM64-1)*100), 1)</f>
        <v>-14.4</v>
      </c>
      <c r="BP64" s="551">
        <f t="shared" si="125"/>
        <v>53</v>
      </c>
      <c r="BQ64" s="414">
        <f t="shared" si="125"/>
        <v>22</v>
      </c>
      <c r="BR64" s="651">
        <f t="shared" si="110"/>
        <v>-58.5</v>
      </c>
      <c r="BS64" s="551">
        <v>624</v>
      </c>
      <c r="BT64" s="414">
        <v>511</v>
      </c>
      <c r="BU64" s="651">
        <f>ROUND(((BT64/BS64-1)*100), 1)</f>
        <v>-18.100000000000001</v>
      </c>
    </row>
    <row r="65" spans="1:73">
      <c r="A65" s="4" t="s">
        <v>110</v>
      </c>
      <c r="B65" s="79" t="s">
        <v>392</v>
      </c>
      <c r="C65" s="188">
        <v>0</v>
      </c>
      <c r="D65" s="188">
        <v>0</v>
      </c>
      <c r="E65" s="188">
        <v>0</v>
      </c>
      <c r="F65" s="188">
        <v>0</v>
      </c>
      <c r="G65" s="188">
        <v>42</v>
      </c>
      <c r="H65" s="188">
        <v>41</v>
      </c>
      <c r="I65" s="188">
        <v>32</v>
      </c>
      <c r="J65" s="44">
        <v>269</v>
      </c>
      <c r="K65" s="323">
        <v>0</v>
      </c>
      <c r="L65" s="414">
        <v>20</v>
      </c>
      <c r="M65" s="177">
        <v>0</v>
      </c>
      <c r="N65" s="323">
        <f t="shared" si="111"/>
        <v>0</v>
      </c>
      <c r="O65" s="414">
        <f t="shared" si="112"/>
        <v>21</v>
      </c>
      <c r="P65" s="177">
        <v>0</v>
      </c>
      <c r="Q65" s="323">
        <v>0</v>
      </c>
      <c r="R65" s="414">
        <v>41</v>
      </c>
      <c r="S65" s="177">
        <v>0</v>
      </c>
      <c r="T65" s="323">
        <f t="shared" si="113"/>
        <v>0</v>
      </c>
      <c r="U65" s="414">
        <f t="shared" si="114"/>
        <v>69</v>
      </c>
      <c r="V65" s="177">
        <v>0</v>
      </c>
      <c r="W65" s="323">
        <v>0</v>
      </c>
      <c r="X65" s="414">
        <v>110</v>
      </c>
      <c r="Y65" s="177">
        <v>0</v>
      </c>
      <c r="Z65" s="323">
        <f t="shared" si="115"/>
        <v>3</v>
      </c>
      <c r="AA65" s="414">
        <f t="shared" si="116"/>
        <v>20</v>
      </c>
      <c r="AB65" s="242">
        <f>ROUND(((AA65/Z65-1)*100), 1)</f>
        <v>566.70000000000005</v>
      </c>
      <c r="AC65" s="323">
        <v>3</v>
      </c>
      <c r="AD65" s="414">
        <v>130</v>
      </c>
      <c r="AE65" s="242">
        <f>ROUND(((AD65/AC65-1)*100), 1)</f>
        <v>4233.3</v>
      </c>
      <c r="AF65" s="323">
        <f t="shared" si="117"/>
        <v>31</v>
      </c>
      <c r="AG65" s="414">
        <f t="shared" si="117"/>
        <v>35</v>
      </c>
      <c r="AH65" s="242">
        <f>ROUND(((AG65/AF65-1)*100), 1)</f>
        <v>12.9</v>
      </c>
      <c r="AI65" s="323">
        <v>34</v>
      </c>
      <c r="AJ65" s="414">
        <v>165</v>
      </c>
      <c r="AK65" s="242">
        <f>ROUND(((AJ65/AI65-1)*100), 1)</f>
        <v>385.3</v>
      </c>
      <c r="AL65" s="323">
        <f t="shared" si="118"/>
        <v>19</v>
      </c>
      <c r="AM65" s="414">
        <f t="shared" si="119"/>
        <v>63</v>
      </c>
      <c r="AN65" s="242">
        <f>ROUND(((AM65/AL65-1)*100), 1)</f>
        <v>231.6</v>
      </c>
      <c r="AO65" s="551">
        <v>53</v>
      </c>
      <c r="AP65" s="414">
        <v>228</v>
      </c>
      <c r="AQ65" s="242">
        <f>ROUND(((AP65/AO65-1)*100), 1)</f>
        <v>330.2</v>
      </c>
      <c r="AR65" s="551">
        <f t="shared" si="120"/>
        <v>36</v>
      </c>
      <c r="AS65" s="414">
        <f t="shared" si="120"/>
        <v>20</v>
      </c>
      <c r="AT65" s="753">
        <f>ROUND(((AS65/AR65-1)*100), 1)</f>
        <v>-44.4</v>
      </c>
      <c r="AU65" s="951">
        <v>89</v>
      </c>
      <c r="AV65" s="952">
        <v>248</v>
      </c>
      <c r="AW65" s="753">
        <f>ROUND(((AV65/AU65-1)*100), 1)</f>
        <v>178.7</v>
      </c>
      <c r="AX65" s="551">
        <f t="shared" si="121"/>
        <v>37</v>
      </c>
      <c r="AY65" s="414">
        <f t="shared" si="122"/>
        <v>38</v>
      </c>
      <c r="AZ65" s="753">
        <f>ROUND(((AY65/AX65-1)*100), 1)</f>
        <v>2.7</v>
      </c>
      <c r="BA65" s="551">
        <v>126</v>
      </c>
      <c r="BB65" s="414">
        <v>286</v>
      </c>
      <c r="BC65" s="753">
        <f>ROUND(((BB65/BA65-1)*100), 1)</f>
        <v>127</v>
      </c>
      <c r="BD65" s="551">
        <f t="shared" si="123"/>
        <v>32</v>
      </c>
      <c r="BE65" s="414">
        <f t="shared" si="123"/>
        <v>42</v>
      </c>
      <c r="BF65" s="753">
        <f>ROUND(((BE65/BD65-1)*100), 1)</f>
        <v>31.3</v>
      </c>
      <c r="BG65" s="551">
        <v>158</v>
      </c>
      <c r="BH65" s="414">
        <v>328</v>
      </c>
      <c r="BI65" s="753">
        <f>ROUND(((BH65/BG65-1)*100), 1)</f>
        <v>107.6</v>
      </c>
      <c r="BJ65" s="551">
        <f t="shared" si="124"/>
        <v>57</v>
      </c>
      <c r="BK65" s="414">
        <f t="shared" si="124"/>
        <v>40</v>
      </c>
      <c r="BL65" s="753">
        <f>ROUND(((BK65/BJ65-1)*100), 1)</f>
        <v>-29.8</v>
      </c>
      <c r="BM65" s="551">
        <v>215</v>
      </c>
      <c r="BN65" s="414">
        <v>368</v>
      </c>
      <c r="BO65" s="753">
        <f>ROUND(((BN65/BM65-1)*100), 1)</f>
        <v>71.2</v>
      </c>
      <c r="BP65" s="551">
        <f t="shared" si="125"/>
        <v>18</v>
      </c>
      <c r="BQ65" s="414">
        <f t="shared" si="125"/>
        <v>82</v>
      </c>
      <c r="BR65" s="753">
        <f t="shared" si="110"/>
        <v>355.6</v>
      </c>
      <c r="BS65" s="551">
        <v>233</v>
      </c>
      <c r="BT65" s="414">
        <v>450</v>
      </c>
      <c r="BU65" s="753">
        <f>ROUND(((BT65/BS65-1)*100), 1)</f>
        <v>93.1</v>
      </c>
    </row>
    <row r="66" spans="1:73">
      <c r="A66" s="4"/>
      <c r="B66" s="79" t="s">
        <v>56</v>
      </c>
      <c r="C66" s="188">
        <v>401</v>
      </c>
      <c r="D66" s="188">
        <v>219</v>
      </c>
      <c r="E66" s="188">
        <v>329</v>
      </c>
      <c r="F66" s="188">
        <v>64</v>
      </c>
      <c r="G66" s="188">
        <v>1386</v>
      </c>
      <c r="H66" s="188">
        <v>996</v>
      </c>
      <c r="I66" s="188">
        <v>388</v>
      </c>
      <c r="J66" s="44">
        <v>251</v>
      </c>
      <c r="K66" s="323">
        <v>4</v>
      </c>
      <c r="L66" s="414">
        <v>32</v>
      </c>
      <c r="M66" s="232">
        <f t="shared" ref="M66:M74" si="126">ROUND(((L66/K66-1)*100), 1)</f>
        <v>700</v>
      </c>
      <c r="N66" s="323">
        <f t="shared" si="111"/>
        <v>48</v>
      </c>
      <c r="O66" s="414">
        <f t="shared" si="112"/>
        <v>0</v>
      </c>
      <c r="P66" s="242">
        <f t="shared" ref="P66:P74" si="127">ROUND(((O66/N66-1)*100), 1)</f>
        <v>-100</v>
      </c>
      <c r="Q66" s="323">
        <v>52</v>
      </c>
      <c r="R66" s="414">
        <v>32</v>
      </c>
      <c r="S66" s="242">
        <f t="shared" ref="S66:S74" si="128">ROUND(((R66/Q66-1)*100), 1)</f>
        <v>-38.5</v>
      </c>
      <c r="T66" s="323">
        <f t="shared" si="113"/>
        <v>46</v>
      </c>
      <c r="U66" s="414">
        <f t="shared" si="114"/>
        <v>11</v>
      </c>
      <c r="V66" s="242">
        <f t="shared" ref="V66:V74" si="129">ROUND(((U66/T66-1)*100), 1)</f>
        <v>-76.099999999999994</v>
      </c>
      <c r="W66" s="323">
        <v>98</v>
      </c>
      <c r="X66" s="414">
        <v>43</v>
      </c>
      <c r="Y66" s="242">
        <f t="shared" ref="Y66:Y74" si="130">ROUND(((X66/W66-1)*100), 1)</f>
        <v>-56.1</v>
      </c>
      <c r="Z66" s="323">
        <f t="shared" si="115"/>
        <v>8</v>
      </c>
      <c r="AA66" s="414">
        <f t="shared" si="116"/>
        <v>0</v>
      </c>
      <c r="AB66" s="242">
        <f t="shared" ref="AB66:AB68" si="131">ROUND(((AA66/Z66-1)*100), 1)</f>
        <v>-100</v>
      </c>
      <c r="AC66" s="323">
        <v>106</v>
      </c>
      <c r="AD66" s="414">
        <v>43</v>
      </c>
      <c r="AE66" s="242">
        <f t="shared" ref="AE66:AE74" si="132">ROUND(((AD66/AC66-1)*100), 1)</f>
        <v>-59.4</v>
      </c>
      <c r="AF66" s="323">
        <f t="shared" si="117"/>
        <v>24</v>
      </c>
      <c r="AG66" s="414">
        <f t="shared" si="117"/>
        <v>0</v>
      </c>
      <c r="AH66" s="242">
        <f t="shared" ref="AH66:AH68" si="133">ROUND(((AG66/AF66-1)*100), 1)</f>
        <v>-100</v>
      </c>
      <c r="AI66" s="323">
        <v>130</v>
      </c>
      <c r="AJ66" s="414">
        <v>43</v>
      </c>
      <c r="AK66" s="242">
        <f t="shared" ref="AK66:AK74" si="134">ROUND(((AJ66/AI66-1)*100), 1)</f>
        <v>-66.900000000000006</v>
      </c>
      <c r="AL66" s="323">
        <f t="shared" si="118"/>
        <v>0</v>
      </c>
      <c r="AM66" s="414">
        <f t="shared" si="119"/>
        <v>24</v>
      </c>
      <c r="AN66" s="799">
        <v>0</v>
      </c>
      <c r="AO66" s="551">
        <v>130</v>
      </c>
      <c r="AP66" s="414">
        <v>67</v>
      </c>
      <c r="AQ66" s="242">
        <f t="shared" ref="AQ66:AQ74" si="135">ROUND(((AP66/AO66-1)*100), 1)</f>
        <v>-48.5</v>
      </c>
      <c r="AR66" s="551">
        <f t="shared" si="120"/>
        <v>23</v>
      </c>
      <c r="AS66" s="414">
        <f t="shared" si="120"/>
        <v>25</v>
      </c>
      <c r="AT66" s="753">
        <f t="shared" ref="AT66" si="136">ROUND(((AS66/AR66-1)*100), 1)</f>
        <v>8.6999999999999993</v>
      </c>
      <c r="AU66" s="951">
        <v>153</v>
      </c>
      <c r="AV66" s="952">
        <v>92</v>
      </c>
      <c r="AW66" s="753">
        <f t="shared" ref="AW66:AW74" si="137">ROUND(((AV66/AU66-1)*100), 1)</f>
        <v>-39.9</v>
      </c>
      <c r="AX66" s="551">
        <f t="shared" si="121"/>
        <v>25</v>
      </c>
      <c r="AY66" s="414">
        <f t="shared" si="122"/>
        <v>0</v>
      </c>
      <c r="AZ66" s="753">
        <f t="shared" ref="AZ66" si="138">ROUND(((AY66/AX66-1)*100), 1)</f>
        <v>-100</v>
      </c>
      <c r="BA66" s="551">
        <v>178</v>
      </c>
      <c r="BB66" s="414">
        <v>92</v>
      </c>
      <c r="BC66" s="753">
        <f t="shared" ref="BC66:BC75" si="139">ROUND(((BB66/BA66-1)*100), 1)</f>
        <v>-48.3</v>
      </c>
      <c r="BD66" s="551">
        <f t="shared" si="123"/>
        <v>0</v>
      </c>
      <c r="BE66" s="414">
        <f t="shared" si="123"/>
        <v>34</v>
      </c>
      <c r="BF66" s="799">
        <v>0</v>
      </c>
      <c r="BG66" s="551">
        <v>178</v>
      </c>
      <c r="BH66" s="414">
        <v>126</v>
      </c>
      <c r="BI66" s="753">
        <f t="shared" ref="BI66:BI75" si="140">ROUND(((BH66/BG66-1)*100), 1)</f>
        <v>-29.2</v>
      </c>
      <c r="BJ66" s="551">
        <f t="shared" si="124"/>
        <v>25</v>
      </c>
      <c r="BK66" s="414">
        <f t="shared" si="124"/>
        <v>0</v>
      </c>
      <c r="BL66" s="753">
        <f>ROUND(((BK66/BJ66-1)*100), 1)</f>
        <v>-100</v>
      </c>
      <c r="BM66" s="551">
        <v>203</v>
      </c>
      <c r="BN66" s="414">
        <v>126</v>
      </c>
      <c r="BO66" s="753">
        <f t="shared" ref="BO66:BO75" si="141">ROUND(((BN66/BM66-1)*100), 1)</f>
        <v>-37.9</v>
      </c>
      <c r="BP66" s="551">
        <f t="shared" si="125"/>
        <v>48</v>
      </c>
      <c r="BQ66" s="414">
        <f t="shared" si="125"/>
        <v>0</v>
      </c>
      <c r="BR66" s="753">
        <f t="shared" si="110"/>
        <v>-100</v>
      </c>
      <c r="BS66" s="551">
        <v>251</v>
      </c>
      <c r="BT66" s="414">
        <v>126</v>
      </c>
      <c r="BU66" s="753">
        <f t="shared" ref="BU66:BU75" si="142">ROUND(((BT66/BS66-1)*100), 1)</f>
        <v>-49.8</v>
      </c>
    </row>
    <row r="67" spans="1:73">
      <c r="A67" s="4"/>
      <c r="B67" s="79" t="s">
        <v>385</v>
      </c>
      <c r="C67" s="188">
        <v>0</v>
      </c>
      <c r="D67" s="188">
        <v>29</v>
      </c>
      <c r="E67" s="188">
        <v>13</v>
      </c>
      <c r="F67" s="188">
        <v>25</v>
      </c>
      <c r="G67" s="188">
        <v>27</v>
      </c>
      <c r="H67" s="188">
        <v>108</v>
      </c>
      <c r="I67" s="188">
        <v>181</v>
      </c>
      <c r="J67" s="44">
        <v>245</v>
      </c>
      <c r="K67" s="323">
        <v>34</v>
      </c>
      <c r="L67" s="414">
        <v>13</v>
      </c>
      <c r="M67" s="232">
        <f t="shared" si="126"/>
        <v>-61.8</v>
      </c>
      <c r="N67" s="323">
        <f t="shared" si="111"/>
        <v>0</v>
      </c>
      <c r="O67" s="414">
        <f t="shared" si="112"/>
        <v>30</v>
      </c>
      <c r="P67" s="242" t="e">
        <f t="shared" si="127"/>
        <v>#DIV/0!</v>
      </c>
      <c r="Q67" s="323">
        <v>34</v>
      </c>
      <c r="R67" s="414">
        <v>43</v>
      </c>
      <c r="S67" s="242">
        <f t="shared" si="128"/>
        <v>26.5</v>
      </c>
      <c r="T67" s="323">
        <f t="shared" si="113"/>
        <v>39</v>
      </c>
      <c r="U67" s="414">
        <f t="shared" si="114"/>
        <v>19</v>
      </c>
      <c r="V67" s="242">
        <f t="shared" si="129"/>
        <v>-51.3</v>
      </c>
      <c r="W67" s="323">
        <v>73</v>
      </c>
      <c r="X67" s="414">
        <v>62</v>
      </c>
      <c r="Y67" s="242">
        <f t="shared" si="130"/>
        <v>-15.1</v>
      </c>
      <c r="Z67" s="323">
        <f t="shared" si="115"/>
        <v>28</v>
      </c>
      <c r="AA67" s="414">
        <f t="shared" si="116"/>
        <v>17</v>
      </c>
      <c r="AB67" s="242">
        <f t="shared" si="131"/>
        <v>-39.299999999999997</v>
      </c>
      <c r="AC67" s="323">
        <v>101</v>
      </c>
      <c r="AD67" s="414">
        <v>79</v>
      </c>
      <c r="AE67" s="242">
        <f t="shared" si="132"/>
        <v>-21.8</v>
      </c>
      <c r="AF67" s="323">
        <f t="shared" si="117"/>
        <v>19</v>
      </c>
      <c r="AG67" s="414">
        <f t="shared" si="117"/>
        <v>1</v>
      </c>
      <c r="AH67" s="242">
        <f t="shared" si="133"/>
        <v>-94.7</v>
      </c>
      <c r="AI67" s="323">
        <v>120</v>
      </c>
      <c r="AJ67" s="414">
        <v>80</v>
      </c>
      <c r="AK67" s="242">
        <f t="shared" si="134"/>
        <v>-33.299999999999997</v>
      </c>
      <c r="AL67" s="323">
        <f t="shared" si="118"/>
        <v>31</v>
      </c>
      <c r="AM67" s="414">
        <f t="shared" si="119"/>
        <v>15</v>
      </c>
      <c r="AN67" s="242">
        <f t="shared" ref="AN67:AN68" si="143">ROUND(((AM67/AL67-1)*100), 1)</f>
        <v>-51.6</v>
      </c>
      <c r="AO67" s="551">
        <v>151</v>
      </c>
      <c r="AP67" s="414">
        <v>95</v>
      </c>
      <c r="AQ67" s="242">
        <f t="shared" si="135"/>
        <v>-37.1</v>
      </c>
      <c r="AR67" s="551">
        <f t="shared" si="120"/>
        <v>33</v>
      </c>
      <c r="AS67" s="414">
        <f t="shared" si="120"/>
        <v>41</v>
      </c>
      <c r="AT67" s="753">
        <f>ROUND(((AS67/AR67-1)*100), 1)</f>
        <v>24.2</v>
      </c>
      <c r="AU67" s="951">
        <v>184</v>
      </c>
      <c r="AV67" s="952">
        <v>136</v>
      </c>
      <c r="AW67" s="753">
        <f t="shared" si="137"/>
        <v>-26.1</v>
      </c>
      <c r="AX67" s="551">
        <f t="shared" si="121"/>
        <v>0</v>
      </c>
      <c r="AY67" s="414">
        <f t="shared" si="122"/>
        <v>1</v>
      </c>
      <c r="AZ67" s="799">
        <v>0</v>
      </c>
      <c r="BA67" s="551">
        <v>184</v>
      </c>
      <c r="BB67" s="414">
        <v>137</v>
      </c>
      <c r="BC67" s="753">
        <f t="shared" si="139"/>
        <v>-25.5</v>
      </c>
      <c r="BD67" s="551">
        <f t="shared" si="123"/>
        <v>28</v>
      </c>
      <c r="BE67" s="414">
        <f t="shared" si="123"/>
        <v>21</v>
      </c>
      <c r="BF67" s="753">
        <f t="shared" ref="BF67:BF73" si="144">ROUND(((BE67/BD67-1)*100), 1)</f>
        <v>-25</v>
      </c>
      <c r="BG67" s="551">
        <v>212</v>
      </c>
      <c r="BH67" s="414">
        <v>158</v>
      </c>
      <c r="BI67" s="753">
        <f t="shared" si="140"/>
        <v>-25.5</v>
      </c>
      <c r="BJ67" s="551">
        <f t="shared" si="124"/>
        <v>22</v>
      </c>
      <c r="BK67" s="414">
        <f t="shared" si="124"/>
        <v>45</v>
      </c>
      <c r="BL67" s="753">
        <f t="shared" ref="BL67:BL68" si="145">ROUND(((BK67/BJ67-1)*100), 1)</f>
        <v>104.5</v>
      </c>
      <c r="BM67" s="551">
        <v>234</v>
      </c>
      <c r="BN67" s="414">
        <v>203</v>
      </c>
      <c r="BO67" s="753">
        <f t="shared" si="141"/>
        <v>-13.2</v>
      </c>
      <c r="BP67" s="551">
        <f t="shared" si="125"/>
        <v>5</v>
      </c>
      <c r="BQ67" s="414">
        <f t="shared" si="125"/>
        <v>0</v>
      </c>
      <c r="BR67" s="753">
        <f t="shared" si="110"/>
        <v>-100</v>
      </c>
      <c r="BS67" s="551">
        <v>239</v>
      </c>
      <c r="BT67" s="414">
        <v>203</v>
      </c>
      <c r="BU67" s="753">
        <f t="shared" si="142"/>
        <v>-15.1</v>
      </c>
    </row>
    <row r="68" spans="1:73">
      <c r="A68" s="4"/>
      <c r="B68" s="79" t="s">
        <v>387</v>
      </c>
      <c r="C68" s="188">
        <v>505</v>
      </c>
      <c r="D68" s="188">
        <v>1196</v>
      </c>
      <c r="E68" s="188">
        <v>267</v>
      </c>
      <c r="F68" s="188">
        <v>387</v>
      </c>
      <c r="G68" s="188">
        <v>465</v>
      </c>
      <c r="H68" s="188">
        <v>134</v>
      </c>
      <c r="I68" s="188">
        <v>123</v>
      </c>
      <c r="J68" s="44">
        <v>237</v>
      </c>
      <c r="K68" s="323">
        <v>20</v>
      </c>
      <c r="L68" s="414">
        <v>8</v>
      </c>
      <c r="M68" s="232">
        <f t="shared" si="126"/>
        <v>-60</v>
      </c>
      <c r="N68" s="323">
        <f t="shared" si="111"/>
        <v>12</v>
      </c>
      <c r="O68" s="414">
        <f t="shared" si="112"/>
        <v>5</v>
      </c>
      <c r="P68" s="242">
        <f t="shared" si="127"/>
        <v>-58.3</v>
      </c>
      <c r="Q68" s="323">
        <v>32</v>
      </c>
      <c r="R68" s="414">
        <v>13</v>
      </c>
      <c r="S68" s="242">
        <f t="shared" si="128"/>
        <v>-59.4</v>
      </c>
      <c r="T68" s="323">
        <f t="shared" si="113"/>
        <v>14</v>
      </c>
      <c r="U68" s="414">
        <f t="shared" si="114"/>
        <v>31</v>
      </c>
      <c r="V68" s="242">
        <f t="shared" si="129"/>
        <v>121.4</v>
      </c>
      <c r="W68" s="323">
        <v>46</v>
      </c>
      <c r="X68" s="414">
        <v>44</v>
      </c>
      <c r="Y68" s="242">
        <f t="shared" si="130"/>
        <v>-4.3</v>
      </c>
      <c r="Z68" s="323">
        <f t="shared" si="115"/>
        <v>67</v>
      </c>
      <c r="AA68" s="414">
        <f t="shared" si="116"/>
        <v>20</v>
      </c>
      <c r="AB68" s="242">
        <f t="shared" si="131"/>
        <v>-70.099999999999994</v>
      </c>
      <c r="AC68" s="323">
        <v>113</v>
      </c>
      <c r="AD68" s="414">
        <v>64</v>
      </c>
      <c r="AE68" s="242">
        <f t="shared" si="132"/>
        <v>-43.4</v>
      </c>
      <c r="AF68" s="323">
        <f t="shared" si="117"/>
        <v>26</v>
      </c>
      <c r="AG68" s="414">
        <f t="shared" si="117"/>
        <v>52</v>
      </c>
      <c r="AH68" s="242">
        <f t="shared" si="133"/>
        <v>100</v>
      </c>
      <c r="AI68" s="323">
        <v>139</v>
      </c>
      <c r="AJ68" s="414">
        <v>116</v>
      </c>
      <c r="AK68" s="242">
        <f t="shared" si="134"/>
        <v>-16.5</v>
      </c>
      <c r="AL68" s="323">
        <f t="shared" si="118"/>
        <v>28</v>
      </c>
      <c r="AM68" s="414">
        <f t="shared" si="119"/>
        <v>42</v>
      </c>
      <c r="AN68" s="242">
        <f t="shared" si="143"/>
        <v>50</v>
      </c>
      <c r="AO68" s="551">
        <v>167</v>
      </c>
      <c r="AP68" s="414">
        <v>158</v>
      </c>
      <c r="AQ68" s="242">
        <f t="shared" si="135"/>
        <v>-5.4</v>
      </c>
      <c r="AR68" s="551">
        <f t="shared" si="120"/>
        <v>18</v>
      </c>
      <c r="AS68" s="414">
        <f t="shared" si="120"/>
        <v>18</v>
      </c>
      <c r="AT68" s="753">
        <f>ROUND(((AS68/AR68-1)*100), 1)</f>
        <v>0</v>
      </c>
      <c r="AU68" s="951">
        <v>185</v>
      </c>
      <c r="AV68" s="952">
        <v>176</v>
      </c>
      <c r="AW68" s="753">
        <f t="shared" si="137"/>
        <v>-4.9000000000000004</v>
      </c>
      <c r="AX68" s="551">
        <f t="shared" si="121"/>
        <v>7</v>
      </c>
      <c r="AY68" s="414">
        <f t="shared" si="122"/>
        <v>11</v>
      </c>
      <c r="AZ68" s="753">
        <f>ROUND(((AY68/AX68-1)*100), 1)</f>
        <v>57.1</v>
      </c>
      <c r="BA68" s="551">
        <v>192</v>
      </c>
      <c r="BB68" s="414">
        <v>187</v>
      </c>
      <c r="BC68" s="753">
        <f t="shared" si="139"/>
        <v>-2.6</v>
      </c>
      <c r="BD68" s="551">
        <f t="shared" si="123"/>
        <v>9</v>
      </c>
      <c r="BE68" s="414">
        <f t="shared" si="123"/>
        <v>246</v>
      </c>
      <c r="BF68" s="753">
        <f t="shared" si="144"/>
        <v>2633.3</v>
      </c>
      <c r="BG68" s="551">
        <v>201</v>
      </c>
      <c r="BH68" s="414">
        <v>433</v>
      </c>
      <c r="BI68" s="753">
        <f t="shared" si="140"/>
        <v>115.4</v>
      </c>
      <c r="BJ68" s="551">
        <f t="shared" si="124"/>
        <v>5</v>
      </c>
      <c r="BK68" s="414">
        <f t="shared" si="124"/>
        <v>3</v>
      </c>
      <c r="BL68" s="753">
        <f t="shared" si="145"/>
        <v>-40</v>
      </c>
      <c r="BM68" s="551">
        <v>206</v>
      </c>
      <c r="BN68" s="414">
        <v>436</v>
      </c>
      <c r="BO68" s="753">
        <f t="shared" si="141"/>
        <v>111.7</v>
      </c>
      <c r="BP68" s="551">
        <f t="shared" si="125"/>
        <v>22</v>
      </c>
      <c r="BQ68" s="414">
        <f t="shared" si="125"/>
        <v>69</v>
      </c>
      <c r="BR68" s="753">
        <f t="shared" si="110"/>
        <v>213.6</v>
      </c>
      <c r="BS68" s="551">
        <v>228</v>
      </c>
      <c r="BT68" s="414">
        <v>505</v>
      </c>
      <c r="BU68" s="753">
        <f t="shared" si="142"/>
        <v>121.5</v>
      </c>
    </row>
    <row r="69" spans="1:73">
      <c r="A69" s="4"/>
      <c r="B69" s="79" t="s">
        <v>396</v>
      </c>
      <c r="C69" s="188">
        <v>0</v>
      </c>
      <c r="D69" s="188">
        <v>21</v>
      </c>
      <c r="E69" s="188">
        <v>0</v>
      </c>
      <c r="F69" s="188">
        <v>0</v>
      </c>
      <c r="G69" s="188">
        <v>0</v>
      </c>
      <c r="H69" s="188">
        <v>27</v>
      </c>
      <c r="I69" s="188">
        <v>0</v>
      </c>
      <c r="J69" s="44">
        <v>203</v>
      </c>
      <c r="K69" s="323">
        <v>10</v>
      </c>
      <c r="L69" s="414">
        <v>23</v>
      </c>
      <c r="M69" s="232">
        <f t="shared" si="126"/>
        <v>130</v>
      </c>
      <c r="N69" s="323">
        <f t="shared" si="111"/>
        <v>0</v>
      </c>
      <c r="O69" s="414">
        <f t="shared" si="112"/>
        <v>23</v>
      </c>
      <c r="P69" s="242" t="e">
        <f t="shared" si="127"/>
        <v>#DIV/0!</v>
      </c>
      <c r="Q69" s="323">
        <v>10</v>
      </c>
      <c r="R69" s="414">
        <v>46</v>
      </c>
      <c r="S69" s="242">
        <f t="shared" si="128"/>
        <v>360</v>
      </c>
      <c r="T69" s="323">
        <f t="shared" si="113"/>
        <v>0</v>
      </c>
      <c r="U69" s="414">
        <f t="shared" si="114"/>
        <v>23</v>
      </c>
      <c r="V69" s="177">
        <v>0</v>
      </c>
      <c r="W69" s="323">
        <v>10</v>
      </c>
      <c r="X69" s="414">
        <v>69</v>
      </c>
      <c r="Y69" s="242">
        <f t="shared" si="130"/>
        <v>590</v>
      </c>
      <c r="Z69" s="323">
        <f t="shared" si="115"/>
        <v>48</v>
      </c>
      <c r="AA69" s="414">
        <f t="shared" si="116"/>
        <v>24</v>
      </c>
      <c r="AB69" s="242">
        <f>ROUND(((AA69/Z69-1)*100), 1)</f>
        <v>-50</v>
      </c>
      <c r="AC69" s="323">
        <v>58</v>
      </c>
      <c r="AD69" s="414">
        <v>93</v>
      </c>
      <c r="AE69" s="242">
        <f t="shared" si="132"/>
        <v>60.3</v>
      </c>
      <c r="AF69" s="323">
        <f t="shared" si="117"/>
        <v>2</v>
      </c>
      <c r="AG69" s="414">
        <f t="shared" si="117"/>
        <v>24</v>
      </c>
      <c r="AH69" s="242">
        <f>ROUND(((AG69/AF69-1)*100), 1)</f>
        <v>1100</v>
      </c>
      <c r="AI69" s="323">
        <v>60</v>
      </c>
      <c r="AJ69" s="414">
        <v>117</v>
      </c>
      <c r="AK69" s="242">
        <f t="shared" si="134"/>
        <v>95</v>
      </c>
      <c r="AL69" s="323">
        <f t="shared" si="118"/>
        <v>24</v>
      </c>
      <c r="AM69" s="414">
        <f t="shared" si="119"/>
        <v>23</v>
      </c>
      <c r="AN69" s="242">
        <f>ROUND(((AM69/AL69-1)*100), 1)</f>
        <v>-4.2</v>
      </c>
      <c r="AO69" s="551">
        <v>84</v>
      </c>
      <c r="AP69" s="414">
        <v>140</v>
      </c>
      <c r="AQ69" s="242">
        <f t="shared" si="135"/>
        <v>66.7</v>
      </c>
      <c r="AR69" s="551">
        <f t="shared" si="120"/>
        <v>23</v>
      </c>
      <c r="AS69" s="414">
        <f t="shared" si="120"/>
        <v>23</v>
      </c>
      <c r="AT69" s="753">
        <f>ROUND(((AS69/AR69-1)*100), 1)</f>
        <v>0</v>
      </c>
      <c r="AU69" s="951">
        <v>107</v>
      </c>
      <c r="AV69" s="952">
        <v>163</v>
      </c>
      <c r="AW69" s="753">
        <f t="shared" si="137"/>
        <v>52.3</v>
      </c>
      <c r="AX69" s="551">
        <f t="shared" si="121"/>
        <v>47</v>
      </c>
      <c r="AY69" s="414">
        <f t="shared" si="122"/>
        <v>23</v>
      </c>
      <c r="AZ69" s="753">
        <f>ROUND(((AY69/AX69-1)*100), 1)</f>
        <v>-51.1</v>
      </c>
      <c r="BA69" s="551">
        <v>154</v>
      </c>
      <c r="BB69" s="414">
        <v>186</v>
      </c>
      <c r="BC69" s="753">
        <f t="shared" si="139"/>
        <v>20.8</v>
      </c>
      <c r="BD69" s="551">
        <f t="shared" si="123"/>
        <v>0</v>
      </c>
      <c r="BE69" s="414">
        <f t="shared" si="123"/>
        <v>24</v>
      </c>
      <c r="BF69" s="799">
        <v>0</v>
      </c>
      <c r="BG69" s="551">
        <v>154</v>
      </c>
      <c r="BH69" s="414">
        <v>210</v>
      </c>
      <c r="BI69" s="753">
        <f t="shared" si="140"/>
        <v>36.4</v>
      </c>
      <c r="BJ69" s="551">
        <f t="shared" si="124"/>
        <v>24</v>
      </c>
      <c r="BK69" s="414">
        <f t="shared" si="124"/>
        <v>23</v>
      </c>
      <c r="BL69" s="753">
        <f>ROUND(((BK69/BJ69-1)*100), 1)</f>
        <v>-4.2</v>
      </c>
      <c r="BM69" s="551">
        <v>178</v>
      </c>
      <c r="BN69" s="414">
        <v>233</v>
      </c>
      <c r="BO69" s="753">
        <f t="shared" si="141"/>
        <v>30.9</v>
      </c>
      <c r="BP69" s="551">
        <f t="shared" si="125"/>
        <v>25</v>
      </c>
      <c r="BQ69" s="414">
        <f t="shared" si="125"/>
        <v>23</v>
      </c>
      <c r="BR69" s="753">
        <f t="shared" si="110"/>
        <v>-8</v>
      </c>
      <c r="BS69" s="551">
        <v>203</v>
      </c>
      <c r="BT69" s="414">
        <v>256</v>
      </c>
      <c r="BU69" s="753">
        <f t="shared" si="142"/>
        <v>26.1</v>
      </c>
    </row>
    <row r="70" spans="1:73">
      <c r="A70" s="4"/>
      <c r="B70" s="79" t="s">
        <v>389</v>
      </c>
      <c r="C70" s="188">
        <v>1</v>
      </c>
      <c r="D70" s="188">
        <v>0</v>
      </c>
      <c r="E70" s="188">
        <v>72</v>
      </c>
      <c r="F70" s="188">
        <v>19</v>
      </c>
      <c r="G70" s="188">
        <v>863</v>
      </c>
      <c r="H70" s="188">
        <v>434</v>
      </c>
      <c r="I70" s="188">
        <v>48</v>
      </c>
      <c r="J70" s="44">
        <v>147</v>
      </c>
      <c r="K70" s="323">
        <v>20</v>
      </c>
      <c r="L70" s="414">
        <v>0</v>
      </c>
      <c r="M70" s="242">
        <f t="shared" si="126"/>
        <v>-100</v>
      </c>
      <c r="N70" s="323">
        <f t="shared" si="111"/>
        <v>41</v>
      </c>
      <c r="O70" s="414">
        <f t="shared" si="112"/>
        <v>0</v>
      </c>
      <c r="P70" s="242">
        <f t="shared" si="127"/>
        <v>-100</v>
      </c>
      <c r="Q70" s="323">
        <v>61</v>
      </c>
      <c r="R70" s="414">
        <v>0</v>
      </c>
      <c r="S70" s="242">
        <f t="shared" si="128"/>
        <v>-100</v>
      </c>
      <c r="T70" s="323">
        <f t="shared" si="113"/>
        <v>0</v>
      </c>
      <c r="U70" s="414">
        <f t="shared" si="114"/>
        <v>0</v>
      </c>
      <c r="V70" s="177">
        <v>0</v>
      </c>
      <c r="W70" s="323">
        <v>61</v>
      </c>
      <c r="X70" s="414">
        <v>0</v>
      </c>
      <c r="Y70" s="242">
        <f t="shared" si="130"/>
        <v>-100</v>
      </c>
      <c r="Z70" s="323">
        <f t="shared" si="115"/>
        <v>1</v>
      </c>
      <c r="AA70" s="414">
        <f t="shared" si="116"/>
        <v>0</v>
      </c>
      <c r="AB70" s="242">
        <f>ROUND(((AA70/Z70-1)*100), 1)</f>
        <v>-100</v>
      </c>
      <c r="AC70" s="323">
        <v>62</v>
      </c>
      <c r="AD70" s="414">
        <v>0</v>
      </c>
      <c r="AE70" s="242">
        <f t="shared" si="132"/>
        <v>-100</v>
      </c>
      <c r="AF70" s="323">
        <f t="shared" si="117"/>
        <v>40</v>
      </c>
      <c r="AG70" s="414">
        <f t="shared" si="117"/>
        <v>0</v>
      </c>
      <c r="AH70" s="242">
        <f>ROUND(((AG70/AF70-1)*100), 1)</f>
        <v>-100</v>
      </c>
      <c r="AI70" s="323">
        <v>102</v>
      </c>
      <c r="AJ70" s="414">
        <v>0</v>
      </c>
      <c r="AK70" s="242">
        <f t="shared" si="134"/>
        <v>-100</v>
      </c>
      <c r="AL70" s="323">
        <f t="shared" si="118"/>
        <v>0</v>
      </c>
      <c r="AM70" s="414">
        <f t="shared" si="119"/>
        <v>0</v>
      </c>
      <c r="AN70" s="799">
        <v>0</v>
      </c>
      <c r="AO70" s="551">
        <v>102</v>
      </c>
      <c r="AP70" s="414">
        <v>0</v>
      </c>
      <c r="AQ70" s="242">
        <f t="shared" si="135"/>
        <v>-100</v>
      </c>
      <c r="AR70" s="551">
        <f t="shared" si="120"/>
        <v>0</v>
      </c>
      <c r="AS70" s="414">
        <f t="shared" si="120"/>
        <v>0</v>
      </c>
      <c r="AT70" s="799">
        <v>0</v>
      </c>
      <c r="AU70" s="951">
        <v>102</v>
      </c>
      <c r="AV70" s="952">
        <v>0</v>
      </c>
      <c r="AW70" s="753">
        <f t="shared" si="137"/>
        <v>-100</v>
      </c>
      <c r="AX70" s="551">
        <f t="shared" si="121"/>
        <v>0</v>
      </c>
      <c r="AY70" s="414">
        <f t="shared" si="122"/>
        <v>0</v>
      </c>
      <c r="AZ70" s="799">
        <v>0</v>
      </c>
      <c r="BA70" s="551">
        <v>102</v>
      </c>
      <c r="BB70" s="414">
        <v>0</v>
      </c>
      <c r="BC70" s="753">
        <f t="shared" si="139"/>
        <v>-100</v>
      </c>
      <c r="BD70" s="551">
        <f t="shared" si="123"/>
        <v>15</v>
      </c>
      <c r="BE70" s="414">
        <f t="shared" si="123"/>
        <v>0</v>
      </c>
      <c r="BF70" s="753">
        <f t="shared" si="144"/>
        <v>-100</v>
      </c>
      <c r="BG70" s="551">
        <v>117</v>
      </c>
      <c r="BH70" s="414">
        <v>0</v>
      </c>
      <c r="BI70" s="753">
        <f t="shared" si="140"/>
        <v>-100</v>
      </c>
      <c r="BJ70" s="551">
        <f t="shared" si="124"/>
        <v>0</v>
      </c>
      <c r="BK70" s="414">
        <f t="shared" si="124"/>
        <v>0</v>
      </c>
      <c r="BL70" s="753" t="e">
        <f t="shared" ref="BL70:BL73" si="146">ROUND(((BK70/BJ70-1)*100), 1)</f>
        <v>#DIV/0!</v>
      </c>
      <c r="BM70" s="551">
        <v>117</v>
      </c>
      <c r="BN70" s="414">
        <v>0</v>
      </c>
      <c r="BO70" s="753">
        <f t="shared" si="141"/>
        <v>-100</v>
      </c>
      <c r="BP70" s="551">
        <f t="shared" si="125"/>
        <v>0</v>
      </c>
      <c r="BQ70" s="414">
        <f t="shared" si="125"/>
        <v>10</v>
      </c>
      <c r="BR70" s="799">
        <v>0</v>
      </c>
      <c r="BS70" s="551">
        <v>117</v>
      </c>
      <c r="BT70" s="414">
        <v>10</v>
      </c>
      <c r="BU70" s="753">
        <f t="shared" si="142"/>
        <v>-91.5</v>
      </c>
    </row>
    <row r="71" spans="1:73">
      <c r="A71" s="4"/>
      <c r="B71" s="79" t="s">
        <v>386</v>
      </c>
      <c r="C71" s="188">
        <v>530</v>
      </c>
      <c r="D71" s="188">
        <v>225</v>
      </c>
      <c r="E71" s="188">
        <v>181</v>
      </c>
      <c r="F71" s="188">
        <v>551</v>
      </c>
      <c r="G71" s="188">
        <v>86</v>
      </c>
      <c r="H71" s="188">
        <v>156</v>
      </c>
      <c r="I71" s="188">
        <v>164</v>
      </c>
      <c r="J71" s="44">
        <v>120</v>
      </c>
      <c r="K71" s="323">
        <v>6</v>
      </c>
      <c r="L71" s="414">
        <v>5</v>
      </c>
      <c r="M71" s="232">
        <f t="shared" si="126"/>
        <v>-16.7</v>
      </c>
      <c r="N71" s="323">
        <f t="shared" si="111"/>
        <v>10</v>
      </c>
      <c r="O71" s="414">
        <f t="shared" si="112"/>
        <v>5</v>
      </c>
      <c r="P71" s="242">
        <f t="shared" si="127"/>
        <v>-50</v>
      </c>
      <c r="Q71" s="323">
        <v>16</v>
      </c>
      <c r="R71" s="414">
        <v>10</v>
      </c>
      <c r="S71" s="242">
        <f t="shared" si="128"/>
        <v>-37.5</v>
      </c>
      <c r="T71" s="323">
        <f t="shared" si="113"/>
        <v>9</v>
      </c>
      <c r="U71" s="414">
        <f t="shared" si="114"/>
        <v>16</v>
      </c>
      <c r="V71" s="242">
        <f t="shared" si="129"/>
        <v>77.8</v>
      </c>
      <c r="W71" s="323">
        <v>25</v>
      </c>
      <c r="X71" s="414">
        <v>26</v>
      </c>
      <c r="Y71" s="242">
        <f t="shared" si="130"/>
        <v>4</v>
      </c>
      <c r="Z71" s="323">
        <f t="shared" si="115"/>
        <v>10</v>
      </c>
      <c r="AA71" s="414">
        <f t="shared" si="116"/>
        <v>14</v>
      </c>
      <c r="AB71" s="242">
        <f t="shared" ref="AB71:AB73" si="147">ROUND(((AA71/Z71-1)*100), 1)</f>
        <v>40</v>
      </c>
      <c r="AC71" s="323">
        <v>35</v>
      </c>
      <c r="AD71" s="414">
        <v>40</v>
      </c>
      <c r="AE71" s="242">
        <f t="shared" si="132"/>
        <v>14.3</v>
      </c>
      <c r="AF71" s="323">
        <f t="shared" si="117"/>
        <v>11</v>
      </c>
      <c r="AG71" s="414">
        <f t="shared" si="117"/>
        <v>14</v>
      </c>
      <c r="AH71" s="242">
        <f t="shared" ref="AH71:AH74" si="148">ROUND(((AG71/AF71-1)*100), 1)</f>
        <v>27.3</v>
      </c>
      <c r="AI71" s="323">
        <v>46</v>
      </c>
      <c r="AJ71" s="414">
        <v>54</v>
      </c>
      <c r="AK71" s="242">
        <f t="shared" si="134"/>
        <v>17.399999999999999</v>
      </c>
      <c r="AL71" s="323">
        <f t="shared" si="118"/>
        <v>9</v>
      </c>
      <c r="AM71" s="414">
        <f t="shared" si="119"/>
        <v>10</v>
      </c>
      <c r="AN71" s="242">
        <f t="shared" ref="AN71:AN72" si="149">ROUND(((AM71/AL71-1)*100), 1)</f>
        <v>11.1</v>
      </c>
      <c r="AO71" s="551">
        <v>55</v>
      </c>
      <c r="AP71" s="414">
        <v>64</v>
      </c>
      <c r="AQ71" s="242">
        <f t="shared" si="135"/>
        <v>16.399999999999999</v>
      </c>
      <c r="AR71" s="551">
        <f t="shared" si="120"/>
        <v>15</v>
      </c>
      <c r="AS71" s="414">
        <f t="shared" si="120"/>
        <v>25</v>
      </c>
      <c r="AT71" s="753">
        <f>ROUND(((AS71/AR71-1)*100), 1)</f>
        <v>66.7</v>
      </c>
      <c r="AU71" s="951">
        <v>70</v>
      </c>
      <c r="AV71" s="952">
        <v>89</v>
      </c>
      <c r="AW71" s="753">
        <f t="shared" si="137"/>
        <v>27.1</v>
      </c>
      <c r="AX71" s="551">
        <f t="shared" si="121"/>
        <v>12</v>
      </c>
      <c r="AY71" s="414">
        <f t="shared" si="122"/>
        <v>17</v>
      </c>
      <c r="AZ71" s="753">
        <f>ROUND(((AY71/AX71-1)*100), 1)</f>
        <v>41.7</v>
      </c>
      <c r="BA71" s="551">
        <v>82</v>
      </c>
      <c r="BB71" s="414">
        <v>106</v>
      </c>
      <c r="BC71" s="753">
        <f t="shared" si="139"/>
        <v>29.3</v>
      </c>
      <c r="BD71" s="551">
        <f t="shared" si="123"/>
        <v>6</v>
      </c>
      <c r="BE71" s="414">
        <f t="shared" si="123"/>
        <v>10</v>
      </c>
      <c r="BF71" s="753">
        <f t="shared" si="144"/>
        <v>66.7</v>
      </c>
      <c r="BG71" s="551">
        <v>88</v>
      </c>
      <c r="BH71" s="414">
        <v>116</v>
      </c>
      <c r="BI71" s="753">
        <f t="shared" si="140"/>
        <v>31.8</v>
      </c>
      <c r="BJ71" s="551">
        <f t="shared" si="124"/>
        <v>5</v>
      </c>
      <c r="BK71" s="414">
        <f t="shared" si="124"/>
        <v>9</v>
      </c>
      <c r="BL71" s="753">
        <f t="shared" si="146"/>
        <v>80</v>
      </c>
      <c r="BM71" s="551">
        <v>93</v>
      </c>
      <c r="BN71" s="414">
        <v>125</v>
      </c>
      <c r="BO71" s="753">
        <f t="shared" si="141"/>
        <v>34.4</v>
      </c>
      <c r="BP71" s="551">
        <f t="shared" si="125"/>
        <v>17</v>
      </c>
      <c r="BQ71" s="414">
        <f t="shared" si="125"/>
        <v>21</v>
      </c>
      <c r="BR71" s="753">
        <f t="shared" si="110"/>
        <v>23.5</v>
      </c>
      <c r="BS71" s="551">
        <v>110</v>
      </c>
      <c r="BT71" s="414">
        <v>146</v>
      </c>
      <c r="BU71" s="753">
        <f t="shared" si="142"/>
        <v>32.700000000000003</v>
      </c>
    </row>
    <row r="72" spans="1:73">
      <c r="A72" s="4"/>
      <c r="B72" s="79" t="s">
        <v>388</v>
      </c>
      <c r="C72" s="188">
        <v>23</v>
      </c>
      <c r="D72" s="188">
        <v>34</v>
      </c>
      <c r="E72" s="188">
        <v>16</v>
      </c>
      <c r="F72" s="188">
        <v>41</v>
      </c>
      <c r="G72" s="188">
        <v>60</v>
      </c>
      <c r="H72" s="188">
        <v>9</v>
      </c>
      <c r="I72" s="188">
        <v>56</v>
      </c>
      <c r="J72" s="44">
        <v>117</v>
      </c>
      <c r="K72" s="323">
        <v>13</v>
      </c>
      <c r="L72" s="414">
        <v>10</v>
      </c>
      <c r="M72" s="232">
        <f t="shared" si="126"/>
        <v>-23.1</v>
      </c>
      <c r="N72" s="323">
        <f t="shared" si="111"/>
        <v>10</v>
      </c>
      <c r="O72" s="414">
        <f t="shared" si="112"/>
        <v>8</v>
      </c>
      <c r="P72" s="242">
        <f t="shared" si="127"/>
        <v>-20</v>
      </c>
      <c r="Q72" s="323">
        <v>23</v>
      </c>
      <c r="R72" s="414">
        <v>18</v>
      </c>
      <c r="S72" s="242">
        <f t="shared" si="128"/>
        <v>-21.7</v>
      </c>
      <c r="T72" s="323">
        <f t="shared" si="113"/>
        <v>9</v>
      </c>
      <c r="U72" s="414">
        <f t="shared" si="114"/>
        <v>0</v>
      </c>
      <c r="V72" s="242">
        <f t="shared" si="129"/>
        <v>-100</v>
      </c>
      <c r="W72" s="323">
        <v>32</v>
      </c>
      <c r="X72" s="414">
        <v>18</v>
      </c>
      <c r="Y72" s="242">
        <f t="shared" si="130"/>
        <v>-43.8</v>
      </c>
      <c r="Z72" s="323">
        <f t="shared" si="115"/>
        <v>9</v>
      </c>
      <c r="AA72" s="414">
        <f t="shared" si="116"/>
        <v>16</v>
      </c>
      <c r="AB72" s="242">
        <f t="shared" si="147"/>
        <v>77.8</v>
      </c>
      <c r="AC72" s="323">
        <v>41</v>
      </c>
      <c r="AD72" s="414">
        <v>34</v>
      </c>
      <c r="AE72" s="242">
        <f t="shared" si="132"/>
        <v>-17.100000000000001</v>
      </c>
      <c r="AF72" s="323">
        <f t="shared" si="117"/>
        <v>11</v>
      </c>
      <c r="AG72" s="414">
        <f t="shared" si="117"/>
        <v>2</v>
      </c>
      <c r="AH72" s="242">
        <f t="shared" si="148"/>
        <v>-81.8</v>
      </c>
      <c r="AI72" s="323">
        <v>52</v>
      </c>
      <c r="AJ72" s="414">
        <v>36</v>
      </c>
      <c r="AK72" s="242">
        <f t="shared" si="134"/>
        <v>-30.8</v>
      </c>
      <c r="AL72" s="323">
        <f t="shared" si="118"/>
        <v>8</v>
      </c>
      <c r="AM72" s="414">
        <f t="shared" si="119"/>
        <v>10</v>
      </c>
      <c r="AN72" s="242">
        <f t="shared" si="149"/>
        <v>25</v>
      </c>
      <c r="AO72" s="551">
        <v>60</v>
      </c>
      <c r="AP72" s="414">
        <v>46</v>
      </c>
      <c r="AQ72" s="242">
        <f t="shared" si="135"/>
        <v>-23.3</v>
      </c>
      <c r="AR72" s="551">
        <f t="shared" si="120"/>
        <v>8</v>
      </c>
      <c r="AS72" s="414">
        <f t="shared" si="120"/>
        <v>1</v>
      </c>
      <c r="AT72" s="753">
        <f>ROUND(((AS72/AR72-1)*100), 1)</f>
        <v>-87.5</v>
      </c>
      <c r="AU72" s="951">
        <v>68</v>
      </c>
      <c r="AV72" s="952">
        <v>47</v>
      </c>
      <c r="AW72" s="753">
        <f t="shared" si="137"/>
        <v>-30.9</v>
      </c>
      <c r="AX72" s="551">
        <f t="shared" si="121"/>
        <v>8</v>
      </c>
      <c r="AY72" s="414">
        <f t="shared" si="122"/>
        <v>0</v>
      </c>
      <c r="AZ72" s="753">
        <f>ROUND(((AY72/AX72-1)*100), 1)</f>
        <v>-100</v>
      </c>
      <c r="BA72" s="551">
        <v>76</v>
      </c>
      <c r="BB72" s="414">
        <v>47</v>
      </c>
      <c r="BC72" s="753">
        <f t="shared" si="139"/>
        <v>-38.200000000000003</v>
      </c>
      <c r="BD72" s="551">
        <f t="shared" si="123"/>
        <v>9</v>
      </c>
      <c r="BE72" s="414">
        <f t="shared" si="123"/>
        <v>9</v>
      </c>
      <c r="BF72" s="753">
        <f t="shared" si="144"/>
        <v>0</v>
      </c>
      <c r="BG72" s="551">
        <v>85</v>
      </c>
      <c r="BH72" s="414">
        <v>56</v>
      </c>
      <c r="BI72" s="753">
        <f t="shared" si="140"/>
        <v>-34.1</v>
      </c>
      <c r="BJ72" s="551">
        <f t="shared" si="124"/>
        <v>7</v>
      </c>
      <c r="BK72" s="414">
        <f t="shared" si="124"/>
        <v>0</v>
      </c>
      <c r="BL72" s="753">
        <f t="shared" si="146"/>
        <v>-100</v>
      </c>
      <c r="BM72" s="551">
        <v>92</v>
      </c>
      <c r="BN72" s="414">
        <v>56</v>
      </c>
      <c r="BO72" s="753">
        <f t="shared" si="141"/>
        <v>-39.1</v>
      </c>
      <c r="BP72" s="551">
        <f t="shared" si="125"/>
        <v>8</v>
      </c>
      <c r="BQ72" s="414">
        <f t="shared" si="125"/>
        <v>9</v>
      </c>
      <c r="BR72" s="753">
        <f t="shared" si="110"/>
        <v>12.5</v>
      </c>
      <c r="BS72" s="551">
        <v>100</v>
      </c>
      <c r="BT72" s="414">
        <v>65</v>
      </c>
      <c r="BU72" s="753">
        <f t="shared" si="142"/>
        <v>-35</v>
      </c>
    </row>
    <row r="73" spans="1:73">
      <c r="A73" s="4"/>
      <c r="B73" s="79" t="s">
        <v>391</v>
      </c>
      <c r="C73" s="188">
        <v>74</v>
      </c>
      <c r="D73" s="188">
        <v>43</v>
      </c>
      <c r="E73" s="188">
        <v>41</v>
      </c>
      <c r="F73" s="188">
        <v>45</v>
      </c>
      <c r="G73" s="188">
        <v>40</v>
      </c>
      <c r="H73" s="188">
        <v>47</v>
      </c>
      <c r="I73" s="188">
        <v>41</v>
      </c>
      <c r="J73" s="44">
        <v>44</v>
      </c>
      <c r="K73" s="323">
        <v>2</v>
      </c>
      <c r="L73" s="414">
        <v>4</v>
      </c>
      <c r="M73" s="242">
        <f t="shared" si="126"/>
        <v>100</v>
      </c>
      <c r="N73" s="323">
        <f t="shared" si="111"/>
        <v>2</v>
      </c>
      <c r="O73" s="414">
        <f t="shared" si="112"/>
        <v>7</v>
      </c>
      <c r="P73" s="242">
        <f t="shared" si="127"/>
        <v>250</v>
      </c>
      <c r="Q73" s="323">
        <v>4</v>
      </c>
      <c r="R73" s="414">
        <v>11</v>
      </c>
      <c r="S73" s="242">
        <f t="shared" si="128"/>
        <v>175</v>
      </c>
      <c r="T73" s="323">
        <f t="shared" si="113"/>
        <v>2</v>
      </c>
      <c r="U73" s="414">
        <f t="shared" si="114"/>
        <v>7</v>
      </c>
      <c r="V73" s="242">
        <f t="shared" si="129"/>
        <v>250</v>
      </c>
      <c r="W73" s="323">
        <v>6</v>
      </c>
      <c r="X73" s="414">
        <v>18</v>
      </c>
      <c r="Y73" s="242">
        <f t="shared" si="130"/>
        <v>200</v>
      </c>
      <c r="Z73" s="323">
        <f t="shared" si="115"/>
        <v>6</v>
      </c>
      <c r="AA73" s="414">
        <f t="shared" si="116"/>
        <v>3</v>
      </c>
      <c r="AB73" s="242">
        <f t="shared" si="147"/>
        <v>-50</v>
      </c>
      <c r="AC73" s="323">
        <v>12</v>
      </c>
      <c r="AD73" s="414">
        <v>21</v>
      </c>
      <c r="AE73" s="242">
        <f t="shared" si="132"/>
        <v>75</v>
      </c>
      <c r="AF73" s="323">
        <f t="shared" si="117"/>
        <v>3</v>
      </c>
      <c r="AG73" s="414">
        <f t="shared" si="117"/>
        <v>1</v>
      </c>
      <c r="AH73" s="242">
        <f t="shared" si="148"/>
        <v>-66.7</v>
      </c>
      <c r="AI73" s="323">
        <v>15</v>
      </c>
      <c r="AJ73" s="414">
        <v>22</v>
      </c>
      <c r="AK73" s="242">
        <f t="shared" si="134"/>
        <v>46.7</v>
      </c>
      <c r="AL73" s="323">
        <f t="shared" si="118"/>
        <v>0</v>
      </c>
      <c r="AM73" s="414">
        <f t="shared" si="119"/>
        <v>5</v>
      </c>
      <c r="AN73" s="799">
        <v>0</v>
      </c>
      <c r="AO73" s="551">
        <v>15</v>
      </c>
      <c r="AP73" s="414">
        <v>27</v>
      </c>
      <c r="AQ73" s="242">
        <f t="shared" si="135"/>
        <v>80</v>
      </c>
      <c r="AR73" s="551">
        <f t="shared" si="120"/>
        <v>2</v>
      </c>
      <c r="AS73" s="414">
        <f t="shared" si="120"/>
        <v>0</v>
      </c>
      <c r="AT73" s="753">
        <f t="shared" ref="AT73:AT74" si="150">ROUND(((AS73/AR73-1)*100), 1)</f>
        <v>-100</v>
      </c>
      <c r="AU73" s="951">
        <v>17</v>
      </c>
      <c r="AV73" s="952">
        <v>27</v>
      </c>
      <c r="AW73" s="753">
        <f t="shared" si="137"/>
        <v>58.8</v>
      </c>
      <c r="AX73" s="551">
        <f t="shared" si="121"/>
        <v>16</v>
      </c>
      <c r="AY73" s="414">
        <f t="shared" si="122"/>
        <v>1</v>
      </c>
      <c r="AZ73" s="753">
        <f t="shared" ref="AZ73:AZ75" si="151">ROUND(((AY73/AX73-1)*100), 1)</f>
        <v>-93.8</v>
      </c>
      <c r="BA73" s="551">
        <v>33</v>
      </c>
      <c r="BB73" s="414">
        <v>28</v>
      </c>
      <c r="BC73" s="753">
        <f t="shared" si="139"/>
        <v>-15.2</v>
      </c>
      <c r="BD73" s="551">
        <f t="shared" si="123"/>
        <v>6</v>
      </c>
      <c r="BE73" s="414">
        <f t="shared" si="123"/>
        <v>4</v>
      </c>
      <c r="BF73" s="753">
        <f t="shared" si="144"/>
        <v>-33.299999999999997</v>
      </c>
      <c r="BG73" s="551">
        <v>39</v>
      </c>
      <c r="BH73" s="414">
        <v>32</v>
      </c>
      <c r="BI73" s="753">
        <f t="shared" si="140"/>
        <v>-17.899999999999999</v>
      </c>
      <c r="BJ73" s="551">
        <f t="shared" si="124"/>
        <v>1</v>
      </c>
      <c r="BK73" s="414">
        <f t="shared" si="124"/>
        <v>1</v>
      </c>
      <c r="BL73" s="753">
        <f t="shared" si="146"/>
        <v>0</v>
      </c>
      <c r="BM73" s="551">
        <v>40</v>
      </c>
      <c r="BN73" s="414">
        <v>33</v>
      </c>
      <c r="BO73" s="753">
        <f t="shared" si="141"/>
        <v>-17.5</v>
      </c>
      <c r="BP73" s="551">
        <f t="shared" si="125"/>
        <v>3</v>
      </c>
      <c r="BQ73" s="414">
        <f t="shared" si="125"/>
        <v>4</v>
      </c>
      <c r="BR73" s="753">
        <f t="shared" si="110"/>
        <v>33.299999999999997</v>
      </c>
      <c r="BS73" s="551">
        <v>43</v>
      </c>
      <c r="BT73" s="414">
        <v>37</v>
      </c>
      <c r="BU73" s="753">
        <f t="shared" si="142"/>
        <v>-14</v>
      </c>
    </row>
    <row r="74" spans="1:73">
      <c r="A74" s="4"/>
      <c r="B74" s="79" t="s">
        <v>390</v>
      </c>
      <c r="C74" s="188">
        <v>5</v>
      </c>
      <c r="D74" s="188">
        <v>16</v>
      </c>
      <c r="E74" s="188">
        <v>14</v>
      </c>
      <c r="F74" s="188">
        <v>48</v>
      </c>
      <c r="G74" s="188">
        <v>53</v>
      </c>
      <c r="H74" s="188">
        <v>31</v>
      </c>
      <c r="I74" s="188">
        <v>42</v>
      </c>
      <c r="J74" s="44">
        <v>21</v>
      </c>
      <c r="K74" s="323">
        <v>4</v>
      </c>
      <c r="L74" s="414">
        <v>2</v>
      </c>
      <c r="M74" s="232">
        <f t="shared" si="126"/>
        <v>-50</v>
      </c>
      <c r="N74" s="323">
        <f t="shared" si="111"/>
        <v>4</v>
      </c>
      <c r="O74" s="414">
        <f t="shared" si="112"/>
        <v>4</v>
      </c>
      <c r="P74" s="242">
        <f t="shared" si="127"/>
        <v>0</v>
      </c>
      <c r="Q74" s="323">
        <v>8</v>
      </c>
      <c r="R74" s="414">
        <v>6</v>
      </c>
      <c r="S74" s="242">
        <f t="shared" si="128"/>
        <v>-25</v>
      </c>
      <c r="T74" s="323">
        <f t="shared" si="113"/>
        <v>1</v>
      </c>
      <c r="U74" s="414">
        <f t="shared" si="114"/>
        <v>3</v>
      </c>
      <c r="V74" s="242">
        <f t="shared" si="129"/>
        <v>200</v>
      </c>
      <c r="W74" s="323">
        <v>9</v>
      </c>
      <c r="X74" s="414">
        <v>9</v>
      </c>
      <c r="Y74" s="242">
        <f t="shared" si="130"/>
        <v>0</v>
      </c>
      <c r="Z74" s="323">
        <f t="shared" si="115"/>
        <v>0</v>
      </c>
      <c r="AA74" s="414">
        <f t="shared" si="116"/>
        <v>1</v>
      </c>
      <c r="AB74" s="521">
        <v>0</v>
      </c>
      <c r="AC74" s="323">
        <v>9</v>
      </c>
      <c r="AD74" s="414">
        <v>10</v>
      </c>
      <c r="AE74" s="242">
        <f t="shared" si="132"/>
        <v>11.1</v>
      </c>
      <c r="AF74" s="323">
        <f t="shared" si="117"/>
        <v>5</v>
      </c>
      <c r="AG74" s="414">
        <f t="shared" si="117"/>
        <v>2</v>
      </c>
      <c r="AH74" s="242">
        <f t="shared" si="148"/>
        <v>-60</v>
      </c>
      <c r="AI74" s="323">
        <v>14</v>
      </c>
      <c r="AJ74" s="414">
        <v>12</v>
      </c>
      <c r="AK74" s="242">
        <f t="shared" si="134"/>
        <v>-14.3</v>
      </c>
      <c r="AL74" s="323">
        <f t="shared" si="118"/>
        <v>0</v>
      </c>
      <c r="AM74" s="414">
        <f t="shared" si="119"/>
        <v>9</v>
      </c>
      <c r="AN74" s="799">
        <v>0</v>
      </c>
      <c r="AO74" s="551">
        <v>14</v>
      </c>
      <c r="AP74" s="414">
        <v>21</v>
      </c>
      <c r="AQ74" s="242">
        <f t="shared" si="135"/>
        <v>50</v>
      </c>
      <c r="AR74" s="551">
        <f t="shared" si="120"/>
        <v>4</v>
      </c>
      <c r="AS74" s="414">
        <f t="shared" si="120"/>
        <v>1</v>
      </c>
      <c r="AT74" s="753">
        <f t="shared" si="150"/>
        <v>-75</v>
      </c>
      <c r="AU74" s="951">
        <v>18</v>
      </c>
      <c r="AV74" s="952">
        <v>22</v>
      </c>
      <c r="AW74" s="753">
        <f t="shared" si="137"/>
        <v>22.2</v>
      </c>
      <c r="AX74" s="551">
        <f t="shared" si="121"/>
        <v>0</v>
      </c>
      <c r="AY74" s="414">
        <f t="shared" si="122"/>
        <v>1</v>
      </c>
      <c r="AZ74" s="799">
        <v>0</v>
      </c>
      <c r="BA74" s="551">
        <v>18</v>
      </c>
      <c r="BB74" s="414">
        <v>23</v>
      </c>
      <c r="BC74" s="753">
        <f t="shared" si="139"/>
        <v>27.8</v>
      </c>
      <c r="BD74" s="551">
        <f t="shared" si="123"/>
        <v>1</v>
      </c>
      <c r="BE74" s="414">
        <f t="shared" si="123"/>
        <v>1</v>
      </c>
      <c r="BF74" s="753">
        <f>ROUND(((BE74/BD74-1)*100), 1)</f>
        <v>0</v>
      </c>
      <c r="BG74" s="551">
        <v>19</v>
      </c>
      <c r="BH74" s="414">
        <v>24</v>
      </c>
      <c r="BI74" s="753">
        <f t="shared" si="140"/>
        <v>26.3</v>
      </c>
      <c r="BJ74" s="551">
        <f t="shared" si="124"/>
        <v>0</v>
      </c>
      <c r="BK74" s="414">
        <f t="shared" si="124"/>
        <v>1</v>
      </c>
      <c r="BL74" s="753" t="e">
        <f>ROUND(((BK74/BJ74-1)*100), 1)</f>
        <v>#DIV/0!</v>
      </c>
      <c r="BM74" s="551">
        <v>19</v>
      </c>
      <c r="BN74" s="414">
        <v>25</v>
      </c>
      <c r="BO74" s="753">
        <f t="shared" si="141"/>
        <v>31.6</v>
      </c>
      <c r="BP74" s="551">
        <f t="shared" si="125"/>
        <v>1</v>
      </c>
      <c r="BQ74" s="414">
        <f t="shared" si="125"/>
        <v>1</v>
      </c>
      <c r="BR74" s="753">
        <f t="shared" si="110"/>
        <v>0</v>
      </c>
      <c r="BS74" s="551">
        <v>20</v>
      </c>
      <c r="BT74" s="414">
        <v>26</v>
      </c>
      <c r="BU74" s="753">
        <f t="shared" si="142"/>
        <v>30</v>
      </c>
    </row>
    <row r="75" spans="1:73">
      <c r="A75" s="4"/>
      <c r="B75" s="79" t="s">
        <v>394</v>
      </c>
      <c r="C75" s="188">
        <v>0</v>
      </c>
      <c r="D75" s="188">
        <v>0</v>
      </c>
      <c r="E75" s="188">
        <v>0</v>
      </c>
      <c r="F75" s="188">
        <v>0</v>
      </c>
      <c r="G75" s="188">
        <v>5</v>
      </c>
      <c r="H75" s="188">
        <v>1</v>
      </c>
      <c r="I75" s="188">
        <v>1</v>
      </c>
      <c r="J75" s="44">
        <v>21</v>
      </c>
      <c r="K75" s="323">
        <v>0</v>
      </c>
      <c r="L75" s="414">
        <v>0</v>
      </c>
      <c r="M75" s="177">
        <v>0</v>
      </c>
      <c r="N75" s="323">
        <f t="shared" si="111"/>
        <v>0</v>
      </c>
      <c r="O75" s="414">
        <f t="shared" si="112"/>
        <v>0</v>
      </c>
      <c r="P75" s="177">
        <v>0</v>
      </c>
      <c r="Q75" s="323">
        <v>0</v>
      </c>
      <c r="R75" s="414">
        <v>0</v>
      </c>
      <c r="S75" s="177">
        <v>0</v>
      </c>
      <c r="T75" s="323">
        <f t="shared" si="113"/>
        <v>0</v>
      </c>
      <c r="U75" s="414">
        <f t="shared" si="114"/>
        <v>0</v>
      </c>
      <c r="V75" s="177">
        <v>0</v>
      </c>
      <c r="W75" s="323">
        <v>0</v>
      </c>
      <c r="X75" s="414">
        <v>0</v>
      </c>
      <c r="Y75" s="177">
        <v>0</v>
      </c>
      <c r="Z75" s="323">
        <f t="shared" si="115"/>
        <v>0</v>
      </c>
      <c r="AA75" s="414">
        <f t="shared" si="116"/>
        <v>0</v>
      </c>
      <c r="AB75" s="521">
        <v>0</v>
      </c>
      <c r="AC75" s="323">
        <v>0</v>
      </c>
      <c r="AD75" s="414">
        <v>0</v>
      </c>
      <c r="AE75" s="521">
        <v>0</v>
      </c>
      <c r="AF75" s="323">
        <f t="shared" si="117"/>
        <v>0</v>
      </c>
      <c r="AG75" s="414">
        <f t="shared" si="117"/>
        <v>0</v>
      </c>
      <c r="AH75" s="521">
        <v>0</v>
      </c>
      <c r="AI75" s="323">
        <v>0</v>
      </c>
      <c r="AJ75" s="414">
        <v>0</v>
      </c>
      <c r="AK75" s="521">
        <v>0</v>
      </c>
      <c r="AL75" s="323">
        <f t="shared" si="118"/>
        <v>0</v>
      </c>
      <c r="AM75" s="414">
        <f t="shared" si="119"/>
        <v>0</v>
      </c>
      <c r="AN75" s="521">
        <v>0</v>
      </c>
      <c r="AO75" s="551">
        <v>0</v>
      </c>
      <c r="AP75" s="414">
        <v>0</v>
      </c>
      <c r="AQ75" s="521">
        <v>0</v>
      </c>
      <c r="AR75" s="551">
        <f t="shared" si="120"/>
        <v>0</v>
      </c>
      <c r="AS75" s="414">
        <f t="shared" si="120"/>
        <v>0</v>
      </c>
      <c r="AT75" s="799">
        <v>0</v>
      </c>
      <c r="AU75" s="951">
        <v>0</v>
      </c>
      <c r="AV75" s="952">
        <v>0</v>
      </c>
      <c r="AW75" s="799">
        <v>0</v>
      </c>
      <c r="AX75" s="551">
        <f t="shared" si="121"/>
        <v>21</v>
      </c>
      <c r="AY75" s="414">
        <f t="shared" si="122"/>
        <v>0</v>
      </c>
      <c r="AZ75" s="753">
        <f t="shared" si="151"/>
        <v>-100</v>
      </c>
      <c r="BA75" s="551">
        <v>21</v>
      </c>
      <c r="BB75" s="414">
        <v>0</v>
      </c>
      <c r="BC75" s="753">
        <f t="shared" si="139"/>
        <v>-100</v>
      </c>
      <c r="BD75" s="551">
        <f t="shared" si="123"/>
        <v>0</v>
      </c>
      <c r="BE75" s="414">
        <f t="shared" si="123"/>
        <v>0</v>
      </c>
      <c r="BF75" s="799">
        <v>0</v>
      </c>
      <c r="BG75" s="551">
        <v>21</v>
      </c>
      <c r="BH75" s="414">
        <v>0</v>
      </c>
      <c r="BI75" s="753">
        <f t="shared" si="140"/>
        <v>-100</v>
      </c>
      <c r="BJ75" s="551">
        <f t="shared" si="124"/>
        <v>0</v>
      </c>
      <c r="BK75" s="414">
        <f t="shared" si="124"/>
        <v>0</v>
      </c>
      <c r="BL75" s="799">
        <v>0</v>
      </c>
      <c r="BM75" s="551">
        <v>21</v>
      </c>
      <c r="BN75" s="414">
        <v>0</v>
      </c>
      <c r="BO75" s="753">
        <f t="shared" si="141"/>
        <v>-100</v>
      </c>
      <c r="BP75" s="551">
        <f t="shared" si="125"/>
        <v>0</v>
      </c>
      <c r="BQ75" s="414">
        <f t="shared" si="125"/>
        <v>0</v>
      </c>
      <c r="BR75" s="799">
        <v>0</v>
      </c>
      <c r="BS75" s="551">
        <v>21</v>
      </c>
      <c r="BT75" s="414">
        <v>0</v>
      </c>
      <c r="BU75" s="753">
        <f t="shared" si="142"/>
        <v>-100</v>
      </c>
    </row>
    <row r="76" spans="1:73">
      <c r="A76" s="4"/>
      <c r="B76" s="79" t="s">
        <v>393</v>
      </c>
      <c r="C76" s="188">
        <v>0</v>
      </c>
      <c r="D76" s="188">
        <v>0</v>
      </c>
      <c r="E76" s="188">
        <v>0</v>
      </c>
      <c r="F76" s="188">
        <v>0</v>
      </c>
      <c r="G76" s="188">
        <v>46</v>
      </c>
      <c r="H76" s="188">
        <v>3</v>
      </c>
      <c r="I76" s="188">
        <v>8</v>
      </c>
      <c r="J76" s="44">
        <v>6</v>
      </c>
      <c r="K76" s="323">
        <v>0</v>
      </c>
      <c r="L76" s="414">
        <v>0</v>
      </c>
      <c r="M76" s="177">
        <v>0</v>
      </c>
      <c r="N76" s="323">
        <f t="shared" si="111"/>
        <v>0</v>
      </c>
      <c r="O76" s="414">
        <f t="shared" si="112"/>
        <v>0</v>
      </c>
      <c r="P76" s="177">
        <v>0</v>
      </c>
      <c r="Q76" s="323">
        <v>0</v>
      </c>
      <c r="R76" s="414">
        <v>0</v>
      </c>
      <c r="S76" s="177">
        <v>0</v>
      </c>
      <c r="T76" s="323">
        <f t="shared" si="113"/>
        <v>0</v>
      </c>
      <c r="U76" s="414">
        <f t="shared" si="114"/>
        <v>0</v>
      </c>
      <c r="V76" s="177">
        <v>0</v>
      </c>
      <c r="W76" s="323">
        <v>0</v>
      </c>
      <c r="X76" s="414">
        <v>0</v>
      </c>
      <c r="Y76" s="177">
        <v>0</v>
      </c>
      <c r="Z76" s="323">
        <f t="shared" si="115"/>
        <v>2</v>
      </c>
      <c r="AA76" s="414">
        <f t="shared" si="116"/>
        <v>0</v>
      </c>
      <c r="AB76" s="242">
        <f>ROUND(((AA76/Z76-1)*100), 1)</f>
        <v>-100</v>
      </c>
      <c r="AC76" s="323">
        <v>2</v>
      </c>
      <c r="AD76" s="414">
        <v>0</v>
      </c>
      <c r="AE76" s="242">
        <f>ROUND(((AD76/AC76-1)*100), 1)</f>
        <v>-100</v>
      </c>
      <c r="AF76" s="323">
        <f t="shared" si="117"/>
        <v>0</v>
      </c>
      <c r="AG76" s="414">
        <f t="shared" si="117"/>
        <v>0</v>
      </c>
      <c r="AH76" s="521">
        <v>0</v>
      </c>
      <c r="AI76" s="323">
        <v>2</v>
      </c>
      <c r="AJ76" s="414">
        <v>0</v>
      </c>
      <c r="AK76" s="242">
        <f>ROUND(((AJ76/AI76-1)*100), 1)</f>
        <v>-100</v>
      </c>
      <c r="AL76" s="323">
        <f t="shared" si="118"/>
        <v>0</v>
      </c>
      <c r="AM76" s="414">
        <f t="shared" si="119"/>
        <v>0</v>
      </c>
      <c r="AN76" s="521">
        <v>0</v>
      </c>
      <c r="AO76" s="551">
        <v>2</v>
      </c>
      <c r="AP76" s="414">
        <v>0</v>
      </c>
      <c r="AQ76" s="242">
        <f>ROUND(((AP76/AO76-1)*100), 1)</f>
        <v>-100</v>
      </c>
      <c r="AR76" s="551">
        <f t="shared" si="120"/>
        <v>0</v>
      </c>
      <c r="AS76" s="414">
        <f t="shared" si="120"/>
        <v>0</v>
      </c>
      <c r="AT76" s="799">
        <v>0</v>
      </c>
      <c r="AU76" s="951">
        <v>2</v>
      </c>
      <c r="AV76" s="952">
        <v>0</v>
      </c>
      <c r="AW76" s="753">
        <f>ROUND(((AV76/AU76-1)*100), 1)</f>
        <v>-100</v>
      </c>
      <c r="AX76" s="551">
        <f t="shared" si="121"/>
        <v>0</v>
      </c>
      <c r="AY76" s="414">
        <f t="shared" si="122"/>
        <v>0</v>
      </c>
      <c r="AZ76" s="799">
        <v>0</v>
      </c>
      <c r="BA76" s="551">
        <v>2</v>
      </c>
      <c r="BB76" s="414">
        <v>0</v>
      </c>
      <c r="BC76" s="753">
        <f>ROUND(((BB76/BA76-1)*100), 1)</f>
        <v>-100</v>
      </c>
      <c r="BD76" s="551">
        <f t="shared" si="123"/>
        <v>4</v>
      </c>
      <c r="BE76" s="414">
        <f t="shared" si="123"/>
        <v>0</v>
      </c>
      <c r="BF76" s="753">
        <f>ROUND(((BE76/BD76-1)*100), 1)</f>
        <v>-100</v>
      </c>
      <c r="BG76" s="551">
        <v>6</v>
      </c>
      <c r="BH76" s="414">
        <v>0</v>
      </c>
      <c r="BI76" s="753">
        <f>ROUND(((BH76/BG76-1)*100), 1)</f>
        <v>-100</v>
      </c>
      <c r="BJ76" s="551">
        <f t="shared" si="124"/>
        <v>0</v>
      </c>
      <c r="BK76" s="414">
        <f t="shared" si="124"/>
        <v>0</v>
      </c>
      <c r="BL76" s="753" t="e">
        <f>ROUND(((BK76/BJ76-1)*100), 1)</f>
        <v>#DIV/0!</v>
      </c>
      <c r="BM76" s="551">
        <v>6</v>
      </c>
      <c r="BN76" s="414">
        <v>0</v>
      </c>
      <c r="BO76" s="753">
        <f>ROUND(((BN76/BM76-1)*100), 1)</f>
        <v>-100</v>
      </c>
      <c r="BP76" s="551">
        <f t="shared" si="125"/>
        <v>0</v>
      </c>
      <c r="BQ76" s="414">
        <f t="shared" si="125"/>
        <v>1</v>
      </c>
      <c r="BR76" s="799">
        <v>0</v>
      </c>
      <c r="BS76" s="551">
        <v>6</v>
      </c>
      <c r="BT76" s="414">
        <v>1</v>
      </c>
      <c r="BU76" s="753">
        <f>ROUND(((BT76/BS76-1)*100), 1)</f>
        <v>-83.3</v>
      </c>
    </row>
    <row r="77" spans="1:73">
      <c r="A77" s="4"/>
      <c r="B77" s="79" t="s">
        <v>379</v>
      </c>
      <c r="C77" s="188">
        <v>4</v>
      </c>
      <c r="D77" s="188">
        <v>7</v>
      </c>
      <c r="E77" s="188">
        <v>9</v>
      </c>
      <c r="F77" s="188">
        <v>14</v>
      </c>
      <c r="G77" s="188">
        <v>8</v>
      </c>
      <c r="H77" s="188">
        <v>5</v>
      </c>
      <c r="I77" s="188">
        <v>4</v>
      </c>
      <c r="J77" s="44">
        <v>6</v>
      </c>
      <c r="K77" s="323">
        <v>1</v>
      </c>
      <c r="L77" s="414">
        <v>0</v>
      </c>
      <c r="M77" s="242">
        <f>ROUND(((L77/K77-1)*100), 1)</f>
        <v>-100</v>
      </c>
      <c r="N77" s="323">
        <f t="shared" si="111"/>
        <v>0</v>
      </c>
      <c r="O77" s="414">
        <f t="shared" si="112"/>
        <v>0</v>
      </c>
      <c r="P77" s="524">
        <v>0</v>
      </c>
      <c r="Q77" s="323">
        <v>1</v>
      </c>
      <c r="R77" s="414">
        <v>0</v>
      </c>
      <c r="S77" s="242">
        <f>ROUND(((R77/Q77-1)*100), 1)</f>
        <v>-100</v>
      </c>
      <c r="T77" s="323">
        <f t="shared" si="113"/>
        <v>0</v>
      </c>
      <c r="U77" s="414">
        <f t="shared" si="114"/>
        <v>0</v>
      </c>
      <c r="V77" s="177">
        <v>0</v>
      </c>
      <c r="W77" s="323">
        <v>1</v>
      </c>
      <c r="X77" s="414">
        <v>0</v>
      </c>
      <c r="Y77" s="242">
        <f>ROUND(((X77/W77-1)*100), 1)</f>
        <v>-100</v>
      </c>
      <c r="Z77" s="323">
        <f t="shared" si="115"/>
        <v>0</v>
      </c>
      <c r="AA77" s="414">
        <f t="shared" si="116"/>
        <v>1</v>
      </c>
      <c r="AB77" s="521">
        <v>0</v>
      </c>
      <c r="AC77" s="323">
        <v>1</v>
      </c>
      <c r="AD77" s="414">
        <v>1</v>
      </c>
      <c r="AE77" s="242">
        <f>ROUND(((AD77/AC77-1)*100), 1)</f>
        <v>0</v>
      </c>
      <c r="AF77" s="323">
        <f t="shared" si="117"/>
        <v>1</v>
      </c>
      <c r="AG77" s="414">
        <f t="shared" si="117"/>
        <v>0</v>
      </c>
      <c r="AH77" s="242">
        <f t="shared" ref="AH77" si="152">ROUND(((AG77/AF77-1)*100), 1)</f>
        <v>-100</v>
      </c>
      <c r="AI77" s="323">
        <v>2</v>
      </c>
      <c r="AJ77" s="414">
        <v>1</v>
      </c>
      <c r="AK77" s="242">
        <f>ROUND(((AJ77/AI77-1)*100), 1)</f>
        <v>-50</v>
      </c>
      <c r="AL77" s="323">
        <f t="shared" si="118"/>
        <v>0</v>
      </c>
      <c r="AM77" s="414">
        <f t="shared" si="119"/>
        <v>0</v>
      </c>
      <c r="AN77" s="799">
        <v>0</v>
      </c>
      <c r="AO77" s="551">
        <v>2</v>
      </c>
      <c r="AP77" s="414">
        <v>1</v>
      </c>
      <c r="AQ77" s="242">
        <f>ROUND(((AP77/AO77-1)*100), 1)</f>
        <v>-50</v>
      </c>
      <c r="AR77" s="551">
        <f t="shared" si="120"/>
        <v>1</v>
      </c>
      <c r="AS77" s="414">
        <f t="shared" si="120"/>
        <v>0</v>
      </c>
      <c r="AT77" s="753">
        <f t="shared" ref="AT77" si="153">ROUND(((AS77/AR77-1)*100), 1)</f>
        <v>-100</v>
      </c>
      <c r="AU77" s="951">
        <v>3</v>
      </c>
      <c r="AV77" s="952">
        <v>1</v>
      </c>
      <c r="AW77" s="753">
        <f>ROUND(((AV77/AU77-1)*100), 1)</f>
        <v>-66.7</v>
      </c>
      <c r="AX77" s="551">
        <f t="shared" si="121"/>
        <v>0</v>
      </c>
      <c r="AY77" s="414">
        <f t="shared" si="122"/>
        <v>2</v>
      </c>
      <c r="AZ77" s="799">
        <v>0</v>
      </c>
      <c r="BA77" s="551">
        <v>3</v>
      </c>
      <c r="BB77" s="414">
        <v>3</v>
      </c>
      <c r="BC77" s="753">
        <f>ROUND(((BB77/BA77-1)*100), 1)</f>
        <v>0</v>
      </c>
      <c r="BD77" s="551">
        <f t="shared" si="123"/>
        <v>1</v>
      </c>
      <c r="BE77" s="414">
        <f t="shared" si="123"/>
        <v>0</v>
      </c>
      <c r="BF77" s="753">
        <f>ROUND(((BE77/BD77-1)*100), 1)</f>
        <v>-100</v>
      </c>
      <c r="BG77" s="551">
        <v>4</v>
      </c>
      <c r="BH77" s="414">
        <v>3</v>
      </c>
      <c r="BI77" s="753">
        <f>ROUND(((BH77/BG77-1)*100), 1)</f>
        <v>-25</v>
      </c>
      <c r="BJ77" s="551">
        <f t="shared" si="124"/>
        <v>1</v>
      </c>
      <c r="BK77" s="414">
        <f t="shared" si="124"/>
        <v>0</v>
      </c>
      <c r="BL77" s="753">
        <f>ROUND(((BK77/BJ77-1)*100), 1)</f>
        <v>-100</v>
      </c>
      <c r="BM77" s="551">
        <v>5</v>
      </c>
      <c r="BN77" s="414">
        <v>3</v>
      </c>
      <c r="BO77" s="753">
        <f>ROUND(((BN77/BM77-1)*100), 1)</f>
        <v>-40</v>
      </c>
      <c r="BP77" s="551">
        <f t="shared" si="125"/>
        <v>1</v>
      </c>
      <c r="BQ77" s="414">
        <f t="shared" si="125"/>
        <v>0</v>
      </c>
      <c r="BR77" s="753">
        <f>ROUND(((BQ77/BP77-1)*100), 1)</f>
        <v>-100</v>
      </c>
      <c r="BS77" s="551">
        <v>6</v>
      </c>
      <c r="BT77" s="414">
        <v>3</v>
      </c>
      <c r="BU77" s="753">
        <f>ROUND(((BT77/BS77-1)*100), 1)</f>
        <v>-50</v>
      </c>
    </row>
    <row r="78" spans="1:73">
      <c r="A78" s="4"/>
      <c r="B78" s="79" t="s">
        <v>395</v>
      </c>
      <c r="C78" s="188">
        <v>0</v>
      </c>
      <c r="D78" s="188">
        <v>59</v>
      </c>
      <c r="E78" s="188">
        <v>75</v>
      </c>
      <c r="F78" s="188">
        <v>28</v>
      </c>
      <c r="G78" s="188">
        <v>10</v>
      </c>
      <c r="H78" s="188">
        <v>38</v>
      </c>
      <c r="I78" s="188">
        <v>0</v>
      </c>
      <c r="J78" s="44">
        <v>0</v>
      </c>
      <c r="K78" s="323">
        <v>0</v>
      </c>
      <c r="L78" s="414">
        <v>0</v>
      </c>
      <c r="M78" s="177">
        <v>0</v>
      </c>
      <c r="N78" s="323">
        <f t="shared" si="111"/>
        <v>0</v>
      </c>
      <c r="O78" s="414">
        <f t="shared" si="112"/>
        <v>0</v>
      </c>
      <c r="P78" s="177">
        <v>0</v>
      </c>
      <c r="Q78" s="323">
        <v>0</v>
      </c>
      <c r="R78" s="414">
        <v>0</v>
      </c>
      <c r="S78" s="177">
        <v>0</v>
      </c>
      <c r="T78" s="323">
        <f t="shared" si="113"/>
        <v>0</v>
      </c>
      <c r="U78" s="414">
        <f t="shared" si="114"/>
        <v>0</v>
      </c>
      <c r="V78" s="177">
        <v>0</v>
      </c>
      <c r="W78" s="323">
        <v>0</v>
      </c>
      <c r="X78" s="414">
        <v>0</v>
      </c>
      <c r="Y78" s="177">
        <v>0</v>
      </c>
      <c r="Z78" s="323">
        <f t="shared" si="115"/>
        <v>0</v>
      </c>
      <c r="AA78" s="414">
        <f t="shared" si="116"/>
        <v>0</v>
      </c>
      <c r="AB78" s="521">
        <v>0</v>
      </c>
      <c r="AC78" s="323">
        <v>0</v>
      </c>
      <c r="AD78" s="414">
        <v>0</v>
      </c>
      <c r="AE78" s="521">
        <v>0</v>
      </c>
      <c r="AF78" s="323">
        <f t="shared" si="117"/>
        <v>0</v>
      </c>
      <c r="AG78" s="414">
        <f t="shared" si="117"/>
        <v>0</v>
      </c>
      <c r="AH78" s="521">
        <v>0</v>
      </c>
      <c r="AI78" s="323">
        <v>0</v>
      </c>
      <c r="AJ78" s="414">
        <v>0</v>
      </c>
      <c r="AK78" s="521">
        <v>0</v>
      </c>
      <c r="AL78" s="323">
        <f t="shared" si="118"/>
        <v>0</v>
      </c>
      <c r="AM78" s="414">
        <f t="shared" si="119"/>
        <v>0</v>
      </c>
      <c r="AN78" s="521">
        <v>0</v>
      </c>
      <c r="AO78" s="551">
        <v>0</v>
      </c>
      <c r="AP78" s="414">
        <v>0</v>
      </c>
      <c r="AQ78" s="521">
        <v>0</v>
      </c>
      <c r="AR78" s="551">
        <f t="shared" si="120"/>
        <v>0</v>
      </c>
      <c r="AS78" s="414">
        <f t="shared" si="120"/>
        <v>0</v>
      </c>
      <c r="AT78" s="799">
        <v>0</v>
      </c>
      <c r="AU78" s="951">
        <v>0</v>
      </c>
      <c r="AV78" s="952">
        <v>0</v>
      </c>
      <c r="AW78" s="799">
        <v>0</v>
      </c>
      <c r="AX78" s="551">
        <f t="shared" si="121"/>
        <v>0</v>
      </c>
      <c r="AY78" s="414">
        <f t="shared" si="122"/>
        <v>0</v>
      </c>
      <c r="AZ78" s="799">
        <v>0</v>
      </c>
      <c r="BA78" s="551">
        <v>0</v>
      </c>
      <c r="BB78" s="414">
        <v>0</v>
      </c>
      <c r="BC78" s="799">
        <v>0</v>
      </c>
      <c r="BD78" s="551">
        <f t="shared" si="123"/>
        <v>0</v>
      </c>
      <c r="BE78" s="414">
        <f t="shared" si="123"/>
        <v>0</v>
      </c>
      <c r="BF78" s="799">
        <v>0</v>
      </c>
      <c r="BG78" s="551">
        <v>0</v>
      </c>
      <c r="BH78" s="414">
        <v>0</v>
      </c>
      <c r="BI78" s="799">
        <v>0</v>
      </c>
      <c r="BJ78" s="551">
        <f t="shared" si="124"/>
        <v>0</v>
      </c>
      <c r="BK78" s="414">
        <f t="shared" si="124"/>
        <v>0</v>
      </c>
      <c r="BL78" s="799">
        <v>0</v>
      </c>
      <c r="BM78" s="551">
        <v>0</v>
      </c>
      <c r="BN78" s="414">
        <v>0</v>
      </c>
      <c r="BO78" s="799">
        <v>0</v>
      </c>
      <c r="BP78" s="551">
        <f t="shared" si="125"/>
        <v>0</v>
      </c>
      <c r="BQ78" s="414">
        <f t="shared" si="125"/>
        <v>0</v>
      </c>
      <c r="BR78" s="799">
        <v>0</v>
      </c>
      <c r="BS78" s="551">
        <v>0</v>
      </c>
      <c r="BT78" s="414">
        <v>0</v>
      </c>
      <c r="BU78" s="799">
        <v>0</v>
      </c>
    </row>
    <row r="79" spans="1:73">
      <c r="A79" s="4"/>
      <c r="B79" s="79" t="s">
        <v>381</v>
      </c>
      <c r="C79" s="188">
        <v>6</v>
      </c>
      <c r="D79" s="188">
        <v>0</v>
      </c>
      <c r="E79" s="188">
        <v>0</v>
      </c>
      <c r="F79" s="188">
        <v>0</v>
      </c>
      <c r="G79" s="188">
        <v>0</v>
      </c>
      <c r="H79" s="188">
        <v>11</v>
      </c>
      <c r="I79" s="188">
        <v>0</v>
      </c>
      <c r="J79" s="44">
        <v>0</v>
      </c>
      <c r="K79" s="323">
        <v>0</v>
      </c>
      <c r="L79" s="414">
        <v>0</v>
      </c>
      <c r="M79" s="177">
        <v>0</v>
      </c>
      <c r="N79" s="323">
        <f t="shared" si="111"/>
        <v>0</v>
      </c>
      <c r="O79" s="414">
        <f t="shared" si="112"/>
        <v>0</v>
      </c>
      <c r="P79" s="177">
        <v>0</v>
      </c>
      <c r="Q79" s="323">
        <v>0</v>
      </c>
      <c r="R79" s="414">
        <v>0</v>
      </c>
      <c r="S79" s="177">
        <v>0</v>
      </c>
      <c r="T79" s="323">
        <f t="shared" si="113"/>
        <v>0</v>
      </c>
      <c r="U79" s="414">
        <f t="shared" si="114"/>
        <v>0</v>
      </c>
      <c r="V79" s="177">
        <v>0</v>
      </c>
      <c r="W79" s="323">
        <v>0</v>
      </c>
      <c r="X79" s="414">
        <v>0</v>
      </c>
      <c r="Y79" s="177">
        <v>0</v>
      </c>
      <c r="Z79" s="323">
        <f t="shared" si="115"/>
        <v>0</v>
      </c>
      <c r="AA79" s="414">
        <f t="shared" si="116"/>
        <v>0</v>
      </c>
      <c r="AB79" s="521">
        <v>0</v>
      </c>
      <c r="AC79" s="323">
        <v>0</v>
      </c>
      <c r="AD79" s="414">
        <v>0</v>
      </c>
      <c r="AE79" s="521">
        <v>0</v>
      </c>
      <c r="AF79" s="323">
        <f t="shared" si="117"/>
        <v>0</v>
      </c>
      <c r="AG79" s="414">
        <f t="shared" si="117"/>
        <v>0</v>
      </c>
      <c r="AH79" s="521">
        <v>0</v>
      </c>
      <c r="AI79" s="323">
        <v>0</v>
      </c>
      <c r="AJ79" s="414">
        <v>0</v>
      </c>
      <c r="AK79" s="521">
        <v>0</v>
      </c>
      <c r="AL79" s="323">
        <f t="shared" si="118"/>
        <v>0</v>
      </c>
      <c r="AM79" s="414">
        <f t="shared" si="119"/>
        <v>0</v>
      </c>
      <c r="AN79" s="521">
        <v>0</v>
      </c>
      <c r="AO79" s="551">
        <v>0</v>
      </c>
      <c r="AP79" s="414">
        <v>0</v>
      </c>
      <c r="AQ79" s="521">
        <v>0</v>
      </c>
      <c r="AR79" s="551">
        <f t="shared" si="120"/>
        <v>0</v>
      </c>
      <c r="AS79" s="414">
        <f t="shared" si="120"/>
        <v>0</v>
      </c>
      <c r="AT79" s="799">
        <v>0</v>
      </c>
      <c r="AU79" s="951">
        <v>0</v>
      </c>
      <c r="AV79" s="952">
        <v>0</v>
      </c>
      <c r="AW79" s="799">
        <v>0</v>
      </c>
      <c r="AX79" s="551">
        <f t="shared" si="121"/>
        <v>0</v>
      </c>
      <c r="AY79" s="414">
        <f t="shared" si="122"/>
        <v>0</v>
      </c>
      <c r="AZ79" s="799">
        <v>0</v>
      </c>
      <c r="BA79" s="551">
        <v>0</v>
      </c>
      <c r="BB79" s="414">
        <v>0</v>
      </c>
      <c r="BC79" s="799">
        <v>0</v>
      </c>
      <c r="BD79" s="551">
        <f t="shared" si="123"/>
        <v>0</v>
      </c>
      <c r="BE79" s="414">
        <f t="shared" si="123"/>
        <v>0</v>
      </c>
      <c r="BF79" s="799">
        <v>0</v>
      </c>
      <c r="BG79" s="551">
        <v>0</v>
      </c>
      <c r="BH79" s="414">
        <v>0</v>
      </c>
      <c r="BI79" s="799">
        <v>0</v>
      </c>
      <c r="BJ79" s="551">
        <f t="shared" si="124"/>
        <v>0</v>
      </c>
      <c r="BK79" s="414">
        <f t="shared" si="124"/>
        <v>0</v>
      </c>
      <c r="BL79" s="799">
        <v>0</v>
      </c>
      <c r="BM79" s="551">
        <v>0</v>
      </c>
      <c r="BN79" s="414">
        <v>0</v>
      </c>
      <c r="BO79" s="799">
        <v>0</v>
      </c>
      <c r="BP79" s="551">
        <f t="shared" si="125"/>
        <v>0</v>
      </c>
      <c r="BQ79" s="414">
        <f t="shared" si="125"/>
        <v>0</v>
      </c>
      <c r="BR79" s="799">
        <v>0</v>
      </c>
      <c r="BS79" s="551">
        <v>0</v>
      </c>
      <c r="BT79" s="414">
        <v>0</v>
      </c>
      <c r="BU79" s="799">
        <v>0</v>
      </c>
    </row>
    <row r="80" spans="1:73">
      <c r="A80" s="4"/>
      <c r="B80" s="79" t="s">
        <v>397</v>
      </c>
      <c r="C80" s="188">
        <v>2</v>
      </c>
      <c r="D80" s="188">
        <v>0</v>
      </c>
      <c r="E80" s="188">
        <v>2</v>
      </c>
      <c r="F80" s="188">
        <v>5</v>
      </c>
      <c r="G80" s="188">
        <v>11</v>
      </c>
      <c r="H80" s="188">
        <v>3</v>
      </c>
      <c r="I80" s="188">
        <v>0</v>
      </c>
      <c r="J80" s="44">
        <v>0</v>
      </c>
      <c r="K80" s="323">
        <v>0</v>
      </c>
      <c r="L80" s="414">
        <v>0</v>
      </c>
      <c r="M80" s="177">
        <v>0</v>
      </c>
      <c r="N80" s="323">
        <f t="shared" si="111"/>
        <v>0</v>
      </c>
      <c r="O80" s="414">
        <f t="shared" si="112"/>
        <v>0</v>
      </c>
      <c r="P80" s="177">
        <v>0</v>
      </c>
      <c r="Q80" s="323">
        <v>0</v>
      </c>
      <c r="R80" s="414">
        <v>0</v>
      </c>
      <c r="S80" s="177">
        <v>0</v>
      </c>
      <c r="T80" s="323">
        <f t="shared" si="113"/>
        <v>0</v>
      </c>
      <c r="U80" s="414">
        <f t="shared" si="114"/>
        <v>0</v>
      </c>
      <c r="V80" s="177">
        <v>0</v>
      </c>
      <c r="W80" s="323">
        <v>0</v>
      </c>
      <c r="X80" s="414">
        <v>0</v>
      </c>
      <c r="Y80" s="177">
        <v>0</v>
      </c>
      <c r="Z80" s="323">
        <f t="shared" si="115"/>
        <v>0</v>
      </c>
      <c r="AA80" s="414">
        <f t="shared" si="116"/>
        <v>0</v>
      </c>
      <c r="AB80" s="521">
        <v>0</v>
      </c>
      <c r="AC80" s="323">
        <v>0</v>
      </c>
      <c r="AD80" s="414">
        <v>0</v>
      </c>
      <c r="AE80" s="521">
        <v>0</v>
      </c>
      <c r="AF80" s="323">
        <f t="shared" si="117"/>
        <v>0</v>
      </c>
      <c r="AG80" s="414">
        <f t="shared" si="117"/>
        <v>0</v>
      </c>
      <c r="AH80" s="521">
        <v>0</v>
      </c>
      <c r="AI80" s="323">
        <v>0</v>
      </c>
      <c r="AJ80" s="414">
        <v>0</v>
      </c>
      <c r="AK80" s="521">
        <v>0</v>
      </c>
      <c r="AL80" s="323">
        <f t="shared" si="118"/>
        <v>0</v>
      </c>
      <c r="AM80" s="414">
        <f t="shared" si="119"/>
        <v>0</v>
      </c>
      <c r="AN80" s="521">
        <v>0</v>
      </c>
      <c r="AO80" s="551">
        <v>0</v>
      </c>
      <c r="AP80" s="414">
        <v>0</v>
      </c>
      <c r="AQ80" s="521">
        <v>0</v>
      </c>
      <c r="AR80" s="551">
        <f t="shared" si="120"/>
        <v>0</v>
      </c>
      <c r="AS80" s="414">
        <f t="shared" si="120"/>
        <v>0</v>
      </c>
      <c r="AT80" s="799">
        <v>0</v>
      </c>
      <c r="AU80" s="951">
        <v>0</v>
      </c>
      <c r="AV80" s="952">
        <v>0</v>
      </c>
      <c r="AW80" s="799">
        <v>0</v>
      </c>
      <c r="AX80" s="551">
        <f t="shared" si="121"/>
        <v>0</v>
      </c>
      <c r="AY80" s="414">
        <f t="shared" si="122"/>
        <v>0</v>
      </c>
      <c r="AZ80" s="799">
        <v>0</v>
      </c>
      <c r="BA80" s="551">
        <v>0</v>
      </c>
      <c r="BB80" s="414">
        <v>0</v>
      </c>
      <c r="BC80" s="799">
        <v>0</v>
      </c>
      <c r="BD80" s="551">
        <f t="shared" si="123"/>
        <v>0</v>
      </c>
      <c r="BE80" s="414">
        <f t="shared" si="123"/>
        <v>2</v>
      </c>
      <c r="BF80" s="799">
        <v>0</v>
      </c>
      <c r="BG80" s="551">
        <v>0</v>
      </c>
      <c r="BH80" s="414">
        <v>2</v>
      </c>
      <c r="BI80" s="799">
        <v>0</v>
      </c>
      <c r="BJ80" s="551">
        <f t="shared" si="124"/>
        <v>0</v>
      </c>
      <c r="BK80" s="414">
        <f t="shared" si="124"/>
        <v>0</v>
      </c>
      <c r="BL80" s="799">
        <v>0</v>
      </c>
      <c r="BM80" s="551">
        <v>0</v>
      </c>
      <c r="BN80" s="414">
        <v>2</v>
      </c>
      <c r="BO80" s="799">
        <v>0</v>
      </c>
      <c r="BP80" s="551">
        <f t="shared" si="125"/>
        <v>0</v>
      </c>
      <c r="BQ80" s="414">
        <f t="shared" si="125"/>
        <v>0</v>
      </c>
      <c r="BR80" s="799">
        <v>0</v>
      </c>
      <c r="BS80" s="551">
        <v>0</v>
      </c>
      <c r="BT80" s="414">
        <v>2</v>
      </c>
      <c r="BU80" s="799">
        <v>0</v>
      </c>
    </row>
    <row r="81" spans="1:73">
      <c r="A81" s="4"/>
      <c r="B81" s="79" t="s">
        <v>383</v>
      </c>
      <c r="C81" s="188">
        <f t="shared" ref="C81:L81" si="154">C82-SUM(C64:C80)</f>
        <v>241</v>
      </c>
      <c r="D81" s="188">
        <f t="shared" si="154"/>
        <v>1013</v>
      </c>
      <c r="E81" s="188">
        <f t="shared" si="154"/>
        <v>319</v>
      </c>
      <c r="F81" s="188">
        <f t="shared" si="154"/>
        <v>19</v>
      </c>
      <c r="G81" s="188">
        <f t="shared" si="154"/>
        <v>11</v>
      </c>
      <c r="H81" s="188">
        <f t="shared" si="154"/>
        <v>24</v>
      </c>
      <c r="I81" s="188">
        <f t="shared" si="154"/>
        <v>75</v>
      </c>
      <c r="J81" s="44">
        <f>J82-SUM(J64:J80)</f>
        <v>35</v>
      </c>
      <c r="K81" s="323">
        <f t="shared" si="154"/>
        <v>2</v>
      </c>
      <c r="L81" s="414">
        <f t="shared" si="154"/>
        <v>3</v>
      </c>
      <c r="M81" s="232">
        <f>ROUND(((L81/K81-1)*100), 1)</f>
        <v>50</v>
      </c>
      <c r="N81" s="323">
        <f>N82-SUM(N64:N80)</f>
        <v>0</v>
      </c>
      <c r="O81" s="414">
        <f>O82-SUM(O64:O80)</f>
        <v>2</v>
      </c>
      <c r="P81" s="525">
        <v>0</v>
      </c>
      <c r="Q81" s="323">
        <f>Q82-SUM(Q64:Q80)</f>
        <v>2</v>
      </c>
      <c r="R81" s="414">
        <f>R82-SUM(R64:R80)</f>
        <v>5</v>
      </c>
      <c r="S81" s="242">
        <f>ROUND(((R81/Q81-1)*100), 1)</f>
        <v>150</v>
      </c>
      <c r="T81" s="323">
        <f>T82-SUM(T64:T80)</f>
        <v>1</v>
      </c>
      <c r="U81" s="414">
        <f>U82-SUM(U64:U80)</f>
        <v>4</v>
      </c>
      <c r="V81" s="242">
        <f>ROUND(((U81/T81-1)*100), 1)</f>
        <v>300</v>
      </c>
      <c r="W81" s="323">
        <f>W82-SUM(W64:W80)</f>
        <v>3</v>
      </c>
      <c r="X81" s="414">
        <f>X82-SUM(X64:X80)</f>
        <v>9</v>
      </c>
      <c r="Y81" s="242">
        <f>ROUND(((X81/W81-1)*100), 1)</f>
        <v>200</v>
      </c>
      <c r="Z81" s="323">
        <f>Z82-SUM(Z64:Z80)</f>
        <v>2</v>
      </c>
      <c r="AA81" s="414">
        <f>AA82-SUM(AA64:AA80)</f>
        <v>3</v>
      </c>
      <c r="AB81" s="242">
        <f>ROUND(((AA81/Z81-1)*100), 1)</f>
        <v>50</v>
      </c>
      <c r="AC81" s="323">
        <f>AC82-SUM(AC64:AC80)</f>
        <v>5</v>
      </c>
      <c r="AD81" s="414">
        <f>AD82-SUM(AD64:AD80)</f>
        <v>12</v>
      </c>
      <c r="AE81" s="242">
        <f>ROUND(((AD81/AC81-1)*100), 1)</f>
        <v>140</v>
      </c>
      <c r="AF81" s="323">
        <f>AF82-SUM(AF64:AF80)</f>
        <v>1</v>
      </c>
      <c r="AG81" s="414">
        <f>AG82-SUM(AG64:AG80)</f>
        <v>6</v>
      </c>
      <c r="AH81" s="242">
        <f>ROUND(((AG81/AF81-1)*100), 1)</f>
        <v>500</v>
      </c>
      <c r="AI81" s="323">
        <f>AI82-SUM(AI64:AI80)</f>
        <v>6</v>
      </c>
      <c r="AJ81" s="414">
        <f>AJ82-SUM(AJ64:AJ80)</f>
        <v>18</v>
      </c>
      <c r="AK81" s="242">
        <f>ROUND(((AJ81/AI81-1)*100), 1)</f>
        <v>200</v>
      </c>
      <c r="AL81" s="323">
        <f>AL82-SUM(AL64:AL80)</f>
        <v>5</v>
      </c>
      <c r="AM81" s="414">
        <f>AM82-SUM(AM64:AM80)</f>
        <v>4</v>
      </c>
      <c r="AN81" s="242">
        <f>ROUND(((AM81/AL81-1)*100), 1)</f>
        <v>-20</v>
      </c>
      <c r="AO81" s="551">
        <f>AO82-SUM(AO64:AO80)</f>
        <v>11</v>
      </c>
      <c r="AP81" s="414">
        <f>AP82-SUM(AP64:AP80)</f>
        <v>22</v>
      </c>
      <c r="AQ81" s="242">
        <f>ROUND(((AP81/AO81-1)*100), 1)</f>
        <v>100</v>
      </c>
      <c r="AR81" s="551">
        <f>AR82-SUM(AR64:AR80)</f>
        <v>10</v>
      </c>
      <c r="AS81" s="414">
        <f>AS82-SUM(AS64:AS80)</f>
        <v>1</v>
      </c>
      <c r="AT81" s="753">
        <f>ROUND(((AS81/AR81-1)*100), 1)</f>
        <v>-90</v>
      </c>
      <c r="AU81" s="951">
        <f>AU82-SUM(AU64:AU80)</f>
        <v>21</v>
      </c>
      <c r="AV81" s="952">
        <f>AV82-SUM(AV64:AV80)</f>
        <v>23</v>
      </c>
      <c r="AW81" s="753">
        <f>ROUND(((AV81/AU81-1)*100), 1)</f>
        <v>9.5</v>
      </c>
      <c r="AX81" s="551">
        <f>AX82-SUM(AX64:AX80)</f>
        <v>1</v>
      </c>
      <c r="AY81" s="414">
        <f>AY82-SUM(AY64:AY80)</f>
        <v>0</v>
      </c>
      <c r="AZ81" s="753">
        <f>ROUND(((AY81/AX81-1)*100), 1)</f>
        <v>-100</v>
      </c>
      <c r="BA81" s="551">
        <f>BA82-SUM(BA64:BA80)</f>
        <v>22</v>
      </c>
      <c r="BB81" s="414">
        <f>BB82-SUM(BB64:BB80)</f>
        <v>23</v>
      </c>
      <c r="BC81" s="753">
        <f>ROUND(((BB81/BA81-1)*100), 1)</f>
        <v>4.5</v>
      </c>
      <c r="BD81" s="551">
        <f>BD82-SUM(BD64:BD80)</f>
        <v>0</v>
      </c>
      <c r="BE81" s="414">
        <f>BE82-SUM(BE64:BE80)</f>
        <v>0</v>
      </c>
      <c r="BF81" s="800">
        <v>0</v>
      </c>
      <c r="BG81" s="551">
        <f>BG82-SUM(BG64:BG80)</f>
        <v>22</v>
      </c>
      <c r="BH81" s="414">
        <f>BH82-SUM(BH64:BH80)</f>
        <v>23</v>
      </c>
      <c r="BI81" s="753">
        <f>ROUND(((BH81/BG81-1)*100), 1)</f>
        <v>4.5</v>
      </c>
      <c r="BJ81" s="551">
        <f>BJ82-SUM(BJ64:BJ80)</f>
        <v>6</v>
      </c>
      <c r="BK81" s="414">
        <f>BK82-SUM(BK64:BK80)</f>
        <v>3</v>
      </c>
      <c r="BL81" s="753">
        <f>ROUND(((BK81/BJ81-1)*100), 1)</f>
        <v>-50</v>
      </c>
      <c r="BM81" s="551">
        <f>BM82-SUM(BM64:BM80)</f>
        <v>28</v>
      </c>
      <c r="BN81" s="414">
        <f>BN82-SUM(BN64:BN80)</f>
        <v>26</v>
      </c>
      <c r="BO81" s="753">
        <f>ROUND(((BN81/BM81-1)*100), 1)</f>
        <v>-7.1</v>
      </c>
      <c r="BP81" s="551">
        <f>BP82-SUM(BP64:BP80)</f>
        <v>5</v>
      </c>
      <c r="BQ81" s="414">
        <f>BQ82-SUM(BQ64:BQ80)</f>
        <v>1</v>
      </c>
      <c r="BR81" s="753">
        <f>ROUND(((BQ81/BP81-1)*100), 1)</f>
        <v>-80</v>
      </c>
      <c r="BS81" s="551">
        <f>BS82-SUM(BS64:BS80)</f>
        <v>33</v>
      </c>
      <c r="BT81" s="414">
        <f>BT82-SUM(BT64:BT80)</f>
        <v>27</v>
      </c>
      <c r="BU81" s="753">
        <f>ROUND(((BT81/BS81-1)*100), 1)</f>
        <v>-18.2</v>
      </c>
    </row>
    <row r="82" spans="1:73">
      <c r="A82" s="9"/>
      <c r="B82" s="67" t="s">
        <v>108</v>
      </c>
      <c r="C82" s="324">
        <v>2740</v>
      </c>
      <c r="D82" s="324">
        <v>3531</v>
      </c>
      <c r="E82" s="324">
        <v>2036</v>
      </c>
      <c r="F82" s="324">
        <v>2182</v>
      </c>
      <c r="G82" s="324">
        <v>4142</v>
      </c>
      <c r="H82" s="324">
        <v>2845</v>
      </c>
      <c r="I82" s="324">
        <v>1970</v>
      </c>
      <c r="J82" s="46">
        <v>2387</v>
      </c>
      <c r="K82" s="399">
        <v>170</v>
      </c>
      <c r="L82" s="400">
        <v>173</v>
      </c>
      <c r="M82" s="233">
        <f>ROUND(((L82/K82-1)*100), 1)</f>
        <v>1.8</v>
      </c>
      <c r="N82" s="399">
        <f>Q82-K82</f>
        <v>159</v>
      </c>
      <c r="O82" s="400">
        <f>R82-L82</f>
        <v>145</v>
      </c>
      <c r="P82" s="243">
        <f>ROUND(((O82/N82-1)*100), 1)</f>
        <v>-8.8000000000000007</v>
      </c>
      <c r="Q82" s="399">
        <v>329</v>
      </c>
      <c r="R82" s="400">
        <v>318</v>
      </c>
      <c r="S82" s="243">
        <f>ROUND(((R82/Q82-1)*100), 1)</f>
        <v>-3.3</v>
      </c>
      <c r="T82" s="399">
        <f>W82-Q82</f>
        <v>191</v>
      </c>
      <c r="U82" s="400">
        <f>X82-R82</f>
        <v>251</v>
      </c>
      <c r="V82" s="243">
        <f>ROUND(((U82/T82-1)*100), 1)</f>
        <v>31.4</v>
      </c>
      <c r="W82" s="399">
        <v>520</v>
      </c>
      <c r="X82" s="400">
        <v>569</v>
      </c>
      <c r="Y82" s="243">
        <f>ROUND(((X82/W82-1)*100), 1)</f>
        <v>9.4</v>
      </c>
      <c r="Z82" s="399">
        <f>AC82-W82</f>
        <v>231</v>
      </c>
      <c r="AA82" s="400">
        <f>AD82-X82</f>
        <v>175</v>
      </c>
      <c r="AB82" s="243">
        <f>ROUND(((AA82/Z82-1)*100), 1)</f>
        <v>-24.2</v>
      </c>
      <c r="AC82" s="399">
        <v>751</v>
      </c>
      <c r="AD82" s="400">
        <v>744</v>
      </c>
      <c r="AE82" s="243">
        <f>ROUND(((AD82/AC82-1)*100), 1)</f>
        <v>-0.9</v>
      </c>
      <c r="AF82" s="399">
        <f>AI82-AC82</f>
        <v>215</v>
      </c>
      <c r="AG82" s="400">
        <f>AJ82-AD82</f>
        <v>189</v>
      </c>
      <c r="AH82" s="243">
        <f>ROUND(((AG82/AF82-1)*100), 1)</f>
        <v>-12.1</v>
      </c>
      <c r="AI82" s="399">
        <v>966</v>
      </c>
      <c r="AJ82" s="400">
        <v>933</v>
      </c>
      <c r="AK82" s="243">
        <f>ROUND(((AJ82/AI82-1)*100), 1)</f>
        <v>-3.4</v>
      </c>
      <c r="AL82" s="399">
        <f>AO82-AI82</f>
        <v>168</v>
      </c>
      <c r="AM82" s="400">
        <f>AP82-AJ82</f>
        <v>238</v>
      </c>
      <c r="AN82" s="243">
        <f>ROUND(((AM82/AL82-1)*100), 1)</f>
        <v>41.7</v>
      </c>
      <c r="AO82" s="399">
        <v>1134</v>
      </c>
      <c r="AP82" s="400">
        <v>1171</v>
      </c>
      <c r="AQ82" s="243">
        <f>ROUND(((AP82/AO82-1)*100), 1)</f>
        <v>3.3</v>
      </c>
      <c r="AR82" s="399">
        <f>AU82-AO82</f>
        <v>242</v>
      </c>
      <c r="AS82" s="400">
        <f>AV82-AP82</f>
        <v>187</v>
      </c>
      <c r="AT82" s="754">
        <f>ROUND(((AS82/AR82-1)*100), 1)</f>
        <v>-22.7</v>
      </c>
      <c r="AU82" s="956">
        <v>1376</v>
      </c>
      <c r="AV82" s="957">
        <v>1358</v>
      </c>
      <c r="AW82" s="754">
        <f>ROUND(((AV82/AU82-1)*100), 1)</f>
        <v>-1.3</v>
      </c>
      <c r="AX82" s="399">
        <f>BA82-AU82</f>
        <v>222</v>
      </c>
      <c r="AY82" s="400">
        <f>BB82-AV82</f>
        <v>126</v>
      </c>
      <c r="AZ82" s="754">
        <f>ROUND(((AY82/AX82-1)*100), 1)</f>
        <v>-43.2</v>
      </c>
      <c r="BA82" s="399">
        <v>1598</v>
      </c>
      <c r="BB82" s="400">
        <v>1484</v>
      </c>
      <c r="BC82" s="754">
        <f>ROUND(((BB82/BA82-1)*100), 1)</f>
        <v>-7.1</v>
      </c>
      <c r="BD82" s="399">
        <f>BG82-BA82</f>
        <v>162</v>
      </c>
      <c r="BE82" s="400">
        <f>BH82-BB82</f>
        <v>468</v>
      </c>
      <c r="BF82" s="754">
        <f>ROUND(((BE82/BD82-1)*100), 1)</f>
        <v>188.9</v>
      </c>
      <c r="BG82" s="399">
        <v>1760</v>
      </c>
      <c r="BH82" s="400">
        <v>1952</v>
      </c>
      <c r="BI82" s="754">
        <f>ROUND(((BH82/BG82-1)*100), 1)</f>
        <v>10.9</v>
      </c>
      <c r="BJ82" s="399">
        <f>BM82-BG82</f>
        <v>268</v>
      </c>
      <c r="BK82" s="400">
        <f>BN82-BH82</f>
        <v>173</v>
      </c>
      <c r="BL82" s="754">
        <f>ROUND(((BK82/BJ82-1)*100), 1)</f>
        <v>-35.4</v>
      </c>
      <c r="BM82" s="399">
        <v>2028</v>
      </c>
      <c r="BN82" s="400">
        <v>2125</v>
      </c>
      <c r="BO82" s="754">
        <f>ROUND(((BN82/BM82-1)*100), 1)</f>
        <v>4.8</v>
      </c>
      <c r="BP82" s="399">
        <f>BS82-BM82</f>
        <v>206</v>
      </c>
      <c r="BQ82" s="400">
        <f>BT82-BN82</f>
        <v>243</v>
      </c>
      <c r="BR82" s="754">
        <f>ROUND(((BQ82/BP82-1)*100), 1)</f>
        <v>18</v>
      </c>
      <c r="BS82" s="401">
        <v>2234</v>
      </c>
      <c r="BT82" s="402">
        <v>2368</v>
      </c>
      <c r="BU82" s="754">
        <f>ROUND(((BT82/BS82-1)*100), 1)</f>
        <v>6</v>
      </c>
    </row>
    <row r="83" spans="1:73">
      <c r="A83" s="68" t="s">
        <v>118</v>
      </c>
      <c r="B83" s="292"/>
      <c r="C83" s="70"/>
      <c r="D83" s="70"/>
      <c r="E83" s="70"/>
      <c r="F83" s="70"/>
      <c r="G83" s="70"/>
      <c r="H83" s="70"/>
      <c r="I83" s="230"/>
      <c r="J83" s="230"/>
      <c r="K83" s="230"/>
      <c r="L83" s="230"/>
      <c r="M83" s="237"/>
      <c r="N83" s="230"/>
      <c r="O83" s="230"/>
      <c r="P83" s="237"/>
      <c r="Q83" s="230"/>
      <c r="R83" s="230"/>
      <c r="S83" s="237"/>
      <c r="T83" s="230"/>
      <c r="U83" s="230"/>
      <c r="V83" s="237"/>
      <c r="W83" s="230"/>
      <c r="X83" s="230"/>
      <c r="Y83" s="237"/>
      <c r="Z83" s="230"/>
      <c r="AA83" s="230"/>
      <c r="AB83" s="237"/>
      <c r="AC83" s="230"/>
      <c r="AD83" s="230"/>
      <c r="AE83" s="237"/>
      <c r="AF83" s="230"/>
      <c r="AG83" s="230"/>
      <c r="AH83" s="237"/>
      <c r="AI83" s="230"/>
      <c r="AJ83" s="230"/>
      <c r="AK83" s="237"/>
      <c r="AL83" s="230"/>
      <c r="AM83" s="230"/>
      <c r="AN83" s="237"/>
      <c r="AO83" s="650"/>
      <c r="AP83" s="650"/>
      <c r="AQ83" s="237"/>
      <c r="AR83" s="650"/>
      <c r="AS83" s="650"/>
      <c r="AT83" s="237"/>
      <c r="AU83" s="958"/>
      <c r="AV83" s="958"/>
      <c r="AW83" s="237"/>
      <c r="AX83" s="650"/>
      <c r="AY83" s="650"/>
      <c r="AZ83" s="237"/>
      <c r="BA83" s="650"/>
      <c r="BB83" s="650"/>
      <c r="BC83" s="237"/>
      <c r="BD83" s="650"/>
      <c r="BE83" s="650"/>
      <c r="BF83" s="237"/>
      <c r="BG83" s="650"/>
      <c r="BH83" s="650"/>
      <c r="BI83" s="237"/>
      <c r="BJ83" s="650"/>
      <c r="BK83" s="650"/>
      <c r="BL83" s="237"/>
      <c r="BM83" s="650"/>
      <c r="BN83" s="650"/>
      <c r="BO83" s="237"/>
      <c r="BP83" s="650"/>
      <c r="BQ83" s="650"/>
      <c r="BR83" s="237"/>
      <c r="BS83" s="650"/>
      <c r="BT83" s="650"/>
      <c r="BU83" s="237"/>
    </row>
    <row r="84" spans="1:73">
      <c r="K84" s="307"/>
      <c r="N84" s="307"/>
      <c r="Q84" s="307"/>
      <c r="T84" s="307"/>
      <c r="W84" s="307"/>
      <c r="Z84" s="307"/>
      <c r="AC84" s="307"/>
      <c r="AF84" s="307"/>
      <c r="AI84" s="307"/>
      <c r="AL84" s="307"/>
      <c r="AO84" s="837"/>
      <c r="AR84" s="837"/>
      <c r="AU84" s="959"/>
      <c r="AX84" s="837"/>
      <c r="BA84" s="837"/>
      <c r="BD84" s="837"/>
      <c r="BG84" s="837"/>
      <c r="BJ84" s="837"/>
      <c r="BM84" s="837"/>
      <c r="BP84" s="837"/>
      <c r="BS84" s="837"/>
    </row>
    <row r="85" spans="1:73">
      <c r="A85" s="81" t="s">
        <v>131</v>
      </c>
      <c r="B85" s="249"/>
      <c r="C85" s="62"/>
      <c r="D85" s="62"/>
      <c r="E85" s="62"/>
      <c r="F85" s="62"/>
      <c r="G85" s="62"/>
      <c r="J85" s="62" t="s">
        <v>132</v>
      </c>
      <c r="K85" s="280"/>
      <c r="L85" s="280"/>
      <c r="M85" s="239"/>
      <c r="N85" s="280"/>
      <c r="O85" s="280"/>
      <c r="P85" s="239"/>
      <c r="Q85" s="280"/>
      <c r="R85" s="280"/>
      <c r="S85" s="239"/>
      <c r="T85" s="280"/>
      <c r="U85" s="280"/>
      <c r="V85" s="239"/>
      <c r="W85" s="280"/>
      <c r="X85" s="280"/>
      <c r="Y85" s="239"/>
      <c r="Z85" s="280"/>
      <c r="AA85" s="280"/>
      <c r="AB85" s="239"/>
      <c r="AC85" s="280"/>
      <c r="AD85" s="280"/>
      <c r="AE85" s="239"/>
      <c r="AF85" s="280"/>
      <c r="AG85" s="280"/>
      <c r="AH85" s="239"/>
      <c r="AI85" s="280"/>
      <c r="AJ85" s="280"/>
      <c r="AK85" s="239"/>
      <c r="AL85" s="280"/>
      <c r="AM85" s="280"/>
      <c r="AN85" s="239"/>
      <c r="AO85" s="747"/>
      <c r="AP85" s="747"/>
      <c r="AQ85" s="239"/>
      <c r="AR85" s="747"/>
      <c r="AS85" s="747"/>
      <c r="AT85" s="239"/>
      <c r="AU85" s="962"/>
      <c r="AV85" s="962"/>
      <c r="AW85" s="239"/>
      <c r="AX85" s="747"/>
      <c r="AY85" s="747"/>
      <c r="AZ85" s="239"/>
      <c r="BA85" s="747"/>
      <c r="BB85" s="747"/>
      <c r="BC85" s="239"/>
      <c r="BD85" s="747"/>
      <c r="BE85" s="747"/>
      <c r="BF85" s="239"/>
      <c r="BG85" s="747"/>
      <c r="BH85" s="747"/>
      <c r="BI85" s="239"/>
      <c r="BJ85" s="747"/>
      <c r="BK85" s="747"/>
      <c r="BL85" s="239"/>
      <c r="BM85" s="747"/>
      <c r="BN85" s="747"/>
      <c r="BO85" s="239"/>
      <c r="BP85" s="747"/>
      <c r="BQ85" s="747"/>
      <c r="BR85" s="239"/>
      <c r="BS85" s="747"/>
      <c r="BT85" s="747"/>
      <c r="BU85" s="239"/>
    </row>
    <row r="86" spans="1:73">
      <c r="A86" s="64"/>
      <c r="B86" s="30"/>
      <c r="C86" s="65"/>
      <c r="D86" s="65"/>
      <c r="E86" s="65"/>
      <c r="F86" s="65"/>
      <c r="G86" s="65"/>
      <c r="H86" s="65"/>
      <c r="I86" s="229"/>
      <c r="J86" s="229"/>
      <c r="K86" s="229"/>
      <c r="L86" s="229"/>
      <c r="M86" s="235" t="s">
        <v>94</v>
      </c>
      <c r="N86" s="229"/>
      <c r="O86" s="229"/>
      <c r="P86" s="244"/>
      <c r="Q86" s="229"/>
      <c r="R86" s="229"/>
      <c r="S86" s="244" t="s">
        <v>94</v>
      </c>
      <c r="T86" s="229"/>
      <c r="U86" s="229"/>
      <c r="V86" s="244"/>
      <c r="W86" s="229"/>
      <c r="X86" s="229"/>
      <c r="Y86" s="244" t="s">
        <v>94</v>
      </c>
      <c r="Z86" s="229"/>
      <c r="AA86" s="229"/>
      <c r="AB86" s="244"/>
      <c r="AC86" s="229"/>
      <c r="AD86" s="229"/>
      <c r="AE86" s="244" t="s">
        <v>94</v>
      </c>
      <c r="AF86" s="229"/>
      <c r="AG86" s="229"/>
      <c r="AH86" s="244"/>
      <c r="AI86" s="229"/>
      <c r="AJ86" s="229"/>
      <c r="AK86" s="244" t="s">
        <v>94</v>
      </c>
      <c r="AL86" s="229"/>
      <c r="AM86" s="229"/>
      <c r="AN86" s="244"/>
      <c r="AO86" s="229"/>
      <c r="AP86" s="229"/>
      <c r="AQ86" s="244" t="s">
        <v>94</v>
      </c>
      <c r="AR86" s="229"/>
      <c r="AS86" s="229"/>
      <c r="AT86" s="654"/>
      <c r="AU86" s="948"/>
      <c r="AV86" s="948"/>
      <c r="AW86" s="654" t="s">
        <v>94</v>
      </c>
      <c r="AX86" s="229"/>
      <c r="AY86" s="229"/>
      <c r="AZ86" s="654"/>
      <c r="BA86" s="229"/>
      <c r="BB86" s="229"/>
      <c r="BC86" s="654" t="s">
        <v>94</v>
      </c>
      <c r="BD86" s="229"/>
      <c r="BE86" s="229"/>
      <c r="BF86" s="654"/>
      <c r="BG86" s="229"/>
      <c r="BH86" s="229"/>
      <c r="BI86" s="654" t="s">
        <v>94</v>
      </c>
      <c r="BJ86" s="229"/>
      <c r="BK86" s="229"/>
      <c r="BL86" s="654"/>
      <c r="BM86" s="229"/>
      <c r="BN86" s="229"/>
      <c r="BO86" s="654" t="s">
        <v>94</v>
      </c>
      <c r="BP86" s="229"/>
      <c r="BQ86" s="229"/>
      <c r="BR86" s="654"/>
      <c r="BS86" s="229"/>
      <c r="BT86" s="229"/>
      <c r="BU86" s="654" t="s">
        <v>94</v>
      </c>
    </row>
    <row r="87" spans="1:73">
      <c r="A87" s="1157" t="s">
        <v>95</v>
      </c>
      <c r="B87" s="1157"/>
      <c r="C87" s="1156" t="s">
        <v>3</v>
      </c>
      <c r="D87" s="1156" t="s">
        <v>4</v>
      </c>
      <c r="E87" s="1156" t="s">
        <v>5</v>
      </c>
      <c r="F87" s="1156" t="s">
        <v>6</v>
      </c>
      <c r="G87" s="1156" t="s">
        <v>7</v>
      </c>
      <c r="H87" s="1156" t="s">
        <v>8</v>
      </c>
      <c r="I87" s="1155" t="s">
        <v>83</v>
      </c>
      <c r="J87" s="1155" t="s">
        <v>315</v>
      </c>
      <c r="K87" s="1155" t="s">
        <v>40</v>
      </c>
      <c r="L87" s="1156"/>
      <c r="M87" s="1157"/>
      <c r="N87" s="1155" t="s">
        <v>505</v>
      </c>
      <c r="O87" s="1156"/>
      <c r="P87" s="1157"/>
      <c r="Q87" s="1155" t="s">
        <v>506</v>
      </c>
      <c r="R87" s="1156"/>
      <c r="S87" s="1157"/>
      <c r="T87" s="1155" t="s">
        <v>513</v>
      </c>
      <c r="U87" s="1156"/>
      <c r="V87" s="1157"/>
      <c r="W87" s="1155" t="s">
        <v>514</v>
      </c>
      <c r="X87" s="1156"/>
      <c r="Y87" s="1157"/>
      <c r="Z87" s="1155" t="s">
        <v>531</v>
      </c>
      <c r="AA87" s="1156"/>
      <c r="AB87" s="1157"/>
      <c r="AC87" s="1155" t="s">
        <v>533</v>
      </c>
      <c r="AD87" s="1156"/>
      <c r="AE87" s="1157"/>
      <c r="AF87" s="1155" t="s">
        <v>575</v>
      </c>
      <c r="AG87" s="1156"/>
      <c r="AH87" s="1157"/>
      <c r="AI87" s="1155" t="s">
        <v>576</v>
      </c>
      <c r="AJ87" s="1156"/>
      <c r="AK87" s="1157"/>
      <c r="AL87" s="1155" t="s">
        <v>583</v>
      </c>
      <c r="AM87" s="1156"/>
      <c r="AN87" s="1157"/>
      <c r="AO87" s="1155" t="s">
        <v>584</v>
      </c>
      <c r="AP87" s="1156"/>
      <c r="AQ87" s="1157"/>
      <c r="AR87" s="1155" t="s">
        <v>621</v>
      </c>
      <c r="AS87" s="1156"/>
      <c r="AT87" s="1157"/>
      <c r="AU87" s="1155" t="s">
        <v>622</v>
      </c>
      <c r="AV87" s="1156"/>
      <c r="AW87" s="1157"/>
      <c r="AX87" s="1155" t="s">
        <v>626</v>
      </c>
      <c r="AY87" s="1156"/>
      <c r="AZ87" s="1157"/>
      <c r="BA87" s="1155" t="s">
        <v>628</v>
      </c>
      <c r="BB87" s="1156"/>
      <c r="BC87" s="1157"/>
      <c r="BD87" s="1155" t="s">
        <v>648</v>
      </c>
      <c r="BE87" s="1156"/>
      <c r="BF87" s="1157"/>
      <c r="BG87" s="1155" t="s">
        <v>651</v>
      </c>
      <c r="BH87" s="1156"/>
      <c r="BI87" s="1157"/>
      <c r="BJ87" s="1155" t="s">
        <v>674</v>
      </c>
      <c r="BK87" s="1156"/>
      <c r="BL87" s="1157"/>
      <c r="BM87" s="1155" t="s">
        <v>675</v>
      </c>
      <c r="BN87" s="1156"/>
      <c r="BO87" s="1157"/>
      <c r="BP87" s="1155" t="s">
        <v>712</v>
      </c>
      <c r="BQ87" s="1156"/>
      <c r="BR87" s="1157"/>
      <c r="BS87" s="1155" t="s">
        <v>711</v>
      </c>
      <c r="BT87" s="1156"/>
      <c r="BU87" s="1157"/>
    </row>
    <row r="88" spans="1:73">
      <c r="A88" s="1157"/>
      <c r="B88" s="1157"/>
      <c r="C88" s="1156"/>
      <c r="D88" s="1156"/>
      <c r="E88" s="1156"/>
      <c r="F88" s="1156"/>
      <c r="G88" s="1156"/>
      <c r="H88" s="1156"/>
      <c r="I88" s="1155"/>
      <c r="J88" s="1155"/>
      <c r="K88" s="413" t="s">
        <v>445</v>
      </c>
      <c r="L88" s="294" t="s">
        <v>446</v>
      </c>
      <c r="M88" s="236" t="s">
        <v>10</v>
      </c>
      <c r="N88" s="413" t="s">
        <v>445</v>
      </c>
      <c r="O88" s="294" t="s">
        <v>446</v>
      </c>
      <c r="P88" s="250" t="s">
        <v>10</v>
      </c>
      <c r="Q88" s="413" t="s">
        <v>445</v>
      </c>
      <c r="R88" s="294" t="s">
        <v>446</v>
      </c>
      <c r="S88" s="250" t="s">
        <v>10</v>
      </c>
      <c r="T88" s="413" t="s">
        <v>445</v>
      </c>
      <c r="U88" s="294" t="s">
        <v>446</v>
      </c>
      <c r="V88" s="250" t="s">
        <v>10</v>
      </c>
      <c r="W88" s="413" t="s">
        <v>445</v>
      </c>
      <c r="X88" s="294" t="s">
        <v>446</v>
      </c>
      <c r="Y88" s="250" t="s">
        <v>10</v>
      </c>
      <c r="Z88" s="413" t="s">
        <v>445</v>
      </c>
      <c r="AA88" s="294" t="s">
        <v>446</v>
      </c>
      <c r="AB88" s="250" t="s">
        <v>10</v>
      </c>
      <c r="AC88" s="413" t="s">
        <v>445</v>
      </c>
      <c r="AD88" s="294" t="s">
        <v>446</v>
      </c>
      <c r="AE88" s="250" t="s">
        <v>10</v>
      </c>
      <c r="AF88" s="413" t="s">
        <v>577</v>
      </c>
      <c r="AG88" s="294" t="s">
        <v>578</v>
      </c>
      <c r="AH88" s="250" t="s">
        <v>10</v>
      </c>
      <c r="AI88" s="413" t="s">
        <v>577</v>
      </c>
      <c r="AJ88" s="294" t="s">
        <v>578</v>
      </c>
      <c r="AK88" s="250" t="s">
        <v>10</v>
      </c>
      <c r="AL88" s="413" t="s">
        <v>445</v>
      </c>
      <c r="AM88" s="294" t="s">
        <v>446</v>
      </c>
      <c r="AN88" s="250" t="s">
        <v>10</v>
      </c>
      <c r="AO88" s="685" t="s">
        <v>445</v>
      </c>
      <c r="AP88" s="680" t="s">
        <v>446</v>
      </c>
      <c r="AQ88" s="250" t="s">
        <v>10</v>
      </c>
      <c r="AR88" s="685" t="s">
        <v>445</v>
      </c>
      <c r="AS88" s="680" t="s">
        <v>446</v>
      </c>
      <c r="AT88" s="674" t="s">
        <v>10</v>
      </c>
      <c r="AU88" s="949" t="s">
        <v>445</v>
      </c>
      <c r="AV88" s="950" t="s">
        <v>446</v>
      </c>
      <c r="AW88" s="674" t="s">
        <v>10</v>
      </c>
      <c r="AX88" s="685" t="s">
        <v>445</v>
      </c>
      <c r="AY88" s="680" t="s">
        <v>446</v>
      </c>
      <c r="AZ88" s="674" t="s">
        <v>10</v>
      </c>
      <c r="BA88" s="685" t="s">
        <v>445</v>
      </c>
      <c r="BB88" s="680" t="s">
        <v>446</v>
      </c>
      <c r="BC88" s="674" t="s">
        <v>10</v>
      </c>
      <c r="BD88" s="685" t="s">
        <v>669</v>
      </c>
      <c r="BE88" s="680" t="s">
        <v>671</v>
      </c>
      <c r="BF88" s="674" t="s">
        <v>10</v>
      </c>
      <c r="BG88" s="685" t="s">
        <v>670</v>
      </c>
      <c r="BH88" s="680" t="s">
        <v>671</v>
      </c>
      <c r="BI88" s="674" t="s">
        <v>10</v>
      </c>
      <c r="BJ88" s="685" t="s">
        <v>698</v>
      </c>
      <c r="BK88" s="680" t="s">
        <v>699</v>
      </c>
      <c r="BL88" s="674" t="s">
        <v>10</v>
      </c>
      <c r="BM88" s="685" t="s">
        <v>698</v>
      </c>
      <c r="BN88" s="680" t="s">
        <v>699</v>
      </c>
      <c r="BO88" s="674" t="s">
        <v>10</v>
      </c>
      <c r="BP88" s="685" t="s">
        <v>445</v>
      </c>
      <c r="BQ88" s="680" t="s">
        <v>446</v>
      </c>
      <c r="BR88" s="674" t="s">
        <v>10</v>
      </c>
      <c r="BS88" s="685" t="s">
        <v>445</v>
      </c>
      <c r="BT88" s="680" t="s">
        <v>742</v>
      </c>
      <c r="BU88" s="674" t="s">
        <v>10</v>
      </c>
    </row>
    <row r="89" spans="1:73">
      <c r="A89" s="8"/>
      <c r="B89" s="85" t="s">
        <v>380</v>
      </c>
      <c r="C89" s="189">
        <v>20837</v>
      </c>
      <c r="D89" s="189">
        <v>28561</v>
      </c>
      <c r="E89" s="189">
        <v>35444</v>
      </c>
      <c r="F89" s="189">
        <v>33085</v>
      </c>
      <c r="G89" s="189">
        <v>37746</v>
      </c>
      <c r="H89" s="189">
        <v>40052</v>
      </c>
      <c r="I89" s="376">
        <v>38225</v>
      </c>
      <c r="J89" s="457">
        <v>35228</v>
      </c>
      <c r="K89" s="376">
        <v>3736</v>
      </c>
      <c r="L89" s="415">
        <v>2921</v>
      </c>
      <c r="M89" s="231">
        <f t="shared" ref="M89:M98" si="155">ROUND(((L89/K89-1)*100), 1)</f>
        <v>-21.8</v>
      </c>
      <c r="N89" s="376">
        <f t="shared" ref="N89:N113" si="156">Q89-K89</f>
        <v>2641</v>
      </c>
      <c r="O89" s="415">
        <f t="shared" ref="O89:O113" si="157">R89-L89</f>
        <v>3395</v>
      </c>
      <c r="P89" s="231">
        <f t="shared" ref="P89:P98" si="158">ROUND(((O89/N89-1)*100), 1)</f>
        <v>28.5</v>
      </c>
      <c r="Q89" s="376">
        <v>6377</v>
      </c>
      <c r="R89" s="415">
        <v>6316</v>
      </c>
      <c r="S89" s="231">
        <f t="shared" ref="S89:S98" si="159">ROUND(((R89/Q89-1)*100), 1)</f>
        <v>-1</v>
      </c>
      <c r="T89" s="376">
        <f t="shared" ref="T89:T113" si="160">W89-Q89</f>
        <v>2416</v>
      </c>
      <c r="U89" s="415">
        <f t="shared" ref="U89:U113" si="161">X89-R89</f>
        <v>2578</v>
      </c>
      <c r="V89" s="231">
        <f t="shared" ref="V89:V98" si="162">ROUND(((U89/T89-1)*100), 1)</f>
        <v>6.7</v>
      </c>
      <c r="W89" s="376">
        <v>8793</v>
      </c>
      <c r="X89" s="415">
        <v>8894</v>
      </c>
      <c r="Y89" s="231">
        <f t="shared" ref="Y89:Y98" si="163">ROUND(((X89/W89-1)*100), 1)</f>
        <v>1.1000000000000001</v>
      </c>
      <c r="Z89" s="376">
        <f t="shared" ref="Z89:Z113" si="164">AC89-W89</f>
        <v>3326</v>
      </c>
      <c r="AA89" s="415">
        <f t="shared" ref="AA89:AA113" si="165">AD89-X89</f>
        <v>0</v>
      </c>
      <c r="AB89" s="231">
        <f t="shared" ref="AB89:AB98" si="166">ROUND(((AA89/Z89-1)*100), 1)</f>
        <v>-100</v>
      </c>
      <c r="AC89" s="376">
        <v>12119</v>
      </c>
      <c r="AD89" s="415">
        <v>8894</v>
      </c>
      <c r="AE89" s="231">
        <f t="shared" ref="AE89:AE98" si="167">ROUND(((AD89/AC89-1)*100), 1)</f>
        <v>-26.6</v>
      </c>
      <c r="AF89" s="376">
        <f t="shared" ref="AF89:AG113" si="168">AI89-AC89</f>
        <v>3090</v>
      </c>
      <c r="AG89" s="415">
        <f t="shared" si="168"/>
        <v>269</v>
      </c>
      <c r="AH89" s="231">
        <f t="shared" ref="AH89:AH98" si="169">ROUND(((AG89/AF89-1)*100), 1)</f>
        <v>-91.3</v>
      </c>
      <c r="AI89" s="376">
        <v>15209</v>
      </c>
      <c r="AJ89" s="415">
        <v>9163</v>
      </c>
      <c r="AK89" s="231">
        <f t="shared" ref="AK89:AK98" si="170">ROUND(((AJ89/AI89-1)*100), 1)</f>
        <v>-39.799999999999997</v>
      </c>
      <c r="AL89" s="376">
        <f t="shared" ref="AL89:AL113" si="171">AO89-AI89</f>
        <v>1671</v>
      </c>
      <c r="AM89" s="415">
        <f t="shared" ref="AM89:AM113" si="172">AP89-AJ89</f>
        <v>2771</v>
      </c>
      <c r="AN89" s="231">
        <f t="shared" ref="AN89:AN99" si="173">ROUND(((AM89/AL89-1)*100), 1)</f>
        <v>65.8</v>
      </c>
      <c r="AO89" s="552">
        <v>16880</v>
      </c>
      <c r="AP89" s="415">
        <v>11934</v>
      </c>
      <c r="AQ89" s="231">
        <f t="shared" ref="AQ89:AQ98" si="174">ROUND(((AP89/AO89-1)*100), 1)</f>
        <v>-29.3</v>
      </c>
      <c r="AR89" s="552">
        <f t="shared" ref="AR89:AS113" si="175">AU89-AO89</f>
        <v>3307</v>
      </c>
      <c r="AS89" s="415">
        <f t="shared" si="175"/>
        <v>2293</v>
      </c>
      <c r="AT89" s="651">
        <f t="shared" ref="AT89:AT99" si="176">ROUND(((AS89/AR89-1)*100), 1)</f>
        <v>-30.7</v>
      </c>
      <c r="AU89" s="963">
        <v>20187</v>
      </c>
      <c r="AV89" s="964">
        <v>14227</v>
      </c>
      <c r="AW89" s="651">
        <f t="shared" ref="AW89:AW98" si="177">ROUND(((AV89/AU89-1)*100), 1)</f>
        <v>-29.5</v>
      </c>
      <c r="AX89" s="552">
        <f t="shared" ref="AX89:AX113" si="178">BA89-AU89</f>
        <v>2210</v>
      </c>
      <c r="AY89" s="415">
        <f t="shared" ref="AY89:AY113" si="179">BB89-AV89</f>
        <v>2077</v>
      </c>
      <c r="AZ89" s="651">
        <f t="shared" ref="AZ89:AZ99" si="180">ROUND(((AY89/AX89-1)*100), 1)</f>
        <v>-6</v>
      </c>
      <c r="BA89" s="552">
        <v>22397</v>
      </c>
      <c r="BB89" s="415">
        <v>16304</v>
      </c>
      <c r="BC89" s="651">
        <f t="shared" ref="BC89:BC98" si="181">ROUND(((BB89/BA89-1)*100), 1)</f>
        <v>-27.2</v>
      </c>
      <c r="BD89" s="552">
        <f t="shared" ref="BD89:BE113" si="182">BG89-BA89</f>
        <v>4279</v>
      </c>
      <c r="BE89" s="415">
        <f t="shared" si="182"/>
        <v>2573</v>
      </c>
      <c r="BF89" s="651">
        <f t="shared" ref="BF89:BF99" si="183">ROUND(((BE89/BD89-1)*100), 1)</f>
        <v>-39.9</v>
      </c>
      <c r="BG89" s="552">
        <v>26676</v>
      </c>
      <c r="BH89" s="415">
        <v>18877</v>
      </c>
      <c r="BI89" s="651">
        <f t="shared" ref="BI89:BI111" si="184">ROUND(((BH89/BG89-1)*100), 1)</f>
        <v>-29.2</v>
      </c>
      <c r="BJ89" s="552">
        <f t="shared" ref="BJ89:BK113" si="185">BM89-BG89</f>
        <v>3066</v>
      </c>
      <c r="BK89" s="415">
        <f t="shared" si="185"/>
        <v>2477</v>
      </c>
      <c r="BL89" s="651">
        <f t="shared" ref="BL89:BL99" si="186">ROUND(((BK89/BJ89-1)*100), 1)</f>
        <v>-19.2</v>
      </c>
      <c r="BM89" s="552">
        <v>29742</v>
      </c>
      <c r="BN89" s="415">
        <v>21354</v>
      </c>
      <c r="BO89" s="651">
        <f t="shared" ref="BO89:BO111" si="187">ROUND(((BN89/BM89-1)*100), 1)</f>
        <v>-28.2</v>
      </c>
      <c r="BP89" s="552">
        <f t="shared" ref="BP89:BQ113" si="188">BS89-BM89</f>
        <v>3103</v>
      </c>
      <c r="BQ89" s="415">
        <f t="shared" si="188"/>
        <v>2958</v>
      </c>
      <c r="BR89" s="651">
        <f t="shared" ref="BR89:BR99" si="189">ROUND(((BQ89/BP89-1)*100), 1)</f>
        <v>-4.7</v>
      </c>
      <c r="BS89" s="552">
        <v>32845</v>
      </c>
      <c r="BT89" s="415">
        <v>24312</v>
      </c>
      <c r="BU89" s="651">
        <f t="shared" ref="BU89:BU111" si="190">ROUND(((BT89/BS89-1)*100), 1)</f>
        <v>-26</v>
      </c>
    </row>
    <row r="90" spans="1:73">
      <c r="A90" s="4" t="s">
        <v>121</v>
      </c>
      <c r="B90" s="43" t="s">
        <v>387</v>
      </c>
      <c r="C90" s="188">
        <v>17464</v>
      </c>
      <c r="D90" s="188">
        <v>23134</v>
      </c>
      <c r="E90" s="188">
        <v>12767</v>
      </c>
      <c r="F90" s="188">
        <v>13696</v>
      </c>
      <c r="G90" s="188">
        <v>19032</v>
      </c>
      <c r="H90" s="188">
        <v>27646</v>
      </c>
      <c r="I90" s="323">
        <v>27199</v>
      </c>
      <c r="J90" s="458">
        <v>25528</v>
      </c>
      <c r="K90" s="323">
        <v>2182</v>
      </c>
      <c r="L90" s="414">
        <v>1696</v>
      </c>
      <c r="M90" s="232">
        <f t="shared" si="155"/>
        <v>-22.3</v>
      </c>
      <c r="N90" s="323">
        <f t="shared" si="156"/>
        <v>1951</v>
      </c>
      <c r="O90" s="414">
        <f t="shared" si="157"/>
        <v>1281</v>
      </c>
      <c r="P90" s="242">
        <f t="shared" si="158"/>
        <v>-34.299999999999997</v>
      </c>
      <c r="Q90" s="323">
        <v>4133</v>
      </c>
      <c r="R90" s="414">
        <v>2977</v>
      </c>
      <c r="S90" s="242">
        <f t="shared" si="159"/>
        <v>-28</v>
      </c>
      <c r="T90" s="323">
        <f t="shared" si="160"/>
        <v>1529</v>
      </c>
      <c r="U90" s="414">
        <f t="shared" si="161"/>
        <v>2212</v>
      </c>
      <c r="V90" s="242">
        <f t="shared" si="162"/>
        <v>44.7</v>
      </c>
      <c r="W90" s="323">
        <v>5662</v>
      </c>
      <c r="X90" s="414">
        <v>5189</v>
      </c>
      <c r="Y90" s="242">
        <f t="shared" si="163"/>
        <v>-8.4</v>
      </c>
      <c r="Z90" s="323">
        <f t="shared" si="164"/>
        <v>2121</v>
      </c>
      <c r="AA90" s="414">
        <f t="shared" si="165"/>
        <v>1362</v>
      </c>
      <c r="AB90" s="242">
        <f t="shared" si="166"/>
        <v>-35.799999999999997</v>
      </c>
      <c r="AC90" s="323">
        <v>7783</v>
      </c>
      <c r="AD90" s="414">
        <v>6551</v>
      </c>
      <c r="AE90" s="242">
        <f t="shared" si="167"/>
        <v>-15.8</v>
      </c>
      <c r="AF90" s="323">
        <f t="shared" si="168"/>
        <v>3109</v>
      </c>
      <c r="AG90" s="414">
        <f t="shared" si="168"/>
        <v>1058</v>
      </c>
      <c r="AH90" s="242">
        <f t="shared" si="169"/>
        <v>-66</v>
      </c>
      <c r="AI90" s="323">
        <v>10892</v>
      </c>
      <c r="AJ90" s="414">
        <v>7609</v>
      </c>
      <c r="AK90" s="242">
        <f t="shared" si="170"/>
        <v>-30.1</v>
      </c>
      <c r="AL90" s="323">
        <f t="shared" si="171"/>
        <v>2406</v>
      </c>
      <c r="AM90" s="414">
        <f t="shared" si="172"/>
        <v>1180</v>
      </c>
      <c r="AN90" s="242">
        <f t="shared" si="173"/>
        <v>-51</v>
      </c>
      <c r="AO90" s="551">
        <v>13298</v>
      </c>
      <c r="AP90" s="414">
        <v>8789</v>
      </c>
      <c r="AQ90" s="242">
        <f t="shared" si="174"/>
        <v>-33.9</v>
      </c>
      <c r="AR90" s="551">
        <f t="shared" si="175"/>
        <v>2725</v>
      </c>
      <c r="AS90" s="414">
        <f t="shared" si="175"/>
        <v>2681</v>
      </c>
      <c r="AT90" s="753">
        <f t="shared" si="176"/>
        <v>-1.6</v>
      </c>
      <c r="AU90" s="951">
        <v>16023</v>
      </c>
      <c r="AV90" s="952">
        <v>11470</v>
      </c>
      <c r="AW90" s="753">
        <f t="shared" si="177"/>
        <v>-28.4</v>
      </c>
      <c r="AX90" s="551">
        <f t="shared" si="178"/>
        <v>1438</v>
      </c>
      <c r="AY90" s="414">
        <f t="shared" si="179"/>
        <v>1245</v>
      </c>
      <c r="AZ90" s="753">
        <f t="shared" si="180"/>
        <v>-13.4</v>
      </c>
      <c r="BA90" s="551">
        <v>17461</v>
      </c>
      <c r="BB90" s="414">
        <v>12715</v>
      </c>
      <c r="BC90" s="753">
        <f t="shared" si="181"/>
        <v>-27.2</v>
      </c>
      <c r="BD90" s="551">
        <f t="shared" si="182"/>
        <v>1827</v>
      </c>
      <c r="BE90" s="414">
        <f t="shared" si="182"/>
        <v>2375</v>
      </c>
      <c r="BF90" s="753">
        <f t="shared" si="183"/>
        <v>30</v>
      </c>
      <c r="BG90" s="551">
        <v>19288</v>
      </c>
      <c r="BH90" s="414">
        <v>15090</v>
      </c>
      <c r="BI90" s="753">
        <f t="shared" si="184"/>
        <v>-21.8</v>
      </c>
      <c r="BJ90" s="551">
        <f t="shared" si="185"/>
        <v>1888</v>
      </c>
      <c r="BK90" s="414">
        <f t="shared" si="185"/>
        <v>2708</v>
      </c>
      <c r="BL90" s="753">
        <f t="shared" si="186"/>
        <v>43.4</v>
      </c>
      <c r="BM90" s="551">
        <v>21176</v>
      </c>
      <c r="BN90" s="414">
        <v>17798</v>
      </c>
      <c r="BO90" s="753">
        <f t="shared" si="187"/>
        <v>-16</v>
      </c>
      <c r="BP90" s="551">
        <f t="shared" si="188"/>
        <v>2094</v>
      </c>
      <c r="BQ90" s="414">
        <f t="shared" si="188"/>
        <v>2976</v>
      </c>
      <c r="BR90" s="753">
        <f t="shared" si="189"/>
        <v>42.1</v>
      </c>
      <c r="BS90" s="551">
        <v>23270</v>
      </c>
      <c r="BT90" s="414">
        <v>20774</v>
      </c>
      <c r="BU90" s="753">
        <f t="shared" si="190"/>
        <v>-10.7</v>
      </c>
    </row>
    <row r="91" spans="1:73">
      <c r="A91" s="4"/>
      <c r="B91" s="43" t="s">
        <v>397</v>
      </c>
      <c r="C91" s="188">
        <v>4302</v>
      </c>
      <c r="D91" s="188">
        <v>5161</v>
      </c>
      <c r="E91" s="188">
        <v>7332</v>
      </c>
      <c r="F91" s="188">
        <v>7166</v>
      </c>
      <c r="G91" s="188">
        <v>7997</v>
      </c>
      <c r="H91" s="188">
        <v>11177</v>
      </c>
      <c r="I91" s="323">
        <v>13869</v>
      </c>
      <c r="J91" s="458">
        <v>7513</v>
      </c>
      <c r="K91" s="323">
        <v>1393</v>
      </c>
      <c r="L91" s="414">
        <v>338</v>
      </c>
      <c r="M91" s="232">
        <f t="shared" si="155"/>
        <v>-75.7</v>
      </c>
      <c r="N91" s="323">
        <f t="shared" si="156"/>
        <v>1272</v>
      </c>
      <c r="O91" s="414">
        <f t="shared" si="157"/>
        <v>345</v>
      </c>
      <c r="P91" s="242">
        <f t="shared" si="158"/>
        <v>-72.900000000000006</v>
      </c>
      <c r="Q91" s="323">
        <v>2665</v>
      </c>
      <c r="R91" s="414">
        <v>683</v>
      </c>
      <c r="S91" s="242">
        <f t="shared" si="159"/>
        <v>-74.400000000000006</v>
      </c>
      <c r="T91" s="323">
        <f t="shared" si="160"/>
        <v>1021</v>
      </c>
      <c r="U91" s="414">
        <f t="shared" si="161"/>
        <v>473</v>
      </c>
      <c r="V91" s="242">
        <f t="shared" si="162"/>
        <v>-53.7</v>
      </c>
      <c r="W91" s="323">
        <v>3686</v>
      </c>
      <c r="X91" s="414">
        <v>1156</v>
      </c>
      <c r="Y91" s="242">
        <f t="shared" si="163"/>
        <v>-68.599999999999994</v>
      </c>
      <c r="Z91" s="323">
        <f t="shared" si="164"/>
        <v>1493</v>
      </c>
      <c r="AA91" s="414">
        <f t="shared" si="165"/>
        <v>365</v>
      </c>
      <c r="AB91" s="242">
        <f t="shared" si="166"/>
        <v>-75.599999999999994</v>
      </c>
      <c r="AC91" s="323">
        <v>5179</v>
      </c>
      <c r="AD91" s="414">
        <v>1521</v>
      </c>
      <c r="AE91" s="242">
        <f t="shared" si="167"/>
        <v>-70.599999999999994</v>
      </c>
      <c r="AF91" s="323">
        <f t="shared" si="168"/>
        <v>501</v>
      </c>
      <c r="AG91" s="414">
        <f t="shared" si="168"/>
        <v>170</v>
      </c>
      <c r="AH91" s="242">
        <f t="shared" si="169"/>
        <v>-66.099999999999994</v>
      </c>
      <c r="AI91" s="323">
        <v>5680</v>
      </c>
      <c r="AJ91" s="414">
        <v>1691</v>
      </c>
      <c r="AK91" s="242">
        <f t="shared" si="170"/>
        <v>-70.2</v>
      </c>
      <c r="AL91" s="323">
        <f t="shared" si="171"/>
        <v>286</v>
      </c>
      <c r="AM91" s="414">
        <f t="shared" si="172"/>
        <v>280</v>
      </c>
      <c r="AN91" s="242">
        <f t="shared" si="173"/>
        <v>-2.1</v>
      </c>
      <c r="AO91" s="551">
        <v>5966</v>
      </c>
      <c r="AP91" s="414">
        <v>1971</v>
      </c>
      <c r="AQ91" s="242">
        <f t="shared" si="174"/>
        <v>-67</v>
      </c>
      <c r="AR91" s="551">
        <f t="shared" si="175"/>
        <v>335</v>
      </c>
      <c r="AS91" s="414">
        <f t="shared" si="175"/>
        <v>368</v>
      </c>
      <c r="AT91" s="753">
        <f t="shared" si="176"/>
        <v>9.9</v>
      </c>
      <c r="AU91" s="951">
        <v>6301</v>
      </c>
      <c r="AV91" s="952">
        <v>2339</v>
      </c>
      <c r="AW91" s="753">
        <f t="shared" si="177"/>
        <v>-62.9</v>
      </c>
      <c r="AX91" s="551">
        <f t="shared" si="178"/>
        <v>175</v>
      </c>
      <c r="AY91" s="414">
        <f t="shared" si="179"/>
        <v>290</v>
      </c>
      <c r="AZ91" s="753">
        <f t="shared" si="180"/>
        <v>65.7</v>
      </c>
      <c r="BA91" s="551">
        <v>6476</v>
      </c>
      <c r="BB91" s="414">
        <v>2629</v>
      </c>
      <c r="BC91" s="753">
        <f t="shared" si="181"/>
        <v>-59.4</v>
      </c>
      <c r="BD91" s="551">
        <f t="shared" si="182"/>
        <v>212</v>
      </c>
      <c r="BE91" s="414">
        <f t="shared" si="182"/>
        <v>364</v>
      </c>
      <c r="BF91" s="753">
        <f t="shared" si="183"/>
        <v>71.7</v>
      </c>
      <c r="BG91" s="551">
        <v>6688</v>
      </c>
      <c r="BH91" s="414">
        <v>2993</v>
      </c>
      <c r="BI91" s="753">
        <f t="shared" si="184"/>
        <v>-55.2</v>
      </c>
      <c r="BJ91" s="551">
        <f t="shared" si="185"/>
        <v>246</v>
      </c>
      <c r="BK91" s="414">
        <f t="shared" si="185"/>
        <v>331</v>
      </c>
      <c r="BL91" s="753">
        <f t="shared" si="186"/>
        <v>34.6</v>
      </c>
      <c r="BM91" s="551">
        <v>6934</v>
      </c>
      <c r="BN91" s="414">
        <v>3324</v>
      </c>
      <c r="BO91" s="753">
        <f t="shared" si="187"/>
        <v>-52.1</v>
      </c>
      <c r="BP91" s="551">
        <f t="shared" si="188"/>
        <v>294</v>
      </c>
      <c r="BQ91" s="414">
        <f t="shared" si="188"/>
        <v>390</v>
      </c>
      <c r="BR91" s="753">
        <f t="shared" si="189"/>
        <v>32.700000000000003</v>
      </c>
      <c r="BS91" s="551">
        <v>7228</v>
      </c>
      <c r="BT91" s="414">
        <v>3714</v>
      </c>
      <c r="BU91" s="753">
        <f t="shared" si="190"/>
        <v>-48.6</v>
      </c>
    </row>
    <row r="92" spans="1:73">
      <c r="A92" s="4"/>
      <c r="B92" s="43" t="s">
        <v>398</v>
      </c>
      <c r="C92" s="188">
        <v>4194</v>
      </c>
      <c r="D92" s="188">
        <v>2525</v>
      </c>
      <c r="E92" s="188">
        <v>459</v>
      </c>
      <c r="F92" s="188">
        <v>1366</v>
      </c>
      <c r="G92" s="188">
        <v>4758</v>
      </c>
      <c r="H92" s="188">
        <v>6807</v>
      </c>
      <c r="I92" s="323">
        <v>6745</v>
      </c>
      <c r="J92" s="458">
        <v>5610</v>
      </c>
      <c r="K92" s="323">
        <v>537</v>
      </c>
      <c r="L92" s="414">
        <v>100</v>
      </c>
      <c r="M92" s="232">
        <f t="shared" si="155"/>
        <v>-81.400000000000006</v>
      </c>
      <c r="N92" s="323">
        <f t="shared" si="156"/>
        <v>338</v>
      </c>
      <c r="O92" s="414">
        <f t="shared" si="157"/>
        <v>265</v>
      </c>
      <c r="P92" s="242">
        <f t="shared" si="158"/>
        <v>-21.6</v>
      </c>
      <c r="Q92" s="323">
        <v>875</v>
      </c>
      <c r="R92" s="414">
        <v>365</v>
      </c>
      <c r="S92" s="242">
        <f t="shared" si="159"/>
        <v>-58.3</v>
      </c>
      <c r="T92" s="323">
        <f t="shared" si="160"/>
        <v>386</v>
      </c>
      <c r="U92" s="414">
        <f t="shared" si="161"/>
        <v>159</v>
      </c>
      <c r="V92" s="242">
        <f t="shared" si="162"/>
        <v>-58.8</v>
      </c>
      <c r="W92" s="323">
        <v>1261</v>
      </c>
      <c r="X92" s="414">
        <v>524</v>
      </c>
      <c r="Y92" s="242">
        <f t="shared" si="163"/>
        <v>-58.4</v>
      </c>
      <c r="Z92" s="323">
        <f t="shared" si="164"/>
        <v>564</v>
      </c>
      <c r="AA92" s="414">
        <f t="shared" si="165"/>
        <v>0</v>
      </c>
      <c r="AB92" s="242">
        <f t="shared" si="166"/>
        <v>-100</v>
      </c>
      <c r="AC92" s="323">
        <v>1825</v>
      </c>
      <c r="AD92" s="414">
        <v>524</v>
      </c>
      <c r="AE92" s="242">
        <f t="shared" si="167"/>
        <v>-71.3</v>
      </c>
      <c r="AF92" s="323">
        <f t="shared" si="168"/>
        <v>378</v>
      </c>
      <c r="AG92" s="414">
        <f t="shared" si="168"/>
        <v>7</v>
      </c>
      <c r="AH92" s="242">
        <f t="shared" si="169"/>
        <v>-98.1</v>
      </c>
      <c r="AI92" s="323">
        <v>2203</v>
      </c>
      <c r="AJ92" s="414">
        <v>531</v>
      </c>
      <c r="AK92" s="242">
        <f t="shared" si="170"/>
        <v>-75.900000000000006</v>
      </c>
      <c r="AL92" s="323">
        <f t="shared" si="171"/>
        <v>538</v>
      </c>
      <c r="AM92" s="414">
        <f t="shared" si="172"/>
        <v>0</v>
      </c>
      <c r="AN92" s="242">
        <f t="shared" si="173"/>
        <v>-100</v>
      </c>
      <c r="AO92" s="551">
        <v>2741</v>
      </c>
      <c r="AP92" s="414">
        <v>531</v>
      </c>
      <c r="AQ92" s="242">
        <f t="shared" si="174"/>
        <v>-80.599999999999994</v>
      </c>
      <c r="AR92" s="551">
        <f t="shared" si="175"/>
        <v>761</v>
      </c>
      <c r="AS92" s="414">
        <f t="shared" si="175"/>
        <v>5</v>
      </c>
      <c r="AT92" s="753">
        <f t="shared" si="176"/>
        <v>-99.3</v>
      </c>
      <c r="AU92" s="951">
        <v>3502</v>
      </c>
      <c r="AV92" s="952">
        <v>536</v>
      </c>
      <c r="AW92" s="753">
        <f t="shared" si="177"/>
        <v>-84.7</v>
      </c>
      <c r="AX92" s="551">
        <f t="shared" si="178"/>
        <v>498</v>
      </c>
      <c r="AY92" s="414">
        <f t="shared" si="179"/>
        <v>1</v>
      </c>
      <c r="AZ92" s="753">
        <f t="shared" si="180"/>
        <v>-99.8</v>
      </c>
      <c r="BA92" s="551">
        <v>4000</v>
      </c>
      <c r="BB92" s="414">
        <v>537</v>
      </c>
      <c r="BC92" s="753">
        <f t="shared" si="181"/>
        <v>-86.6</v>
      </c>
      <c r="BD92" s="551">
        <f t="shared" si="182"/>
        <v>642</v>
      </c>
      <c r="BE92" s="414">
        <f t="shared" si="182"/>
        <v>8</v>
      </c>
      <c r="BF92" s="753">
        <f t="shared" si="183"/>
        <v>-98.8</v>
      </c>
      <c r="BG92" s="551">
        <v>4642</v>
      </c>
      <c r="BH92" s="414">
        <v>545</v>
      </c>
      <c r="BI92" s="753">
        <f t="shared" si="184"/>
        <v>-88.3</v>
      </c>
      <c r="BJ92" s="551">
        <f t="shared" si="185"/>
        <v>603</v>
      </c>
      <c r="BK92" s="414">
        <f t="shared" si="185"/>
        <v>0</v>
      </c>
      <c r="BL92" s="753">
        <f t="shared" si="186"/>
        <v>-100</v>
      </c>
      <c r="BM92" s="551">
        <v>5245</v>
      </c>
      <c r="BN92" s="414">
        <v>545</v>
      </c>
      <c r="BO92" s="753">
        <f t="shared" si="187"/>
        <v>-89.6</v>
      </c>
      <c r="BP92" s="551">
        <f t="shared" si="188"/>
        <v>199</v>
      </c>
      <c r="BQ92" s="414">
        <f t="shared" si="188"/>
        <v>0</v>
      </c>
      <c r="BR92" s="753">
        <f t="shared" si="189"/>
        <v>-100</v>
      </c>
      <c r="BS92" s="551">
        <v>5444</v>
      </c>
      <c r="BT92" s="414">
        <v>545</v>
      </c>
      <c r="BU92" s="753">
        <f t="shared" si="190"/>
        <v>-90</v>
      </c>
    </row>
    <row r="93" spans="1:73">
      <c r="A93" s="4"/>
      <c r="B93" s="43" t="s">
        <v>399</v>
      </c>
      <c r="C93" s="188">
        <v>55</v>
      </c>
      <c r="D93" s="188">
        <v>36</v>
      </c>
      <c r="E93" s="188">
        <v>94</v>
      </c>
      <c r="F93" s="188">
        <v>477</v>
      </c>
      <c r="G93" s="188">
        <v>2151</v>
      </c>
      <c r="H93" s="188">
        <v>3037</v>
      </c>
      <c r="I93" s="323">
        <v>6617</v>
      </c>
      <c r="J93" s="458">
        <v>5279</v>
      </c>
      <c r="K93" s="323">
        <v>438</v>
      </c>
      <c r="L93" s="414">
        <v>217</v>
      </c>
      <c r="M93" s="232">
        <f t="shared" si="155"/>
        <v>-50.5</v>
      </c>
      <c r="N93" s="323">
        <f t="shared" si="156"/>
        <v>823</v>
      </c>
      <c r="O93" s="414">
        <f t="shared" si="157"/>
        <v>619</v>
      </c>
      <c r="P93" s="242">
        <f t="shared" si="158"/>
        <v>-24.8</v>
      </c>
      <c r="Q93" s="323">
        <v>1261</v>
      </c>
      <c r="R93" s="414">
        <v>836</v>
      </c>
      <c r="S93" s="242">
        <f t="shared" si="159"/>
        <v>-33.700000000000003</v>
      </c>
      <c r="T93" s="323">
        <f t="shared" si="160"/>
        <v>468</v>
      </c>
      <c r="U93" s="414">
        <f t="shared" si="161"/>
        <v>637</v>
      </c>
      <c r="V93" s="242">
        <f t="shared" si="162"/>
        <v>36.1</v>
      </c>
      <c r="W93" s="323">
        <v>1729</v>
      </c>
      <c r="X93" s="414">
        <v>1473</v>
      </c>
      <c r="Y93" s="242">
        <f t="shared" si="163"/>
        <v>-14.8</v>
      </c>
      <c r="Z93" s="323">
        <f t="shared" si="164"/>
        <v>66</v>
      </c>
      <c r="AA93" s="414">
        <f t="shared" si="165"/>
        <v>355</v>
      </c>
      <c r="AB93" s="242">
        <f t="shared" si="166"/>
        <v>437.9</v>
      </c>
      <c r="AC93" s="323">
        <v>1795</v>
      </c>
      <c r="AD93" s="414">
        <v>1828</v>
      </c>
      <c r="AE93" s="242">
        <f t="shared" si="167"/>
        <v>1.8</v>
      </c>
      <c r="AF93" s="323">
        <f t="shared" si="168"/>
        <v>1053</v>
      </c>
      <c r="AG93" s="414">
        <f t="shared" si="168"/>
        <v>430</v>
      </c>
      <c r="AH93" s="242">
        <f t="shared" si="169"/>
        <v>-59.2</v>
      </c>
      <c r="AI93" s="323">
        <v>2848</v>
      </c>
      <c r="AJ93" s="414">
        <v>2258</v>
      </c>
      <c r="AK93" s="242">
        <f t="shared" si="170"/>
        <v>-20.7</v>
      </c>
      <c r="AL93" s="323">
        <f t="shared" si="171"/>
        <v>29</v>
      </c>
      <c r="AM93" s="414">
        <f t="shared" si="172"/>
        <v>318</v>
      </c>
      <c r="AN93" s="242">
        <f t="shared" si="173"/>
        <v>996.6</v>
      </c>
      <c r="AO93" s="551">
        <v>2877</v>
      </c>
      <c r="AP93" s="414">
        <v>2576</v>
      </c>
      <c r="AQ93" s="242">
        <f t="shared" si="174"/>
        <v>-10.5</v>
      </c>
      <c r="AR93" s="551">
        <f t="shared" si="175"/>
        <v>81</v>
      </c>
      <c r="AS93" s="414">
        <f t="shared" si="175"/>
        <v>423</v>
      </c>
      <c r="AT93" s="753">
        <f t="shared" si="176"/>
        <v>422.2</v>
      </c>
      <c r="AU93" s="951">
        <v>2958</v>
      </c>
      <c r="AV93" s="952">
        <v>2999</v>
      </c>
      <c r="AW93" s="753">
        <f t="shared" si="177"/>
        <v>1.4</v>
      </c>
      <c r="AX93" s="551">
        <f t="shared" si="178"/>
        <v>390</v>
      </c>
      <c r="AY93" s="414">
        <f t="shared" si="179"/>
        <v>542</v>
      </c>
      <c r="AZ93" s="753">
        <f t="shared" si="180"/>
        <v>39</v>
      </c>
      <c r="BA93" s="551">
        <v>3348</v>
      </c>
      <c r="BB93" s="414">
        <v>3541</v>
      </c>
      <c r="BC93" s="753">
        <f t="shared" si="181"/>
        <v>5.8</v>
      </c>
      <c r="BD93" s="551">
        <f t="shared" si="182"/>
        <v>587</v>
      </c>
      <c r="BE93" s="414">
        <f t="shared" si="182"/>
        <v>525</v>
      </c>
      <c r="BF93" s="753">
        <f t="shared" si="183"/>
        <v>-10.6</v>
      </c>
      <c r="BG93" s="551">
        <v>3935</v>
      </c>
      <c r="BH93" s="414">
        <v>4066</v>
      </c>
      <c r="BI93" s="753">
        <f t="shared" si="184"/>
        <v>3.3</v>
      </c>
      <c r="BJ93" s="551">
        <f t="shared" si="185"/>
        <v>407</v>
      </c>
      <c r="BK93" s="414">
        <f t="shared" si="185"/>
        <v>375</v>
      </c>
      <c r="BL93" s="753">
        <f t="shared" si="186"/>
        <v>-7.9</v>
      </c>
      <c r="BM93" s="551">
        <v>4342</v>
      </c>
      <c r="BN93" s="414">
        <v>4441</v>
      </c>
      <c r="BO93" s="753">
        <f t="shared" si="187"/>
        <v>2.2999999999999998</v>
      </c>
      <c r="BP93" s="551">
        <f t="shared" si="188"/>
        <v>384</v>
      </c>
      <c r="BQ93" s="414">
        <f t="shared" si="188"/>
        <v>381</v>
      </c>
      <c r="BR93" s="753">
        <f t="shared" si="189"/>
        <v>-0.8</v>
      </c>
      <c r="BS93" s="551">
        <v>4726</v>
      </c>
      <c r="BT93" s="414">
        <v>4822</v>
      </c>
      <c r="BU93" s="753">
        <f t="shared" si="190"/>
        <v>2</v>
      </c>
    </row>
    <row r="94" spans="1:73">
      <c r="A94" s="4"/>
      <c r="B94" s="43" t="s">
        <v>386</v>
      </c>
      <c r="C94" s="188">
        <v>2558</v>
      </c>
      <c r="D94" s="188">
        <v>1514</v>
      </c>
      <c r="E94" s="188">
        <v>1403</v>
      </c>
      <c r="F94" s="188">
        <v>1323</v>
      </c>
      <c r="G94" s="188">
        <v>1941</v>
      </c>
      <c r="H94" s="188">
        <v>1597</v>
      </c>
      <c r="I94" s="323">
        <v>1623</v>
      </c>
      <c r="J94" s="458">
        <v>3671</v>
      </c>
      <c r="K94" s="323">
        <v>112</v>
      </c>
      <c r="L94" s="414">
        <v>761</v>
      </c>
      <c r="M94" s="232">
        <f t="shared" si="155"/>
        <v>579.5</v>
      </c>
      <c r="N94" s="323">
        <f t="shared" si="156"/>
        <v>78</v>
      </c>
      <c r="O94" s="414">
        <f t="shared" si="157"/>
        <v>727</v>
      </c>
      <c r="P94" s="242">
        <f t="shared" si="158"/>
        <v>832.1</v>
      </c>
      <c r="Q94" s="323">
        <v>190</v>
      </c>
      <c r="R94" s="414">
        <v>1488</v>
      </c>
      <c r="S94" s="242">
        <f t="shared" si="159"/>
        <v>683.2</v>
      </c>
      <c r="T94" s="323">
        <f t="shared" si="160"/>
        <v>56</v>
      </c>
      <c r="U94" s="414">
        <f t="shared" si="161"/>
        <v>991</v>
      </c>
      <c r="V94" s="242">
        <f t="shared" si="162"/>
        <v>1669.6</v>
      </c>
      <c r="W94" s="323">
        <v>246</v>
      </c>
      <c r="X94" s="414">
        <v>2479</v>
      </c>
      <c r="Y94" s="242">
        <f t="shared" si="163"/>
        <v>907.7</v>
      </c>
      <c r="Z94" s="323">
        <f t="shared" si="164"/>
        <v>134</v>
      </c>
      <c r="AA94" s="414">
        <f t="shared" si="165"/>
        <v>932</v>
      </c>
      <c r="AB94" s="242">
        <f t="shared" si="166"/>
        <v>595.5</v>
      </c>
      <c r="AC94" s="323">
        <v>380</v>
      </c>
      <c r="AD94" s="414">
        <v>3411</v>
      </c>
      <c r="AE94" s="242">
        <f t="shared" si="167"/>
        <v>797.6</v>
      </c>
      <c r="AF94" s="323">
        <f t="shared" si="168"/>
        <v>172</v>
      </c>
      <c r="AG94" s="414">
        <f t="shared" si="168"/>
        <v>760</v>
      </c>
      <c r="AH94" s="242">
        <f t="shared" si="169"/>
        <v>341.9</v>
      </c>
      <c r="AI94" s="323">
        <v>552</v>
      </c>
      <c r="AJ94" s="414">
        <v>4171</v>
      </c>
      <c r="AK94" s="242">
        <f t="shared" si="170"/>
        <v>655.6</v>
      </c>
      <c r="AL94" s="323">
        <f t="shared" si="171"/>
        <v>357</v>
      </c>
      <c r="AM94" s="414">
        <f t="shared" si="172"/>
        <v>579</v>
      </c>
      <c r="AN94" s="242">
        <f t="shared" si="173"/>
        <v>62.2</v>
      </c>
      <c r="AO94" s="551">
        <v>909</v>
      </c>
      <c r="AP94" s="414">
        <v>4750</v>
      </c>
      <c r="AQ94" s="242">
        <f t="shared" si="174"/>
        <v>422.6</v>
      </c>
      <c r="AR94" s="551">
        <f t="shared" si="175"/>
        <v>416</v>
      </c>
      <c r="AS94" s="414">
        <f t="shared" si="175"/>
        <v>353</v>
      </c>
      <c r="AT94" s="753">
        <f t="shared" si="176"/>
        <v>-15.1</v>
      </c>
      <c r="AU94" s="951">
        <v>1325</v>
      </c>
      <c r="AV94" s="952">
        <v>5103</v>
      </c>
      <c r="AW94" s="753">
        <f t="shared" si="177"/>
        <v>285.10000000000002</v>
      </c>
      <c r="AX94" s="551">
        <f t="shared" si="178"/>
        <v>443</v>
      </c>
      <c r="AY94" s="414">
        <f t="shared" si="179"/>
        <v>93</v>
      </c>
      <c r="AZ94" s="753">
        <f t="shared" si="180"/>
        <v>-79</v>
      </c>
      <c r="BA94" s="551">
        <v>1768</v>
      </c>
      <c r="BB94" s="414">
        <v>5196</v>
      </c>
      <c r="BC94" s="753">
        <f t="shared" si="181"/>
        <v>193.9</v>
      </c>
      <c r="BD94" s="551">
        <f t="shared" si="182"/>
        <v>153</v>
      </c>
      <c r="BE94" s="414">
        <f t="shared" si="182"/>
        <v>50</v>
      </c>
      <c r="BF94" s="753">
        <f t="shared" si="183"/>
        <v>-67.3</v>
      </c>
      <c r="BG94" s="551">
        <v>1921</v>
      </c>
      <c r="BH94" s="414">
        <v>5246</v>
      </c>
      <c r="BI94" s="753">
        <f t="shared" si="184"/>
        <v>173.1</v>
      </c>
      <c r="BJ94" s="551">
        <f t="shared" si="185"/>
        <v>255</v>
      </c>
      <c r="BK94" s="414">
        <f t="shared" si="185"/>
        <v>76</v>
      </c>
      <c r="BL94" s="753">
        <f t="shared" si="186"/>
        <v>-70.2</v>
      </c>
      <c r="BM94" s="551">
        <v>2176</v>
      </c>
      <c r="BN94" s="414">
        <v>5322</v>
      </c>
      <c r="BO94" s="753">
        <f t="shared" si="187"/>
        <v>144.6</v>
      </c>
      <c r="BP94" s="551">
        <f t="shared" si="188"/>
        <v>783</v>
      </c>
      <c r="BQ94" s="414">
        <f t="shared" si="188"/>
        <v>517</v>
      </c>
      <c r="BR94" s="753">
        <f t="shared" si="189"/>
        <v>-34</v>
      </c>
      <c r="BS94" s="551">
        <v>2959</v>
      </c>
      <c r="BT94" s="414">
        <v>5839</v>
      </c>
      <c r="BU94" s="753">
        <f t="shared" si="190"/>
        <v>97.3</v>
      </c>
    </row>
    <row r="95" spans="1:73">
      <c r="A95" s="4"/>
      <c r="B95" s="43" t="s">
        <v>400</v>
      </c>
      <c r="C95" s="188">
        <v>233</v>
      </c>
      <c r="D95" s="188">
        <v>873</v>
      </c>
      <c r="E95" s="188">
        <v>314</v>
      </c>
      <c r="F95" s="188">
        <v>2646</v>
      </c>
      <c r="G95" s="188">
        <v>1917</v>
      </c>
      <c r="H95" s="188">
        <v>1122</v>
      </c>
      <c r="I95" s="323">
        <v>2004</v>
      </c>
      <c r="J95" s="458">
        <v>3487</v>
      </c>
      <c r="K95" s="323">
        <v>101</v>
      </c>
      <c r="L95" s="414">
        <v>309</v>
      </c>
      <c r="M95" s="232">
        <f t="shared" si="155"/>
        <v>205.9</v>
      </c>
      <c r="N95" s="323">
        <f t="shared" si="156"/>
        <v>100</v>
      </c>
      <c r="O95" s="414">
        <f t="shared" si="157"/>
        <v>200</v>
      </c>
      <c r="P95" s="242">
        <f t="shared" si="158"/>
        <v>100</v>
      </c>
      <c r="Q95" s="323">
        <v>201</v>
      </c>
      <c r="R95" s="414">
        <v>509</v>
      </c>
      <c r="S95" s="242">
        <f t="shared" si="159"/>
        <v>153.19999999999999</v>
      </c>
      <c r="T95" s="323">
        <f t="shared" si="160"/>
        <v>400</v>
      </c>
      <c r="U95" s="414">
        <f t="shared" si="161"/>
        <v>204</v>
      </c>
      <c r="V95" s="242">
        <f t="shared" si="162"/>
        <v>-49</v>
      </c>
      <c r="W95" s="323">
        <v>601</v>
      </c>
      <c r="X95" s="414">
        <v>713</v>
      </c>
      <c r="Y95" s="242">
        <f t="shared" si="163"/>
        <v>18.600000000000001</v>
      </c>
      <c r="Z95" s="323">
        <f t="shared" si="164"/>
        <v>401</v>
      </c>
      <c r="AA95" s="414">
        <f t="shared" si="165"/>
        <v>243</v>
      </c>
      <c r="AB95" s="242">
        <f t="shared" si="166"/>
        <v>-39.4</v>
      </c>
      <c r="AC95" s="323">
        <v>1002</v>
      </c>
      <c r="AD95" s="414">
        <v>956</v>
      </c>
      <c r="AE95" s="242">
        <f t="shared" si="167"/>
        <v>-4.5999999999999996</v>
      </c>
      <c r="AF95" s="323">
        <f t="shared" si="168"/>
        <v>300</v>
      </c>
      <c r="AG95" s="414">
        <f t="shared" si="168"/>
        <v>200</v>
      </c>
      <c r="AH95" s="242">
        <f t="shared" si="169"/>
        <v>-33.299999999999997</v>
      </c>
      <c r="AI95" s="323">
        <v>1302</v>
      </c>
      <c r="AJ95" s="414">
        <v>1156</v>
      </c>
      <c r="AK95" s="242">
        <f t="shared" si="170"/>
        <v>-11.2</v>
      </c>
      <c r="AL95" s="323">
        <f t="shared" si="171"/>
        <v>701</v>
      </c>
      <c r="AM95" s="414">
        <f t="shared" si="172"/>
        <v>100</v>
      </c>
      <c r="AN95" s="242">
        <f t="shared" si="173"/>
        <v>-85.7</v>
      </c>
      <c r="AO95" s="551">
        <v>2003</v>
      </c>
      <c r="AP95" s="414">
        <v>1256</v>
      </c>
      <c r="AQ95" s="242">
        <f t="shared" si="174"/>
        <v>-37.299999999999997</v>
      </c>
      <c r="AR95" s="551">
        <f t="shared" si="175"/>
        <v>200</v>
      </c>
      <c r="AS95" s="414">
        <f t="shared" si="175"/>
        <v>326</v>
      </c>
      <c r="AT95" s="753">
        <f t="shared" si="176"/>
        <v>63</v>
      </c>
      <c r="AU95" s="951">
        <v>2203</v>
      </c>
      <c r="AV95" s="952">
        <v>1582</v>
      </c>
      <c r="AW95" s="753">
        <f t="shared" si="177"/>
        <v>-28.2</v>
      </c>
      <c r="AX95" s="551">
        <f t="shared" si="178"/>
        <v>200</v>
      </c>
      <c r="AY95" s="414">
        <f t="shared" si="179"/>
        <v>200</v>
      </c>
      <c r="AZ95" s="753">
        <f t="shared" si="180"/>
        <v>0</v>
      </c>
      <c r="BA95" s="551">
        <v>2403</v>
      </c>
      <c r="BB95" s="414">
        <v>1782</v>
      </c>
      <c r="BC95" s="753">
        <f t="shared" si="181"/>
        <v>-25.8</v>
      </c>
      <c r="BD95" s="551">
        <f t="shared" si="182"/>
        <v>200</v>
      </c>
      <c r="BE95" s="414">
        <f t="shared" si="182"/>
        <v>200</v>
      </c>
      <c r="BF95" s="753">
        <f t="shared" si="183"/>
        <v>0</v>
      </c>
      <c r="BG95" s="551">
        <v>2603</v>
      </c>
      <c r="BH95" s="414">
        <v>1982</v>
      </c>
      <c r="BI95" s="753">
        <f t="shared" si="184"/>
        <v>-23.9</v>
      </c>
      <c r="BJ95" s="551">
        <f t="shared" si="185"/>
        <v>200</v>
      </c>
      <c r="BK95" s="414">
        <f t="shared" si="185"/>
        <v>200</v>
      </c>
      <c r="BL95" s="753">
        <f t="shared" si="186"/>
        <v>0</v>
      </c>
      <c r="BM95" s="551">
        <v>2803</v>
      </c>
      <c r="BN95" s="414">
        <v>2182</v>
      </c>
      <c r="BO95" s="753">
        <f t="shared" si="187"/>
        <v>-22.2</v>
      </c>
      <c r="BP95" s="551">
        <f t="shared" si="188"/>
        <v>300</v>
      </c>
      <c r="BQ95" s="414">
        <f t="shared" si="188"/>
        <v>207</v>
      </c>
      <c r="BR95" s="753">
        <f t="shared" si="189"/>
        <v>-31</v>
      </c>
      <c r="BS95" s="551">
        <v>3103</v>
      </c>
      <c r="BT95" s="414">
        <v>2389</v>
      </c>
      <c r="BU95" s="753">
        <f t="shared" si="190"/>
        <v>-23</v>
      </c>
    </row>
    <row r="96" spans="1:73">
      <c r="A96" s="4"/>
      <c r="B96" s="43" t="s">
        <v>52</v>
      </c>
      <c r="C96" s="188">
        <v>2435</v>
      </c>
      <c r="D96" s="188">
        <v>4821</v>
      </c>
      <c r="E96" s="188">
        <v>665</v>
      </c>
      <c r="F96" s="188">
        <v>593</v>
      </c>
      <c r="G96" s="188">
        <v>2042</v>
      </c>
      <c r="H96" s="188">
        <v>2109</v>
      </c>
      <c r="I96" s="323">
        <v>1082</v>
      </c>
      <c r="J96" s="458">
        <v>3322</v>
      </c>
      <c r="K96" s="323">
        <v>203</v>
      </c>
      <c r="L96" s="414">
        <v>172</v>
      </c>
      <c r="M96" s="232">
        <f t="shared" si="155"/>
        <v>-15.3</v>
      </c>
      <c r="N96" s="323">
        <f t="shared" si="156"/>
        <v>261</v>
      </c>
      <c r="O96" s="414">
        <f t="shared" si="157"/>
        <v>393</v>
      </c>
      <c r="P96" s="242">
        <f t="shared" si="158"/>
        <v>50.6</v>
      </c>
      <c r="Q96" s="323">
        <v>464</v>
      </c>
      <c r="R96" s="414">
        <v>565</v>
      </c>
      <c r="S96" s="242">
        <f t="shared" si="159"/>
        <v>21.8</v>
      </c>
      <c r="T96" s="323">
        <f t="shared" si="160"/>
        <v>308</v>
      </c>
      <c r="U96" s="414">
        <f t="shared" si="161"/>
        <v>679</v>
      </c>
      <c r="V96" s="242">
        <f t="shared" si="162"/>
        <v>120.5</v>
      </c>
      <c r="W96" s="323">
        <v>772</v>
      </c>
      <c r="X96" s="414">
        <v>1244</v>
      </c>
      <c r="Y96" s="242">
        <f t="shared" si="163"/>
        <v>61.1</v>
      </c>
      <c r="Z96" s="323">
        <f t="shared" si="164"/>
        <v>105</v>
      </c>
      <c r="AA96" s="414">
        <f t="shared" si="165"/>
        <v>400</v>
      </c>
      <c r="AB96" s="242">
        <f t="shared" si="166"/>
        <v>281</v>
      </c>
      <c r="AC96" s="323">
        <v>877</v>
      </c>
      <c r="AD96" s="414">
        <v>1644</v>
      </c>
      <c r="AE96" s="242">
        <f t="shared" si="167"/>
        <v>87.5</v>
      </c>
      <c r="AF96" s="323">
        <f t="shared" si="168"/>
        <v>205</v>
      </c>
      <c r="AG96" s="414">
        <f t="shared" si="168"/>
        <v>405</v>
      </c>
      <c r="AH96" s="242">
        <f t="shared" si="169"/>
        <v>97.6</v>
      </c>
      <c r="AI96" s="323">
        <v>1082</v>
      </c>
      <c r="AJ96" s="414">
        <v>2049</v>
      </c>
      <c r="AK96" s="242">
        <f t="shared" si="170"/>
        <v>89.4</v>
      </c>
      <c r="AL96" s="323">
        <f t="shared" si="171"/>
        <v>556</v>
      </c>
      <c r="AM96" s="414">
        <f t="shared" si="172"/>
        <v>372</v>
      </c>
      <c r="AN96" s="242">
        <f t="shared" si="173"/>
        <v>-33.1</v>
      </c>
      <c r="AO96" s="551">
        <v>1638</v>
      </c>
      <c r="AP96" s="414">
        <v>2421</v>
      </c>
      <c r="AQ96" s="242">
        <f t="shared" si="174"/>
        <v>47.8</v>
      </c>
      <c r="AR96" s="551">
        <f t="shared" si="175"/>
        <v>125</v>
      </c>
      <c r="AS96" s="414">
        <f t="shared" si="175"/>
        <v>8</v>
      </c>
      <c r="AT96" s="753">
        <f t="shared" si="176"/>
        <v>-93.6</v>
      </c>
      <c r="AU96" s="951">
        <v>1763</v>
      </c>
      <c r="AV96" s="952">
        <v>2429</v>
      </c>
      <c r="AW96" s="753">
        <f t="shared" si="177"/>
        <v>37.799999999999997</v>
      </c>
      <c r="AX96" s="551">
        <f t="shared" si="178"/>
        <v>402</v>
      </c>
      <c r="AY96" s="414">
        <f t="shared" si="179"/>
        <v>1</v>
      </c>
      <c r="AZ96" s="753">
        <f t="shared" si="180"/>
        <v>-99.8</v>
      </c>
      <c r="BA96" s="551">
        <v>2165</v>
      </c>
      <c r="BB96" s="414">
        <v>2430</v>
      </c>
      <c r="BC96" s="753">
        <f t="shared" si="181"/>
        <v>12.2</v>
      </c>
      <c r="BD96" s="551">
        <f t="shared" si="182"/>
        <v>329</v>
      </c>
      <c r="BE96" s="414">
        <f t="shared" si="182"/>
        <v>301</v>
      </c>
      <c r="BF96" s="753">
        <f t="shared" si="183"/>
        <v>-8.5</v>
      </c>
      <c r="BG96" s="551">
        <v>2494</v>
      </c>
      <c r="BH96" s="414">
        <v>2731</v>
      </c>
      <c r="BI96" s="753">
        <f t="shared" si="184"/>
        <v>9.5</v>
      </c>
      <c r="BJ96" s="551">
        <f t="shared" si="185"/>
        <v>237</v>
      </c>
      <c r="BK96" s="414">
        <f t="shared" si="185"/>
        <v>2</v>
      </c>
      <c r="BL96" s="753">
        <f t="shared" si="186"/>
        <v>-99.2</v>
      </c>
      <c r="BM96" s="551">
        <v>2731</v>
      </c>
      <c r="BN96" s="414">
        <v>2733</v>
      </c>
      <c r="BO96" s="753">
        <f t="shared" si="187"/>
        <v>0.1</v>
      </c>
      <c r="BP96" s="551">
        <f t="shared" si="188"/>
        <v>380</v>
      </c>
      <c r="BQ96" s="414">
        <f t="shared" si="188"/>
        <v>9</v>
      </c>
      <c r="BR96" s="753">
        <f t="shared" si="189"/>
        <v>-97.6</v>
      </c>
      <c r="BS96" s="551">
        <v>3111</v>
      </c>
      <c r="BT96" s="414">
        <v>2742</v>
      </c>
      <c r="BU96" s="753">
        <f t="shared" si="190"/>
        <v>-11.9</v>
      </c>
    </row>
    <row r="97" spans="1:73">
      <c r="A97" s="4"/>
      <c r="B97" s="43" t="s">
        <v>58</v>
      </c>
      <c r="C97" s="188">
        <v>612</v>
      </c>
      <c r="D97" s="188">
        <v>1925</v>
      </c>
      <c r="E97" s="188">
        <v>1487</v>
      </c>
      <c r="F97" s="188">
        <v>980</v>
      </c>
      <c r="G97" s="188">
        <v>1534</v>
      </c>
      <c r="H97" s="188">
        <v>2523</v>
      </c>
      <c r="I97" s="323">
        <v>1937</v>
      </c>
      <c r="J97" s="458">
        <v>2066</v>
      </c>
      <c r="K97" s="323">
        <v>120</v>
      </c>
      <c r="L97" s="414">
        <v>273</v>
      </c>
      <c r="M97" s="232">
        <f t="shared" si="155"/>
        <v>127.5</v>
      </c>
      <c r="N97" s="323">
        <f t="shared" si="156"/>
        <v>126</v>
      </c>
      <c r="O97" s="414">
        <f t="shared" si="157"/>
        <v>274</v>
      </c>
      <c r="P97" s="242">
        <f t="shared" si="158"/>
        <v>117.5</v>
      </c>
      <c r="Q97" s="323">
        <v>246</v>
      </c>
      <c r="R97" s="414">
        <v>547</v>
      </c>
      <c r="S97" s="242">
        <f t="shared" si="159"/>
        <v>122.4</v>
      </c>
      <c r="T97" s="323">
        <f t="shared" si="160"/>
        <v>182</v>
      </c>
      <c r="U97" s="414">
        <f t="shared" si="161"/>
        <v>223</v>
      </c>
      <c r="V97" s="242">
        <f t="shared" si="162"/>
        <v>22.5</v>
      </c>
      <c r="W97" s="323">
        <v>428</v>
      </c>
      <c r="X97" s="414">
        <v>770</v>
      </c>
      <c r="Y97" s="242">
        <f t="shared" si="163"/>
        <v>79.900000000000006</v>
      </c>
      <c r="Z97" s="323">
        <f t="shared" si="164"/>
        <v>217</v>
      </c>
      <c r="AA97" s="414">
        <f t="shared" si="165"/>
        <v>318</v>
      </c>
      <c r="AB97" s="242">
        <f t="shared" si="166"/>
        <v>46.5</v>
      </c>
      <c r="AC97" s="323">
        <v>645</v>
      </c>
      <c r="AD97" s="414">
        <v>1088</v>
      </c>
      <c r="AE97" s="242">
        <f t="shared" si="167"/>
        <v>68.7</v>
      </c>
      <c r="AF97" s="323">
        <f t="shared" si="168"/>
        <v>113</v>
      </c>
      <c r="AG97" s="414">
        <f t="shared" si="168"/>
        <v>201</v>
      </c>
      <c r="AH97" s="242">
        <f t="shared" si="169"/>
        <v>77.900000000000006</v>
      </c>
      <c r="AI97" s="323">
        <v>758</v>
      </c>
      <c r="AJ97" s="414">
        <v>1289</v>
      </c>
      <c r="AK97" s="242">
        <f t="shared" si="170"/>
        <v>70.099999999999994</v>
      </c>
      <c r="AL97" s="323">
        <f t="shared" si="171"/>
        <v>244</v>
      </c>
      <c r="AM97" s="414">
        <f t="shared" si="172"/>
        <v>168</v>
      </c>
      <c r="AN97" s="242">
        <f t="shared" si="173"/>
        <v>-31.1</v>
      </c>
      <c r="AO97" s="551">
        <v>1002</v>
      </c>
      <c r="AP97" s="414">
        <v>1457</v>
      </c>
      <c r="AQ97" s="242">
        <f t="shared" si="174"/>
        <v>45.4</v>
      </c>
      <c r="AR97" s="551">
        <f t="shared" si="175"/>
        <v>220</v>
      </c>
      <c r="AS97" s="414">
        <f t="shared" si="175"/>
        <v>114</v>
      </c>
      <c r="AT97" s="753">
        <f t="shared" si="176"/>
        <v>-48.2</v>
      </c>
      <c r="AU97" s="951">
        <v>1222</v>
      </c>
      <c r="AV97" s="952">
        <v>1571</v>
      </c>
      <c r="AW97" s="753">
        <f t="shared" si="177"/>
        <v>28.6</v>
      </c>
      <c r="AX97" s="551">
        <f t="shared" si="178"/>
        <v>226</v>
      </c>
      <c r="AY97" s="414">
        <f t="shared" si="179"/>
        <v>160</v>
      </c>
      <c r="AZ97" s="753">
        <f t="shared" si="180"/>
        <v>-29.2</v>
      </c>
      <c r="BA97" s="551">
        <v>1448</v>
      </c>
      <c r="BB97" s="414">
        <v>1731</v>
      </c>
      <c r="BC97" s="753">
        <f t="shared" si="181"/>
        <v>19.5</v>
      </c>
      <c r="BD97" s="551">
        <f t="shared" si="182"/>
        <v>222</v>
      </c>
      <c r="BE97" s="414">
        <f t="shared" si="182"/>
        <v>128</v>
      </c>
      <c r="BF97" s="753">
        <f t="shared" si="183"/>
        <v>-42.3</v>
      </c>
      <c r="BG97" s="551">
        <v>1670</v>
      </c>
      <c r="BH97" s="414">
        <v>1859</v>
      </c>
      <c r="BI97" s="753">
        <f t="shared" si="184"/>
        <v>11.3</v>
      </c>
      <c r="BJ97" s="551">
        <f t="shared" si="185"/>
        <v>202</v>
      </c>
      <c r="BK97" s="414">
        <f t="shared" si="185"/>
        <v>127</v>
      </c>
      <c r="BL97" s="753">
        <f t="shared" si="186"/>
        <v>-37.1</v>
      </c>
      <c r="BM97" s="551">
        <v>1872</v>
      </c>
      <c r="BN97" s="414">
        <v>1986</v>
      </c>
      <c r="BO97" s="753">
        <f t="shared" si="187"/>
        <v>6.1</v>
      </c>
      <c r="BP97" s="551">
        <f t="shared" si="188"/>
        <v>154</v>
      </c>
      <c r="BQ97" s="414">
        <f t="shared" si="188"/>
        <v>100</v>
      </c>
      <c r="BR97" s="753">
        <f t="shared" si="189"/>
        <v>-35.1</v>
      </c>
      <c r="BS97" s="551">
        <v>2026</v>
      </c>
      <c r="BT97" s="414">
        <v>2086</v>
      </c>
      <c r="BU97" s="753">
        <f t="shared" si="190"/>
        <v>3</v>
      </c>
    </row>
    <row r="98" spans="1:73">
      <c r="A98" s="4"/>
      <c r="B98" s="43" t="s">
        <v>394</v>
      </c>
      <c r="C98" s="188">
        <v>1226</v>
      </c>
      <c r="D98" s="188">
        <v>806</v>
      </c>
      <c r="E98" s="188">
        <v>907</v>
      </c>
      <c r="F98" s="188">
        <v>229</v>
      </c>
      <c r="G98" s="188">
        <v>1529</v>
      </c>
      <c r="H98" s="188">
        <v>1442</v>
      </c>
      <c r="I98" s="323">
        <v>1804</v>
      </c>
      <c r="J98" s="458">
        <v>1202</v>
      </c>
      <c r="K98" s="323">
        <v>100</v>
      </c>
      <c r="L98" s="414">
        <v>40</v>
      </c>
      <c r="M98" s="232">
        <f t="shared" si="155"/>
        <v>-60</v>
      </c>
      <c r="N98" s="323">
        <f t="shared" si="156"/>
        <v>160</v>
      </c>
      <c r="O98" s="414">
        <f t="shared" si="157"/>
        <v>2</v>
      </c>
      <c r="P98" s="242">
        <f t="shared" si="158"/>
        <v>-98.8</v>
      </c>
      <c r="Q98" s="323">
        <v>260</v>
      </c>
      <c r="R98" s="414">
        <v>42</v>
      </c>
      <c r="S98" s="242">
        <f t="shared" si="159"/>
        <v>-83.8</v>
      </c>
      <c r="T98" s="323">
        <f t="shared" si="160"/>
        <v>100</v>
      </c>
      <c r="U98" s="414">
        <f t="shared" si="161"/>
        <v>100</v>
      </c>
      <c r="V98" s="242">
        <f t="shared" si="162"/>
        <v>0</v>
      </c>
      <c r="W98" s="323">
        <v>360</v>
      </c>
      <c r="X98" s="414">
        <v>142</v>
      </c>
      <c r="Y98" s="242">
        <f t="shared" si="163"/>
        <v>-60.6</v>
      </c>
      <c r="Z98" s="323">
        <f t="shared" si="164"/>
        <v>80</v>
      </c>
      <c r="AA98" s="414">
        <f t="shared" si="165"/>
        <v>102</v>
      </c>
      <c r="AB98" s="242">
        <f t="shared" si="166"/>
        <v>27.5</v>
      </c>
      <c r="AC98" s="323">
        <v>440</v>
      </c>
      <c r="AD98" s="414">
        <v>244</v>
      </c>
      <c r="AE98" s="242">
        <f t="shared" si="167"/>
        <v>-44.5</v>
      </c>
      <c r="AF98" s="323">
        <f t="shared" si="168"/>
        <v>101</v>
      </c>
      <c r="AG98" s="414">
        <f t="shared" si="168"/>
        <v>1</v>
      </c>
      <c r="AH98" s="242">
        <f t="shared" si="169"/>
        <v>-99</v>
      </c>
      <c r="AI98" s="323">
        <v>541</v>
      </c>
      <c r="AJ98" s="414">
        <v>245</v>
      </c>
      <c r="AK98" s="242">
        <f t="shared" si="170"/>
        <v>-54.7</v>
      </c>
      <c r="AL98" s="323">
        <f t="shared" si="171"/>
        <v>100</v>
      </c>
      <c r="AM98" s="414">
        <f t="shared" si="172"/>
        <v>101</v>
      </c>
      <c r="AN98" s="242">
        <f t="shared" si="173"/>
        <v>1</v>
      </c>
      <c r="AO98" s="551">
        <v>641</v>
      </c>
      <c r="AP98" s="414">
        <v>346</v>
      </c>
      <c r="AQ98" s="242">
        <f t="shared" si="174"/>
        <v>-46</v>
      </c>
      <c r="AR98" s="551">
        <f t="shared" si="175"/>
        <v>100</v>
      </c>
      <c r="AS98" s="414">
        <f t="shared" si="175"/>
        <v>99</v>
      </c>
      <c r="AT98" s="753">
        <f t="shared" si="176"/>
        <v>-1</v>
      </c>
      <c r="AU98" s="951">
        <v>741</v>
      </c>
      <c r="AV98" s="952">
        <v>445</v>
      </c>
      <c r="AW98" s="753">
        <f t="shared" si="177"/>
        <v>-39.9</v>
      </c>
      <c r="AX98" s="551">
        <f t="shared" si="178"/>
        <v>100</v>
      </c>
      <c r="AY98" s="414">
        <f t="shared" si="179"/>
        <v>1</v>
      </c>
      <c r="AZ98" s="753">
        <f t="shared" si="180"/>
        <v>-99</v>
      </c>
      <c r="BA98" s="551">
        <v>841</v>
      </c>
      <c r="BB98" s="414">
        <v>446</v>
      </c>
      <c r="BC98" s="753">
        <f t="shared" si="181"/>
        <v>-47</v>
      </c>
      <c r="BD98" s="551">
        <f t="shared" si="182"/>
        <v>60</v>
      </c>
      <c r="BE98" s="414">
        <f t="shared" si="182"/>
        <v>100</v>
      </c>
      <c r="BF98" s="753">
        <f t="shared" si="183"/>
        <v>66.7</v>
      </c>
      <c r="BG98" s="551">
        <v>901</v>
      </c>
      <c r="BH98" s="414">
        <v>546</v>
      </c>
      <c r="BI98" s="753">
        <f t="shared" si="184"/>
        <v>-39.4</v>
      </c>
      <c r="BJ98" s="551">
        <f t="shared" si="185"/>
        <v>141</v>
      </c>
      <c r="BK98" s="414">
        <f t="shared" si="185"/>
        <v>0</v>
      </c>
      <c r="BL98" s="753">
        <f t="shared" si="186"/>
        <v>-100</v>
      </c>
      <c r="BM98" s="551">
        <v>1042</v>
      </c>
      <c r="BN98" s="414">
        <v>546</v>
      </c>
      <c r="BO98" s="753">
        <f t="shared" si="187"/>
        <v>-47.6</v>
      </c>
      <c r="BP98" s="551">
        <f t="shared" si="188"/>
        <v>100</v>
      </c>
      <c r="BQ98" s="414">
        <f t="shared" si="188"/>
        <v>41</v>
      </c>
      <c r="BR98" s="753">
        <f t="shared" si="189"/>
        <v>-59</v>
      </c>
      <c r="BS98" s="551">
        <v>1142</v>
      </c>
      <c r="BT98" s="414">
        <v>587</v>
      </c>
      <c r="BU98" s="753">
        <f t="shared" si="190"/>
        <v>-48.6</v>
      </c>
    </row>
    <row r="99" spans="1:73">
      <c r="A99" s="4"/>
      <c r="B99" s="43" t="s">
        <v>401</v>
      </c>
      <c r="C99" s="188">
        <v>110</v>
      </c>
      <c r="D99" s="188">
        <v>884</v>
      </c>
      <c r="E99" s="188">
        <v>792</v>
      </c>
      <c r="F99" s="188">
        <v>72</v>
      </c>
      <c r="G99" s="188">
        <v>930</v>
      </c>
      <c r="H99" s="188">
        <v>378</v>
      </c>
      <c r="I99" s="323">
        <v>1155</v>
      </c>
      <c r="J99" s="458">
        <v>623</v>
      </c>
      <c r="K99" s="323">
        <v>0</v>
      </c>
      <c r="L99" s="414">
        <v>98</v>
      </c>
      <c r="M99" s="177">
        <v>0</v>
      </c>
      <c r="N99" s="323">
        <f t="shared" si="156"/>
        <v>162</v>
      </c>
      <c r="O99" s="414">
        <f t="shared" si="157"/>
        <v>78</v>
      </c>
      <c r="P99" s="242">
        <f>ROUND(((O99/N99-1)*100), 1)</f>
        <v>-51.9</v>
      </c>
      <c r="Q99" s="323">
        <v>162</v>
      </c>
      <c r="R99" s="414">
        <v>176</v>
      </c>
      <c r="S99" s="242">
        <f>ROUND(((R99/Q99-1)*100), 1)</f>
        <v>8.6</v>
      </c>
      <c r="T99" s="323">
        <f t="shared" si="160"/>
        <v>0</v>
      </c>
      <c r="U99" s="414">
        <f t="shared" si="161"/>
        <v>24</v>
      </c>
      <c r="V99" s="177">
        <v>0</v>
      </c>
      <c r="W99" s="323">
        <v>162</v>
      </c>
      <c r="X99" s="414">
        <v>200</v>
      </c>
      <c r="Y99" s="242">
        <f>ROUND(((X99/W99-1)*100), 1)</f>
        <v>23.5</v>
      </c>
      <c r="Z99" s="323">
        <f t="shared" si="164"/>
        <v>0</v>
      </c>
      <c r="AA99" s="414">
        <f t="shared" si="165"/>
        <v>19</v>
      </c>
      <c r="AB99" s="521">
        <v>0</v>
      </c>
      <c r="AC99" s="323">
        <v>162</v>
      </c>
      <c r="AD99" s="414">
        <v>219</v>
      </c>
      <c r="AE99" s="242">
        <f>ROUND(((AD99/AC99-1)*100), 1)</f>
        <v>35.200000000000003</v>
      </c>
      <c r="AF99" s="323">
        <f t="shared" si="168"/>
        <v>0</v>
      </c>
      <c r="AG99" s="414">
        <f t="shared" si="168"/>
        <v>0</v>
      </c>
      <c r="AH99" s="521">
        <v>0</v>
      </c>
      <c r="AI99" s="323">
        <v>162</v>
      </c>
      <c r="AJ99" s="414">
        <v>219</v>
      </c>
      <c r="AK99" s="242">
        <f>ROUND(((AJ99/AI99-1)*100), 1)</f>
        <v>35.200000000000003</v>
      </c>
      <c r="AL99" s="323">
        <f t="shared" si="171"/>
        <v>26</v>
      </c>
      <c r="AM99" s="414">
        <f t="shared" si="172"/>
        <v>0</v>
      </c>
      <c r="AN99" s="753">
        <f t="shared" si="173"/>
        <v>-100</v>
      </c>
      <c r="AO99" s="551">
        <v>188</v>
      </c>
      <c r="AP99" s="414">
        <v>219</v>
      </c>
      <c r="AQ99" s="242">
        <f>ROUND(((AP99/AO99-1)*100), 1)</f>
        <v>16.5</v>
      </c>
      <c r="AR99" s="551">
        <f t="shared" si="175"/>
        <v>39</v>
      </c>
      <c r="AS99" s="414">
        <f t="shared" si="175"/>
        <v>176</v>
      </c>
      <c r="AT99" s="753">
        <f t="shared" si="176"/>
        <v>351.3</v>
      </c>
      <c r="AU99" s="951">
        <v>227</v>
      </c>
      <c r="AV99" s="952">
        <v>395</v>
      </c>
      <c r="AW99" s="753">
        <f>ROUND(((AV99/AU99-1)*100), 1)</f>
        <v>74</v>
      </c>
      <c r="AX99" s="551">
        <f t="shared" si="178"/>
        <v>78</v>
      </c>
      <c r="AY99" s="414">
        <f t="shared" si="179"/>
        <v>0</v>
      </c>
      <c r="AZ99" s="753">
        <f t="shared" si="180"/>
        <v>-100</v>
      </c>
      <c r="BA99" s="551">
        <v>305</v>
      </c>
      <c r="BB99" s="414">
        <v>395</v>
      </c>
      <c r="BC99" s="753">
        <f t="shared" ref="BC99:BC104" si="191">ROUND(((BB99/BA99-1)*100), 1)</f>
        <v>29.5</v>
      </c>
      <c r="BD99" s="551">
        <f t="shared" si="182"/>
        <v>78</v>
      </c>
      <c r="BE99" s="414">
        <f t="shared" si="182"/>
        <v>66</v>
      </c>
      <c r="BF99" s="753">
        <f t="shared" si="183"/>
        <v>-15.4</v>
      </c>
      <c r="BG99" s="551">
        <v>383</v>
      </c>
      <c r="BH99" s="414">
        <v>461</v>
      </c>
      <c r="BI99" s="753">
        <f t="shared" si="184"/>
        <v>20.399999999999999</v>
      </c>
      <c r="BJ99" s="551">
        <f t="shared" si="185"/>
        <v>78</v>
      </c>
      <c r="BK99" s="414">
        <f t="shared" si="185"/>
        <v>66</v>
      </c>
      <c r="BL99" s="753">
        <f t="shared" si="186"/>
        <v>-15.4</v>
      </c>
      <c r="BM99" s="551">
        <v>461</v>
      </c>
      <c r="BN99" s="414">
        <v>527</v>
      </c>
      <c r="BO99" s="753">
        <f t="shared" si="187"/>
        <v>14.3</v>
      </c>
      <c r="BP99" s="551">
        <f t="shared" si="188"/>
        <v>84</v>
      </c>
      <c r="BQ99" s="414">
        <f t="shared" si="188"/>
        <v>66</v>
      </c>
      <c r="BR99" s="753">
        <f t="shared" si="189"/>
        <v>-21.4</v>
      </c>
      <c r="BS99" s="551">
        <v>545</v>
      </c>
      <c r="BT99" s="414">
        <v>593</v>
      </c>
      <c r="BU99" s="753">
        <f t="shared" si="190"/>
        <v>8.8000000000000007</v>
      </c>
    </row>
    <row r="100" spans="1:73">
      <c r="A100" s="4"/>
      <c r="B100" s="43" t="s">
        <v>384</v>
      </c>
      <c r="C100" s="188">
        <v>994</v>
      </c>
      <c r="D100" s="188">
        <v>1174</v>
      </c>
      <c r="E100" s="188">
        <v>1055</v>
      </c>
      <c r="F100" s="188">
        <v>769</v>
      </c>
      <c r="G100" s="188">
        <v>829</v>
      </c>
      <c r="H100" s="188">
        <v>581</v>
      </c>
      <c r="I100" s="323">
        <v>612</v>
      </c>
      <c r="J100" s="458">
        <v>548</v>
      </c>
      <c r="K100" s="323">
        <v>27</v>
      </c>
      <c r="L100" s="414">
        <v>59</v>
      </c>
      <c r="M100" s="232">
        <f>ROUND(((L100/K100-1)*100), 1)</f>
        <v>118.5</v>
      </c>
      <c r="N100" s="323">
        <f t="shared" si="156"/>
        <v>38</v>
      </c>
      <c r="O100" s="414">
        <f t="shared" si="157"/>
        <v>48</v>
      </c>
      <c r="P100" s="242">
        <f>ROUND(((O100/N100-1)*100), 1)</f>
        <v>26.3</v>
      </c>
      <c r="Q100" s="323">
        <v>65</v>
      </c>
      <c r="R100" s="414">
        <v>107</v>
      </c>
      <c r="S100" s="242">
        <f>ROUND(((R100/Q100-1)*100), 1)</f>
        <v>64.599999999999994</v>
      </c>
      <c r="T100" s="323">
        <f t="shared" si="160"/>
        <v>35</v>
      </c>
      <c r="U100" s="414">
        <f t="shared" si="161"/>
        <v>89</v>
      </c>
      <c r="V100" s="242">
        <f>ROUND(((U100/T100-1)*100), 1)</f>
        <v>154.30000000000001</v>
      </c>
      <c r="W100" s="323">
        <v>100</v>
      </c>
      <c r="X100" s="414">
        <v>196</v>
      </c>
      <c r="Y100" s="242">
        <f>ROUND(((X100/W100-1)*100), 1)</f>
        <v>96</v>
      </c>
      <c r="Z100" s="323">
        <f t="shared" si="164"/>
        <v>41</v>
      </c>
      <c r="AA100" s="414">
        <f t="shared" si="165"/>
        <v>98</v>
      </c>
      <c r="AB100" s="242">
        <f>ROUND(((AA100/Z100-1)*100), 1)</f>
        <v>139</v>
      </c>
      <c r="AC100" s="323">
        <v>141</v>
      </c>
      <c r="AD100" s="414">
        <v>294</v>
      </c>
      <c r="AE100" s="242">
        <f>ROUND(((AD100/AC100-1)*100), 1)</f>
        <v>108.5</v>
      </c>
      <c r="AF100" s="323">
        <f t="shared" si="168"/>
        <v>66</v>
      </c>
      <c r="AG100" s="414">
        <f t="shared" si="168"/>
        <v>23</v>
      </c>
      <c r="AH100" s="242">
        <f>ROUND(((AG100/AF100-1)*100), 1)</f>
        <v>-65.2</v>
      </c>
      <c r="AI100" s="323">
        <v>207</v>
      </c>
      <c r="AJ100" s="414">
        <v>317</v>
      </c>
      <c r="AK100" s="242">
        <f>ROUND(((AJ100/AI100-1)*100), 1)</f>
        <v>53.1</v>
      </c>
      <c r="AL100" s="323">
        <f t="shared" si="171"/>
        <v>70</v>
      </c>
      <c r="AM100" s="414">
        <f t="shared" si="172"/>
        <v>47</v>
      </c>
      <c r="AN100" s="242">
        <f>ROUND(((AM100/AL100-1)*100), 1)</f>
        <v>-32.9</v>
      </c>
      <c r="AO100" s="551">
        <v>277</v>
      </c>
      <c r="AP100" s="414">
        <v>364</v>
      </c>
      <c r="AQ100" s="242">
        <f>ROUND(((AP100/AO100-1)*100), 1)</f>
        <v>31.4</v>
      </c>
      <c r="AR100" s="551">
        <f t="shared" si="175"/>
        <v>41</v>
      </c>
      <c r="AS100" s="414">
        <f t="shared" si="175"/>
        <v>71</v>
      </c>
      <c r="AT100" s="753">
        <f>ROUND(((AS100/AR100-1)*100), 1)</f>
        <v>73.2</v>
      </c>
      <c r="AU100" s="951">
        <v>318</v>
      </c>
      <c r="AV100" s="952">
        <v>435</v>
      </c>
      <c r="AW100" s="753">
        <f>ROUND(((AV100/AU100-1)*100), 1)</f>
        <v>36.799999999999997</v>
      </c>
      <c r="AX100" s="551">
        <f t="shared" si="178"/>
        <v>25</v>
      </c>
      <c r="AY100" s="414">
        <f t="shared" si="179"/>
        <v>47</v>
      </c>
      <c r="AZ100" s="753">
        <f>ROUND(((AY100/AX100-1)*100), 1)</f>
        <v>88</v>
      </c>
      <c r="BA100" s="551">
        <v>343</v>
      </c>
      <c r="BB100" s="414">
        <v>482</v>
      </c>
      <c r="BC100" s="753">
        <f t="shared" si="191"/>
        <v>40.5</v>
      </c>
      <c r="BD100" s="551">
        <f t="shared" si="182"/>
        <v>57</v>
      </c>
      <c r="BE100" s="414">
        <f t="shared" si="182"/>
        <v>64</v>
      </c>
      <c r="BF100" s="753">
        <f>ROUND(((BE100/BD100-1)*100), 1)</f>
        <v>12.3</v>
      </c>
      <c r="BG100" s="551">
        <v>400</v>
      </c>
      <c r="BH100" s="414">
        <v>546</v>
      </c>
      <c r="BI100" s="753">
        <f t="shared" si="184"/>
        <v>36.5</v>
      </c>
      <c r="BJ100" s="551">
        <f t="shared" si="185"/>
        <v>56</v>
      </c>
      <c r="BK100" s="414">
        <f t="shared" si="185"/>
        <v>62</v>
      </c>
      <c r="BL100" s="753">
        <f>ROUND(((BK100/BJ100-1)*100), 1)</f>
        <v>10.7</v>
      </c>
      <c r="BM100" s="551">
        <v>456</v>
      </c>
      <c r="BN100" s="414">
        <v>608</v>
      </c>
      <c r="BO100" s="753">
        <f t="shared" si="187"/>
        <v>33.299999999999997</v>
      </c>
      <c r="BP100" s="551">
        <f t="shared" si="188"/>
        <v>43</v>
      </c>
      <c r="BQ100" s="414">
        <f t="shared" si="188"/>
        <v>44</v>
      </c>
      <c r="BR100" s="753">
        <f>ROUND(((BQ100/BP100-1)*100), 1)</f>
        <v>2.2999999999999998</v>
      </c>
      <c r="BS100" s="551">
        <v>499</v>
      </c>
      <c r="BT100" s="414">
        <v>652</v>
      </c>
      <c r="BU100" s="753">
        <f t="shared" si="190"/>
        <v>30.7</v>
      </c>
    </row>
    <row r="101" spans="1:73">
      <c r="A101" s="4"/>
      <c r="B101" s="43" t="s">
        <v>385</v>
      </c>
      <c r="C101" s="188">
        <v>1065</v>
      </c>
      <c r="D101" s="188">
        <v>607</v>
      </c>
      <c r="E101" s="188">
        <v>699</v>
      </c>
      <c r="F101" s="188">
        <v>556</v>
      </c>
      <c r="G101" s="188">
        <v>631</v>
      </c>
      <c r="H101" s="188">
        <v>659</v>
      </c>
      <c r="I101" s="362">
        <v>444</v>
      </c>
      <c r="J101" s="458">
        <v>440</v>
      </c>
      <c r="K101" s="323">
        <v>34</v>
      </c>
      <c r="L101" s="414">
        <v>41</v>
      </c>
      <c r="M101" s="232">
        <f>ROUND(((L101/K101-1)*100), 1)</f>
        <v>20.6</v>
      </c>
      <c r="N101" s="323">
        <f t="shared" si="156"/>
        <v>52</v>
      </c>
      <c r="O101" s="414">
        <f t="shared" si="157"/>
        <v>7</v>
      </c>
      <c r="P101" s="242">
        <f>ROUND(((O101/N101-1)*100), 1)</f>
        <v>-86.5</v>
      </c>
      <c r="Q101" s="323">
        <v>86</v>
      </c>
      <c r="R101" s="414">
        <v>48</v>
      </c>
      <c r="S101" s="242">
        <f>ROUND(((R101/Q101-1)*100), 1)</f>
        <v>-44.2</v>
      </c>
      <c r="T101" s="323">
        <f t="shared" si="160"/>
        <v>34</v>
      </c>
      <c r="U101" s="414">
        <f t="shared" si="161"/>
        <v>24</v>
      </c>
      <c r="V101" s="242">
        <f>ROUND(((U101/T101-1)*100), 1)</f>
        <v>-29.4</v>
      </c>
      <c r="W101" s="323">
        <v>120</v>
      </c>
      <c r="X101" s="414">
        <v>72</v>
      </c>
      <c r="Y101" s="242">
        <f>ROUND(((X101/W101-1)*100), 1)</f>
        <v>-40</v>
      </c>
      <c r="Z101" s="323">
        <f t="shared" si="164"/>
        <v>35</v>
      </c>
      <c r="AA101" s="414">
        <f t="shared" si="165"/>
        <v>21</v>
      </c>
      <c r="AB101" s="242">
        <f>ROUND(((AA101/Z101-1)*100), 1)</f>
        <v>-40</v>
      </c>
      <c r="AC101" s="323">
        <v>155</v>
      </c>
      <c r="AD101" s="414">
        <v>93</v>
      </c>
      <c r="AE101" s="242">
        <f>ROUND(((AD101/AC101-1)*100), 1)</f>
        <v>-40</v>
      </c>
      <c r="AF101" s="323">
        <f t="shared" si="168"/>
        <v>31</v>
      </c>
      <c r="AG101" s="414">
        <f t="shared" si="168"/>
        <v>15</v>
      </c>
      <c r="AH101" s="242">
        <f>ROUND(((AG101/AF101-1)*100), 1)</f>
        <v>-51.6</v>
      </c>
      <c r="AI101" s="323">
        <v>186</v>
      </c>
      <c r="AJ101" s="414">
        <v>108</v>
      </c>
      <c r="AK101" s="242">
        <f>ROUND(((AJ101/AI101-1)*100), 1)</f>
        <v>-41.9</v>
      </c>
      <c r="AL101" s="323">
        <f t="shared" si="171"/>
        <v>28</v>
      </c>
      <c r="AM101" s="414">
        <f t="shared" si="172"/>
        <v>2</v>
      </c>
      <c r="AN101" s="242">
        <f>ROUND(((AM101/AL101-1)*100), 1)</f>
        <v>-92.9</v>
      </c>
      <c r="AO101" s="551">
        <v>214</v>
      </c>
      <c r="AP101" s="414">
        <v>110</v>
      </c>
      <c r="AQ101" s="242">
        <f>ROUND(((AP101/AO101-1)*100), 1)</f>
        <v>-48.6</v>
      </c>
      <c r="AR101" s="551">
        <f t="shared" si="175"/>
        <v>28</v>
      </c>
      <c r="AS101" s="414">
        <f t="shared" si="175"/>
        <v>1</v>
      </c>
      <c r="AT101" s="753">
        <f>ROUND(((AS101/AR101-1)*100), 1)</f>
        <v>-96.4</v>
      </c>
      <c r="AU101" s="951">
        <v>242</v>
      </c>
      <c r="AV101" s="952">
        <v>111</v>
      </c>
      <c r="AW101" s="753">
        <f>ROUND(((AV101/AU101-1)*100), 1)</f>
        <v>-54.1</v>
      </c>
      <c r="AX101" s="551">
        <f t="shared" si="178"/>
        <v>39</v>
      </c>
      <c r="AY101" s="414">
        <f t="shared" si="179"/>
        <v>2</v>
      </c>
      <c r="AZ101" s="753">
        <f>ROUND(((AY101/AX101-1)*100), 1)</f>
        <v>-94.9</v>
      </c>
      <c r="BA101" s="551">
        <v>281</v>
      </c>
      <c r="BB101" s="414">
        <v>113</v>
      </c>
      <c r="BC101" s="753">
        <f t="shared" si="191"/>
        <v>-59.8</v>
      </c>
      <c r="BD101" s="551">
        <f t="shared" si="182"/>
        <v>21</v>
      </c>
      <c r="BE101" s="414">
        <f t="shared" si="182"/>
        <v>4</v>
      </c>
      <c r="BF101" s="753">
        <f>ROUND(((BE101/BD101-1)*100), 1)</f>
        <v>-81</v>
      </c>
      <c r="BG101" s="551">
        <v>302</v>
      </c>
      <c r="BH101" s="414">
        <v>117</v>
      </c>
      <c r="BI101" s="753">
        <f t="shared" si="184"/>
        <v>-61.3</v>
      </c>
      <c r="BJ101" s="551">
        <f t="shared" si="185"/>
        <v>48</v>
      </c>
      <c r="BK101" s="414">
        <f t="shared" si="185"/>
        <v>32</v>
      </c>
      <c r="BL101" s="753">
        <f>ROUND(((BK101/BJ101-1)*100), 1)</f>
        <v>-33.299999999999997</v>
      </c>
      <c r="BM101" s="551">
        <v>350</v>
      </c>
      <c r="BN101" s="414">
        <v>149</v>
      </c>
      <c r="BO101" s="753">
        <f t="shared" si="187"/>
        <v>-57.4</v>
      </c>
      <c r="BP101" s="551">
        <f t="shared" si="188"/>
        <v>49</v>
      </c>
      <c r="BQ101" s="414">
        <f t="shared" si="188"/>
        <v>16</v>
      </c>
      <c r="BR101" s="753">
        <f>ROUND(((BQ101/BP101-1)*100), 1)</f>
        <v>-67.3</v>
      </c>
      <c r="BS101" s="551">
        <v>399</v>
      </c>
      <c r="BT101" s="414">
        <v>165</v>
      </c>
      <c r="BU101" s="753">
        <f t="shared" si="190"/>
        <v>-58.6</v>
      </c>
    </row>
    <row r="102" spans="1:73">
      <c r="A102" s="4"/>
      <c r="B102" s="43" t="s">
        <v>56</v>
      </c>
      <c r="C102" s="188">
        <v>5818</v>
      </c>
      <c r="D102" s="188">
        <v>5287</v>
      </c>
      <c r="E102" s="188">
        <v>4288</v>
      </c>
      <c r="F102" s="188">
        <v>1662</v>
      </c>
      <c r="G102" s="188">
        <v>2304</v>
      </c>
      <c r="H102" s="188">
        <v>1416</v>
      </c>
      <c r="I102" s="362">
        <v>2833</v>
      </c>
      <c r="J102" s="458">
        <v>430</v>
      </c>
      <c r="K102" s="323">
        <v>6</v>
      </c>
      <c r="L102" s="414">
        <v>116</v>
      </c>
      <c r="M102" s="232">
        <f>ROUND(((L102/K102-1)*100), 1)</f>
        <v>1833.3</v>
      </c>
      <c r="N102" s="323">
        <f t="shared" si="156"/>
        <v>106</v>
      </c>
      <c r="O102" s="414">
        <f t="shared" si="157"/>
        <v>14</v>
      </c>
      <c r="P102" s="242">
        <f>ROUND(((O102/N102-1)*100), 1)</f>
        <v>-86.8</v>
      </c>
      <c r="Q102" s="323">
        <v>112</v>
      </c>
      <c r="R102" s="414">
        <v>130</v>
      </c>
      <c r="S102" s="242">
        <f>ROUND(((R102/Q102-1)*100), 1)</f>
        <v>16.100000000000001</v>
      </c>
      <c r="T102" s="323">
        <f t="shared" si="160"/>
        <v>70</v>
      </c>
      <c r="U102" s="414">
        <f t="shared" si="161"/>
        <v>115</v>
      </c>
      <c r="V102" s="242">
        <f>ROUND(((U102/T102-1)*100), 1)</f>
        <v>64.3</v>
      </c>
      <c r="W102" s="323">
        <v>182</v>
      </c>
      <c r="X102" s="414">
        <v>245</v>
      </c>
      <c r="Y102" s="242">
        <f>ROUND(((X102/W102-1)*100), 1)</f>
        <v>34.6</v>
      </c>
      <c r="Z102" s="323">
        <f t="shared" si="164"/>
        <v>113</v>
      </c>
      <c r="AA102" s="414">
        <f t="shared" si="165"/>
        <v>6</v>
      </c>
      <c r="AB102" s="242">
        <f>ROUND(((AA102/Z102-1)*100), 1)</f>
        <v>-94.7</v>
      </c>
      <c r="AC102" s="323">
        <v>295</v>
      </c>
      <c r="AD102" s="414">
        <v>251</v>
      </c>
      <c r="AE102" s="242">
        <f>ROUND(((AD102/AC102-1)*100), 1)</f>
        <v>-14.9</v>
      </c>
      <c r="AF102" s="323">
        <f t="shared" si="168"/>
        <v>7</v>
      </c>
      <c r="AG102" s="414">
        <f t="shared" si="168"/>
        <v>4</v>
      </c>
      <c r="AH102" s="242">
        <f>ROUND(((AG102/AF102-1)*100), 1)</f>
        <v>-42.9</v>
      </c>
      <c r="AI102" s="323">
        <v>302</v>
      </c>
      <c r="AJ102" s="414">
        <v>255</v>
      </c>
      <c r="AK102" s="242">
        <f>ROUND(((AJ102/AI102-1)*100), 1)</f>
        <v>-15.6</v>
      </c>
      <c r="AL102" s="323">
        <f t="shared" si="171"/>
        <v>12</v>
      </c>
      <c r="AM102" s="414">
        <f t="shared" si="172"/>
        <v>325</v>
      </c>
      <c r="AN102" s="242">
        <f>ROUND(((AM102/AL102-1)*100), 1)</f>
        <v>2608.3000000000002</v>
      </c>
      <c r="AO102" s="551">
        <v>314</v>
      </c>
      <c r="AP102" s="414">
        <v>580</v>
      </c>
      <c r="AQ102" s="242">
        <f>ROUND(((AP102/AO102-1)*100), 1)</f>
        <v>84.7</v>
      </c>
      <c r="AR102" s="551">
        <f t="shared" si="175"/>
        <v>12</v>
      </c>
      <c r="AS102" s="414">
        <f t="shared" si="175"/>
        <v>456</v>
      </c>
      <c r="AT102" s="753">
        <f>ROUND(((AS102/AR102-1)*100), 1)</f>
        <v>3700</v>
      </c>
      <c r="AU102" s="951">
        <v>326</v>
      </c>
      <c r="AV102" s="952">
        <v>1036</v>
      </c>
      <c r="AW102" s="753">
        <f>ROUND(((AV102/AU102-1)*100), 1)</f>
        <v>217.8</v>
      </c>
      <c r="AX102" s="551">
        <f t="shared" si="178"/>
        <v>10</v>
      </c>
      <c r="AY102" s="414">
        <f t="shared" si="179"/>
        <v>197</v>
      </c>
      <c r="AZ102" s="753">
        <f>ROUND(((AY102/AX102-1)*100), 1)</f>
        <v>1870</v>
      </c>
      <c r="BA102" s="551">
        <v>336</v>
      </c>
      <c r="BB102" s="414">
        <v>1233</v>
      </c>
      <c r="BC102" s="753">
        <f t="shared" si="191"/>
        <v>267</v>
      </c>
      <c r="BD102" s="551">
        <f t="shared" si="182"/>
        <v>7</v>
      </c>
      <c r="BE102" s="414">
        <f t="shared" si="182"/>
        <v>179</v>
      </c>
      <c r="BF102" s="753">
        <f>ROUND(((BE102/BD102-1)*100), 1)</f>
        <v>2457.1</v>
      </c>
      <c r="BG102" s="551">
        <v>343</v>
      </c>
      <c r="BH102" s="414">
        <v>1412</v>
      </c>
      <c r="BI102" s="753">
        <f t="shared" si="184"/>
        <v>311.7</v>
      </c>
      <c r="BJ102" s="551">
        <f t="shared" si="185"/>
        <v>8</v>
      </c>
      <c r="BK102" s="414">
        <f t="shared" si="185"/>
        <v>313</v>
      </c>
      <c r="BL102" s="753">
        <f>ROUND(((BK102/BJ102-1)*100), 1)</f>
        <v>3812.5</v>
      </c>
      <c r="BM102" s="551">
        <v>351</v>
      </c>
      <c r="BN102" s="414">
        <v>1725</v>
      </c>
      <c r="BO102" s="753">
        <f t="shared" si="187"/>
        <v>391.5</v>
      </c>
      <c r="BP102" s="551">
        <f t="shared" si="188"/>
        <v>10</v>
      </c>
      <c r="BQ102" s="414">
        <f t="shared" si="188"/>
        <v>13</v>
      </c>
      <c r="BR102" s="753">
        <f>ROUND(((BQ102/BP102-1)*100), 1)</f>
        <v>30</v>
      </c>
      <c r="BS102" s="551">
        <v>361</v>
      </c>
      <c r="BT102" s="414">
        <v>1738</v>
      </c>
      <c r="BU102" s="753">
        <f t="shared" si="190"/>
        <v>381.4</v>
      </c>
    </row>
    <row r="103" spans="1:73" s="173" customFormat="1">
      <c r="A103" s="325"/>
      <c r="B103" s="33" t="s">
        <v>462</v>
      </c>
      <c r="C103" s="326">
        <v>35</v>
      </c>
      <c r="D103" s="326">
        <v>30</v>
      </c>
      <c r="E103" s="326">
        <v>42</v>
      </c>
      <c r="F103" s="326">
        <v>45</v>
      </c>
      <c r="G103" s="326">
        <v>34</v>
      </c>
      <c r="H103" s="326">
        <v>38</v>
      </c>
      <c r="I103" s="377">
        <v>32</v>
      </c>
      <c r="J103" s="459">
        <v>357</v>
      </c>
      <c r="K103" s="337">
        <v>0</v>
      </c>
      <c r="L103" s="416">
        <v>0</v>
      </c>
      <c r="M103" s="177">
        <v>0</v>
      </c>
      <c r="N103" s="337">
        <f t="shared" si="156"/>
        <v>0</v>
      </c>
      <c r="O103" s="416">
        <f t="shared" si="157"/>
        <v>0</v>
      </c>
      <c r="P103" s="177">
        <v>0</v>
      </c>
      <c r="Q103" s="337">
        <v>0</v>
      </c>
      <c r="R103" s="416">
        <v>0</v>
      </c>
      <c r="S103" s="177">
        <v>0</v>
      </c>
      <c r="T103" s="337">
        <f t="shared" si="160"/>
        <v>0</v>
      </c>
      <c r="U103" s="416">
        <f t="shared" si="161"/>
        <v>0</v>
      </c>
      <c r="V103" s="177">
        <v>0</v>
      </c>
      <c r="W103" s="337">
        <v>0</v>
      </c>
      <c r="X103" s="416">
        <v>0</v>
      </c>
      <c r="Y103" s="177">
        <v>0</v>
      </c>
      <c r="Z103" s="337">
        <f t="shared" si="164"/>
        <v>357</v>
      </c>
      <c r="AA103" s="416">
        <f t="shared" si="165"/>
        <v>0</v>
      </c>
      <c r="AB103" s="242">
        <f>ROUND(((AA103/Z103-1)*100), 1)</f>
        <v>-100</v>
      </c>
      <c r="AC103" s="337">
        <v>357</v>
      </c>
      <c r="AD103" s="416">
        <v>0</v>
      </c>
      <c r="AE103" s="242">
        <f>ROUND(((AD103/AC103-1)*100), 1)</f>
        <v>-100</v>
      </c>
      <c r="AF103" s="337">
        <f t="shared" si="168"/>
        <v>0</v>
      </c>
      <c r="AG103" s="416">
        <f t="shared" si="168"/>
        <v>0</v>
      </c>
      <c r="AH103" s="521">
        <v>0</v>
      </c>
      <c r="AI103" s="337">
        <v>357</v>
      </c>
      <c r="AJ103" s="416">
        <v>0</v>
      </c>
      <c r="AK103" s="242">
        <f>ROUND(((AJ103/AI103-1)*100), 1)</f>
        <v>-100</v>
      </c>
      <c r="AL103" s="337">
        <f t="shared" si="171"/>
        <v>0</v>
      </c>
      <c r="AM103" s="416">
        <f t="shared" si="172"/>
        <v>0</v>
      </c>
      <c r="AN103" s="521">
        <v>0</v>
      </c>
      <c r="AO103" s="553">
        <v>357</v>
      </c>
      <c r="AP103" s="416">
        <v>0</v>
      </c>
      <c r="AQ103" s="242">
        <f>ROUND(((AP103/AO103-1)*100), 1)</f>
        <v>-100</v>
      </c>
      <c r="AR103" s="553">
        <f t="shared" si="175"/>
        <v>0</v>
      </c>
      <c r="AS103" s="416">
        <f t="shared" si="175"/>
        <v>0</v>
      </c>
      <c r="AT103" s="799">
        <v>0</v>
      </c>
      <c r="AU103" s="965">
        <v>357</v>
      </c>
      <c r="AV103" s="966">
        <v>0</v>
      </c>
      <c r="AW103" s="753">
        <f>ROUND(((AV103/AU103-1)*100), 1)</f>
        <v>-100</v>
      </c>
      <c r="AX103" s="553">
        <f t="shared" si="178"/>
        <v>0</v>
      </c>
      <c r="AY103" s="416">
        <f t="shared" si="179"/>
        <v>0</v>
      </c>
      <c r="AZ103" s="799">
        <v>0</v>
      </c>
      <c r="BA103" s="553">
        <v>357</v>
      </c>
      <c r="BB103" s="416">
        <v>0</v>
      </c>
      <c r="BC103" s="753">
        <f t="shared" si="191"/>
        <v>-100</v>
      </c>
      <c r="BD103" s="553">
        <f t="shared" si="182"/>
        <v>0</v>
      </c>
      <c r="BE103" s="416">
        <f t="shared" si="182"/>
        <v>0</v>
      </c>
      <c r="BF103" s="799">
        <v>0</v>
      </c>
      <c r="BG103" s="553">
        <v>357</v>
      </c>
      <c r="BH103" s="416">
        <v>0</v>
      </c>
      <c r="BI103" s="753">
        <f t="shared" si="184"/>
        <v>-100</v>
      </c>
      <c r="BJ103" s="553">
        <f t="shared" si="185"/>
        <v>0</v>
      </c>
      <c r="BK103" s="416">
        <f t="shared" si="185"/>
        <v>0</v>
      </c>
      <c r="BL103" s="799">
        <v>0</v>
      </c>
      <c r="BM103" s="553">
        <v>357</v>
      </c>
      <c r="BN103" s="416">
        <v>0</v>
      </c>
      <c r="BO103" s="753">
        <f t="shared" si="187"/>
        <v>-100</v>
      </c>
      <c r="BP103" s="553">
        <f t="shared" si="188"/>
        <v>0</v>
      </c>
      <c r="BQ103" s="416">
        <f t="shared" si="188"/>
        <v>0</v>
      </c>
      <c r="BR103" s="799">
        <v>0</v>
      </c>
      <c r="BS103" s="553">
        <v>357</v>
      </c>
      <c r="BT103" s="416">
        <v>0</v>
      </c>
      <c r="BU103" s="753">
        <f t="shared" si="190"/>
        <v>-100</v>
      </c>
    </row>
    <row r="104" spans="1:73" s="173" customFormat="1">
      <c r="A104" s="325"/>
      <c r="B104" s="33" t="s">
        <v>463</v>
      </c>
      <c r="C104" s="326">
        <v>13</v>
      </c>
      <c r="D104" s="326">
        <v>31</v>
      </c>
      <c r="E104" s="326">
        <v>79</v>
      </c>
      <c r="F104" s="326">
        <v>1764</v>
      </c>
      <c r="G104" s="326">
        <v>19</v>
      </c>
      <c r="H104" s="326">
        <v>64</v>
      </c>
      <c r="I104" s="377">
        <v>271</v>
      </c>
      <c r="J104" s="459">
        <v>235</v>
      </c>
      <c r="K104" s="337">
        <v>0</v>
      </c>
      <c r="L104" s="416">
        <v>64</v>
      </c>
      <c r="M104" s="177">
        <v>0</v>
      </c>
      <c r="N104" s="337">
        <f t="shared" si="156"/>
        <v>0</v>
      </c>
      <c r="O104" s="416">
        <f t="shared" si="157"/>
        <v>64</v>
      </c>
      <c r="P104" s="177">
        <v>0</v>
      </c>
      <c r="Q104" s="337">
        <v>0</v>
      </c>
      <c r="R104" s="416">
        <v>128</v>
      </c>
      <c r="S104" s="177">
        <v>0</v>
      </c>
      <c r="T104" s="337">
        <f t="shared" si="160"/>
        <v>0</v>
      </c>
      <c r="U104" s="416">
        <f t="shared" si="161"/>
        <v>0</v>
      </c>
      <c r="V104" s="177">
        <v>0</v>
      </c>
      <c r="W104" s="337">
        <v>0</v>
      </c>
      <c r="X104" s="416">
        <v>128</v>
      </c>
      <c r="Y104" s="177">
        <v>0</v>
      </c>
      <c r="Z104" s="337">
        <f t="shared" si="164"/>
        <v>0</v>
      </c>
      <c r="AA104" s="416">
        <f t="shared" si="165"/>
        <v>43</v>
      </c>
      <c r="AB104" s="521">
        <v>0</v>
      </c>
      <c r="AC104" s="337">
        <v>0</v>
      </c>
      <c r="AD104" s="416">
        <v>171</v>
      </c>
      <c r="AE104" s="521">
        <v>0</v>
      </c>
      <c r="AF104" s="337">
        <f t="shared" si="168"/>
        <v>0</v>
      </c>
      <c r="AG104" s="416">
        <f t="shared" si="168"/>
        <v>0</v>
      </c>
      <c r="AH104" s="521">
        <v>0</v>
      </c>
      <c r="AI104" s="337">
        <v>0</v>
      </c>
      <c r="AJ104" s="416">
        <v>171</v>
      </c>
      <c r="AK104" s="521">
        <v>0</v>
      </c>
      <c r="AL104" s="337">
        <f t="shared" si="171"/>
        <v>0</v>
      </c>
      <c r="AM104" s="416">
        <f t="shared" si="172"/>
        <v>213</v>
      </c>
      <c r="AN104" s="521">
        <v>0</v>
      </c>
      <c r="AO104" s="553">
        <v>0</v>
      </c>
      <c r="AP104" s="416">
        <v>384</v>
      </c>
      <c r="AQ104" s="521">
        <v>0</v>
      </c>
      <c r="AR104" s="553">
        <f t="shared" si="175"/>
        <v>0</v>
      </c>
      <c r="AS104" s="416">
        <f t="shared" si="175"/>
        <v>0</v>
      </c>
      <c r="AT104" s="799">
        <v>0</v>
      </c>
      <c r="AU104" s="965">
        <v>0</v>
      </c>
      <c r="AV104" s="966">
        <v>384</v>
      </c>
      <c r="AW104" s="799">
        <v>0</v>
      </c>
      <c r="AX104" s="553">
        <f t="shared" si="178"/>
        <v>1</v>
      </c>
      <c r="AY104" s="416">
        <f t="shared" si="179"/>
        <v>0</v>
      </c>
      <c r="AZ104" s="753">
        <f>ROUND(((AY104/AX104-1)*100), 1)</f>
        <v>-100</v>
      </c>
      <c r="BA104" s="553">
        <v>1</v>
      </c>
      <c r="BB104" s="416">
        <v>384</v>
      </c>
      <c r="BC104" s="753">
        <f t="shared" si="191"/>
        <v>38300</v>
      </c>
      <c r="BD104" s="553">
        <f t="shared" si="182"/>
        <v>0</v>
      </c>
      <c r="BE104" s="416">
        <f t="shared" si="182"/>
        <v>86</v>
      </c>
      <c r="BF104" s="799">
        <v>0</v>
      </c>
      <c r="BG104" s="553">
        <v>1</v>
      </c>
      <c r="BH104" s="416">
        <v>470</v>
      </c>
      <c r="BI104" s="753">
        <f t="shared" si="184"/>
        <v>46900</v>
      </c>
      <c r="BJ104" s="553">
        <f t="shared" si="185"/>
        <v>170</v>
      </c>
      <c r="BK104" s="416">
        <f t="shared" si="185"/>
        <v>0</v>
      </c>
      <c r="BL104" s="753">
        <f>ROUND(((BK104/BJ104-1)*100), 1)</f>
        <v>-100</v>
      </c>
      <c r="BM104" s="553">
        <v>171</v>
      </c>
      <c r="BN104" s="416">
        <v>470</v>
      </c>
      <c r="BO104" s="753">
        <f t="shared" si="187"/>
        <v>174.9</v>
      </c>
      <c r="BP104" s="553">
        <f t="shared" si="188"/>
        <v>0</v>
      </c>
      <c r="BQ104" s="416">
        <f t="shared" si="188"/>
        <v>0</v>
      </c>
      <c r="BR104" s="799">
        <v>0</v>
      </c>
      <c r="BS104" s="553">
        <v>171</v>
      </c>
      <c r="BT104" s="416">
        <v>470</v>
      </c>
      <c r="BU104" s="753">
        <f t="shared" si="190"/>
        <v>174.9</v>
      </c>
    </row>
    <row r="105" spans="1:73">
      <c r="A105" s="4"/>
      <c r="B105" s="43" t="s">
        <v>389</v>
      </c>
      <c r="C105" s="188">
        <v>383</v>
      </c>
      <c r="D105" s="188">
        <v>265</v>
      </c>
      <c r="E105" s="188">
        <v>307</v>
      </c>
      <c r="F105" s="188">
        <v>146</v>
      </c>
      <c r="G105" s="188">
        <v>122</v>
      </c>
      <c r="H105" s="188">
        <v>129</v>
      </c>
      <c r="I105" s="362">
        <v>111</v>
      </c>
      <c r="J105" s="458">
        <v>95</v>
      </c>
      <c r="K105" s="323">
        <v>12</v>
      </c>
      <c r="L105" s="414">
        <v>4</v>
      </c>
      <c r="M105" s="232">
        <f>ROUND(((L105/K105-1)*100), 1)</f>
        <v>-66.7</v>
      </c>
      <c r="N105" s="323">
        <f t="shared" si="156"/>
        <v>9</v>
      </c>
      <c r="O105" s="414">
        <f t="shared" si="157"/>
        <v>9</v>
      </c>
      <c r="P105" s="242">
        <f>ROUND(((O105/N105-1)*100), 1)</f>
        <v>0</v>
      </c>
      <c r="Q105" s="323">
        <v>21</v>
      </c>
      <c r="R105" s="414">
        <v>13</v>
      </c>
      <c r="S105" s="242">
        <f>ROUND(((R105/Q105-1)*100), 1)</f>
        <v>-38.1</v>
      </c>
      <c r="T105" s="323">
        <f t="shared" si="160"/>
        <v>11</v>
      </c>
      <c r="U105" s="414">
        <f t="shared" si="161"/>
        <v>14</v>
      </c>
      <c r="V105" s="242">
        <f>ROUND(((U105/T105-1)*100), 1)</f>
        <v>27.3</v>
      </c>
      <c r="W105" s="323">
        <v>32</v>
      </c>
      <c r="X105" s="414">
        <v>27</v>
      </c>
      <c r="Y105" s="242">
        <f>ROUND(((X105/W105-1)*100), 1)</f>
        <v>-15.6</v>
      </c>
      <c r="Z105" s="323">
        <f t="shared" si="164"/>
        <v>11</v>
      </c>
      <c r="AA105" s="414">
        <f t="shared" si="165"/>
        <v>11</v>
      </c>
      <c r="AB105" s="242">
        <f t="shared" ref="AB105:AB111" si="192">ROUND(((AA105/Z105-1)*100), 1)</f>
        <v>0</v>
      </c>
      <c r="AC105" s="323">
        <v>43</v>
      </c>
      <c r="AD105" s="414">
        <v>38</v>
      </c>
      <c r="AE105" s="242">
        <f t="shared" ref="AE105:AE111" si="193">ROUND(((AD105/AC105-1)*100), 1)</f>
        <v>-11.6</v>
      </c>
      <c r="AF105" s="323">
        <f t="shared" si="168"/>
        <v>5</v>
      </c>
      <c r="AG105" s="414">
        <f t="shared" si="168"/>
        <v>17</v>
      </c>
      <c r="AH105" s="242">
        <f t="shared" ref="AH105:AH109" si="194">ROUND(((AG105/AF105-1)*100), 1)</f>
        <v>240</v>
      </c>
      <c r="AI105" s="323">
        <v>48</v>
      </c>
      <c r="AJ105" s="414">
        <v>55</v>
      </c>
      <c r="AK105" s="242">
        <f t="shared" ref="AK105:AK111" si="195">ROUND(((AJ105/AI105-1)*100), 1)</f>
        <v>14.6</v>
      </c>
      <c r="AL105" s="323">
        <f t="shared" si="171"/>
        <v>5</v>
      </c>
      <c r="AM105" s="414">
        <f t="shared" si="172"/>
        <v>4</v>
      </c>
      <c r="AN105" s="242">
        <f t="shared" ref="AN105:AN108" si="196">ROUND(((AM105/AL105-1)*100), 1)</f>
        <v>-20</v>
      </c>
      <c r="AO105" s="551">
        <v>53</v>
      </c>
      <c r="AP105" s="414">
        <v>59</v>
      </c>
      <c r="AQ105" s="242">
        <f t="shared" ref="AQ105:AQ111" si="197">ROUND(((AP105/AO105-1)*100), 1)</f>
        <v>11.3</v>
      </c>
      <c r="AR105" s="551">
        <f t="shared" si="175"/>
        <v>18</v>
      </c>
      <c r="AS105" s="414">
        <f t="shared" si="175"/>
        <v>5</v>
      </c>
      <c r="AT105" s="753">
        <f>ROUND(((AS105/AR105-1)*100), 1)</f>
        <v>-72.2</v>
      </c>
      <c r="AU105" s="951">
        <v>71</v>
      </c>
      <c r="AV105" s="952">
        <v>64</v>
      </c>
      <c r="AW105" s="753">
        <f t="shared" ref="AW105:AW111" si="198">ROUND(((AV105/AU105-1)*100), 1)</f>
        <v>-9.9</v>
      </c>
      <c r="AX105" s="551">
        <f t="shared" si="178"/>
        <v>3</v>
      </c>
      <c r="AY105" s="414">
        <f t="shared" si="179"/>
        <v>3</v>
      </c>
      <c r="AZ105" s="753">
        <f>ROUND(((AY105/AX105-1)*100), 1)</f>
        <v>0</v>
      </c>
      <c r="BA105" s="551">
        <v>74</v>
      </c>
      <c r="BB105" s="414">
        <v>67</v>
      </c>
      <c r="BC105" s="753">
        <f t="shared" ref="BC105:BC111" si="199">ROUND(((BB105/BA105-1)*100), 1)</f>
        <v>-9.5</v>
      </c>
      <c r="BD105" s="551">
        <f t="shared" si="182"/>
        <v>3</v>
      </c>
      <c r="BE105" s="414">
        <f t="shared" si="182"/>
        <v>10</v>
      </c>
      <c r="BF105" s="753">
        <f>ROUND(((BE105/BD105-1)*100), 1)</f>
        <v>233.3</v>
      </c>
      <c r="BG105" s="551">
        <v>77</v>
      </c>
      <c r="BH105" s="414">
        <v>77</v>
      </c>
      <c r="BI105" s="753">
        <f t="shared" si="184"/>
        <v>0</v>
      </c>
      <c r="BJ105" s="551">
        <f t="shared" si="185"/>
        <v>8</v>
      </c>
      <c r="BK105" s="414">
        <f t="shared" si="185"/>
        <v>2</v>
      </c>
      <c r="BL105" s="753">
        <f>ROUND(((BK105/BJ105-1)*100), 1)</f>
        <v>-75</v>
      </c>
      <c r="BM105" s="551">
        <v>85</v>
      </c>
      <c r="BN105" s="414">
        <v>79</v>
      </c>
      <c r="BO105" s="753">
        <f t="shared" si="187"/>
        <v>-7.1</v>
      </c>
      <c r="BP105" s="551">
        <f t="shared" si="188"/>
        <v>7</v>
      </c>
      <c r="BQ105" s="414">
        <f t="shared" si="188"/>
        <v>9</v>
      </c>
      <c r="BR105" s="753">
        <f>ROUND(((BQ105/BP105-1)*100), 1)</f>
        <v>28.6</v>
      </c>
      <c r="BS105" s="551">
        <v>92</v>
      </c>
      <c r="BT105" s="414">
        <v>88</v>
      </c>
      <c r="BU105" s="753">
        <f t="shared" si="190"/>
        <v>-4.3</v>
      </c>
    </row>
    <row r="106" spans="1:73">
      <c r="A106" s="4"/>
      <c r="B106" s="43" t="s">
        <v>395</v>
      </c>
      <c r="C106" s="188">
        <v>214</v>
      </c>
      <c r="D106" s="188">
        <v>1895</v>
      </c>
      <c r="E106" s="188">
        <v>595</v>
      </c>
      <c r="F106" s="188">
        <v>137</v>
      </c>
      <c r="G106" s="188">
        <v>69</v>
      </c>
      <c r="H106" s="188">
        <v>77</v>
      </c>
      <c r="I106" s="362">
        <v>67</v>
      </c>
      <c r="J106" s="458">
        <v>74</v>
      </c>
      <c r="K106" s="323">
        <v>3</v>
      </c>
      <c r="L106" s="414">
        <v>7</v>
      </c>
      <c r="M106" s="232">
        <f>ROUND(((L106/K106-1)*100), 1)</f>
        <v>133.30000000000001</v>
      </c>
      <c r="N106" s="323">
        <f t="shared" si="156"/>
        <v>5</v>
      </c>
      <c r="O106" s="414">
        <f t="shared" si="157"/>
        <v>0</v>
      </c>
      <c r="P106" s="242">
        <f>ROUND(((O106/N106-1)*100), 1)</f>
        <v>-100</v>
      </c>
      <c r="Q106" s="323">
        <v>8</v>
      </c>
      <c r="R106" s="414">
        <v>7</v>
      </c>
      <c r="S106" s="242">
        <f>ROUND(((R106/Q106-1)*100), 1)</f>
        <v>-12.5</v>
      </c>
      <c r="T106" s="323">
        <f t="shared" si="160"/>
        <v>7</v>
      </c>
      <c r="U106" s="414">
        <f t="shared" si="161"/>
        <v>13</v>
      </c>
      <c r="V106" s="242">
        <f>ROUND(((U106/T106-1)*100), 1)</f>
        <v>85.7</v>
      </c>
      <c r="W106" s="323">
        <v>15</v>
      </c>
      <c r="X106" s="414">
        <v>20</v>
      </c>
      <c r="Y106" s="242">
        <f>ROUND(((X106/W106-1)*100), 1)</f>
        <v>33.299999999999997</v>
      </c>
      <c r="Z106" s="323">
        <f t="shared" si="164"/>
        <v>10</v>
      </c>
      <c r="AA106" s="414">
        <f t="shared" si="165"/>
        <v>7</v>
      </c>
      <c r="AB106" s="242">
        <f t="shared" si="192"/>
        <v>-30</v>
      </c>
      <c r="AC106" s="323">
        <v>25</v>
      </c>
      <c r="AD106" s="414">
        <v>27</v>
      </c>
      <c r="AE106" s="242">
        <f t="shared" si="193"/>
        <v>8</v>
      </c>
      <c r="AF106" s="323">
        <f t="shared" si="168"/>
        <v>8</v>
      </c>
      <c r="AG106" s="414">
        <f t="shared" si="168"/>
        <v>10</v>
      </c>
      <c r="AH106" s="242">
        <f t="shared" si="194"/>
        <v>25</v>
      </c>
      <c r="AI106" s="323">
        <v>33</v>
      </c>
      <c r="AJ106" s="414">
        <v>37</v>
      </c>
      <c r="AK106" s="242">
        <f t="shared" si="195"/>
        <v>12.1</v>
      </c>
      <c r="AL106" s="323">
        <f t="shared" si="171"/>
        <v>3</v>
      </c>
      <c r="AM106" s="414">
        <f t="shared" si="172"/>
        <v>1</v>
      </c>
      <c r="AN106" s="242">
        <f t="shared" si="196"/>
        <v>-66.7</v>
      </c>
      <c r="AO106" s="551">
        <v>36</v>
      </c>
      <c r="AP106" s="414">
        <v>38</v>
      </c>
      <c r="AQ106" s="242">
        <f t="shared" si="197"/>
        <v>5.6</v>
      </c>
      <c r="AR106" s="551">
        <f t="shared" si="175"/>
        <v>6</v>
      </c>
      <c r="AS106" s="414">
        <f t="shared" si="175"/>
        <v>2</v>
      </c>
      <c r="AT106" s="753">
        <f>ROUND(((AS106/AR106-1)*100), 1)</f>
        <v>-66.7</v>
      </c>
      <c r="AU106" s="951">
        <v>42</v>
      </c>
      <c r="AV106" s="952">
        <v>40</v>
      </c>
      <c r="AW106" s="753">
        <f t="shared" si="198"/>
        <v>-4.8</v>
      </c>
      <c r="AX106" s="551">
        <f t="shared" si="178"/>
        <v>6</v>
      </c>
      <c r="AY106" s="414">
        <f t="shared" si="179"/>
        <v>6</v>
      </c>
      <c r="AZ106" s="753">
        <f>ROUND(((AY106/AX106-1)*100), 1)</f>
        <v>0</v>
      </c>
      <c r="BA106" s="551">
        <v>48</v>
      </c>
      <c r="BB106" s="414">
        <v>46</v>
      </c>
      <c r="BC106" s="753">
        <f t="shared" si="199"/>
        <v>-4.2</v>
      </c>
      <c r="BD106" s="551">
        <f t="shared" si="182"/>
        <v>9</v>
      </c>
      <c r="BE106" s="414">
        <f t="shared" si="182"/>
        <v>5</v>
      </c>
      <c r="BF106" s="753">
        <f>ROUND(((BE106/BD106-1)*100), 1)</f>
        <v>-44.4</v>
      </c>
      <c r="BG106" s="551">
        <v>57</v>
      </c>
      <c r="BH106" s="414">
        <v>51</v>
      </c>
      <c r="BI106" s="753">
        <f t="shared" si="184"/>
        <v>-10.5</v>
      </c>
      <c r="BJ106" s="551">
        <f t="shared" si="185"/>
        <v>8</v>
      </c>
      <c r="BK106" s="414">
        <f t="shared" si="185"/>
        <v>5</v>
      </c>
      <c r="BL106" s="753">
        <f>ROUND(((BK106/BJ106-1)*100), 1)</f>
        <v>-37.5</v>
      </c>
      <c r="BM106" s="551">
        <v>65</v>
      </c>
      <c r="BN106" s="414">
        <v>56</v>
      </c>
      <c r="BO106" s="753">
        <f t="shared" si="187"/>
        <v>-13.8</v>
      </c>
      <c r="BP106" s="551">
        <f t="shared" si="188"/>
        <v>5</v>
      </c>
      <c r="BQ106" s="414">
        <f t="shared" si="188"/>
        <v>6</v>
      </c>
      <c r="BR106" s="753">
        <f>ROUND(((BQ106/BP106-1)*100), 1)</f>
        <v>20</v>
      </c>
      <c r="BS106" s="551">
        <v>70</v>
      </c>
      <c r="BT106" s="414">
        <v>62</v>
      </c>
      <c r="BU106" s="753">
        <f t="shared" si="190"/>
        <v>-11.4</v>
      </c>
    </row>
    <row r="107" spans="1:73">
      <c r="A107" s="4"/>
      <c r="B107" s="43" t="s">
        <v>402</v>
      </c>
      <c r="C107" s="188">
        <v>176</v>
      </c>
      <c r="D107" s="188">
        <v>1755</v>
      </c>
      <c r="E107" s="188">
        <v>5292</v>
      </c>
      <c r="F107" s="188">
        <v>2928</v>
      </c>
      <c r="G107" s="188">
        <v>1173</v>
      </c>
      <c r="H107" s="188">
        <v>55</v>
      </c>
      <c r="I107" s="362">
        <v>100</v>
      </c>
      <c r="J107" s="458">
        <v>70</v>
      </c>
      <c r="K107" s="323">
        <v>8</v>
      </c>
      <c r="L107" s="414">
        <v>8</v>
      </c>
      <c r="M107" s="242">
        <f>ROUND(((L107/K107-1)*100), 1)</f>
        <v>0</v>
      </c>
      <c r="N107" s="323">
        <f t="shared" si="156"/>
        <v>1</v>
      </c>
      <c r="O107" s="414">
        <f t="shared" si="157"/>
        <v>146</v>
      </c>
      <c r="P107" s="242">
        <f>ROUND(((O107/N107-1)*100), 1)</f>
        <v>14500</v>
      </c>
      <c r="Q107" s="323">
        <v>9</v>
      </c>
      <c r="R107" s="414">
        <v>154</v>
      </c>
      <c r="S107" s="242">
        <f>ROUND(((R107/Q107-1)*100), 1)</f>
        <v>1611.1</v>
      </c>
      <c r="T107" s="323">
        <f t="shared" si="160"/>
        <v>22</v>
      </c>
      <c r="U107" s="414">
        <f t="shared" si="161"/>
        <v>121</v>
      </c>
      <c r="V107" s="242">
        <f>ROUND(((U107/T107-1)*100), 1)</f>
        <v>450</v>
      </c>
      <c r="W107" s="323">
        <v>31</v>
      </c>
      <c r="X107" s="414">
        <v>275</v>
      </c>
      <c r="Y107" s="242">
        <f>ROUND(((X107/W107-1)*100), 1)</f>
        <v>787.1</v>
      </c>
      <c r="Z107" s="323">
        <f t="shared" si="164"/>
        <v>0</v>
      </c>
      <c r="AA107" s="414">
        <f t="shared" si="165"/>
        <v>143</v>
      </c>
      <c r="AB107" s="521">
        <v>0</v>
      </c>
      <c r="AC107" s="323">
        <v>31</v>
      </c>
      <c r="AD107" s="414">
        <v>418</v>
      </c>
      <c r="AE107" s="242">
        <f t="shared" si="193"/>
        <v>1248.4000000000001</v>
      </c>
      <c r="AF107" s="323">
        <f t="shared" si="168"/>
        <v>8</v>
      </c>
      <c r="AG107" s="414">
        <f t="shared" si="168"/>
        <v>197</v>
      </c>
      <c r="AH107" s="242">
        <f t="shared" si="194"/>
        <v>2362.5</v>
      </c>
      <c r="AI107" s="323">
        <v>39</v>
      </c>
      <c r="AJ107" s="414">
        <v>615</v>
      </c>
      <c r="AK107" s="242">
        <f t="shared" si="195"/>
        <v>1476.9</v>
      </c>
      <c r="AL107" s="323">
        <f t="shared" si="171"/>
        <v>0</v>
      </c>
      <c r="AM107" s="414">
        <f t="shared" si="172"/>
        <v>220</v>
      </c>
      <c r="AN107" s="799">
        <v>0</v>
      </c>
      <c r="AO107" s="551">
        <v>39</v>
      </c>
      <c r="AP107" s="414">
        <v>835</v>
      </c>
      <c r="AQ107" s="242">
        <f t="shared" si="197"/>
        <v>2041</v>
      </c>
      <c r="AR107" s="551">
        <f t="shared" si="175"/>
        <v>15</v>
      </c>
      <c r="AS107" s="414">
        <f t="shared" si="175"/>
        <v>110</v>
      </c>
      <c r="AT107" s="753">
        <f t="shared" ref="AT107" si="200">ROUND(((AS107/AR107-1)*100), 1)</f>
        <v>633.29999999999995</v>
      </c>
      <c r="AU107" s="951">
        <v>54</v>
      </c>
      <c r="AV107" s="952">
        <v>945</v>
      </c>
      <c r="AW107" s="753">
        <f t="shared" si="198"/>
        <v>1650</v>
      </c>
      <c r="AX107" s="551">
        <f t="shared" si="178"/>
        <v>0</v>
      </c>
      <c r="AY107" s="414">
        <f t="shared" si="179"/>
        <v>224</v>
      </c>
      <c r="AZ107" s="799">
        <v>0</v>
      </c>
      <c r="BA107" s="551">
        <v>54</v>
      </c>
      <c r="BB107" s="414">
        <v>1169</v>
      </c>
      <c r="BC107" s="753">
        <f t="shared" si="199"/>
        <v>2064.8000000000002</v>
      </c>
      <c r="BD107" s="551">
        <f t="shared" si="182"/>
        <v>4</v>
      </c>
      <c r="BE107" s="414">
        <f t="shared" si="182"/>
        <v>317</v>
      </c>
      <c r="BF107" s="753">
        <f>ROUND(((BE107/BD107-1)*100), 1)</f>
        <v>7825</v>
      </c>
      <c r="BG107" s="551">
        <v>58</v>
      </c>
      <c r="BH107" s="414">
        <v>1486</v>
      </c>
      <c r="BI107" s="753">
        <f t="shared" si="184"/>
        <v>2462.1</v>
      </c>
      <c r="BJ107" s="551">
        <f t="shared" si="185"/>
        <v>4</v>
      </c>
      <c r="BK107" s="414">
        <f t="shared" si="185"/>
        <v>260</v>
      </c>
      <c r="BL107" s="753">
        <f>ROUND(((BK107/BJ107-1)*100), 1)</f>
        <v>6400</v>
      </c>
      <c r="BM107" s="551">
        <v>62</v>
      </c>
      <c r="BN107" s="414">
        <v>1746</v>
      </c>
      <c r="BO107" s="753">
        <f t="shared" si="187"/>
        <v>2716.1</v>
      </c>
      <c r="BP107" s="551">
        <f t="shared" si="188"/>
        <v>0</v>
      </c>
      <c r="BQ107" s="414">
        <f t="shared" si="188"/>
        <v>271</v>
      </c>
      <c r="BR107" s="799">
        <v>0</v>
      </c>
      <c r="BS107" s="551">
        <v>62</v>
      </c>
      <c r="BT107" s="414">
        <v>2017</v>
      </c>
      <c r="BU107" s="753">
        <f t="shared" si="190"/>
        <v>3153.2</v>
      </c>
    </row>
    <row r="108" spans="1:73">
      <c r="A108" s="4"/>
      <c r="B108" s="33" t="s">
        <v>404</v>
      </c>
      <c r="C108" s="326">
        <v>54</v>
      </c>
      <c r="D108" s="326">
        <v>239</v>
      </c>
      <c r="E108" s="326">
        <v>1000</v>
      </c>
      <c r="F108" s="326">
        <v>1000</v>
      </c>
      <c r="G108" s="326">
        <v>1808</v>
      </c>
      <c r="H108" s="326">
        <v>506</v>
      </c>
      <c r="I108" s="377">
        <v>21</v>
      </c>
      <c r="J108" s="459">
        <v>59</v>
      </c>
      <c r="K108" s="337">
        <v>0</v>
      </c>
      <c r="L108" s="416">
        <v>20</v>
      </c>
      <c r="M108" s="177">
        <v>0</v>
      </c>
      <c r="N108" s="337">
        <f t="shared" si="156"/>
        <v>0</v>
      </c>
      <c r="O108" s="416">
        <f t="shared" si="157"/>
        <v>0</v>
      </c>
      <c r="P108" s="177">
        <v>0</v>
      </c>
      <c r="Q108" s="337">
        <v>0</v>
      </c>
      <c r="R108" s="416">
        <v>20</v>
      </c>
      <c r="S108" s="177">
        <v>0</v>
      </c>
      <c r="T108" s="337">
        <f t="shared" si="160"/>
        <v>0</v>
      </c>
      <c r="U108" s="416">
        <f t="shared" si="161"/>
        <v>0</v>
      </c>
      <c r="V108" s="177">
        <v>0</v>
      </c>
      <c r="W108" s="337">
        <v>0</v>
      </c>
      <c r="X108" s="416">
        <v>20</v>
      </c>
      <c r="Y108" s="177">
        <v>0</v>
      </c>
      <c r="Z108" s="337">
        <f t="shared" si="164"/>
        <v>20</v>
      </c>
      <c r="AA108" s="416">
        <f t="shared" si="165"/>
        <v>0</v>
      </c>
      <c r="AB108" s="242">
        <f t="shared" si="192"/>
        <v>-100</v>
      </c>
      <c r="AC108" s="337">
        <v>20</v>
      </c>
      <c r="AD108" s="416">
        <v>20</v>
      </c>
      <c r="AE108" s="242">
        <f t="shared" si="193"/>
        <v>0</v>
      </c>
      <c r="AF108" s="337">
        <f t="shared" si="168"/>
        <v>0</v>
      </c>
      <c r="AG108" s="416">
        <f t="shared" si="168"/>
        <v>0</v>
      </c>
      <c r="AH108" s="521">
        <v>0</v>
      </c>
      <c r="AI108" s="337">
        <v>20</v>
      </c>
      <c r="AJ108" s="416">
        <v>20</v>
      </c>
      <c r="AK108" s="242">
        <f t="shared" si="195"/>
        <v>0</v>
      </c>
      <c r="AL108" s="337">
        <f t="shared" si="171"/>
        <v>19</v>
      </c>
      <c r="AM108" s="416">
        <f t="shared" si="172"/>
        <v>0</v>
      </c>
      <c r="AN108" s="753">
        <f t="shared" si="196"/>
        <v>-100</v>
      </c>
      <c r="AO108" s="553">
        <v>39</v>
      </c>
      <c r="AP108" s="416">
        <v>20</v>
      </c>
      <c r="AQ108" s="242">
        <f t="shared" si="197"/>
        <v>-48.7</v>
      </c>
      <c r="AR108" s="553">
        <f t="shared" si="175"/>
        <v>0</v>
      </c>
      <c r="AS108" s="416">
        <f t="shared" si="175"/>
        <v>20</v>
      </c>
      <c r="AT108" s="799">
        <v>0</v>
      </c>
      <c r="AU108" s="965">
        <v>39</v>
      </c>
      <c r="AV108" s="966">
        <v>40</v>
      </c>
      <c r="AW108" s="753">
        <f t="shared" si="198"/>
        <v>2.6</v>
      </c>
      <c r="AX108" s="553">
        <f t="shared" si="178"/>
        <v>0</v>
      </c>
      <c r="AY108" s="416">
        <f t="shared" si="179"/>
        <v>19</v>
      </c>
      <c r="AZ108" s="799">
        <v>0</v>
      </c>
      <c r="BA108" s="553">
        <v>39</v>
      </c>
      <c r="BB108" s="416">
        <v>59</v>
      </c>
      <c r="BC108" s="753">
        <f t="shared" si="199"/>
        <v>51.3</v>
      </c>
      <c r="BD108" s="553">
        <f t="shared" si="182"/>
        <v>0</v>
      </c>
      <c r="BE108" s="416">
        <f t="shared" si="182"/>
        <v>20</v>
      </c>
      <c r="BF108" s="799">
        <v>0</v>
      </c>
      <c r="BG108" s="553">
        <v>39</v>
      </c>
      <c r="BH108" s="416">
        <v>79</v>
      </c>
      <c r="BI108" s="753">
        <f t="shared" si="184"/>
        <v>102.6</v>
      </c>
      <c r="BJ108" s="553">
        <f t="shared" si="185"/>
        <v>0</v>
      </c>
      <c r="BK108" s="416">
        <f t="shared" si="185"/>
        <v>0</v>
      </c>
      <c r="BL108" s="799">
        <v>0</v>
      </c>
      <c r="BM108" s="553">
        <v>39</v>
      </c>
      <c r="BN108" s="416">
        <v>79</v>
      </c>
      <c r="BO108" s="753">
        <f t="shared" si="187"/>
        <v>102.6</v>
      </c>
      <c r="BP108" s="553">
        <f t="shared" si="188"/>
        <v>0</v>
      </c>
      <c r="BQ108" s="416">
        <f t="shared" si="188"/>
        <v>39</v>
      </c>
      <c r="BR108" s="799">
        <v>0</v>
      </c>
      <c r="BS108" s="553">
        <v>39</v>
      </c>
      <c r="BT108" s="416">
        <v>118</v>
      </c>
      <c r="BU108" s="753">
        <f t="shared" si="190"/>
        <v>202.6</v>
      </c>
    </row>
    <row r="109" spans="1:73">
      <c r="A109" s="4"/>
      <c r="B109" s="43" t="s">
        <v>381</v>
      </c>
      <c r="C109" s="188">
        <v>1</v>
      </c>
      <c r="D109" s="188">
        <v>1</v>
      </c>
      <c r="E109" s="188">
        <v>15</v>
      </c>
      <c r="F109" s="188">
        <v>68</v>
      </c>
      <c r="G109" s="188">
        <v>96</v>
      </c>
      <c r="H109" s="188">
        <v>121</v>
      </c>
      <c r="I109" s="362">
        <v>102</v>
      </c>
      <c r="J109" s="458">
        <v>38</v>
      </c>
      <c r="K109" s="323">
        <v>7</v>
      </c>
      <c r="L109" s="414">
        <v>5</v>
      </c>
      <c r="M109" s="232">
        <f>ROUND(((L109/K109-1)*100), 1)</f>
        <v>-28.6</v>
      </c>
      <c r="N109" s="323">
        <f t="shared" si="156"/>
        <v>0</v>
      </c>
      <c r="O109" s="414">
        <f t="shared" si="157"/>
        <v>0</v>
      </c>
      <c r="P109" s="524">
        <v>0</v>
      </c>
      <c r="Q109" s="323">
        <v>7</v>
      </c>
      <c r="R109" s="414">
        <v>5</v>
      </c>
      <c r="S109" s="242">
        <f>ROUND(((R109/Q109-1)*100), 1)</f>
        <v>-28.6</v>
      </c>
      <c r="T109" s="323">
        <f t="shared" si="160"/>
        <v>4</v>
      </c>
      <c r="U109" s="414">
        <f t="shared" si="161"/>
        <v>9</v>
      </c>
      <c r="V109" s="242">
        <f>ROUND(((U109/T109-1)*100), 1)</f>
        <v>125</v>
      </c>
      <c r="W109" s="323">
        <v>11</v>
      </c>
      <c r="X109" s="414">
        <v>14</v>
      </c>
      <c r="Y109" s="242">
        <f>ROUND(((X109/W109-1)*100), 1)</f>
        <v>27.3</v>
      </c>
      <c r="Z109" s="323">
        <f t="shared" si="164"/>
        <v>0</v>
      </c>
      <c r="AA109" s="414">
        <f t="shared" si="165"/>
        <v>0</v>
      </c>
      <c r="AB109" s="521">
        <v>0</v>
      </c>
      <c r="AC109" s="323">
        <v>11</v>
      </c>
      <c r="AD109" s="414">
        <v>14</v>
      </c>
      <c r="AE109" s="242">
        <f t="shared" si="193"/>
        <v>27.3</v>
      </c>
      <c r="AF109" s="323">
        <f t="shared" si="168"/>
        <v>7</v>
      </c>
      <c r="AG109" s="414">
        <f t="shared" si="168"/>
        <v>6</v>
      </c>
      <c r="AH109" s="242">
        <f t="shared" si="194"/>
        <v>-14.3</v>
      </c>
      <c r="AI109" s="323">
        <v>18</v>
      </c>
      <c r="AJ109" s="414">
        <v>20</v>
      </c>
      <c r="AK109" s="242">
        <f t="shared" si="195"/>
        <v>11.1</v>
      </c>
      <c r="AL109" s="323">
        <f t="shared" si="171"/>
        <v>0</v>
      </c>
      <c r="AM109" s="414">
        <f t="shared" si="172"/>
        <v>10</v>
      </c>
      <c r="AN109" s="799">
        <v>0</v>
      </c>
      <c r="AO109" s="551">
        <v>18</v>
      </c>
      <c r="AP109" s="414">
        <v>30</v>
      </c>
      <c r="AQ109" s="242">
        <f t="shared" si="197"/>
        <v>66.7</v>
      </c>
      <c r="AR109" s="551">
        <f t="shared" si="175"/>
        <v>7</v>
      </c>
      <c r="AS109" s="414">
        <f t="shared" si="175"/>
        <v>0</v>
      </c>
      <c r="AT109" s="753">
        <f t="shared" ref="AT109" si="201">ROUND(((AS109/AR109-1)*100), 1)</f>
        <v>-100</v>
      </c>
      <c r="AU109" s="951">
        <v>25</v>
      </c>
      <c r="AV109" s="952">
        <v>30</v>
      </c>
      <c r="AW109" s="753">
        <f t="shared" si="198"/>
        <v>20</v>
      </c>
      <c r="AX109" s="551">
        <f t="shared" si="178"/>
        <v>0</v>
      </c>
      <c r="AY109" s="414">
        <f t="shared" si="179"/>
        <v>4</v>
      </c>
      <c r="AZ109" s="799">
        <v>0</v>
      </c>
      <c r="BA109" s="551">
        <v>25</v>
      </c>
      <c r="BB109" s="414">
        <v>34</v>
      </c>
      <c r="BC109" s="753">
        <f t="shared" si="199"/>
        <v>36</v>
      </c>
      <c r="BD109" s="551">
        <f t="shared" si="182"/>
        <v>7</v>
      </c>
      <c r="BE109" s="414">
        <f t="shared" si="182"/>
        <v>6</v>
      </c>
      <c r="BF109" s="753">
        <f>ROUND(((BE109/BD109-1)*100), 1)</f>
        <v>-14.3</v>
      </c>
      <c r="BG109" s="551">
        <v>32</v>
      </c>
      <c r="BH109" s="414">
        <v>40</v>
      </c>
      <c r="BI109" s="753">
        <f t="shared" si="184"/>
        <v>25</v>
      </c>
      <c r="BJ109" s="551">
        <f t="shared" si="185"/>
        <v>0</v>
      </c>
      <c r="BK109" s="414">
        <f t="shared" si="185"/>
        <v>0</v>
      </c>
      <c r="BL109" s="753" t="e">
        <f>ROUND(((BK109/BJ109-1)*100), 1)</f>
        <v>#DIV/0!</v>
      </c>
      <c r="BM109" s="551">
        <v>32</v>
      </c>
      <c r="BN109" s="414">
        <v>40</v>
      </c>
      <c r="BO109" s="753">
        <f t="shared" si="187"/>
        <v>25</v>
      </c>
      <c r="BP109" s="551">
        <f t="shared" si="188"/>
        <v>6</v>
      </c>
      <c r="BQ109" s="414">
        <f t="shared" si="188"/>
        <v>0</v>
      </c>
      <c r="BR109" s="753">
        <f>ROUND(((BQ109/BP109-1)*100), 1)</f>
        <v>-100</v>
      </c>
      <c r="BS109" s="551">
        <v>38</v>
      </c>
      <c r="BT109" s="414">
        <v>40</v>
      </c>
      <c r="BU109" s="753">
        <f t="shared" si="190"/>
        <v>5.3</v>
      </c>
    </row>
    <row r="110" spans="1:73">
      <c r="A110" s="4"/>
      <c r="B110" s="43" t="s">
        <v>391</v>
      </c>
      <c r="C110" s="188">
        <v>121</v>
      </c>
      <c r="D110" s="188">
        <v>155</v>
      </c>
      <c r="E110" s="188">
        <v>108</v>
      </c>
      <c r="F110" s="188">
        <v>164</v>
      </c>
      <c r="G110" s="188">
        <v>123</v>
      </c>
      <c r="H110" s="188">
        <v>168</v>
      </c>
      <c r="I110" s="362">
        <v>143</v>
      </c>
      <c r="J110" s="458">
        <v>14</v>
      </c>
      <c r="K110" s="323">
        <v>0</v>
      </c>
      <c r="L110" s="414">
        <v>0</v>
      </c>
      <c r="M110" s="177">
        <v>0</v>
      </c>
      <c r="N110" s="323">
        <f t="shared" si="156"/>
        <v>0</v>
      </c>
      <c r="O110" s="414">
        <f t="shared" si="157"/>
        <v>0</v>
      </c>
      <c r="P110" s="524">
        <v>0</v>
      </c>
      <c r="Q110" s="323">
        <v>0</v>
      </c>
      <c r="R110" s="414">
        <v>0</v>
      </c>
      <c r="S110" s="177">
        <v>0</v>
      </c>
      <c r="T110" s="323">
        <f t="shared" si="160"/>
        <v>5</v>
      </c>
      <c r="U110" s="414">
        <f t="shared" si="161"/>
        <v>0</v>
      </c>
      <c r="V110" s="242">
        <f>ROUND(((U110/T110-1)*100), 1)</f>
        <v>-100</v>
      </c>
      <c r="W110" s="323">
        <v>5</v>
      </c>
      <c r="X110" s="414">
        <v>0</v>
      </c>
      <c r="Y110" s="242">
        <f>ROUND(((X110/W110-1)*100), 1)</f>
        <v>-100</v>
      </c>
      <c r="Z110" s="323">
        <f t="shared" si="164"/>
        <v>6</v>
      </c>
      <c r="AA110" s="414">
        <f t="shared" si="165"/>
        <v>0</v>
      </c>
      <c r="AB110" s="242">
        <f t="shared" si="192"/>
        <v>-100</v>
      </c>
      <c r="AC110" s="323">
        <v>11</v>
      </c>
      <c r="AD110" s="414">
        <v>0</v>
      </c>
      <c r="AE110" s="242">
        <f t="shared" si="193"/>
        <v>-100</v>
      </c>
      <c r="AF110" s="323">
        <f t="shared" si="168"/>
        <v>0</v>
      </c>
      <c r="AG110" s="414">
        <f t="shared" si="168"/>
        <v>2</v>
      </c>
      <c r="AH110" s="521">
        <v>0</v>
      </c>
      <c r="AI110" s="323">
        <v>11</v>
      </c>
      <c r="AJ110" s="414">
        <v>2</v>
      </c>
      <c r="AK110" s="242">
        <f t="shared" si="195"/>
        <v>-81.8</v>
      </c>
      <c r="AL110" s="323">
        <f t="shared" si="171"/>
        <v>0</v>
      </c>
      <c r="AM110" s="414">
        <f t="shared" si="172"/>
        <v>0</v>
      </c>
      <c r="AN110" s="521">
        <v>0</v>
      </c>
      <c r="AO110" s="551">
        <v>11</v>
      </c>
      <c r="AP110" s="414">
        <v>2</v>
      </c>
      <c r="AQ110" s="242">
        <f t="shared" si="197"/>
        <v>-81.8</v>
      </c>
      <c r="AR110" s="551">
        <f t="shared" si="175"/>
        <v>0</v>
      </c>
      <c r="AS110" s="414">
        <f t="shared" si="175"/>
        <v>0</v>
      </c>
      <c r="AT110" s="799">
        <v>0</v>
      </c>
      <c r="AU110" s="951">
        <v>11</v>
      </c>
      <c r="AV110" s="952">
        <v>2</v>
      </c>
      <c r="AW110" s="753">
        <f t="shared" si="198"/>
        <v>-81.8</v>
      </c>
      <c r="AX110" s="551">
        <f t="shared" si="178"/>
        <v>2</v>
      </c>
      <c r="AY110" s="414">
        <f t="shared" si="179"/>
        <v>0</v>
      </c>
      <c r="AZ110" s="753">
        <f>ROUND(((AY110/AX110-1)*100), 1)</f>
        <v>-100</v>
      </c>
      <c r="BA110" s="551">
        <v>13</v>
      </c>
      <c r="BB110" s="414">
        <v>2</v>
      </c>
      <c r="BC110" s="753">
        <f t="shared" si="199"/>
        <v>-84.6</v>
      </c>
      <c r="BD110" s="551">
        <f t="shared" si="182"/>
        <v>0</v>
      </c>
      <c r="BE110" s="414">
        <f t="shared" si="182"/>
        <v>0</v>
      </c>
      <c r="BF110" s="799">
        <v>0</v>
      </c>
      <c r="BG110" s="551">
        <v>13</v>
      </c>
      <c r="BH110" s="414">
        <v>2</v>
      </c>
      <c r="BI110" s="753">
        <f t="shared" si="184"/>
        <v>-84.6</v>
      </c>
      <c r="BJ110" s="551">
        <f t="shared" si="185"/>
        <v>0</v>
      </c>
      <c r="BK110" s="414">
        <f t="shared" si="185"/>
        <v>0</v>
      </c>
      <c r="BL110" s="799">
        <v>0</v>
      </c>
      <c r="BM110" s="551">
        <v>13</v>
      </c>
      <c r="BN110" s="414">
        <v>2</v>
      </c>
      <c r="BO110" s="753">
        <f t="shared" si="187"/>
        <v>-84.6</v>
      </c>
      <c r="BP110" s="551">
        <f t="shared" si="188"/>
        <v>0</v>
      </c>
      <c r="BQ110" s="414">
        <f t="shared" si="188"/>
        <v>0</v>
      </c>
      <c r="BR110" s="799">
        <v>0</v>
      </c>
      <c r="BS110" s="551">
        <v>13</v>
      </c>
      <c r="BT110" s="414">
        <v>2</v>
      </c>
      <c r="BU110" s="753">
        <f t="shared" si="190"/>
        <v>-84.6</v>
      </c>
    </row>
    <row r="111" spans="1:73">
      <c r="A111" s="4"/>
      <c r="B111" s="43" t="s">
        <v>72</v>
      </c>
      <c r="C111" s="188">
        <v>174</v>
      </c>
      <c r="D111" s="188">
        <v>119</v>
      </c>
      <c r="E111" s="188">
        <v>135</v>
      </c>
      <c r="F111" s="188">
        <v>79</v>
      </c>
      <c r="G111" s="188">
        <v>93</v>
      </c>
      <c r="H111" s="188">
        <v>71</v>
      </c>
      <c r="I111" s="362">
        <v>45</v>
      </c>
      <c r="J111" s="458">
        <v>6</v>
      </c>
      <c r="K111" s="323">
        <v>1</v>
      </c>
      <c r="L111" s="414">
        <v>0</v>
      </c>
      <c r="M111" s="232">
        <f>ROUND(((L111/K111-1)*100), 1)</f>
        <v>-100</v>
      </c>
      <c r="N111" s="323">
        <f t="shared" si="156"/>
        <v>0</v>
      </c>
      <c r="O111" s="414">
        <f t="shared" si="157"/>
        <v>0</v>
      </c>
      <c r="P111" s="524">
        <v>0</v>
      </c>
      <c r="Q111" s="323">
        <v>1</v>
      </c>
      <c r="R111" s="414">
        <v>0</v>
      </c>
      <c r="S111" s="242">
        <f>ROUND(((R111/Q111-1)*100), 1)</f>
        <v>-100</v>
      </c>
      <c r="T111" s="323">
        <f t="shared" si="160"/>
        <v>0</v>
      </c>
      <c r="U111" s="414">
        <f t="shared" si="161"/>
        <v>4</v>
      </c>
      <c r="V111" s="177">
        <v>0</v>
      </c>
      <c r="W111" s="323">
        <v>1</v>
      </c>
      <c r="X111" s="414">
        <v>4</v>
      </c>
      <c r="Y111" s="242">
        <f>ROUND(((X111/W111-1)*100), 1)</f>
        <v>300</v>
      </c>
      <c r="Z111" s="323">
        <f t="shared" si="164"/>
        <v>3</v>
      </c>
      <c r="AA111" s="414">
        <f t="shared" si="165"/>
        <v>0</v>
      </c>
      <c r="AB111" s="242">
        <f t="shared" si="192"/>
        <v>-100</v>
      </c>
      <c r="AC111" s="323">
        <v>4</v>
      </c>
      <c r="AD111" s="414">
        <v>4</v>
      </c>
      <c r="AE111" s="242">
        <f t="shared" si="193"/>
        <v>0</v>
      </c>
      <c r="AF111" s="323">
        <f t="shared" si="168"/>
        <v>0</v>
      </c>
      <c r="AG111" s="414">
        <f t="shared" si="168"/>
        <v>1</v>
      </c>
      <c r="AH111" s="521">
        <v>0</v>
      </c>
      <c r="AI111" s="323">
        <v>4</v>
      </c>
      <c r="AJ111" s="414">
        <v>5</v>
      </c>
      <c r="AK111" s="242">
        <f t="shared" si="195"/>
        <v>25</v>
      </c>
      <c r="AL111" s="323">
        <f t="shared" si="171"/>
        <v>0</v>
      </c>
      <c r="AM111" s="414">
        <f t="shared" si="172"/>
        <v>1</v>
      </c>
      <c r="AN111" s="521">
        <v>0</v>
      </c>
      <c r="AO111" s="551">
        <v>4</v>
      </c>
      <c r="AP111" s="414">
        <v>6</v>
      </c>
      <c r="AQ111" s="242">
        <f t="shared" si="197"/>
        <v>50</v>
      </c>
      <c r="AR111" s="551">
        <f t="shared" si="175"/>
        <v>0</v>
      </c>
      <c r="AS111" s="414">
        <f t="shared" si="175"/>
        <v>0</v>
      </c>
      <c r="AT111" s="799">
        <v>0</v>
      </c>
      <c r="AU111" s="951">
        <v>4</v>
      </c>
      <c r="AV111" s="952">
        <v>6</v>
      </c>
      <c r="AW111" s="753">
        <f t="shared" si="198"/>
        <v>50</v>
      </c>
      <c r="AX111" s="551">
        <f t="shared" si="178"/>
        <v>0</v>
      </c>
      <c r="AY111" s="414">
        <f t="shared" si="179"/>
        <v>0</v>
      </c>
      <c r="AZ111" s="799">
        <v>0</v>
      </c>
      <c r="BA111" s="551">
        <v>4</v>
      </c>
      <c r="BB111" s="414">
        <v>6</v>
      </c>
      <c r="BC111" s="753">
        <f t="shared" si="199"/>
        <v>50</v>
      </c>
      <c r="BD111" s="551">
        <f t="shared" si="182"/>
        <v>2</v>
      </c>
      <c r="BE111" s="414">
        <f t="shared" si="182"/>
        <v>2</v>
      </c>
      <c r="BF111" s="753">
        <f>ROUND(((BE111/BD111-1)*100), 1)</f>
        <v>0</v>
      </c>
      <c r="BG111" s="551">
        <v>6</v>
      </c>
      <c r="BH111" s="414">
        <v>8</v>
      </c>
      <c r="BI111" s="753">
        <f t="shared" si="184"/>
        <v>33.299999999999997</v>
      </c>
      <c r="BJ111" s="551">
        <f t="shared" si="185"/>
        <v>0</v>
      </c>
      <c r="BK111" s="414">
        <f t="shared" si="185"/>
        <v>0</v>
      </c>
      <c r="BL111" s="753" t="e">
        <f>ROUND(((BK111/BJ111-1)*100), 1)</f>
        <v>#DIV/0!</v>
      </c>
      <c r="BM111" s="551">
        <v>6</v>
      </c>
      <c r="BN111" s="414">
        <v>8</v>
      </c>
      <c r="BO111" s="753">
        <f t="shared" si="187"/>
        <v>33.299999999999997</v>
      </c>
      <c r="BP111" s="551">
        <f t="shared" si="188"/>
        <v>0</v>
      </c>
      <c r="BQ111" s="414">
        <f t="shared" si="188"/>
        <v>8</v>
      </c>
      <c r="BR111" s="799">
        <v>0</v>
      </c>
      <c r="BS111" s="551">
        <v>6</v>
      </c>
      <c r="BT111" s="414">
        <v>16</v>
      </c>
      <c r="BU111" s="753">
        <f t="shared" si="190"/>
        <v>166.7</v>
      </c>
    </row>
    <row r="112" spans="1:73">
      <c r="A112" s="4"/>
      <c r="B112" s="43" t="s">
        <v>403</v>
      </c>
      <c r="C112" s="188">
        <v>127</v>
      </c>
      <c r="D112" s="188">
        <v>111</v>
      </c>
      <c r="E112" s="188">
        <v>161</v>
      </c>
      <c r="F112" s="188">
        <v>112</v>
      </c>
      <c r="G112" s="188">
        <v>112</v>
      </c>
      <c r="H112" s="188">
        <v>128</v>
      </c>
      <c r="I112" s="362">
        <v>83</v>
      </c>
      <c r="J112" s="458">
        <v>0</v>
      </c>
      <c r="K112" s="323">
        <v>0</v>
      </c>
      <c r="L112" s="414">
        <v>0</v>
      </c>
      <c r="M112" s="177">
        <v>0</v>
      </c>
      <c r="N112" s="323">
        <f t="shared" si="156"/>
        <v>0</v>
      </c>
      <c r="O112" s="414">
        <f t="shared" si="157"/>
        <v>0</v>
      </c>
      <c r="P112" s="177">
        <v>0</v>
      </c>
      <c r="Q112" s="323">
        <v>0</v>
      </c>
      <c r="R112" s="414">
        <v>0</v>
      </c>
      <c r="S112" s="177">
        <v>0</v>
      </c>
      <c r="T112" s="323">
        <f t="shared" si="160"/>
        <v>0</v>
      </c>
      <c r="U112" s="414">
        <f t="shared" si="161"/>
        <v>0</v>
      </c>
      <c r="V112" s="177">
        <v>0</v>
      </c>
      <c r="W112" s="323">
        <v>0</v>
      </c>
      <c r="X112" s="414">
        <v>0</v>
      </c>
      <c r="Y112" s="177">
        <v>0</v>
      </c>
      <c r="Z112" s="323">
        <f t="shared" si="164"/>
        <v>0</v>
      </c>
      <c r="AA112" s="414">
        <f t="shared" si="165"/>
        <v>0</v>
      </c>
      <c r="AB112" s="521">
        <v>0</v>
      </c>
      <c r="AC112" s="323">
        <v>0</v>
      </c>
      <c r="AD112" s="414">
        <v>0</v>
      </c>
      <c r="AE112" s="521">
        <v>0</v>
      </c>
      <c r="AF112" s="323">
        <f t="shared" si="168"/>
        <v>0</v>
      </c>
      <c r="AG112" s="414">
        <f t="shared" si="168"/>
        <v>0</v>
      </c>
      <c r="AH112" s="521">
        <v>0</v>
      </c>
      <c r="AI112" s="323">
        <v>0</v>
      </c>
      <c r="AJ112" s="414">
        <v>0</v>
      </c>
      <c r="AK112" s="521">
        <v>0</v>
      </c>
      <c r="AL112" s="323">
        <f t="shared" si="171"/>
        <v>0</v>
      </c>
      <c r="AM112" s="414">
        <f t="shared" si="172"/>
        <v>0</v>
      </c>
      <c r="AN112" s="521">
        <v>0</v>
      </c>
      <c r="AO112" s="551">
        <v>0</v>
      </c>
      <c r="AP112" s="414">
        <v>0</v>
      </c>
      <c r="AQ112" s="521">
        <v>0</v>
      </c>
      <c r="AR112" s="551">
        <f t="shared" si="175"/>
        <v>0</v>
      </c>
      <c r="AS112" s="414">
        <f t="shared" si="175"/>
        <v>0</v>
      </c>
      <c r="AT112" s="799">
        <v>0</v>
      </c>
      <c r="AU112" s="951">
        <v>0</v>
      </c>
      <c r="AV112" s="952">
        <v>0</v>
      </c>
      <c r="AW112" s="799">
        <v>0</v>
      </c>
      <c r="AX112" s="551">
        <f t="shared" si="178"/>
        <v>0</v>
      </c>
      <c r="AY112" s="414">
        <f t="shared" si="179"/>
        <v>0</v>
      </c>
      <c r="AZ112" s="799">
        <v>0</v>
      </c>
      <c r="BA112" s="551">
        <v>0</v>
      </c>
      <c r="BB112" s="414">
        <v>0</v>
      </c>
      <c r="BC112" s="799">
        <v>0</v>
      </c>
      <c r="BD112" s="551">
        <f t="shared" si="182"/>
        <v>0</v>
      </c>
      <c r="BE112" s="414">
        <f t="shared" si="182"/>
        <v>0</v>
      </c>
      <c r="BF112" s="799">
        <v>0</v>
      </c>
      <c r="BG112" s="551">
        <v>0</v>
      </c>
      <c r="BH112" s="414">
        <v>0</v>
      </c>
      <c r="BI112" s="799">
        <v>0</v>
      </c>
      <c r="BJ112" s="551">
        <f t="shared" si="185"/>
        <v>0</v>
      </c>
      <c r="BK112" s="414">
        <f t="shared" si="185"/>
        <v>0</v>
      </c>
      <c r="BL112" s="799">
        <v>0</v>
      </c>
      <c r="BM112" s="551">
        <v>0</v>
      </c>
      <c r="BN112" s="414">
        <v>0</v>
      </c>
      <c r="BO112" s="799">
        <v>0</v>
      </c>
      <c r="BP112" s="551">
        <f t="shared" si="188"/>
        <v>0</v>
      </c>
      <c r="BQ112" s="414">
        <f t="shared" si="188"/>
        <v>0</v>
      </c>
      <c r="BR112" s="799">
        <v>0</v>
      </c>
      <c r="BS112" s="551">
        <v>0</v>
      </c>
      <c r="BT112" s="414">
        <v>0</v>
      </c>
      <c r="BU112" s="799">
        <v>0</v>
      </c>
    </row>
    <row r="113" spans="1:73" s="173" customFormat="1">
      <c r="A113" s="325"/>
      <c r="B113" s="43" t="s">
        <v>382</v>
      </c>
      <c r="C113" s="188">
        <v>47</v>
      </c>
      <c r="D113" s="188">
        <v>514</v>
      </c>
      <c r="E113" s="188">
        <v>30</v>
      </c>
      <c r="F113" s="188">
        <v>38</v>
      </c>
      <c r="G113" s="188">
        <v>43</v>
      </c>
      <c r="H113" s="188">
        <v>66</v>
      </c>
      <c r="I113" s="362">
        <v>29</v>
      </c>
      <c r="J113" s="458">
        <v>0</v>
      </c>
      <c r="K113" s="323">
        <v>0</v>
      </c>
      <c r="L113" s="414">
        <v>0</v>
      </c>
      <c r="M113" s="177">
        <v>0</v>
      </c>
      <c r="N113" s="323">
        <f t="shared" si="156"/>
        <v>0</v>
      </c>
      <c r="O113" s="414">
        <f t="shared" si="157"/>
        <v>0</v>
      </c>
      <c r="P113" s="177">
        <v>0</v>
      </c>
      <c r="Q113" s="323">
        <v>0</v>
      </c>
      <c r="R113" s="414">
        <v>0</v>
      </c>
      <c r="S113" s="177">
        <v>0</v>
      </c>
      <c r="T113" s="323">
        <f t="shared" si="160"/>
        <v>0</v>
      </c>
      <c r="U113" s="414">
        <f t="shared" si="161"/>
        <v>0</v>
      </c>
      <c r="V113" s="177">
        <v>0</v>
      </c>
      <c r="W113" s="323">
        <v>0</v>
      </c>
      <c r="X113" s="414">
        <v>0</v>
      </c>
      <c r="Y113" s="177">
        <v>0</v>
      </c>
      <c r="Z113" s="323">
        <f t="shared" si="164"/>
        <v>0</v>
      </c>
      <c r="AA113" s="414">
        <f t="shared" si="165"/>
        <v>0</v>
      </c>
      <c r="AB113" s="521">
        <v>0</v>
      </c>
      <c r="AC113" s="323">
        <v>0</v>
      </c>
      <c r="AD113" s="414">
        <v>0</v>
      </c>
      <c r="AE113" s="521">
        <v>0</v>
      </c>
      <c r="AF113" s="323">
        <f t="shared" si="168"/>
        <v>0</v>
      </c>
      <c r="AG113" s="414">
        <f t="shared" si="168"/>
        <v>0</v>
      </c>
      <c r="AH113" s="521">
        <v>0</v>
      </c>
      <c r="AI113" s="323">
        <v>0</v>
      </c>
      <c r="AJ113" s="414">
        <v>0</v>
      </c>
      <c r="AK113" s="521">
        <v>0</v>
      </c>
      <c r="AL113" s="323">
        <f t="shared" si="171"/>
        <v>0</v>
      </c>
      <c r="AM113" s="414">
        <f t="shared" si="172"/>
        <v>0</v>
      </c>
      <c r="AN113" s="521">
        <v>0</v>
      </c>
      <c r="AO113" s="551">
        <v>0</v>
      </c>
      <c r="AP113" s="414">
        <v>0</v>
      </c>
      <c r="AQ113" s="521">
        <v>0</v>
      </c>
      <c r="AR113" s="551">
        <f t="shared" si="175"/>
        <v>0</v>
      </c>
      <c r="AS113" s="414">
        <f t="shared" si="175"/>
        <v>0</v>
      </c>
      <c r="AT113" s="799">
        <v>0</v>
      </c>
      <c r="AU113" s="951">
        <v>0</v>
      </c>
      <c r="AV113" s="952">
        <v>0</v>
      </c>
      <c r="AW113" s="799">
        <v>0</v>
      </c>
      <c r="AX113" s="551">
        <f t="shared" si="178"/>
        <v>0</v>
      </c>
      <c r="AY113" s="414">
        <f t="shared" si="179"/>
        <v>0</v>
      </c>
      <c r="AZ113" s="799">
        <v>0</v>
      </c>
      <c r="BA113" s="551">
        <v>0</v>
      </c>
      <c r="BB113" s="414">
        <v>0</v>
      </c>
      <c r="BC113" s="799">
        <v>0</v>
      </c>
      <c r="BD113" s="551">
        <f t="shared" si="182"/>
        <v>0</v>
      </c>
      <c r="BE113" s="414">
        <f t="shared" si="182"/>
        <v>0</v>
      </c>
      <c r="BF113" s="799">
        <v>0</v>
      </c>
      <c r="BG113" s="551">
        <v>0</v>
      </c>
      <c r="BH113" s="414">
        <v>0</v>
      </c>
      <c r="BI113" s="799">
        <v>0</v>
      </c>
      <c r="BJ113" s="551">
        <f t="shared" si="185"/>
        <v>0</v>
      </c>
      <c r="BK113" s="414">
        <f t="shared" si="185"/>
        <v>0</v>
      </c>
      <c r="BL113" s="799">
        <v>0</v>
      </c>
      <c r="BM113" s="551">
        <v>0</v>
      </c>
      <c r="BN113" s="414">
        <v>0</v>
      </c>
      <c r="BO113" s="799">
        <v>0</v>
      </c>
      <c r="BP113" s="551">
        <f t="shared" si="188"/>
        <v>0</v>
      </c>
      <c r="BQ113" s="414">
        <f t="shared" si="188"/>
        <v>0</v>
      </c>
      <c r="BR113" s="799">
        <v>0</v>
      </c>
      <c r="BS113" s="551">
        <v>0</v>
      </c>
      <c r="BT113" s="414">
        <v>0</v>
      </c>
      <c r="BU113" s="799">
        <v>0</v>
      </c>
    </row>
    <row r="114" spans="1:73" s="173" customFormat="1">
      <c r="A114" s="325"/>
      <c r="B114" s="33" t="s">
        <v>383</v>
      </c>
      <c r="C114" s="326">
        <f t="shared" ref="C114:L114" si="202">C115-SUM(C89:C113)</f>
        <v>909</v>
      </c>
      <c r="D114" s="326">
        <f t="shared" si="202"/>
        <v>1203</v>
      </c>
      <c r="E114" s="326">
        <f t="shared" si="202"/>
        <v>2556</v>
      </c>
      <c r="F114" s="326">
        <f t="shared" si="202"/>
        <v>1990</v>
      </c>
      <c r="G114" s="326">
        <f t="shared" si="202"/>
        <v>2301</v>
      </c>
      <c r="H114" s="326">
        <f t="shared" si="202"/>
        <v>2355</v>
      </c>
      <c r="I114" s="377">
        <f t="shared" si="202"/>
        <v>1125</v>
      </c>
      <c r="J114" s="459">
        <f t="shared" si="202"/>
        <v>506</v>
      </c>
      <c r="K114" s="337">
        <f t="shared" si="202"/>
        <v>50</v>
      </c>
      <c r="L114" s="416">
        <f t="shared" si="202"/>
        <v>27</v>
      </c>
      <c r="M114" s="328">
        <f t="shared" ref="M114:M121" si="203">ROUND(((L114/K114-1)*100), 1)</f>
        <v>-46</v>
      </c>
      <c r="N114" s="337">
        <f>N115-SUM(N89:N113)</f>
        <v>39</v>
      </c>
      <c r="O114" s="416">
        <f>O115-SUM(O89:O113)</f>
        <v>37</v>
      </c>
      <c r="P114" s="328">
        <f t="shared" ref="P114:P121" si="204">ROUND(((O114/N114-1)*100), 1)</f>
        <v>-5.0999999999999996</v>
      </c>
      <c r="Q114" s="337">
        <f>Q115-SUM(Q89:Q113)</f>
        <v>89</v>
      </c>
      <c r="R114" s="416">
        <f>R115-SUM(R89:R113)</f>
        <v>64</v>
      </c>
      <c r="S114" s="328">
        <f t="shared" ref="S114:S121" si="205">ROUND(((R114/Q114-1)*100), 1)</f>
        <v>-28.1</v>
      </c>
      <c r="T114" s="337">
        <f>T115-SUM(T89:T113)</f>
        <v>54</v>
      </c>
      <c r="U114" s="416">
        <f>U115-SUM(U89:U113)</f>
        <v>32</v>
      </c>
      <c r="V114" s="328">
        <f t="shared" ref="V114:V121" si="206">ROUND(((U114/T114-1)*100), 1)</f>
        <v>-40.700000000000003</v>
      </c>
      <c r="W114" s="337">
        <f>W115-SUM(W89:W113)</f>
        <v>143</v>
      </c>
      <c r="X114" s="416">
        <f>X115-SUM(X89:X113)</f>
        <v>96</v>
      </c>
      <c r="Y114" s="328">
        <f t="shared" ref="Y114:Y121" si="207">ROUND(((X114/W114-1)*100), 1)</f>
        <v>-32.9</v>
      </c>
      <c r="Z114" s="337">
        <f>Z115-SUM(Z89:Z113)</f>
        <v>64</v>
      </c>
      <c r="AA114" s="416">
        <f>AA115-SUM(AA89:AA113)</f>
        <v>30</v>
      </c>
      <c r="AB114" s="328">
        <f t="shared" ref="AB114:AB121" si="208">ROUND(((AA114/Z114-1)*100), 1)</f>
        <v>-53.1</v>
      </c>
      <c r="AC114" s="337">
        <f>AC115-SUM(AC89:AC113)</f>
        <v>207</v>
      </c>
      <c r="AD114" s="416">
        <f>AD115-SUM(AD89:AD113)</f>
        <v>126</v>
      </c>
      <c r="AE114" s="328">
        <f t="shared" ref="AE114:AE121" si="209">ROUND(((AD114/AC114-1)*100), 1)</f>
        <v>-39.1</v>
      </c>
      <c r="AF114" s="337">
        <f>AF115-SUM(AF89:AF113)</f>
        <v>20</v>
      </c>
      <c r="AG114" s="416">
        <f>AG115-SUM(AG89:AG113)</f>
        <v>42</v>
      </c>
      <c r="AH114" s="328">
        <f t="shared" ref="AH114:AH121" si="210">ROUND(((AG114/AF114-1)*100), 1)</f>
        <v>110</v>
      </c>
      <c r="AI114" s="337">
        <f>AI115-SUM(AI89:AI113)</f>
        <v>227</v>
      </c>
      <c r="AJ114" s="416">
        <f>AJ115-SUM(AJ89:AJ113)</f>
        <v>168</v>
      </c>
      <c r="AK114" s="328">
        <f t="shared" ref="AK114:AK121" si="211">ROUND(((AJ114/AI114-1)*100), 1)</f>
        <v>-26</v>
      </c>
      <c r="AL114" s="337">
        <f>AL115-SUM(AL89:AL113)</f>
        <v>39</v>
      </c>
      <c r="AM114" s="416">
        <f>AM115-SUM(AM89:AM113)</f>
        <v>36</v>
      </c>
      <c r="AN114" s="328">
        <f t="shared" ref="AN114:AN121" si="212">ROUND(((AM114/AL114-1)*100), 1)</f>
        <v>-7.7</v>
      </c>
      <c r="AO114" s="553">
        <f>AO115-SUM(AO89:AO113)</f>
        <v>266</v>
      </c>
      <c r="AP114" s="416">
        <f>AP115-SUM(AP89:AP113)</f>
        <v>204</v>
      </c>
      <c r="AQ114" s="328">
        <f t="shared" ref="AQ114:AQ121" si="213">ROUND(((AP114/AO114-1)*100), 1)</f>
        <v>-23.3</v>
      </c>
      <c r="AR114" s="553">
        <f>AR115-SUM(AR89:AR113)</f>
        <v>50</v>
      </c>
      <c r="AS114" s="416">
        <f>AS115-SUM(AS89:AS113)</f>
        <v>45</v>
      </c>
      <c r="AT114" s="765">
        <f t="shared" ref="AT114:AT120" si="214">ROUND(((AS114/AR114-1)*100), 1)</f>
        <v>-10</v>
      </c>
      <c r="AU114" s="965">
        <f>AU115-SUM(AU89:AU113)</f>
        <v>316</v>
      </c>
      <c r="AV114" s="966">
        <f>AV115-SUM(AV89:AV113)</f>
        <v>249</v>
      </c>
      <c r="AW114" s="765">
        <f t="shared" ref="AW114:AW121" si="215">ROUND(((AV114/AU114-1)*100), 1)</f>
        <v>-21.2</v>
      </c>
      <c r="AX114" s="553">
        <f>AX115-SUM(AX89:AX113)</f>
        <v>19</v>
      </c>
      <c r="AY114" s="416">
        <f>AY115-SUM(AY89:AY113)</f>
        <v>69</v>
      </c>
      <c r="AZ114" s="765">
        <f t="shared" ref="AZ114:AZ120" si="216">ROUND(((AY114/AX114-1)*100), 1)</f>
        <v>263.2</v>
      </c>
      <c r="BA114" s="553">
        <f>BA115-SUM(BA89:BA113)</f>
        <v>335</v>
      </c>
      <c r="BB114" s="416">
        <f>BB115-SUM(BB89:BB113)</f>
        <v>318</v>
      </c>
      <c r="BC114" s="765">
        <f t="shared" ref="BC114:BC121" si="217">ROUND(((BB114/BA114-1)*100), 1)</f>
        <v>-5.0999999999999996</v>
      </c>
      <c r="BD114" s="553">
        <f>BD115-SUM(BD89:BD113)</f>
        <v>67</v>
      </c>
      <c r="BE114" s="416">
        <f>BE115-SUM(BE89:BE113)</f>
        <v>112</v>
      </c>
      <c r="BF114" s="765">
        <f t="shared" ref="BF114:BF120" si="218">ROUND(((BE114/BD114-1)*100), 1)</f>
        <v>67.2</v>
      </c>
      <c r="BG114" s="553">
        <f>BG115-SUM(BG89:BG113)</f>
        <v>402</v>
      </c>
      <c r="BH114" s="416">
        <f>BH115-SUM(BH89:BH113)</f>
        <v>430</v>
      </c>
      <c r="BI114" s="765">
        <f t="shared" ref="BI114:BI121" si="219">ROUND(((BH114/BG114-1)*100), 1)</f>
        <v>7</v>
      </c>
      <c r="BJ114" s="553">
        <f>BJ115-SUM(BJ89:BJ113)</f>
        <v>34</v>
      </c>
      <c r="BK114" s="416">
        <f>BK115-SUM(BK89:BK113)</f>
        <v>67</v>
      </c>
      <c r="BL114" s="765">
        <f t="shared" ref="BL114:BL118" si="220">ROUND(((BK114/BJ114-1)*100), 1)</f>
        <v>97.1</v>
      </c>
      <c r="BM114" s="553">
        <f>BM115-SUM(BM89:BM113)</f>
        <v>436</v>
      </c>
      <c r="BN114" s="416">
        <f>BN115-SUM(BN89:BN113)</f>
        <v>497</v>
      </c>
      <c r="BO114" s="765">
        <f t="shared" ref="BO114:BO121" si="221">ROUND(((BN114/BM114-1)*100), 1)</f>
        <v>14</v>
      </c>
      <c r="BP114" s="553">
        <f>BP115-SUM(BP89:BP113)</f>
        <v>33</v>
      </c>
      <c r="BQ114" s="416">
        <f>BQ115-SUM(BQ89:BQ113)</f>
        <v>86</v>
      </c>
      <c r="BR114" s="765">
        <f t="shared" ref="BR114:BR124" si="222">ROUND(((BQ114/BP114-1)*100), 1)</f>
        <v>160.6</v>
      </c>
      <c r="BS114" s="553">
        <f>BS115-SUM(BS89:BS113)</f>
        <v>469</v>
      </c>
      <c r="BT114" s="416">
        <f>BT115-SUM(BT89:BT113)</f>
        <v>583</v>
      </c>
      <c r="BU114" s="765">
        <f t="shared" ref="BU114:BU127" si="223">ROUND(((BT114/BS114-1)*100), 1)</f>
        <v>24.3</v>
      </c>
    </row>
    <row r="115" spans="1:73" s="173" customFormat="1">
      <c r="A115" s="35"/>
      <c r="B115" s="329" t="s">
        <v>108</v>
      </c>
      <c r="C115" s="379">
        <v>64157</v>
      </c>
      <c r="D115" s="379">
        <v>83626</v>
      </c>
      <c r="E115" s="379">
        <v>78026</v>
      </c>
      <c r="F115" s="379">
        <v>73091</v>
      </c>
      <c r="G115" s="379">
        <v>91334</v>
      </c>
      <c r="H115" s="379">
        <v>104324</v>
      </c>
      <c r="I115" s="378">
        <v>108278</v>
      </c>
      <c r="J115" s="460">
        <v>96401</v>
      </c>
      <c r="K115" s="401">
        <v>9070</v>
      </c>
      <c r="L115" s="402">
        <v>7276</v>
      </c>
      <c r="M115" s="330">
        <f t="shared" si="203"/>
        <v>-19.8</v>
      </c>
      <c r="N115" s="401">
        <f t="shared" ref="N115:N129" si="224">Q115-K115</f>
        <v>8162</v>
      </c>
      <c r="O115" s="402">
        <f t="shared" ref="O115:O129" si="225">R115-L115</f>
        <v>7904</v>
      </c>
      <c r="P115" s="330">
        <f t="shared" si="204"/>
        <v>-3.2</v>
      </c>
      <c r="Q115" s="401">
        <v>17232</v>
      </c>
      <c r="R115" s="402">
        <v>15180</v>
      </c>
      <c r="S115" s="330">
        <f t="shared" si="205"/>
        <v>-11.9</v>
      </c>
      <c r="T115" s="401">
        <f t="shared" ref="T115:T129" si="226">W115-Q115</f>
        <v>7108</v>
      </c>
      <c r="U115" s="402">
        <f t="shared" ref="U115:U129" si="227">X115-R115</f>
        <v>8701</v>
      </c>
      <c r="V115" s="330">
        <f t="shared" si="206"/>
        <v>22.4</v>
      </c>
      <c r="W115" s="401">
        <v>24340</v>
      </c>
      <c r="X115" s="402">
        <v>23881</v>
      </c>
      <c r="Y115" s="330">
        <f t="shared" si="207"/>
        <v>-1.9</v>
      </c>
      <c r="Z115" s="401">
        <f t="shared" ref="Z115:Z129" si="228">AC115-W115</f>
        <v>9167</v>
      </c>
      <c r="AA115" s="402">
        <f t="shared" ref="AA115:AA129" si="229">AD115-X115</f>
        <v>4455</v>
      </c>
      <c r="AB115" s="330">
        <f t="shared" si="208"/>
        <v>-51.4</v>
      </c>
      <c r="AC115" s="401">
        <v>33507</v>
      </c>
      <c r="AD115" s="402">
        <v>28336</v>
      </c>
      <c r="AE115" s="330">
        <f t="shared" si="209"/>
        <v>-15.4</v>
      </c>
      <c r="AF115" s="401">
        <f t="shared" ref="AF115:AG129" si="230">AI115-AC115</f>
        <v>9174</v>
      </c>
      <c r="AG115" s="402">
        <f t="shared" si="230"/>
        <v>3818</v>
      </c>
      <c r="AH115" s="330">
        <f t="shared" si="210"/>
        <v>-58.4</v>
      </c>
      <c r="AI115" s="401">
        <v>42681</v>
      </c>
      <c r="AJ115" s="402">
        <v>32154</v>
      </c>
      <c r="AK115" s="330">
        <f t="shared" si="211"/>
        <v>-24.7</v>
      </c>
      <c r="AL115" s="401">
        <f t="shared" ref="AL115:AL129" si="231">AO115-AI115</f>
        <v>7090</v>
      </c>
      <c r="AM115" s="402">
        <f t="shared" ref="AM115:AM129" si="232">AP115-AJ115</f>
        <v>6728</v>
      </c>
      <c r="AN115" s="330">
        <f t="shared" si="212"/>
        <v>-5.0999999999999996</v>
      </c>
      <c r="AO115" s="401">
        <v>49771</v>
      </c>
      <c r="AP115" s="402">
        <v>38882</v>
      </c>
      <c r="AQ115" s="330">
        <f t="shared" si="213"/>
        <v>-21.9</v>
      </c>
      <c r="AR115" s="401">
        <f t="shared" ref="AR115:AS129" si="233">AU115-AO115</f>
        <v>8486</v>
      </c>
      <c r="AS115" s="402">
        <f t="shared" si="233"/>
        <v>7556</v>
      </c>
      <c r="AT115" s="330">
        <f t="shared" si="214"/>
        <v>-11</v>
      </c>
      <c r="AU115" s="967">
        <v>58257</v>
      </c>
      <c r="AV115" s="968">
        <v>46438</v>
      </c>
      <c r="AW115" s="330">
        <f t="shared" si="215"/>
        <v>-20.3</v>
      </c>
      <c r="AX115" s="401">
        <f t="shared" ref="AX115:AX129" si="234">BA115-AU115</f>
        <v>6265</v>
      </c>
      <c r="AY115" s="402">
        <f t="shared" ref="AY115:AY129" si="235">BB115-AV115</f>
        <v>5181</v>
      </c>
      <c r="AZ115" s="330">
        <f t="shared" si="216"/>
        <v>-17.3</v>
      </c>
      <c r="BA115" s="401">
        <v>64522</v>
      </c>
      <c r="BB115" s="402">
        <v>51619</v>
      </c>
      <c r="BC115" s="330">
        <f t="shared" si="217"/>
        <v>-20</v>
      </c>
      <c r="BD115" s="401">
        <f t="shared" ref="BD115:BE129" si="236">BG115-BA115</f>
        <v>8766</v>
      </c>
      <c r="BE115" s="402">
        <f t="shared" si="236"/>
        <v>7495</v>
      </c>
      <c r="BF115" s="330">
        <f t="shared" si="218"/>
        <v>-14.5</v>
      </c>
      <c r="BG115" s="401">
        <v>73288</v>
      </c>
      <c r="BH115" s="402">
        <v>59114</v>
      </c>
      <c r="BI115" s="330">
        <f t="shared" si="219"/>
        <v>-19.3</v>
      </c>
      <c r="BJ115" s="401">
        <f t="shared" ref="BJ115:BK129" si="237">BM115-BG115</f>
        <v>7659</v>
      </c>
      <c r="BK115" s="402">
        <f t="shared" si="237"/>
        <v>7103</v>
      </c>
      <c r="BL115" s="330">
        <f t="shared" si="220"/>
        <v>-7.3</v>
      </c>
      <c r="BM115" s="401">
        <v>80947</v>
      </c>
      <c r="BN115" s="402">
        <v>66217</v>
      </c>
      <c r="BO115" s="330">
        <f t="shared" si="221"/>
        <v>-18.2</v>
      </c>
      <c r="BP115" s="401">
        <f t="shared" ref="BP115:BQ129" si="238">BS115-BM115</f>
        <v>8028</v>
      </c>
      <c r="BQ115" s="402">
        <f t="shared" si="238"/>
        <v>8137</v>
      </c>
      <c r="BR115" s="330">
        <f t="shared" si="222"/>
        <v>1.4</v>
      </c>
      <c r="BS115" s="401">
        <v>88975</v>
      </c>
      <c r="BT115" s="402">
        <v>74354</v>
      </c>
      <c r="BU115" s="330">
        <f t="shared" si="223"/>
        <v>-16.399999999999999</v>
      </c>
    </row>
    <row r="116" spans="1:73" s="173" customFormat="1">
      <c r="A116" s="325"/>
      <c r="B116" s="33" t="s">
        <v>50</v>
      </c>
      <c r="C116" s="326">
        <v>573</v>
      </c>
      <c r="D116" s="326">
        <v>508</v>
      </c>
      <c r="E116" s="326">
        <v>656</v>
      </c>
      <c r="F116" s="326">
        <v>1263</v>
      </c>
      <c r="G116" s="326">
        <v>1694</v>
      </c>
      <c r="H116" s="326">
        <v>2187</v>
      </c>
      <c r="I116" s="377">
        <v>3243</v>
      </c>
      <c r="J116" s="459">
        <v>3357</v>
      </c>
      <c r="K116" s="337">
        <v>284</v>
      </c>
      <c r="L116" s="416">
        <v>321</v>
      </c>
      <c r="M116" s="328">
        <f t="shared" si="203"/>
        <v>13</v>
      </c>
      <c r="N116" s="337">
        <f t="shared" si="224"/>
        <v>190</v>
      </c>
      <c r="O116" s="416">
        <f t="shared" si="225"/>
        <v>153</v>
      </c>
      <c r="P116" s="328">
        <f t="shared" si="204"/>
        <v>-19.5</v>
      </c>
      <c r="Q116" s="337">
        <v>474</v>
      </c>
      <c r="R116" s="416">
        <v>474</v>
      </c>
      <c r="S116" s="328">
        <f t="shared" si="205"/>
        <v>0</v>
      </c>
      <c r="T116" s="337">
        <f t="shared" si="226"/>
        <v>235</v>
      </c>
      <c r="U116" s="416">
        <f t="shared" si="227"/>
        <v>397</v>
      </c>
      <c r="V116" s="328">
        <f t="shared" si="206"/>
        <v>68.900000000000006</v>
      </c>
      <c r="W116" s="337">
        <v>709</v>
      </c>
      <c r="X116" s="416">
        <v>871</v>
      </c>
      <c r="Y116" s="328">
        <f t="shared" si="207"/>
        <v>22.8</v>
      </c>
      <c r="Z116" s="337">
        <f t="shared" si="228"/>
        <v>298</v>
      </c>
      <c r="AA116" s="416">
        <f t="shared" si="229"/>
        <v>288</v>
      </c>
      <c r="AB116" s="328">
        <f t="shared" si="208"/>
        <v>-3.4</v>
      </c>
      <c r="AC116" s="337">
        <v>1007</v>
      </c>
      <c r="AD116" s="416">
        <v>1159</v>
      </c>
      <c r="AE116" s="328">
        <f t="shared" si="209"/>
        <v>15.1</v>
      </c>
      <c r="AF116" s="337">
        <f t="shared" si="230"/>
        <v>254</v>
      </c>
      <c r="AG116" s="416">
        <f t="shared" si="230"/>
        <v>129</v>
      </c>
      <c r="AH116" s="328">
        <f t="shared" si="210"/>
        <v>-49.2</v>
      </c>
      <c r="AI116" s="337">
        <v>1261</v>
      </c>
      <c r="AJ116" s="416">
        <v>1288</v>
      </c>
      <c r="AK116" s="328">
        <f t="shared" si="211"/>
        <v>2.1</v>
      </c>
      <c r="AL116" s="337">
        <f t="shared" si="231"/>
        <v>304</v>
      </c>
      <c r="AM116" s="416">
        <f t="shared" si="232"/>
        <v>305</v>
      </c>
      <c r="AN116" s="328">
        <f t="shared" si="212"/>
        <v>0.3</v>
      </c>
      <c r="AO116" s="553">
        <v>1565</v>
      </c>
      <c r="AP116" s="416">
        <v>1593</v>
      </c>
      <c r="AQ116" s="328">
        <f t="shared" si="213"/>
        <v>1.8</v>
      </c>
      <c r="AR116" s="553">
        <f t="shared" si="233"/>
        <v>281</v>
      </c>
      <c r="AS116" s="416">
        <f t="shared" si="233"/>
        <v>254</v>
      </c>
      <c r="AT116" s="765">
        <f t="shared" si="214"/>
        <v>-9.6</v>
      </c>
      <c r="AU116" s="965">
        <v>1846</v>
      </c>
      <c r="AV116" s="966">
        <v>1847</v>
      </c>
      <c r="AW116" s="765">
        <f t="shared" si="215"/>
        <v>0.1</v>
      </c>
      <c r="AX116" s="553">
        <f t="shared" si="234"/>
        <v>278</v>
      </c>
      <c r="AY116" s="416">
        <f t="shared" si="235"/>
        <v>178</v>
      </c>
      <c r="AZ116" s="765">
        <f t="shared" si="216"/>
        <v>-36</v>
      </c>
      <c r="BA116" s="553">
        <v>2124</v>
      </c>
      <c r="BB116" s="416">
        <v>2025</v>
      </c>
      <c r="BC116" s="765">
        <f t="shared" si="217"/>
        <v>-4.7</v>
      </c>
      <c r="BD116" s="553">
        <f t="shared" si="236"/>
        <v>281</v>
      </c>
      <c r="BE116" s="416">
        <f t="shared" si="236"/>
        <v>234</v>
      </c>
      <c r="BF116" s="765">
        <f t="shared" si="218"/>
        <v>-16.7</v>
      </c>
      <c r="BG116" s="553">
        <v>2405</v>
      </c>
      <c r="BH116" s="416">
        <v>2259</v>
      </c>
      <c r="BI116" s="765">
        <f t="shared" si="219"/>
        <v>-6.1</v>
      </c>
      <c r="BJ116" s="553">
        <f t="shared" si="237"/>
        <v>343</v>
      </c>
      <c r="BK116" s="416">
        <f t="shared" si="237"/>
        <v>179</v>
      </c>
      <c r="BL116" s="765">
        <f t="shared" si="220"/>
        <v>-47.8</v>
      </c>
      <c r="BM116" s="553">
        <v>2748</v>
      </c>
      <c r="BN116" s="416">
        <v>2438</v>
      </c>
      <c r="BO116" s="765">
        <f t="shared" si="221"/>
        <v>-11.3</v>
      </c>
      <c r="BP116" s="553">
        <f t="shared" si="238"/>
        <v>292</v>
      </c>
      <c r="BQ116" s="416">
        <f t="shared" si="238"/>
        <v>257</v>
      </c>
      <c r="BR116" s="765">
        <f t="shared" si="222"/>
        <v>-12</v>
      </c>
      <c r="BS116" s="553">
        <v>3040</v>
      </c>
      <c r="BT116" s="416">
        <v>2695</v>
      </c>
      <c r="BU116" s="765">
        <f t="shared" si="223"/>
        <v>-11.3</v>
      </c>
    </row>
    <row r="117" spans="1:73" s="173" customFormat="1">
      <c r="A117" s="325" t="s">
        <v>134</v>
      </c>
      <c r="B117" s="33" t="s">
        <v>528</v>
      </c>
      <c r="C117" s="326">
        <v>567</v>
      </c>
      <c r="D117" s="326">
        <v>720</v>
      </c>
      <c r="E117" s="326">
        <v>682</v>
      </c>
      <c r="F117" s="326">
        <v>804</v>
      </c>
      <c r="G117" s="326">
        <v>843</v>
      </c>
      <c r="H117" s="326">
        <v>844</v>
      </c>
      <c r="I117" s="377">
        <v>909</v>
      </c>
      <c r="J117" s="459">
        <v>1022</v>
      </c>
      <c r="K117" s="337">
        <v>122</v>
      </c>
      <c r="L117" s="416">
        <v>97</v>
      </c>
      <c r="M117" s="328">
        <f t="shared" si="203"/>
        <v>-20.5</v>
      </c>
      <c r="N117" s="337">
        <f t="shared" si="224"/>
        <v>63</v>
      </c>
      <c r="O117" s="416">
        <f t="shared" si="225"/>
        <v>58</v>
      </c>
      <c r="P117" s="328">
        <f t="shared" si="204"/>
        <v>-7.9</v>
      </c>
      <c r="Q117" s="337">
        <v>185</v>
      </c>
      <c r="R117" s="416">
        <v>155</v>
      </c>
      <c r="S117" s="328">
        <f t="shared" si="205"/>
        <v>-16.2</v>
      </c>
      <c r="T117" s="337">
        <f t="shared" si="226"/>
        <v>122</v>
      </c>
      <c r="U117" s="416">
        <f t="shared" si="227"/>
        <v>131</v>
      </c>
      <c r="V117" s="328">
        <f t="shared" si="206"/>
        <v>7.4</v>
      </c>
      <c r="W117" s="337">
        <v>307</v>
      </c>
      <c r="X117" s="416">
        <v>286</v>
      </c>
      <c r="Y117" s="328">
        <f t="shared" si="207"/>
        <v>-6.8</v>
      </c>
      <c r="Z117" s="337">
        <f t="shared" si="228"/>
        <v>87</v>
      </c>
      <c r="AA117" s="416">
        <f t="shared" si="229"/>
        <v>51</v>
      </c>
      <c r="AB117" s="328">
        <f t="shared" si="208"/>
        <v>-41.4</v>
      </c>
      <c r="AC117" s="337">
        <v>394</v>
      </c>
      <c r="AD117" s="416">
        <v>337</v>
      </c>
      <c r="AE117" s="328">
        <f t="shared" si="209"/>
        <v>-14.5</v>
      </c>
      <c r="AF117" s="337">
        <f t="shared" si="230"/>
        <v>67</v>
      </c>
      <c r="AG117" s="416">
        <f t="shared" si="230"/>
        <v>108</v>
      </c>
      <c r="AH117" s="328">
        <f t="shared" si="210"/>
        <v>61.2</v>
      </c>
      <c r="AI117" s="337">
        <v>461</v>
      </c>
      <c r="AJ117" s="416">
        <v>445</v>
      </c>
      <c r="AK117" s="328">
        <f t="shared" si="211"/>
        <v>-3.5</v>
      </c>
      <c r="AL117" s="337">
        <f t="shared" si="231"/>
        <v>93</v>
      </c>
      <c r="AM117" s="416">
        <f t="shared" si="232"/>
        <v>130</v>
      </c>
      <c r="AN117" s="328">
        <f t="shared" si="212"/>
        <v>39.799999999999997</v>
      </c>
      <c r="AO117" s="553">
        <v>554</v>
      </c>
      <c r="AP117" s="416">
        <v>575</v>
      </c>
      <c r="AQ117" s="328">
        <f t="shared" si="213"/>
        <v>3.8</v>
      </c>
      <c r="AR117" s="553">
        <f t="shared" si="233"/>
        <v>79</v>
      </c>
      <c r="AS117" s="416">
        <f t="shared" si="233"/>
        <v>150</v>
      </c>
      <c r="AT117" s="765">
        <f t="shared" si="214"/>
        <v>89.9</v>
      </c>
      <c r="AU117" s="965">
        <v>633</v>
      </c>
      <c r="AV117" s="966">
        <v>725</v>
      </c>
      <c r="AW117" s="765">
        <f t="shared" si="215"/>
        <v>14.5</v>
      </c>
      <c r="AX117" s="553">
        <f t="shared" si="234"/>
        <v>105</v>
      </c>
      <c r="AY117" s="416">
        <f t="shared" si="235"/>
        <v>49</v>
      </c>
      <c r="AZ117" s="765">
        <f t="shared" si="216"/>
        <v>-53.3</v>
      </c>
      <c r="BA117" s="553">
        <v>738</v>
      </c>
      <c r="BB117" s="416">
        <v>774</v>
      </c>
      <c r="BC117" s="765">
        <f t="shared" si="217"/>
        <v>4.9000000000000004</v>
      </c>
      <c r="BD117" s="553">
        <f t="shared" si="236"/>
        <v>87</v>
      </c>
      <c r="BE117" s="416">
        <f t="shared" si="236"/>
        <v>30</v>
      </c>
      <c r="BF117" s="765">
        <f t="shared" si="218"/>
        <v>-65.5</v>
      </c>
      <c r="BG117" s="553">
        <v>825</v>
      </c>
      <c r="BH117" s="416">
        <v>804</v>
      </c>
      <c r="BI117" s="765">
        <f t="shared" si="219"/>
        <v>-2.5</v>
      </c>
      <c r="BJ117" s="553">
        <f t="shared" si="237"/>
        <v>70</v>
      </c>
      <c r="BK117" s="416">
        <f t="shared" si="237"/>
        <v>54</v>
      </c>
      <c r="BL117" s="765">
        <f t="shared" si="220"/>
        <v>-22.9</v>
      </c>
      <c r="BM117" s="553">
        <v>895</v>
      </c>
      <c r="BN117" s="416">
        <v>858</v>
      </c>
      <c r="BO117" s="765">
        <f t="shared" si="221"/>
        <v>-4.0999999999999996</v>
      </c>
      <c r="BP117" s="553">
        <f t="shared" si="238"/>
        <v>96</v>
      </c>
      <c r="BQ117" s="416">
        <f t="shared" si="238"/>
        <v>53</v>
      </c>
      <c r="BR117" s="765">
        <f t="shared" si="222"/>
        <v>-44.8</v>
      </c>
      <c r="BS117" s="553">
        <v>991</v>
      </c>
      <c r="BT117" s="416">
        <v>911</v>
      </c>
      <c r="BU117" s="765">
        <f t="shared" si="223"/>
        <v>-8.1</v>
      </c>
    </row>
    <row r="118" spans="1:73" s="173" customFormat="1">
      <c r="A118" s="325"/>
      <c r="B118" s="33" t="s">
        <v>57</v>
      </c>
      <c r="C118" s="326">
        <v>103</v>
      </c>
      <c r="D118" s="326">
        <v>88</v>
      </c>
      <c r="E118" s="326">
        <v>92</v>
      </c>
      <c r="F118" s="326">
        <v>60</v>
      </c>
      <c r="G118" s="326">
        <v>200</v>
      </c>
      <c r="H118" s="326">
        <v>637</v>
      </c>
      <c r="I118" s="377">
        <v>459</v>
      </c>
      <c r="J118" s="459">
        <v>543</v>
      </c>
      <c r="K118" s="337">
        <v>69</v>
      </c>
      <c r="L118" s="416">
        <v>41</v>
      </c>
      <c r="M118" s="328">
        <f t="shared" si="203"/>
        <v>-40.6</v>
      </c>
      <c r="N118" s="337">
        <f t="shared" si="224"/>
        <v>40</v>
      </c>
      <c r="O118" s="416">
        <f t="shared" si="225"/>
        <v>54</v>
      </c>
      <c r="P118" s="328">
        <f t="shared" si="204"/>
        <v>35</v>
      </c>
      <c r="Q118" s="337">
        <v>109</v>
      </c>
      <c r="R118" s="416">
        <v>95</v>
      </c>
      <c r="S118" s="328">
        <f t="shared" si="205"/>
        <v>-12.8</v>
      </c>
      <c r="T118" s="337">
        <f t="shared" si="226"/>
        <v>33</v>
      </c>
      <c r="U118" s="416">
        <f t="shared" si="227"/>
        <v>2</v>
      </c>
      <c r="V118" s="328">
        <f t="shared" si="206"/>
        <v>-93.9</v>
      </c>
      <c r="W118" s="337">
        <v>142</v>
      </c>
      <c r="X118" s="416">
        <v>97</v>
      </c>
      <c r="Y118" s="328">
        <f t="shared" si="207"/>
        <v>-31.7</v>
      </c>
      <c r="Z118" s="337">
        <f t="shared" si="228"/>
        <v>84</v>
      </c>
      <c r="AA118" s="416">
        <f t="shared" si="229"/>
        <v>47</v>
      </c>
      <c r="AB118" s="328">
        <f t="shared" si="208"/>
        <v>-44</v>
      </c>
      <c r="AC118" s="337">
        <v>226</v>
      </c>
      <c r="AD118" s="416">
        <v>144</v>
      </c>
      <c r="AE118" s="328">
        <f t="shared" si="209"/>
        <v>-36.299999999999997</v>
      </c>
      <c r="AF118" s="337">
        <f t="shared" si="230"/>
        <v>51</v>
      </c>
      <c r="AG118" s="416">
        <f t="shared" si="230"/>
        <v>42</v>
      </c>
      <c r="AH118" s="328">
        <f t="shared" si="210"/>
        <v>-17.600000000000001</v>
      </c>
      <c r="AI118" s="337">
        <v>277</v>
      </c>
      <c r="AJ118" s="416">
        <v>186</v>
      </c>
      <c r="AK118" s="328">
        <f t="shared" si="211"/>
        <v>-32.9</v>
      </c>
      <c r="AL118" s="337">
        <f t="shared" si="231"/>
        <v>45</v>
      </c>
      <c r="AM118" s="416">
        <f t="shared" si="232"/>
        <v>3</v>
      </c>
      <c r="AN118" s="328">
        <f t="shared" si="212"/>
        <v>-93.3</v>
      </c>
      <c r="AO118" s="553">
        <v>322</v>
      </c>
      <c r="AP118" s="416">
        <v>189</v>
      </c>
      <c r="AQ118" s="328">
        <f t="shared" si="213"/>
        <v>-41.3</v>
      </c>
      <c r="AR118" s="553">
        <f t="shared" si="233"/>
        <v>47</v>
      </c>
      <c r="AS118" s="416">
        <f t="shared" si="233"/>
        <v>44</v>
      </c>
      <c r="AT118" s="765">
        <f t="shared" si="214"/>
        <v>-6.4</v>
      </c>
      <c r="AU118" s="965">
        <v>369</v>
      </c>
      <c r="AV118" s="966">
        <v>233</v>
      </c>
      <c r="AW118" s="765">
        <f t="shared" si="215"/>
        <v>-36.9</v>
      </c>
      <c r="AX118" s="553">
        <f t="shared" si="234"/>
        <v>51</v>
      </c>
      <c r="AY118" s="416">
        <f t="shared" si="235"/>
        <v>49</v>
      </c>
      <c r="AZ118" s="765">
        <f t="shared" si="216"/>
        <v>-3.9</v>
      </c>
      <c r="BA118" s="553">
        <v>420</v>
      </c>
      <c r="BB118" s="416">
        <v>282</v>
      </c>
      <c r="BC118" s="765">
        <f t="shared" si="217"/>
        <v>-32.9</v>
      </c>
      <c r="BD118" s="553">
        <f t="shared" si="236"/>
        <v>21</v>
      </c>
      <c r="BE118" s="416">
        <f t="shared" si="236"/>
        <v>61</v>
      </c>
      <c r="BF118" s="765">
        <f t="shared" si="218"/>
        <v>190.5</v>
      </c>
      <c r="BG118" s="553">
        <v>441</v>
      </c>
      <c r="BH118" s="416">
        <v>343</v>
      </c>
      <c r="BI118" s="765">
        <f t="shared" si="219"/>
        <v>-22.2</v>
      </c>
      <c r="BJ118" s="553">
        <f t="shared" si="237"/>
        <v>49</v>
      </c>
      <c r="BK118" s="416">
        <f t="shared" si="237"/>
        <v>45</v>
      </c>
      <c r="BL118" s="765">
        <f t="shared" si="220"/>
        <v>-8.1999999999999993</v>
      </c>
      <c r="BM118" s="553">
        <v>490</v>
      </c>
      <c r="BN118" s="416">
        <v>388</v>
      </c>
      <c r="BO118" s="765">
        <f t="shared" si="221"/>
        <v>-20.8</v>
      </c>
      <c r="BP118" s="553">
        <f t="shared" si="238"/>
        <v>46</v>
      </c>
      <c r="BQ118" s="416">
        <f t="shared" si="238"/>
        <v>66</v>
      </c>
      <c r="BR118" s="765">
        <f t="shared" si="222"/>
        <v>43.5</v>
      </c>
      <c r="BS118" s="553">
        <v>536</v>
      </c>
      <c r="BT118" s="416">
        <v>454</v>
      </c>
      <c r="BU118" s="765">
        <f t="shared" si="223"/>
        <v>-15.3</v>
      </c>
    </row>
    <row r="119" spans="1:73" s="173" customFormat="1">
      <c r="A119" s="325"/>
      <c r="B119" s="33" t="s">
        <v>53</v>
      </c>
      <c r="C119" s="326">
        <v>233</v>
      </c>
      <c r="D119" s="326">
        <v>497</v>
      </c>
      <c r="E119" s="326">
        <v>686</v>
      </c>
      <c r="F119" s="326">
        <v>628</v>
      </c>
      <c r="G119" s="326">
        <v>612</v>
      </c>
      <c r="H119" s="326">
        <v>464</v>
      </c>
      <c r="I119" s="377">
        <v>413</v>
      </c>
      <c r="J119" s="459">
        <v>400</v>
      </c>
      <c r="K119" s="337">
        <v>36</v>
      </c>
      <c r="L119" s="416">
        <v>38</v>
      </c>
      <c r="M119" s="328">
        <f t="shared" si="203"/>
        <v>5.6</v>
      </c>
      <c r="N119" s="337">
        <f t="shared" si="224"/>
        <v>0</v>
      </c>
      <c r="O119" s="416">
        <f t="shared" si="225"/>
        <v>20</v>
      </c>
      <c r="P119" s="524">
        <v>0</v>
      </c>
      <c r="Q119" s="337">
        <v>36</v>
      </c>
      <c r="R119" s="416">
        <v>58</v>
      </c>
      <c r="S119" s="328">
        <f t="shared" si="205"/>
        <v>61.1</v>
      </c>
      <c r="T119" s="337">
        <f t="shared" si="226"/>
        <v>78</v>
      </c>
      <c r="U119" s="416">
        <f t="shared" si="227"/>
        <v>40</v>
      </c>
      <c r="V119" s="328">
        <f t="shared" si="206"/>
        <v>-48.7</v>
      </c>
      <c r="W119" s="337">
        <v>114</v>
      </c>
      <c r="X119" s="416">
        <v>98</v>
      </c>
      <c r="Y119" s="328">
        <f t="shared" si="207"/>
        <v>-14</v>
      </c>
      <c r="Z119" s="337">
        <f t="shared" si="228"/>
        <v>39</v>
      </c>
      <c r="AA119" s="416">
        <f t="shared" si="229"/>
        <v>2</v>
      </c>
      <c r="AB119" s="328">
        <f t="shared" si="208"/>
        <v>-94.9</v>
      </c>
      <c r="AC119" s="337">
        <v>153</v>
      </c>
      <c r="AD119" s="416">
        <v>100</v>
      </c>
      <c r="AE119" s="328">
        <f t="shared" si="209"/>
        <v>-34.6</v>
      </c>
      <c r="AF119" s="337">
        <f t="shared" si="230"/>
        <v>32</v>
      </c>
      <c r="AG119" s="416">
        <f t="shared" si="230"/>
        <v>38</v>
      </c>
      <c r="AH119" s="328">
        <f t="shared" si="210"/>
        <v>18.8</v>
      </c>
      <c r="AI119" s="337">
        <v>185</v>
      </c>
      <c r="AJ119" s="416">
        <v>138</v>
      </c>
      <c r="AK119" s="328">
        <f t="shared" si="211"/>
        <v>-25.4</v>
      </c>
      <c r="AL119" s="337">
        <f t="shared" si="231"/>
        <v>26</v>
      </c>
      <c r="AM119" s="416">
        <f t="shared" si="232"/>
        <v>77</v>
      </c>
      <c r="AN119" s="328">
        <f t="shared" si="212"/>
        <v>196.2</v>
      </c>
      <c r="AO119" s="553">
        <v>211</v>
      </c>
      <c r="AP119" s="416">
        <v>215</v>
      </c>
      <c r="AQ119" s="328">
        <f t="shared" si="213"/>
        <v>1.9</v>
      </c>
      <c r="AR119" s="553">
        <f t="shared" si="233"/>
        <v>1</v>
      </c>
      <c r="AS119" s="416">
        <f t="shared" si="233"/>
        <v>101</v>
      </c>
      <c r="AT119" s="765">
        <f t="shared" si="214"/>
        <v>10000</v>
      </c>
      <c r="AU119" s="965">
        <v>212</v>
      </c>
      <c r="AV119" s="966">
        <v>316</v>
      </c>
      <c r="AW119" s="765">
        <f t="shared" si="215"/>
        <v>49.1</v>
      </c>
      <c r="AX119" s="553">
        <f t="shared" si="234"/>
        <v>60</v>
      </c>
      <c r="AY119" s="416">
        <f t="shared" si="235"/>
        <v>0</v>
      </c>
      <c r="AZ119" s="765">
        <f t="shared" si="216"/>
        <v>-100</v>
      </c>
      <c r="BA119" s="553">
        <v>272</v>
      </c>
      <c r="BB119" s="416">
        <v>316</v>
      </c>
      <c r="BC119" s="765">
        <f t="shared" si="217"/>
        <v>16.2</v>
      </c>
      <c r="BD119" s="553">
        <f t="shared" si="236"/>
        <v>0</v>
      </c>
      <c r="BE119" s="416">
        <f t="shared" si="236"/>
        <v>1</v>
      </c>
      <c r="BF119" s="799">
        <v>0</v>
      </c>
      <c r="BG119" s="553">
        <v>272</v>
      </c>
      <c r="BH119" s="416">
        <v>317</v>
      </c>
      <c r="BI119" s="765">
        <f t="shared" si="219"/>
        <v>16.5</v>
      </c>
      <c r="BJ119" s="553">
        <f t="shared" si="237"/>
        <v>85</v>
      </c>
      <c r="BK119" s="416">
        <f t="shared" si="237"/>
        <v>20</v>
      </c>
      <c r="BL119" s="753">
        <f>ROUND(((BK119/BJ119-1)*100), 1)</f>
        <v>-76.5</v>
      </c>
      <c r="BM119" s="553">
        <v>357</v>
      </c>
      <c r="BN119" s="416">
        <v>337</v>
      </c>
      <c r="BO119" s="765">
        <f t="shared" si="221"/>
        <v>-5.6</v>
      </c>
      <c r="BP119" s="553">
        <f t="shared" si="238"/>
        <v>20</v>
      </c>
      <c r="BQ119" s="416">
        <f t="shared" si="238"/>
        <v>40</v>
      </c>
      <c r="BR119" s="753">
        <f t="shared" si="222"/>
        <v>100</v>
      </c>
      <c r="BS119" s="553">
        <v>377</v>
      </c>
      <c r="BT119" s="416">
        <v>377</v>
      </c>
      <c r="BU119" s="765">
        <f t="shared" si="223"/>
        <v>0</v>
      </c>
    </row>
    <row r="120" spans="1:73" s="173" customFormat="1">
      <c r="A120" s="325"/>
      <c r="B120" s="33" t="s">
        <v>51</v>
      </c>
      <c r="C120" s="326">
        <v>116</v>
      </c>
      <c r="D120" s="326">
        <v>175</v>
      </c>
      <c r="E120" s="326">
        <v>187</v>
      </c>
      <c r="F120" s="326">
        <v>188</v>
      </c>
      <c r="G120" s="326">
        <v>137</v>
      </c>
      <c r="H120" s="326">
        <v>162</v>
      </c>
      <c r="I120" s="377">
        <v>148</v>
      </c>
      <c r="J120" s="459">
        <v>176</v>
      </c>
      <c r="K120" s="337">
        <v>16</v>
      </c>
      <c r="L120" s="416">
        <v>14</v>
      </c>
      <c r="M120" s="328">
        <f t="shared" si="203"/>
        <v>-12.5</v>
      </c>
      <c r="N120" s="337">
        <f t="shared" si="224"/>
        <v>8</v>
      </c>
      <c r="O120" s="416">
        <f t="shared" si="225"/>
        <v>39</v>
      </c>
      <c r="P120" s="328">
        <f t="shared" si="204"/>
        <v>387.5</v>
      </c>
      <c r="Q120" s="337">
        <v>24</v>
      </c>
      <c r="R120" s="416">
        <v>53</v>
      </c>
      <c r="S120" s="328">
        <f t="shared" si="205"/>
        <v>120.8</v>
      </c>
      <c r="T120" s="337">
        <f t="shared" si="226"/>
        <v>15</v>
      </c>
      <c r="U120" s="416">
        <f t="shared" si="227"/>
        <v>11</v>
      </c>
      <c r="V120" s="328">
        <f t="shared" si="206"/>
        <v>-26.7</v>
      </c>
      <c r="W120" s="337">
        <v>39</v>
      </c>
      <c r="X120" s="416">
        <v>64</v>
      </c>
      <c r="Y120" s="328">
        <f t="shared" si="207"/>
        <v>64.099999999999994</v>
      </c>
      <c r="Z120" s="337">
        <f t="shared" si="228"/>
        <v>33</v>
      </c>
      <c r="AA120" s="416">
        <f t="shared" si="229"/>
        <v>48</v>
      </c>
      <c r="AB120" s="328">
        <f t="shared" si="208"/>
        <v>45.5</v>
      </c>
      <c r="AC120" s="337">
        <v>72</v>
      </c>
      <c r="AD120" s="416">
        <v>112</v>
      </c>
      <c r="AE120" s="328">
        <f t="shared" si="209"/>
        <v>55.6</v>
      </c>
      <c r="AF120" s="337">
        <f t="shared" si="230"/>
        <v>12</v>
      </c>
      <c r="AG120" s="416">
        <f t="shared" si="230"/>
        <v>48</v>
      </c>
      <c r="AH120" s="328">
        <f t="shared" si="210"/>
        <v>300</v>
      </c>
      <c r="AI120" s="337">
        <v>84</v>
      </c>
      <c r="AJ120" s="416">
        <v>160</v>
      </c>
      <c r="AK120" s="328">
        <f t="shared" si="211"/>
        <v>90.5</v>
      </c>
      <c r="AL120" s="337">
        <f t="shared" si="231"/>
        <v>0</v>
      </c>
      <c r="AM120" s="416">
        <f t="shared" si="232"/>
        <v>49</v>
      </c>
      <c r="AN120" s="799">
        <v>0</v>
      </c>
      <c r="AO120" s="553">
        <v>84</v>
      </c>
      <c r="AP120" s="416">
        <v>209</v>
      </c>
      <c r="AQ120" s="328">
        <f t="shared" si="213"/>
        <v>148.80000000000001</v>
      </c>
      <c r="AR120" s="553">
        <f t="shared" si="233"/>
        <v>27</v>
      </c>
      <c r="AS120" s="416">
        <f t="shared" si="233"/>
        <v>85</v>
      </c>
      <c r="AT120" s="753">
        <f t="shared" si="214"/>
        <v>214.8</v>
      </c>
      <c r="AU120" s="965">
        <v>111</v>
      </c>
      <c r="AV120" s="966">
        <v>294</v>
      </c>
      <c r="AW120" s="765">
        <f t="shared" si="215"/>
        <v>164.9</v>
      </c>
      <c r="AX120" s="553">
        <f t="shared" si="234"/>
        <v>15</v>
      </c>
      <c r="AY120" s="416">
        <f t="shared" si="235"/>
        <v>77</v>
      </c>
      <c r="AZ120" s="753">
        <f t="shared" si="216"/>
        <v>413.3</v>
      </c>
      <c r="BA120" s="553">
        <v>126</v>
      </c>
      <c r="BB120" s="416">
        <v>371</v>
      </c>
      <c r="BC120" s="765">
        <f t="shared" si="217"/>
        <v>194.4</v>
      </c>
      <c r="BD120" s="553">
        <f t="shared" si="236"/>
        <v>25</v>
      </c>
      <c r="BE120" s="416">
        <f t="shared" si="236"/>
        <v>53</v>
      </c>
      <c r="BF120" s="753">
        <f t="shared" si="218"/>
        <v>112</v>
      </c>
      <c r="BG120" s="553">
        <v>151</v>
      </c>
      <c r="BH120" s="416">
        <v>424</v>
      </c>
      <c r="BI120" s="765">
        <f t="shared" si="219"/>
        <v>180.8</v>
      </c>
      <c r="BJ120" s="553">
        <f t="shared" si="237"/>
        <v>7</v>
      </c>
      <c r="BK120" s="416">
        <f t="shared" si="237"/>
        <v>51</v>
      </c>
      <c r="BL120" s="753">
        <f t="shared" ref="BL120" si="239">ROUND(((BK120/BJ120-1)*100), 1)</f>
        <v>628.6</v>
      </c>
      <c r="BM120" s="553">
        <v>158</v>
      </c>
      <c r="BN120" s="416">
        <v>475</v>
      </c>
      <c r="BO120" s="765">
        <f t="shared" si="221"/>
        <v>200.6</v>
      </c>
      <c r="BP120" s="553">
        <f t="shared" si="238"/>
        <v>16</v>
      </c>
      <c r="BQ120" s="416">
        <f t="shared" si="238"/>
        <v>80</v>
      </c>
      <c r="BR120" s="753">
        <f t="shared" si="222"/>
        <v>400</v>
      </c>
      <c r="BS120" s="553">
        <v>174</v>
      </c>
      <c r="BT120" s="416">
        <v>555</v>
      </c>
      <c r="BU120" s="765">
        <f t="shared" si="223"/>
        <v>219</v>
      </c>
    </row>
    <row r="121" spans="1:73" s="173" customFormat="1">
      <c r="A121" s="325"/>
      <c r="B121" s="33" t="s">
        <v>54</v>
      </c>
      <c r="C121" s="326">
        <v>305</v>
      </c>
      <c r="D121" s="326">
        <v>399</v>
      </c>
      <c r="E121" s="326">
        <v>414</v>
      </c>
      <c r="F121" s="326">
        <v>129</v>
      </c>
      <c r="G121" s="326">
        <v>210</v>
      </c>
      <c r="H121" s="326">
        <v>226</v>
      </c>
      <c r="I121" s="377">
        <v>207</v>
      </c>
      <c r="J121" s="459">
        <v>163</v>
      </c>
      <c r="K121" s="337">
        <v>15</v>
      </c>
      <c r="L121" s="416">
        <v>8</v>
      </c>
      <c r="M121" s="328">
        <f t="shared" si="203"/>
        <v>-46.7</v>
      </c>
      <c r="N121" s="337">
        <f t="shared" si="224"/>
        <v>11</v>
      </c>
      <c r="O121" s="416">
        <f t="shared" si="225"/>
        <v>11</v>
      </c>
      <c r="P121" s="328">
        <f t="shared" si="204"/>
        <v>0</v>
      </c>
      <c r="Q121" s="337">
        <v>26</v>
      </c>
      <c r="R121" s="416">
        <v>19</v>
      </c>
      <c r="S121" s="328">
        <f t="shared" si="205"/>
        <v>-26.9</v>
      </c>
      <c r="T121" s="337">
        <f t="shared" si="226"/>
        <v>13</v>
      </c>
      <c r="U121" s="416">
        <f t="shared" si="227"/>
        <v>19</v>
      </c>
      <c r="V121" s="328">
        <f t="shared" si="206"/>
        <v>46.2</v>
      </c>
      <c r="W121" s="337">
        <v>39</v>
      </c>
      <c r="X121" s="416">
        <v>38</v>
      </c>
      <c r="Y121" s="328">
        <f t="shared" si="207"/>
        <v>-2.6</v>
      </c>
      <c r="Z121" s="337">
        <f t="shared" si="228"/>
        <v>16</v>
      </c>
      <c r="AA121" s="416">
        <f t="shared" si="229"/>
        <v>2</v>
      </c>
      <c r="AB121" s="328">
        <f t="shared" si="208"/>
        <v>-87.5</v>
      </c>
      <c r="AC121" s="337">
        <v>55</v>
      </c>
      <c r="AD121" s="416">
        <v>40</v>
      </c>
      <c r="AE121" s="328">
        <f t="shared" si="209"/>
        <v>-27.3</v>
      </c>
      <c r="AF121" s="337">
        <f t="shared" si="230"/>
        <v>10</v>
      </c>
      <c r="AG121" s="416">
        <f t="shared" si="230"/>
        <v>14</v>
      </c>
      <c r="AH121" s="328">
        <f t="shared" si="210"/>
        <v>40</v>
      </c>
      <c r="AI121" s="337">
        <v>65</v>
      </c>
      <c r="AJ121" s="416">
        <v>54</v>
      </c>
      <c r="AK121" s="328">
        <f t="shared" si="211"/>
        <v>-16.899999999999999</v>
      </c>
      <c r="AL121" s="337">
        <f t="shared" si="231"/>
        <v>14</v>
      </c>
      <c r="AM121" s="416">
        <f t="shared" si="232"/>
        <v>7</v>
      </c>
      <c r="AN121" s="328">
        <f t="shared" si="212"/>
        <v>-50</v>
      </c>
      <c r="AO121" s="553">
        <v>79</v>
      </c>
      <c r="AP121" s="416">
        <v>61</v>
      </c>
      <c r="AQ121" s="328">
        <f t="shared" si="213"/>
        <v>-22.8</v>
      </c>
      <c r="AR121" s="553">
        <f t="shared" si="233"/>
        <v>23</v>
      </c>
      <c r="AS121" s="416">
        <f t="shared" si="233"/>
        <v>6</v>
      </c>
      <c r="AT121" s="765">
        <f>ROUND(((AS121/AR121-1)*100), 1)</f>
        <v>-73.900000000000006</v>
      </c>
      <c r="AU121" s="965">
        <v>102</v>
      </c>
      <c r="AV121" s="966">
        <v>67</v>
      </c>
      <c r="AW121" s="765">
        <f t="shared" si="215"/>
        <v>-34.299999999999997</v>
      </c>
      <c r="AX121" s="553">
        <f t="shared" si="234"/>
        <v>20</v>
      </c>
      <c r="AY121" s="416">
        <f t="shared" si="235"/>
        <v>5</v>
      </c>
      <c r="AZ121" s="765">
        <f>ROUND(((AY121/AX121-1)*100), 1)</f>
        <v>-75</v>
      </c>
      <c r="BA121" s="553">
        <v>122</v>
      </c>
      <c r="BB121" s="416">
        <v>72</v>
      </c>
      <c r="BC121" s="765">
        <f t="shared" si="217"/>
        <v>-41</v>
      </c>
      <c r="BD121" s="553">
        <f t="shared" si="236"/>
        <v>9</v>
      </c>
      <c r="BE121" s="416">
        <f t="shared" si="236"/>
        <v>16</v>
      </c>
      <c r="BF121" s="765">
        <f>ROUND(((BE121/BD121-1)*100), 1)</f>
        <v>77.8</v>
      </c>
      <c r="BG121" s="553">
        <v>131</v>
      </c>
      <c r="BH121" s="416">
        <v>88</v>
      </c>
      <c r="BI121" s="765">
        <f t="shared" si="219"/>
        <v>-32.799999999999997</v>
      </c>
      <c r="BJ121" s="553">
        <f t="shared" si="237"/>
        <v>15</v>
      </c>
      <c r="BK121" s="416">
        <f t="shared" si="237"/>
        <v>11</v>
      </c>
      <c r="BL121" s="765">
        <f>ROUND(((BK121/BJ121-1)*100), 1)</f>
        <v>-26.7</v>
      </c>
      <c r="BM121" s="553">
        <v>146</v>
      </c>
      <c r="BN121" s="416">
        <v>99</v>
      </c>
      <c r="BO121" s="765">
        <f t="shared" si="221"/>
        <v>-32.200000000000003</v>
      </c>
      <c r="BP121" s="553">
        <f t="shared" si="238"/>
        <v>9</v>
      </c>
      <c r="BQ121" s="416">
        <f t="shared" si="238"/>
        <v>7</v>
      </c>
      <c r="BR121" s="765">
        <f t="shared" si="222"/>
        <v>-22.2</v>
      </c>
      <c r="BS121" s="553">
        <v>155</v>
      </c>
      <c r="BT121" s="416">
        <v>106</v>
      </c>
      <c r="BU121" s="765">
        <f t="shared" si="223"/>
        <v>-31.6</v>
      </c>
    </row>
    <row r="122" spans="1:73" s="173" customFormat="1">
      <c r="A122" s="325"/>
      <c r="B122" s="33" t="s">
        <v>52</v>
      </c>
      <c r="C122" s="326">
        <v>10</v>
      </c>
      <c r="D122" s="326">
        <v>16</v>
      </c>
      <c r="E122" s="326">
        <v>27</v>
      </c>
      <c r="F122" s="326">
        <v>124</v>
      </c>
      <c r="G122" s="326">
        <v>26</v>
      </c>
      <c r="H122" s="326">
        <v>49</v>
      </c>
      <c r="I122" s="377">
        <v>52</v>
      </c>
      <c r="J122" s="459">
        <v>72</v>
      </c>
      <c r="K122" s="337">
        <v>0</v>
      </c>
      <c r="L122" s="416">
        <v>19</v>
      </c>
      <c r="M122" s="177">
        <v>0</v>
      </c>
      <c r="N122" s="337">
        <f t="shared" si="224"/>
        <v>4</v>
      </c>
      <c r="O122" s="416">
        <f t="shared" si="225"/>
        <v>20</v>
      </c>
      <c r="P122" s="242">
        <f>ROUND(((O122/N122-1)*100), 1)</f>
        <v>400</v>
      </c>
      <c r="Q122" s="337">
        <v>4</v>
      </c>
      <c r="R122" s="416">
        <v>39</v>
      </c>
      <c r="S122" s="242">
        <f>ROUND(((R122/Q122-1)*100), 1)</f>
        <v>875</v>
      </c>
      <c r="T122" s="337">
        <f t="shared" si="226"/>
        <v>7</v>
      </c>
      <c r="U122" s="416">
        <f t="shared" si="227"/>
        <v>23</v>
      </c>
      <c r="V122" s="242">
        <f>ROUND(((U122/T122-1)*100), 1)</f>
        <v>228.6</v>
      </c>
      <c r="W122" s="337">
        <v>11</v>
      </c>
      <c r="X122" s="416">
        <v>62</v>
      </c>
      <c r="Y122" s="242">
        <f>ROUND(((X122/W122-1)*100), 1)</f>
        <v>463.6</v>
      </c>
      <c r="Z122" s="337">
        <f t="shared" si="228"/>
        <v>0</v>
      </c>
      <c r="AA122" s="416">
        <f t="shared" si="229"/>
        <v>18</v>
      </c>
      <c r="AB122" s="521">
        <v>0</v>
      </c>
      <c r="AC122" s="337">
        <v>11</v>
      </c>
      <c r="AD122" s="416">
        <v>80</v>
      </c>
      <c r="AE122" s="242">
        <f>ROUND(((AD122/AC122-1)*100), 1)</f>
        <v>627.29999999999995</v>
      </c>
      <c r="AF122" s="337">
        <f t="shared" si="230"/>
        <v>8</v>
      </c>
      <c r="AG122" s="416">
        <f t="shared" si="230"/>
        <v>1</v>
      </c>
      <c r="AH122" s="242">
        <f>ROUND(((AG122/AF122-1)*100), 1)</f>
        <v>-87.5</v>
      </c>
      <c r="AI122" s="337">
        <v>19</v>
      </c>
      <c r="AJ122" s="416">
        <v>81</v>
      </c>
      <c r="AK122" s="242">
        <f>ROUND(((AJ122/AI122-1)*100), 1)</f>
        <v>326.3</v>
      </c>
      <c r="AL122" s="337">
        <f t="shared" si="231"/>
        <v>15</v>
      </c>
      <c r="AM122" s="416">
        <f t="shared" si="232"/>
        <v>0</v>
      </c>
      <c r="AN122" s="242">
        <f>ROUND(((AM122/AL122-1)*100), 1)</f>
        <v>-100</v>
      </c>
      <c r="AO122" s="553">
        <v>34</v>
      </c>
      <c r="AP122" s="416">
        <v>81</v>
      </c>
      <c r="AQ122" s="242">
        <f>ROUND(((AP122/AO122-1)*100), 1)</f>
        <v>138.19999999999999</v>
      </c>
      <c r="AR122" s="553">
        <f t="shared" si="233"/>
        <v>10</v>
      </c>
      <c r="AS122" s="416">
        <f t="shared" si="233"/>
        <v>15</v>
      </c>
      <c r="AT122" s="753">
        <f>ROUND(((AS122/AR122-1)*100), 1)</f>
        <v>50</v>
      </c>
      <c r="AU122" s="965">
        <v>44</v>
      </c>
      <c r="AV122" s="966">
        <v>96</v>
      </c>
      <c r="AW122" s="753">
        <f>ROUND(((AV122/AU122-1)*100), 1)</f>
        <v>118.2</v>
      </c>
      <c r="AX122" s="553">
        <f t="shared" si="234"/>
        <v>4</v>
      </c>
      <c r="AY122" s="416">
        <f t="shared" si="235"/>
        <v>4</v>
      </c>
      <c r="AZ122" s="753">
        <f>ROUND(((AY122/AX122-1)*100), 1)</f>
        <v>0</v>
      </c>
      <c r="BA122" s="553">
        <v>48</v>
      </c>
      <c r="BB122" s="416">
        <v>100</v>
      </c>
      <c r="BC122" s="753">
        <f>ROUND(((BB122/BA122-1)*100), 1)</f>
        <v>108.3</v>
      </c>
      <c r="BD122" s="553">
        <f t="shared" si="236"/>
        <v>2</v>
      </c>
      <c r="BE122" s="416">
        <f t="shared" si="236"/>
        <v>5</v>
      </c>
      <c r="BF122" s="753">
        <f>ROUND(((BE122/BD122-1)*100), 1)</f>
        <v>150</v>
      </c>
      <c r="BG122" s="553">
        <v>50</v>
      </c>
      <c r="BH122" s="416">
        <v>105</v>
      </c>
      <c r="BI122" s="753">
        <f>ROUND(((BH122/BG122-1)*100), 1)</f>
        <v>110</v>
      </c>
      <c r="BJ122" s="553">
        <f t="shared" si="237"/>
        <v>17</v>
      </c>
      <c r="BK122" s="416">
        <f t="shared" si="237"/>
        <v>2</v>
      </c>
      <c r="BL122" s="753">
        <f>ROUND(((BK122/BJ122-1)*100), 1)</f>
        <v>-88.2</v>
      </c>
      <c r="BM122" s="553">
        <v>67</v>
      </c>
      <c r="BN122" s="416">
        <v>107</v>
      </c>
      <c r="BO122" s="753">
        <f>ROUND(((BN122/BM122-1)*100), 1)</f>
        <v>59.7</v>
      </c>
      <c r="BP122" s="553">
        <f t="shared" si="238"/>
        <v>0</v>
      </c>
      <c r="BQ122" s="416">
        <f t="shared" si="238"/>
        <v>2</v>
      </c>
      <c r="BR122" s="799">
        <v>0</v>
      </c>
      <c r="BS122" s="553">
        <v>67</v>
      </c>
      <c r="BT122" s="416">
        <v>109</v>
      </c>
      <c r="BU122" s="753">
        <f t="shared" si="223"/>
        <v>62.7</v>
      </c>
    </row>
    <row r="123" spans="1:73" s="173" customFormat="1">
      <c r="A123" s="325"/>
      <c r="B123" s="33" t="s">
        <v>406</v>
      </c>
      <c r="C123" s="326">
        <v>0</v>
      </c>
      <c r="D123" s="326">
        <v>0</v>
      </c>
      <c r="E123" s="326">
        <v>0</v>
      </c>
      <c r="F123" s="326">
        <v>1</v>
      </c>
      <c r="G123" s="326">
        <v>99</v>
      </c>
      <c r="H123" s="326">
        <v>113</v>
      </c>
      <c r="I123" s="377">
        <v>111</v>
      </c>
      <c r="J123" s="459">
        <v>64</v>
      </c>
      <c r="K123" s="337">
        <v>0</v>
      </c>
      <c r="L123" s="416">
        <v>0</v>
      </c>
      <c r="M123" s="177">
        <v>0</v>
      </c>
      <c r="N123" s="337">
        <f t="shared" si="224"/>
        <v>0</v>
      </c>
      <c r="O123" s="416">
        <f t="shared" si="225"/>
        <v>0</v>
      </c>
      <c r="P123" s="177">
        <v>0</v>
      </c>
      <c r="Q123" s="337">
        <v>0</v>
      </c>
      <c r="R123" s="416">
        <v>0</v>
      </c>
      <c r="S123" s="177">
        <v>0</v>
      </c>
      <c r="T123" s="337">
        <f t="shared" si="226"/>
        <v>0</v>
      </c>
      <c r="U123" s="416">
        <f t="shared" si="227"/>
        <v>0</v>
      </c>
      <c r="V123" s="177">
        <v>0</v>
      </c>
      <c r="W123" s="337">
        <v>0</v>
      </c>
      <c r="X123" s="416">
        <v>0</v>
      </c>
      <c r="Y123" s="177">
        <v>0</v>
      </c>
      <c r="Z123" s="337">
        <f t="shared" si="228"/>
        <v>0</v>
      </c>
      <c r="AA123" s="416">
        <f t="shared" si="229"/>
        <v>1</v>
      </c>
      <c r="AB123" s="521">
        <v>0</v>
      </c>
      <c r="AC123" s="337">
        <v>0</v>
      </c>
      <c r="AD123" s="416">
        <v>1</v>
      </c>
      <c r="AE123" s="521">
        <v>0</v>
      </c>
      <c r="AF123" s="337">
        <f t="shared" si="230"/>
        <v>0</v>
      </c>
      <c r="AG123" s="416">
        <f t="shared" si="230"/>
        <v>0</v>
      </c>
      <c r="AH123" s="521">
        <v>0</v>
      </c>
      <c r="AI123" s="337">
        <v>0</v>
      </c>
      <c r="AJ123" s="416">
        <v>1</v>
      </c>
      <c r="AK123" s="521">
        <v>0</v>
      </c>
      <c r="AL123" s="337">
        <f t="shared" si="231"/>
        <v>0</v>
      </c>
      <c r="AM123" s="416">
        <f t="shared" si="232"/>
        <v>0</v>
      </c>
      <c r="AN123" s="521">
        <v>0</v>
      </c>
      <c r="AO123" s="553">
        <v>0</v>
      </c>
      <c r="AP123" s="416">
        <v>1</v>
      </c>
      <c r="AQ123" s="521">
        <v>0</v>
      </c>
      <c r="AR123" s="553">
        <f t="shared" si="233"/>
        <v>15</v>
      </c>
      <c r="AS123" s="416">
        <f t="shared" si="233"/>
        <v>99</v>
      </c>
      <c r="AT123" s="753">
        <f t="shared" ref="AT123" si="240">ROUND(((AS123/AR123-1)*100), 1)</f>
        <v>560</v>
      </c>
      <c r="AU123" s="965">
        <v>15</v>
      </c>
      <c r="AV123" s="966">
        <v>100</v>
      </c>
      <c r="AW123" s="753">
        <f t="shared" ref="AW123" si="241">ROUND(((AV123/AU123-1)*100), 1)</f>
        <v>566.70000000000005</v>
      </c>
      <c r="AX123" s="553">
        <f t="shared" si="234"/>
        <v>0</v>
      </c>
      <c r="AY123" s="416">
        <f t="shared" si="235"/>
        <v>0</v>
      </c>
      <c r="AZ123" s="799">
        <v>0</v>
      </c>
      <c r="BA123" s="553">
        <v>15</v>
      </c>
      <c r="BB123" s="416">
        <v>100</v>
      </c>
      <c r="BC123" s="753">
        <f t="shared" ref="BC123" si="242">ROUND(((BB123/BA123-1)*100), 1)</f>
        <v>566.70000000000005</v>
      </c>
      <c r="BD123" s="553">
        <f t="shared" si="236"/>
        <v>49</v>
      </c>
      <c r="BE123" s="416">
        <f t="shared" si="236"/>
        <v>0</v>
      </c>
      <c r="BF123" s="753">
        <f>ROUND(((BE123/BD123-1)*100), 1)</f>
        <v>-100</v>
      </c>
      <c r="BG123" s="553">
        <v>64</v>
      </c>
      <c r="BH123" s="416">
        <v>100</v>
      </c>
      <c r="BI123" s="753">
        <f t="shared" ref="BI123" si="243">ROUND(((BH123/BG123-1)*100), 1)</f>
        <v>56.3</v>
      </c>
      <c r="BJ123" s="553">
        <f t="shared" si="237"/>
        <v>0</v>
      </c>
      <c r="BK123" s="416">
        <f t="shared" si="237"/>
        <v>0</v>
      </c>
      <c r="BL123" s="753" t="e">
        <f>ROUND(((BK123/BJ123-1)*100), 1)</f>
        <v>#DIV/0!</v>
      </c>
      <c r="BM123" s="553">
        <v>64</v>
      </c>
      <c r="BN123" s="416">
        <v>100</v>
      </c>
      <c r="BO123" s="753">
        <f t="shared" ref="BO123" si="244">ROUND(((BN123/BM123-1)*100), 1)</f>
        <v>56.3</v>
      </c>
      <c r="BP123" s="553">
        <f t="shared" si="238"/>
        <v>0</v>
      </c>
      <c r="BQ123" s="416">
        <f t="shared" si="238"/>
        <v>0</v>
      </c>
      <c r="BR123" s="799">
        <v>0</v>
      </c>
      <c r="BS123" s="553">
        <v>64</v>
      </c>
      <c r="BT123" s="416">
        <v>100</v>
      </c>
      <c r="BU123" s="753">
        <f t="shared" si="223"/>
        <v>56.3</v>
      </c>
    </row>
    <row r="124" spans="1:73" s="173" customFormat="1">
      <c r="A124" s="325"/>
      <c r="B124" s="43" t="s">
        <v>407</v>
      </c>
      <c r="C124" s="188">
        <v>3</v>
      </c>
      <c r="D124" s="188">
        <v>5</v>
      </c>
      <c r="E124" s="188">
        <v>2</v>
      </c>
      <c r="F124" s="188">
        <v>4</v>
      </c>
      <c r="G124" s="188">
        <v>10</v>
      </c>
      <c r="H124" s="188">
        <v>2</v>
      </c>
      <c r="I124" s="362">
        <v>25</v>
      </c>
      <c r="J124" s="459">
        <v>33</v>
      </c>
      <c r="K124" s="337">
        <v>0</v>
      </c>
      <c r="L124" s="416">
        <v>0</v>
      </c>
      <c r="M124" s="177">
        <v>0</v>
      </c>
      <c r="N124" s="337">
        <f t="shared" si="224"/>
        <v>0</v>
      </c>
      <c r="O124" s="416">
        <f t="shared" si="225"/>
        <v>0</v>
      </c>
      <c r="P124" s="177">
        <v>0</v>
      </c>
      <c r="Q124" s="337">
        <v>0</v>
      </c>
      <c r="R124" s="416">
        <v>0</v>
      </c>
      <c r="S124" s="177">
        <v>0</v>
      </c>
      <c r="T124" s="337">
        <f t="shared" si="226"/>
        <v>0</v>
      </c>
      <c r="U124" s="416">
        <f t="shared" si="227"/>
        <v>0</v>
      </c>
      <c r="V124" s="177">
        <v>0</v>
      </c>
      <c r="W124" s="337">
        <v>0</v>
      </c>
      <c r="X124" s="416">
        <v>0</v>
      </c>
      <c r="Y124" s="177">
        <v>0</v>
      </c>
      <c r="Z124" s="337">
        <f t="shared" si="228"/>
        <v>1</v>
      </c>
      <c r="AA124" s="416">
        <f t="shared" si="229"/>
        <v>2</v>
      </c>
      <c r="AB124" s="242">
        <f>ROUND(((AA124/Z124-1)*100), 1)</f>
        <v>100</v>
      </c>
      <c r="AC124" s="337">
        <v>1</v>
      </c>
      <c r="AD124" s="416">
        <v>2</v>
      </c>
      <c r="AE124" s="242">
        <f>ROUND(((AD124/AC124-1)*100), 1)</f>
        <v>100</v>
      </c>
      <c r="AF124" s="337">
        <f t="shared" si="230"/>
        <v>0</v>
      </c>
      <c r="AG124" s="416">
        <f t="shared" si="230"/>
        <v>0</v>
      </c>
      <c r="AH124" s="521">
        <v>0</v>
      </c>
      <c r="AI124" s="337">
        <v>1</v>
      </c>
      <c r="AJ124" s="416">
        <v>2</v>
      </c>
      <c r="AK124" s="242">
        <f>ROUND(((AJ124/AI124-1)*100), 1)</f>
        <v>100</v>
      </c>
      <c r="AL124" s="337">
        <f t="shared" si="231"/>
        <v>6</v>
      </c>
      <c r="AM124" s="416">
        <f t="shared" si="232"/>
        <v>0</v>
      </c>
      <c r="AN124" s="753">
        <f>ROUND(((AM124/AL124-1)*100), 1)</f>
        <v>-100</v>
      </c>
      <c r="AO124" s="553">
        <v>7</v>
      </c>
      <c r="AP124" s="416">
        <v>2</v>
      </c>
      <c r="AQ124" s="242">
        <f>ROUND(((AP124/AO124-1)*100), 1)</f>
        <v>-71.400000000000006</v>
      </c>
      <c r="AR124" s="553">
        <f t="shared" si="233"/>
        <v>0</v>
      </c>
      <c r="AS124" s="416">
        <f t="shared" si="233"/>
        <v>0</v>
      </c>
      <c r="AT124" s="799">
        <v>0</v>
      </c>
      <c r="AU124" s="965">
        <v>7</v>
      </c>
      <c r="AV124" s="966">
        <v>2</v>
      </c>
      <c r="AW124" s="753">
        <f>ROUND(((AV124/AU124-1)*100), 1)</f>
        <v>-71.400000000000006</v>
      </c>
      <c r="AX124" s="553">
        <f t="shared" si="234"/>
        <v>25</v>
      </c>
      <c r="AY124" s="416">
        <f t="shared" si="235"/>
        <v>0</v>
      </c>
      <c r="AZ124" s="753">
        <f>ROUND(((AY124/AX124-1)*100), 1)</f>
        <v>-100</v>
      </c>
      <c r="BA124" s="553">
        <v>32</v>
      </c>
      <c r="BB124" s="416">
        <v>2</v>
      </c>
      <c r="BC124" s="753">
        <f>ROUND(((BB124/BA124-1)*100), 1)</f>
        <v>-93.8</v>
      </c>
      <c r="BD124" s="553">
        <f t="shared" si="236"/>
        <v>0</v>
      </c>
      <c r="BE124" s="416">
        <f t="shared" si="236"/>
        <v>0</v>
      </c>
      <c r="BF124" s="799">
        <v>0</v>
      </c>
      <c r="BG124" s="553">
        <v>32</v>
      </c>
      <c r="BH124" s="416">
        <v>2</v>
      </c>
      <c r="BI124" s="753">
        <f>ROUND(((BH124/BG124-1)*100), 1)</f>
        <v>-93.8</v>
      </c>
      <c r="BJ124" s="553">
        <f t="shared" si="237"/>
        <v>0</v>
      </c>
      <c r="BK124" s="416">
        <f t="shared" si="237"/>
        <v>0</v>
      </c>
      <c r="BL124" s="799">
        <v>0</v>
      </c>
      <c r="BM124" s="553">
        <v>32</v>
      </c>
      <c r="BN124" s="416">
        <v>2</v>
      </c>
      <c r="BO124" s="753">
        <f>ROUND(((BN124/BM124-1)*100), 1)</f>
        <v>-93.8</v>
      </c>
      <c r="BP124" s="553">
        <f t="shared" si="238"/>
        <v>1</v>
      </c>
      <c r="BQ124" s="416">
        <f t="shared" si="238"/>
        <v>0</v>
      </c>
      <c r="BR124" s="753">
        <f t="shared" si="222"/>
        <v>-100</v>
      </c>
      <c r="BS124" s="553">
        <v>33</v>
      </c>
      <c r="BT124" s="416">
        <v>2</v>
      </c>
      <c r="BU124" s="753">
        <f t="shared" si="223"/>
        <v>-93.9</v>
      </c>
    </row>
    <row r="125" spans="1:73">
      <c r="A125" s="4"/>
      <c r="B125" s="43" t="s">
        <v>408</v>
      </c>
      <c r="C125" s="188">
        <v>5970</v>
      </c>
      <c r="D125" s="188">
        <v>2554</v>
      </c>
      <c r="E125" s="188">
        <v>27</v>
      </c>
      <c r="F125" s="188">
        <v>40</v>
      </c>
      <c r="G125" s="188">
        <v>39</v>
      </c>
      <c r="H125" s="188">
        <v>34</v>
      </c>
      <c r="I125" s="362">
        <v>18</v>
      </c>
      <c r="J125" s="459">
        <v>19</v>
      </c>
      <c r="K125" s="337">
        <v>0</v>
      </c>
      <c r="L125" s="416">
        <v>1</v>
      </c>
      <c r="M125" s="177">
        <v>0</v>
      </c>
      <c r="N125" s="337">
        <f t="shared" si="224"/>
        <v>0</v>
      </c>
      <c r="O125" s="416">
        <f t="shared" si="225"/>
        <v>0</v>
      </c>
      <c r="P125" s="177">
        <v>0</v>
      </c>
      <c r="Q125" s="337">
        <v>0</v>
      </c>
      <c r="R125" s="416">
        <v>1</v>
      </c>
      <c r="S125" s="177">
        <v>0</v>
      </c>
      <c r="T125" s="337">
        <f t="shared" si="226"/>
        <v>1</v>
      </c>
      <c r="U125" s="416">
        <f t="shared" si="227"/>
        <v>0</v>
      </c>
      <c r="V125" s="242">
        <f>ROUND(((U125/T125-1)*100), 1)</f>
        <v>-100</v>
      </c>
      <c r="W125" s="337">
        <v>1</v>
      </c>
      <c r="X125" s="416">
        <v>1</v>
      </c>
      <c r="Y125" s="242">
        <f>ROUND(((X125/W125-1)*100), 1)</f>
        <v>0</v>
      </c>
      <c r="Z125" s="337">
        <f t="shared" si="228"/>
        <v>1</v>
      </c>
      <c r="AA125" s="416">
        <f t="shared" si="229"/>
        <v>0</v>
      </c>
      <c r="AB125" s="242">
        <f>ROUND(((AA125/Z125-1)*100), 1)</f>
        <v>-100</v>
      </c>
      <c r="AC125" s="337">
        <v>2</v>
      </c>
      <c r="AD125" s="416">
        <v>1</v>
      </c>
      <c r="AE125" s="242">
        <f>ROUND(((AD125/AC125-1)*100), 1)</f>
        <v>-50</v>
      </c>
      <c r="AF125" s="337">
        <f t="shared" si="230"/>
        <v>5</v>
      </c>
      <c r="AG125" s="416">
        <f t="shared" si="230"/>
        <v>2</v>
      </c>
      <c r="AH125" s="242">
        <f>ROUND(((AG125/AF125-1)*100), 1)</f>
        <v>-60</v>
      </c>
      <c r="AI125" s="337">
        <v>7</v>
      </c>
      <c r="AJ125" s="416">
        <v>3</v>
      </c>
      <c r="AK125" s="242">
        <f>ROUND(((AJ125/AI125-1)*100), 1)</f>
        <v>-57.1</v>
      </c>
      <c r="AL125" s="337">
        <f t="shared" si="231"/>
        <v>1</v>
      </c>
      <c r="AM125" s="416">
        <f t="shared" si="232"/>
        <v>3</v>
      </c>
      <c r="AN125" s="242">
        <f>ROUND(((AM125/AL125-1)*100), 1)</f>
        <v>200</v>
      </c>
      <c r="AO125" s="553">
        <v>8</v>
      </c>
      <c r="AP125" s="416">
        <v>6</v>
      </c>
      <c r="AQ125" s="242">
        <f>ROUND(((AP125/AO125-1)*100), 1)</f>
        <v>-25</v>
      </c>
      <c r="AR125" s="553">
        <f t="shared" si="233"/>
        <v>5</v>
      </c>
      <c r="AS125" s="416">
        <f t="shared" si="233"/>
        <v>0</v>
      </c>
      <c r="AT125" s="753">
        <f>ROUND(((AS125/AR125-1)*100), 1)</f>
        <v>-100</v>
      </c>
      <c r="AU125" s="965">
        <v>13</v>
      </c>
      <c r="AV125" s="966">
        <v>6</v>
      </c>
      <c r="AW125" s="753">
        <f>ROUND(((AV125/AU125-1)*100), 1)</f>
        <v>-53.8</v>
      </c>
      <c r="AX125" s="553">
        <f t="shared" si="234"/>
        <v>0</v>
      </c>
      <c r="AY125" s="416">
        <f t="shared" si="235"/>
        <v>6</v>
      </c>
      <c r="AZ125" s="799">
        <v>0</v>
      </c>
      <c r="BA125" s="553">
        <v>13</v>
      </c>
      <c r="BB125" s="416">
        <v>12</v>
      </c>
      <c r="BC125" s="753">
        <f>ROUND(((BB125/BA125-1)*100), 1)</f>
        <v>-7.7</v>
      </c>
      <c r="BD125" s="553">
        <f t="shared" si="236"/>
        <v>0</v>
      </c>
      <c r="BE125" s="416">
        <f t="shared" si="236"/>
        <v>8</v>
      </c>
      <c r="BF125" s="799">
        <v>0</v>
      </c>
      <c r="BG125" s="553">
        <v>13</v>
      </c>
      <c r="BH125" s="416">
        <v>20</v>
      </c>
      <c r="BI125" s="753">
        <f>ROUND(((BH125/BG125-1)*100), 1)</f>
        <v>53.8</v>
      </c>
      <c r="BJ125" s="553">
        <f t="shared" si="237"/>
        <v>1</v>
      </c>
      <c r="BK125" s="416">
        <f t="shared" si="237"/>
        <v>0</v>
      </c>
      <c r="BL125" s="753">
        <f>ROUND(((BK125/BJ125-1)*100), 1)</f>
        <v>-100</v>
      </c>
      <c r="BM125" s="553">
        <v>14</v>
      </c>
      <c r="BN125" s="416">
        <v>20</v>
      </c>
      <c r="BO125" s="753">
        <f>ROUND(((BN125/BM125-1)*100), 1)</f>
        <v>42.9</v>
      </c>
      <c r="BP125" s="553">
        <f t="shared" si="238"/>
        <v>1</v>
      </c>
      <c r="BQ125" s="416">
        <f t="shared" si="238"/>
        <v>1</v>
      </c>
      <c r="BR125" s="753">
        <f>ROUND(((BQ125/BP125-1)*100), 1)</f>
        <v>0</v>
      </c>
      <c r="BS125" s="553">
        <v>15</v>
      </c>
      <c r="BT125" s="416">
        <v>21</v>
      </c>
      <c r="BU125" s="753">
        <f t="shared" si="223"/>
        <v>40</v>
      </c>
    </row>
    <row r="126" spans="1:73">
      <c r="A126" s="4"/>
      <c r="B126" s="43" t="s">
        <v>56</v>
      </c>
      <c r="C126" s="188">
        <v>116</v>
      </c>
      <c r="D126" s="188">
        <v>119</v>
      </c>
      <c r="E126" s="188">
        <v>147</v>
      </c>
      <c r="F126" s="188">
        <v>128</v>
      </c>
      <c r="G126" s="188">
        <v>97</v>
      </c>
      <c r="H126" s="188">
        <v>41</v>
      </c>
      <c r="I126" s="362">
        <v>11</v>
      </c>
      <c r="J126" s="459">
        <v>16</v>
      </c>
      <c r="K126" s="337">
        <v>5</v>
      </c>
      <c r="L126" s="416">
        <v>5</v>
      </c>
      <c r="M126" s="232">
        <f>ROUND(((L126/K126-1)*100), 1)</f>
        <v>0</v>
      </c>
      <c r="N126" s="337">
        <f t="shared" si="224"/>
        <v>0</v>
      </c>
      <c r="O126" s="416">
        <f t="shared" si="225"/>
        <v>0</v>
      </c>
      <c r="P126" s="524">
        <v>0</v>
      </c>
      <c r="Q126" s="337">
        <v>5</v>
      </c>
      <c r="R126" s="416">
        <v>5</v>
      </c>
      <c r="S126" s="242">
        <f>ROUND(((R126/Q126-1)*100), 1)</f>
        <v>0</v>
      </c>
      <c r="T126" s="337">
        <f t="shared" si="226"/>
        <v>0</v>
      </c>
      <c r="U126" s="416">
        <f t="shared" si="227"/>
        <v>6</v>
      </c>
      <c r="V126" s="177">
        <v>0</v>
      </c>
      <c r="W126" s="337">
        <v>5</v>
      </c>
      <c r="X126" s="416">
        <v>11</v>
      </c>
      <c r="Y126" s="242">
        <f>ROUND(((X126/W126-1)*100), 1)</f>
        <v>120</v>
      </c>
      <c r="Z126" s="337">
        <f t="shared" si="228"/>
        <v>0</v>
      </c>
      <c r="AA126" s="416">
        <f t="shared" si="229"/>
        <v>0</v>
      </c>
      <c r="AB126" s="521">
        <v>0</v>
      </c>
      <c r="AC126" s="337">
        <v>5</v>
      </c>
      <c r="AD126" s="416">
        <v>11</v>
      </c>
      <c r="AE126" s="242">
        <f>ROUND(((AD126/AC126-1)*100), 1)</f>
        <v>120</v>
      </c>
      <c r="AF126" s="337">
        <f t="shared" si="230"/>
        <v>6</v>
      </c>
      <c r="AG126" s="416">
        <f t="shared" si="230"/>
        <v>0</v>
      </c>
      <c r="AH126" s="242">
        <f t="shared" ref="AH126" si="245">ROUND(((AG126/AF126-1)*100), 1)</f>
        <v>-100</v>
      </c>
      <c r="AI126" s="337">
        <v>11</v>
      </c>
      <c r="AJ126" s="416">
        <v>11</v>
      </c>
      <c r="AK126" s="242">
        <f>ROUND(((AJ126/AI126-1)*100), 1)</f>
        <v>0</v>
      </c>
      <c r="AL126" s="337">
        <f t="shared" si="231"/>
        <v>0</v>
      </c>
      <c r="AM126" s="416">
        <f t="shared" si="232"/>
        <v>0</v>
      </c>
      <c r="AN126" s="799">
        <v>0</v>
      </c>
      <c r="AO126" s="553">
        <v>11</v>
      </c>
      <c r="AP126" s="416">
        <v>11</v>
      </c>
      <c r="AQ126" s="242">
        <f>ROUND(((AP126/AO126-1)*100), 1)</f>
        <v>0</v>
      </c>
      <c r="AR126" s="553">
        <f t="shared" si="233"/>
        <v>5</v>
      </c>
      <c r="AS126" s="416">
        <f t="shared" si="233"/>
        <v>3</v>
      </c>
      <c r="AT126" s="753">
        <f t="shared" ref="AT126:AT127" si="246">ROUND(((AS126/AR126-1)*100), 1)</f>
        <v>-40</v>
      </c>
      <c r="AU126" s="965">
        <v>16</v>
      </c>
      <c r="AV126" s="966">
        <v>14</v>
      </c>
      <c r="AW126" s="753">
        <f>ROUND(((AV126/AU126-1)*100), 1)</f>
        <v>-12.5</v>
      </c>
      <c r="AX126" s="553">
        <f t="shared" si="234"/>
        <v>0</v>
      </c>
      <c r="AY126" s="416">
        <f t="shared" si="235"/>
        <v>0</v>
      </c>
      <c r="AZ126" s="799">
        <v>0</v>
      </c>
      <c r="BA126" s="553">
        <v>16</v>
      </c>
      <c r="BB126" s="416">
        <v>14</v>
      </c>
      <c r="BC126" s="753">
        <f>ROUND(((BB126/BA126-1)*100), 1)</f>
        <v>-12.5</v>
      </c>
      <c r="BD126" s="553">
        <f t="shared" si="236"/>
        <v>0</v>
      </c>
      <c r="BE126" s="416">
        <f t="shared" si="236"/>
        <v>0</v>
      </c>
      <c r="BF126" s="799">
        <v>0</v>
      </c>
      <c r="BG126" s="553">
        <v>16</v>
      </c>
      <c r="BH126" s="416">
        <v>14</v>
      </c>
      <c r="BI126" s="753">
        <f>ROUND(((BH126/BG126-1)*100), 1)</f>
        <v>-12.5</v>
      </c>
      <c r="BJ126" s="553">
        <f t="shared" si="237"/>
        <v>0</v>
      </c>
      <c r="BK126" s="416">
        <f t="shared" si="237"/>
        <v>21</v>
      </c>
      <c r="BL126" s="799">
        <v>0</v>
      </c>
      <c r="BM126" s="553">
        <v>16</v>
      </c>
      <c r="BN126" s="416">
        <v>35</v>
      </c>
      <c r="BO126" s="753">
        <f>ROUND(((BN126/BM126-1)*100), 1)</f>
        <v>118.8</v>
      </c>
      <c r="BP126" s="553">
        <f t="shared" si="238"/>
        <v>0</v>
      </c>
      <c r="BQ126" s="416">
        <f t="shared" si="238"/>
        <v>0</v>
      </c>
      <c r="BR126" s="799">
        <v>0</v>
      </c>
      <c r="BS126" s="553">
        <v>16</v>
      </c>
      <c r="BT126" s="416">
        <v>35</v>
      </c>
      <c r="BU126" s="753">
        <f t="shared" si="223"/>
        <v>118.8</v>
      </c>
    </row>
    <row r="127" spans="1:73">
      <c r="A127" s="4"/>
      <c r="B127" s="43" t="s">
        <v>60</v>
      </c>
      <c r="C127" s="188">
        <v>163</v>
      </c>
      <c r="D127" s="188">
        <v>16</v>
      </c>
      <c r="E127" s="188">
        <v>22</v>
      </c>
      <c r="F127" s="188">
        <v>8</v>
      </c>
      <c r="G127" s="188">
        <v>10</v>
      </c>
      <c r="H127" s="188">
        <v>1</v>
      </c>
      <c r="I127" s="362">
        <v>4</v>
      </c>
      <c r="J127" s="459">
        <v>1</v>
      </c>
      <c r="K127" s="337">
        <v>0</v>
      </c>
      <c r="L127" s="416">
        <v>0</v>
      </c>
      <c r="M127" s="177">
        <v>0</v>
      </c>
      <c r="N127" s="337">
        <f t="shared" si="224"/>
        <v>0</v>
      </c>
      <c r="O127" s="416">
        <f t="shared" si="225"/>
        <v>0</v>
      </c>
      <c r="P127" s="177">
        <v>0</v>
      </c>
      <c r="Q127" s="337">
        <v>0</v>
      </c>
      <c r="R127" s="416">
        <v>0</v>
      </c>
      <c r="S127" s="177">
        <v>0</v>
      </c>
      <c r="T127" s="337">
        <f t="shared" si="226"/>
        <v>0</v>
      </c>
      <c r="U127" s="416">
        <f t="shared" si="227"/>
        <v>0</v>
      </c>
      <c r="V127" s="177">
        <v>0</v>
      </c>
      <c r="W127" s="337">
        <v>0</v>
      </c>
      <c r="X127" s="416">
        <v>0</v>
      </c>
      <c r="Y127" s="177">
        <v>0</v>
      </c>
      <c r="Z127" s="337">
        <f t="shared" si="228"/>
        <v>0</v>
      </c>
      <c r="AA127" s="416">
        <f t="shared" si="229"/>
        <v>0</v>
      </c>
      <c r="AB127" s="521">
        <v>0</v>
      </c>
      <c r="AC127" s="337">
        <v>0</v>
      </c>
      <c r="AD127" s="416">
        <v>0</v>
      </c>
      <c r="AE127" s="521">
        <v>0</v>
      </c>
      <c r="AF127" s="337">
        <f t="shared" si="230"/>
        <v>0</v>
      </c>
      <c r="AG127" s="416">
        <f t="shared" si="230"/>
        <v>1</v>
      </c>
      <c r="AH127" s="521">
        <v>0</v>
      </c>
      <c r="AI127" s="337">
        <v>0</v>
      </c>
      <c r="AJ127" s="416">
        <v>1</v>
      </c>
      <c r="AK127" s="521">
        <v>0</v>
      </c>
      <c r="AL127" s="337">
        <f t="shared" si="231"/>
        <v>0</v>
      </c>
      <c r="AM127" s="416">
        <f t="shared" si="232"/>
        <v>0</v>
      </c>
      <c r="AN127" s="521">
        <v>0</v>
      </c>
      <c r="AO127" s="553">
        <v>0</v>
      </c>
      <c r="AP127" s="416">
        <v>1</v>
      </c>
      <c r="AQ127" s="521">
        <v>0</v>
      </c>
      <c r="AR127" s="553">
        <f t="shared" si="233"/>
        <v>1</v>
      </c>
      <c r="AS127" s="416">
        <f t="shared" si="233"/>
        <v>0</v>
      </c>
      <c r="AT127" s="753">
        <f t="shared" si="246"/>
        <v>-100</v>
      </c>
      <c r="AU127" s="965">
        <v>1</v>
      </c>
      <c r="AV127" s="966">
        <v>1</v>
      </c>
      <c r="AW127" s="753">
        <f t="shared" ref="AW127" si="247">ROUND(((AV127/AU127-1)*100), 1)</f>
        <v>0</v>
      </c>
      <c r="AX127" s="553">
        <f t="shared" si="234"/>
        <v>0</v>
      </c>
      <c r="AY127" s="416">
        <f t="shared" si="235"/>
        <v>4</v>
      </c>
      <c r="AZ127" s="799">
        <v>0</v>
      </c>
      <c r="BA127" s="553">
        <v>1</v>
      </c>
      <c r="BB127" s="416">
        <v>5</v>
      </c>
      <c r="BC127" s="753">
        <f t="shared" ref="BC127" si="248">ROUND(((BB127/BA127-1)*100), 1)</f>
        <v>400</v>
      </c>
      <c r="BD127" s="553">
        <f t="shared" si="236"/>
        <v>0</v>
      </c>
      <c r="BE127" s="416">
        <f t="shared" si="236"/>
        <v>0</v>
      </c>
      <c r="BF127" s="799">
        <v>0</v>
      </c>
      <c r="BG127" s="553">
        <v>1</v>
      </c>
      <c r="BH127" s="416">
        <v>5</v>
      </c>
      <c r="BI127" s="753">
        <f t="shared" ref="BI127" si="249">ROUND(((BH127/BG127-1)*100), 1)</f>
        <v>400</v>
      </c>
      <c r="BJ127" s="553">
        <f t="shared" si="237"/>
        <v>0</v>
      </c>
      <c r="BK127" s="416">
        <f t="shared" si="237"/>
        <v>0</v>
      </c>
      <c r="BL127" s="799">
        <v>0</v>
      </c>
      <c r="BM127" s="553">
        <v>1</v>
      </c>
      <c r="BN127" s="416">
        <v>5</v>
      </c>
      <c r="BO127" s="753">
        <f t="shared" ref="BO127" si="250">ROUND(((BN127/BM127-1)*100), 1)</f>
        <v>400</v>
      </c>
      <c r="BP127" s="553">
        <f t="shared" si="238"/>
        <v>0</v>
      </c>
      <c r="BQ127" s="416">
        <f t="shared" si="238"/>
        <v>0</v>
      </c>
      <c r="BR127" s="799">
        <v>0</v>
      </c>
      <c r="BS127" s="553">
        <v>1</v>
      </c>
      <c r="BT127" s="416">
        <v>5</v>
      </c>
      <c r="BU127" s="753">
        <f t="shared" si="223"/>
        <v>400</v>
      </c>
    </row>
    <row r="128" spans="1:73">
      <c r="A128" s="4"/>
      <c r="B128" s="33" t="s">
        <v>405</v>
      </c>
      <c r="C128" s="326">
        <v>1203</v>
      </c>
      <c r="D128" s="326">
        <v>2454</v>
      </c>
      <c r="E128" s="326">
        <v>903</v>
      </c>
      <c r="F128" s="326">
        <v>0</v>
      </c>
      <c r="G128" s="326">
        <v>0</v>
      </c>
      <c r="H128" s="326">
        <v>0</v>
      </c>
      <c r="I128" s="377">
        <v>574</v>
      </c>
      <c r="J128" s="459">
        <v>0</v>
      </c>
      <c r="K128" s="337">
        <v>0</v>
      </c>
      <c r="L128" s="416">
        <v>0</v>
      </c>
      <c r="M128" s="177">
        <v>0</v>
      </c>
      <c r="N128" s="337">
        <f t="shared" si="224"/>
        <v>0</v>
      </c>
      <c r="O128" s="416">
        <f t="shared" si="225"/>
        <v>0</v>
      </c>
      <c r="P128" s="177">
        <v>0</v>
      </c>
      <c r="Q128" s="337">
        <v>0</v>
      </c>
      <c r="R128" s="416">
        <v>0</v>
      </c>
      <c r="S128" s="177">
        <v>0</v>
      </c>
      <c r="T128" s="337">
        <f t="shared" si="226"/>
        <v>0</v>
      </c>
      <c r="U128" s="416">
        <f t="shared" si="227"/>
        <v>0</v>
      </c>
      <c r="V128" s="177">
        <v>0</v>
      </c>
      <c r="W128" s="337">
        <v>0</v>
      </c>
      <c r="X128" s="416">
        <v>0</v>
      </c>
      <c r="Y128" s="177">
        <v>0</v>
      </c>
      <c r="Z128" s="337">
        <f t="shared" si="228"/>
        <v>0</v>
      </c>
      <c r="AA128" s="416">
        <f t="shared" si="229"/>
        <v>0</v>
      </c>
      <c r="AB128" s="521">
        <v>0</v>
      </c>
      <c r="AC128" s="337">
        <v>0</v>
      </c>
      <c r="AD128" s="416">
        <v>0</v>
      </c>
      <c r="AE128" s="521">
        <v>0</v>
      </c>
      <c r="AF128" s="337">
        <f t="shared" si="230"/>
        <v>0</v>
      </c>
      <c r="AG128" s="416">
        <f t="shared" si="230"/>
        <v>0</v>
      </c>
      <c r="AH128" s="521">
        <v>0</v>
      </c>
      <c r="AI128" s="337">
        <v>0</v>
      </c>
      <c r="AJ128" s="416">
        <v>0</v>
      </c>
      <c r="AK128" s="521">
        <v>0</v>
      </c>
      <c r="AL128" s="337">
        <f t="shared" si="231"/>
        <v>0</v>
      </c>
      <c r="AM128" s="416">
        <f t="shared" si="232"/>
        <v>0</v>
      </c>
      <c r="AN128" s="521">
        <v>0</v>
      </c>
      <c r="AO128" s="553">
        <v>0</v>
      </c>
      <c r="AP128" s="416">
        <v>0</v>
      </c>
      <c r="AQ128" s="521">
        <v>0</v>
      </c>
      <c r="AR128" s="553">
        <f t="shared" si="233"/>
        <v>0</v>
      </c>
      <c r="AS128" s="416">
        <f t="shared" si="233"/>
        <v>0</v>
      </c>
      <c r="AT128" s="799">
        <v>0</v>
      </c>
      <c r="AU128" s="965">
        <v>0</v>
      </c>
      <c r="AV128" s="966">
        <v>0</v>
      </c>
      <c r="AW128" s="799">
        <v>0</v>
      </c>
      <c r="AX128" s="553">
        <f t="shared" si="234"/>
        <v>0</v>
      </c>
      <c r="AY128" s="416">
        <f t="shared" si="235"/>
        <v>0</v>
      </c>
      <c r="AZ128" s="799">
        <v>0</v>
      </c>
      <c r="BA128" s="553">
        <v>0</v>
      </c>
      <c r="BB128" s="416">
        <v>0</v>
      </c>
      <c r="BC128" s="799">
        <v>0</v>
      </c>
      <c r="BD128" s="553">
        <f t="shared" si="236"/>
        <v>0</v>
      </c>
      <c r="BE128" s="416">
        <f t="shared" si="236"/>
        <v>0</v>
      </c>
      <c r="BF128" s="799">
        <v>0</v>
      </c>
      <c r="BG128" s="553">
        <v>0</v>
      </c>
      <c r="BH128" s="416">
        <v>0</v>
      </c>
      <c r="BI128" s="799">
        <v>0</v>
      </c>
      <c r="BJ128" s="553">
        <f t="shared" si="237"/>
        <v>0</v>
      </c>
      <c r="BK128" s="416">
        <f t="shared" si="237"/>
        <v>0</v>
      </c>
      <c r="BL128" s="799">
        <v>0</v>
      </c>
      <c r="BM128" s="553">
        <v>0</v>
      </c>
      <c r="BN128" s="416">
        <v>0</v>
      </c>
      <c r="BO128" s="799">
        <v>0</v>
      </c>
      <c r="BP128" s="553">
        <f t="shared" si="238"/>
        <v>0</v>
      </c>
      <c r="BQ128" s="416">
        <f t="shared" si="238"/>
        <v>0</v>
      </c>
      <c r="BR128" s="799">
        <v>0</v>
      </c>
      <c r="BS128" s="553">
        <v>0</v>
      </c>
      <c r="BT128" s="416">
        <v>0</v>
      </c>
      <c r="BU128" s="799">
        <v>0</v>
      </c>
    </row>
    <row r="129" spans="1:73">
      <c r="A129" s="4"/>
      <c r="B129" s="43" t="s">
        <v>409</v>
      </c>
      <c r="C129" s="188">
        <v>1741</v>
      </c>
      <c r="D129" s="188">
        <v>4</v>
      </c>
      <c r="E129" s="188">
        <v>0</v>
      </c>
      <c r="F129" s="188">
        <v>1</v>
      </c>
      <c r="G129" s="188">
        <v>440</v>
      </c>
      <c r="H129" s="188">
        <v>320</v>
      </c>
      <c r="I129" s="362">
        <v>0</v>
      </c>
      <c r="J129" s="459">
        <v>0</v>
      </c>
      <c r="K129" s="337">
        <v>0</v>
      </c>
      <c r="L129" s="416">
        <v>0</v>
      </c>
      <c r="M129" s="177">
        <v>0</v>
      </c>
      <c r="N129" s="337">
        <f t="shared" si="224"/>
        <v>0</v>
      </c>
      <c r="O129" s="416">
        <f t="shared" si="225"/>
        <v>0</v>
      </c>
      <c r="P129" s="177">
        <v>0</v>
      </c>
      <c r="Q129" s="337">
        <v>0</v>
      </c>
      <c r="R129" s="416">
        <v>0</v>
      </c>
      <c r="S129" s="177">
        <v>0</v>
      </c>
      <c r="T129" s="337">
        <f t="shared" si="226"/>
        <v>0</v>
      </c>
      <c r="U129" s="416">
        <f t="shared" si="227"/>
        <v>0</v>
      </c>
      <c r="V129" s="177">
        <v>0</v>
      </c>
      <c r="W129" s="337">
        <v>0</v>
      </c>
      <c r="X129" s="416">
        <v>0</v>
      </c>
      <c r="Y129" s="177">
        <v>0</v>
      </c>
      <c r="Z129" s="337">
        <f t="shared" si="228"/>
        <v>0</v>
      </c>
      <c r="AA129" s="416">
        <f t="shared" si="229"/>
        <v>105</v>
      </c>
      <c r="AB129" s="521">
        <v>0</v>
      </c>
      <c r="AC129" s="337">
        <v>0</v>
      </c>
      <c r="AD129" s="416">
        <v>105</v>
      </c>
      <c r="AE129" s="521">
        <v>0</v>
      </c>
      <c r="AF129" s="337">
        <f t="shared" si="230"/>
        <v>0</v>
      </c>
      <c r="AG129" s="416">
        <f t="shared" si="230"/>
        <v>0</v>
      </c>
      <c r="AH129" s="521">
        <v>0</v>
      </c>
      <c r="AI129" s="337">
        <v>0</v>
      </c>
      <c r="AJ129" s="416">
        <v>105</v>
      </c>
      <c r="AK129" s="521">
        <v>0</v>
      </c>
      <c r="AL129" s="337">
        <f t="shared" si="231"/>
        <v>0</v>
      </c>
      <c r="AM129" s="416">
        <f t="shared" si="232"/>
        <v>0</v>
      </c>
      <c r="AN129" s="521">
        <v>0</v>
      </c>
      <c r="AO129" s="553">
        <v>0</v>
      </c>
      <c r="AP129" s="416">
        <v>105</v>
      </c>
      <c r="AQ129" s="521">
        <v>0</v>
      </c>
      <c r="AR129" s="553">
        <f t="shared" si="233"/>
        <v>0</v>
      </c>
      <c r="AS129" s="416">
        <f t="shared" si="233"/>
        <v>0</v>
      </c>
      <c r="AT129" s="799">
        <v>0</v>
      </c>
      <c r="AU129" s="965">
        <v>0</v>
      </c>
      <c r="AV129" s="966">
        <v>105</v>
      </c>
      <c r="AW129" s="799">
        <v>0</v>
      </c>
      <c r="AX129" s="553">
        <f t="shared" si="234"/>
        <v>0</v>
      </c>
      <c r="AY129" s="416">
        <f t="shared" si="235"/>
        <v>0</v>
      </c>
      <c r="AZ129" s="799">
        <v>0</v>
      </c>
      <c r="BA129" s="553">
        <v>0</v>
      </c>
      <c r="BB129" s="416">
        <v>105</v>
      </c>
      <c r="BC129" s="799">
        <v>0</v>
      </c>
      <c r="BD129" s="553">
        <f t="shared" si="236"/>
        <v>0</v>
      </c>
      <c r="BE129" s="416">
        <f t="shared" si="236"/>
        <v>0</v>
      </c>
      <c r="BF129" s="799">
        <v>0</v>
      </c>
      <c r="BG129" s="553">
        <v>0</v>
      </c>
      <c r="BH129" s="416">
        <v>105</v>
      </c>
      <c r="BI129" s="799">
        <v>0</v>
      </c>
      <c r="BJ129" s="553">
        <f t="shared" si="237"/>
        <v>0</v>
      </c>
      <c r="BK129" s="416">
        <f t="shared" si="237"/>
        <v>0</v>
      </c>
      <c r="BL129" s="799">
        <v>0</v>
      </c>
      <c r="BM129" s="553">
        <v>0</v>
      </c>
      <c r="BN129" s="416">
        <v>105</v>
      </c>
      <c r="BO129" s="799">
        <v>0</v>
      </c>
      <c r="BP129" s="553">
        <f t="shared" si="238"/>
        <v>0</v>
      </c>
      <c r="BQ129" s="416">
        <f t="shared" si="238"/>
        <v>0</v>
      </c>
      <c r="BR129" s="799">
        <v>0</v>
      </c>
      <c r="BS129" s="553">
        <v>0</v>
      </c>
      <c r="BT129" s="416">
        <v>105</v>
      </c>
      <c r="BU129" s="799">
        <v>0</v>
      </c>
    </row>
    <row r="130" spans="1:73">
      <c r="A130" s="4"/>
      <c r="B130" s="43" t="s">
        <v>24</v>
      </c>
      <c r="C130" s="188">
        <f t="shared" ref="C130:L130" si="251">C131-SUM(C116:C129)</f>
        <v>30</v>
      </c>
      <c r="D130" s="188">
        <f t="shared" si="251"/>
        <v>4111</v>
      </c>
      <c r="E130" s="188">
        <f t="shared" si="251"/>
        <v>7317</v>
      </c>
      <c r="F130" s="188">
        <f t="shared" si="251"/>
        <v>4130</v>
      </c>
      <c r="G130" s="188">
        <f t="shared" si="251"/>
        <v>38</v>
      </c>
      <c r="H130" s="188">
        <f t="shared" si="251"/>
        <v>180</v>
      </c>
      <c r="I130" s="362">
        <f t="shared" si="251"/>
        <v>28</v>
      </c>
      <c r="J130" s="458">
        <f t="shared" si="251"/>
        <v>26</v>
      </c>
      <c r="K130" s="323">
        <f t="shared" si="251"/>
        <v>1</v>
      </c>
      <c r="L130" s="414">
        <f t="shared" si="251"/>
        <v>1</v>
      </c>
      <c r="M130" s="232">
        <f>ROUND(((L130/K130-1)*100), 1)</f>
        <v>0</v>
      </c>
      <c r="N130" s="323">
        <f>N131-SUM(N116:N129)</f>
        <v>6</v>
      </c>
      <c r="O130" s="414">
        <f>O131-SUM(O116:O129)</f>
        <v>6</v>
      </c>
      <c r="P130" s="242">
        <f>ROUND(((O130/N130-1)*100), 1)</f>
        <v>0</v>
      </c>
      <c r="Q130" s="323">
        <f>Q131-SUM(Q116:Q129)</f>
        <v>7</v>
      </c>
      <c r="R130" s="414">
        <f>R131-SUM(R116:R129)</f>
        <v>7</v>
      </c>
      <c r="S130" s="242">
        <f>ROUND(((R130/Q130-1)*100), 1)</f>
        <v>0</v>
      </c>
      <c r="T130" s="323">
        <f>T131-SUM(T116:T129)</f>
        <v>0</v>
      </c>
      <c r="U130" s="414">
        <f>U131-SUM(U116:U129)</f>
        <v>0</v>
      </c>
      <c r="V130" s="178">
        <v>0</v>
      </c>
      <c r="W130" s="323">
        <f>W131-SUM(W116:W129)</f>
        <v>7</v>
      </c>
      <c r="X130" s="414">
        <f>X131-SUM(X116:X129)</f>
        <v>7</v>
      </c>
      <c r="Y130" s="242">
        <f>ROUND(((X130/W130-1)*100), 1)</f>
        <v>0</v>
      </c>
      <c r="Z130" s="323">
        <f>Z131-SUM(Z116:Z129)</f>
        <v>4</v>
      </c>
      <c r="AA130" s="414">
        <f>AA131-SUM(AA116:AA129)</f>
        <v>1</v>
      </c>
      <c r="AB130" s="242">
        <f>ROUND(((AA130/Z130-1)*100), 1)</f>
        <v>-75</v>
      </c>
      <c r="AC130" s="323">
        <f>AC131-SUM(AC116:AC129)</f>
        <v>11</v>
      </c>
      <c r="AD130" s="414">
        <f>AD131-SUM(AD116:AD129)</f>
        <v>8</v>
      </c>
      <c r="AE130" s="242">
        <f>ROUND(((AD130/AC130-1)*100), 1)</f>
        <v>-27.3</v>
      </c>
      <c r="AF130" s="323">
        <f>AF131-SUM(AF116:AF129)</f>
        <v>4</v>
      </c>
      <c r="AG130" s="414">
        <f>AG131-SUM(AG116:AG129)</f>
        <v>1</v>
      </c>
      <c r="AH130" s="242">
        <f>ROUND(((AG130/AF130-1)*100), 1)</f>
        <v>-75</v>
      </c>
      <c r="AI130" s="323">
        <f>AI131-SUM(AI116:AI129)</f>
        <v>15</v>
      </c>
      <c r="AJ130" s="414">
        <f>AJ131-SUM(AJ116:AJ129)</f>
        <v>9</v>
      </c>
      <c r="AK130" s="242">
        <f>ROUND(((AJ130/AI130-1)*100), 1)</f>
        <v>-40</v>
      </c>
      <c r="AL130" s="323">
        <f>AL131-SUM(AL116:AL129)</f>
        <v>1</v>
      </c>
      <c r="AM130" s="414">
        <f>AM131-SUM(AM116:AM129)</f>
        <v>1</v>
      </c>
      <c r="AN130" s="242">
        <f>ROUND(((AM130/AL130-1)*100), 1)</f>
        <v>0</v>
      </c>
      <c r="AO130" s="551">
        <f>AO131-SUM(AO116:AO129)</f>
        <v>16</v>
      </c>
      <c r="AP130" s="414">
        <f>AP131-SUM(AP116:AP129)</f>
        <v>10</v>
      </c>
      <c r="AQ130" s="242">
        <f>ROUND(((AP130/AO130-1)*100), 1)</f>
        <v>-37.5</v>
      </c>
      <c r="AR130" s="551">
        <f>AR131-SUM(AR116:AR129)</f>
        <v>6</v>
      </c>
      <c r="AS130" s="414">
        <f>AS131-SUM(AS116:AS129)</f>
        <v>7</v>
      </c>
      <c r="AT130" s="753">
        <f>ROUND(((AS130/AR130-1)*100), 1)</f>
        <v>16.7</v>
      </c>
      <c r="AU130" s="951">
        <f>AU131-SUM(AU116:AU129)</f>
        <v>22</v>
      </c>
      <c r="AV130" s="952">
        <f>AV131-SUM(AV116:AV129)</f>
        <v>17</v>
      </c>
      <c r="AW130" s="753">
        <f>ROUND(((AV130/AU130-1)*100), 1)</f>
        <v>-22.7</v>
      </c>
      <c r="AX130" s="551">
        <f>AX131-SUM(AX116:AX129)</f>
        <v>0</v>
      </c>
      <c r="AY130" s="414">
        <f>AY131-SUM(AY116:AY129)</f>
        <v>2</v>
      </c>
      <c r="AZ130" s="800">
        <v>0</v>
      </c>
      <c r="BA130" s="551">
        <f>BA131-SUM(BA116:BA129)</f>
        <v>22</v>
      </c>
      <c r="BB130" s="414">
        <f>BB131-SUM(BB116:BB129)</f>
        <v>19</v>
      </c>
      <c r="BC130" s="753">
        <f>ROUND(((BB130/BA130-1)*100), 1)</f>
        <v>-13.6</v>
      </c>
      <c r="BD130" s="551">
        <f>BD131-SUM(BD116:BD129)</f>
        <v>1</v>
      </c>
      <c r="BE130" s="414">
        <f>BE131-SUM(BE116:BE129)</f>
        <v>3</v>
      </c>
      <c r="BF130" s="646">
        <f>ROUND(((BE130/BD130-1)*100), 1)</f>
        <v>200</v>
      </c>
      <c r="BG130" s="551">
        <f>BG131-SUM(BG116:BG129)</f>
        <v>23</v>
      </c>
      <c r="BH130" s="414">
        <f>BH131-SUM(BH116:BH129)</f>
        <v>22</v>
      </c>
      <c r="BI130" s="753">
        <f>ROUND(((BH130/BG130-1)*100), 1)</f>
        <v>-4.3</v>
      </c>
      <c r="BJ130" s="551">
        <f>BJ131-SUM(BJ116:BJ129)</f>
        <v>0</v>
      </c>
      <c r="BK130" s="414">
        <f>BK131-SUM(BK116:BK129)</f>
        <v>5</v>
      </c>
      <c r="BL130" s="646" t="e">
        <f>ROUND(((BK130/BJ130-1)*100), 1)</f>
        <v>#DIV/0!</v>
      </c>
      <c r="BM130" s="551">
        <f>BM131-SUM(BM116:BM129)</f>
        <v>23</v>
      </c>
      <c r="BN130" s="414">
        <f>BN131-SUM(BN116:BN129)</f>
        <v>27</v>
      </c>
      <c r="BO130" s="753">
        <f>ROUND(((BN130/BM130-1)*100), 1)</f>
        <v>17.399999999999999</v>
      </c>
      <c r="BP130" s="551">
        <f>BP131-SUM(BP116:BP129)</f>
        <v>1</v>
      </c>
      <c r="BQ130" s="414">
        <f>BQ131-SUM(BQ116:BQ129)</f>
        <v>2</v>
      </c>
      <c r="BR130" s="646">
        <f>ROUND(((BQ130/BP130-1)*100), 1)</f>
        <v>100</v>
      </c>
      <c r="BS130" s="551">
        <f>BS131-SUM(BS116:BS129)</f>
        <v>24</v>
      </c>
      <c r="BT130" s="414">
        <f>BT131-SUM(BT116:BT129)</f>
        <v>29</v>
      </c>
      <c r="BU130" s="753">
        <f>ROUND(((BT130/BS130-1)*100), 1)</f>
        <v>20.8</v>
      </c>
    </row>
    <row r="131" spans="1:73">
      <c r="A131" s="9"/>
      <c r="B131" s="67" t="s">
        <v>108</v>
      </c>
      <c r="C131" s="324">
        <v>11133</v>
      </c>
      <c r="D131" s="324">
        <v>11666</v>
      </c>
      <c r="E131" s="324">
        <v>11162</v>
      </c>
      <c r="F131" s="324">
        <v>7508</v>
      </c>
      <c r="G131" s="324">
        <v>4455</v>
      </c>
      <c r="H131" s="324">
        <v>5260</v>
      </c>
      <c r="I131" s="375">
        <v>6202</v>
      </c>
      <c r="J131" s="461">
        <v>5892</v>
      </c>
      <c r="K131" s="399">
        <v>548</v>
      </c>
      <c r="L131" s="400">
        <v>545</v>
      </c>
      <c r="M131" s="233">
        <f>ROUND(((L131/K131-1)*100), 1)</f>
        <v>-0.5</v>
      </c>
      <c r="N131" s="399">
        <f>Q131-K131</f>
        <v>322</v>
      </c>
      <c r="O131" s="400">
        <f>R131-L131</f>
        <v>361</v>
      </c>
      <c r="P131" s="243">
        <f>ROUND(((O131/N131-1)*100), 1)</f>
        <v>12.1</v>
      </c>
      <c r="Q131" s="399">
        <v>870</v>
      </c>
      <c r="R131" s="400">
        <v>906</v>
      </c>
      <c r="S131" s="243">
        <f>ROUND(((R131/Q131-1)*100), 1)</f>
        <v>4.0999999999999996</v>
      </c>
      <c r="T131" s="399">
        <f>W131-Q131</f>
        <v>504</v>
      </c>
      <c r="U131" s="400">
        <f>X131-R131</f>
        <v>629</v>
      </c>
      <c r="V131" s="243">
        <f>ROUND(((U131/T131-1)*100), 1)</f>
        <v>24.8</v>
      </c>
      <c r="W131" s="399">
        <v>1374</v>
      </c>
      <c r="X131" s="400">
        <v>1535</v>
      </c>
      <c r="Y131" s="243">
        <f>ROUND(((X131/W131-1)*100), 1)</f>
        <v>11.7</v>
      </c>
      <c r="Z131" s="399">
        <f>AC131-W131</f>
        <v>563</v>
      </c>
      <c r="AA131" s="400">
        <f>AD131-X131</f>
        <v>565</v>
      </c>
      <c r="AB131" s="243">
        <f>ROUND(((AA131/Z131-1)*100), 1)</f>
        <v>0.4</v>
      </c>
      <c r="AC131" s="399">
        <v>1937</v>
      </c>
      <c r="AD131" s="400">
        <v>2100</v>
      </c>
      <c r="AE131" s="243">
        <f>ROUND(((AD131/AC131-1)*100), 1)</f>
        <v>8.4</v>
      </c>
      <c r="AF131" s="399">
        <f>AI131-AC131</f>
        <v>449</v>
      </c>
      <c r="AG131" s="400">
        <f>AJ131-AD131</f>
        <v>384</v>
      </c>
      <c r="AH131" s="243">
        <f>ROUND(((AG131/AF131-1)*100), 1)</f>
        <v>-14.5</v>
      </c>
      <c r="AI131" s="399">
        <v>2386</v>
      </c>
      <c r="AJ131" s="400">
        <v>2484</v>
      </c>
      <c r="AK131" s="243">
        <f>ROUND(((AJ131/AI131-1)*100), 1)</f>
        <v>4.0999999999999996</v>
      </c>
      <c r="AL131" s="399">
        <f>AO131-AI131</f>
        <v>505</v>
      </c>
      <c r="AM131" s="400">
        <f>AP131-AJ131</f>
        <v>575</v>
      </c>
      <c r="AN131" s="243">
        <f>ROUND(((AM131/AL131-1)*100), 1)</f>
        <v>13.9</v>
      </c>
      <c r="AO131" s="399">
        <v>2891</v>
      </c>
      <c r="AP131" s="400">
        <v>3059</v>
      </c>
      <c r="AQ131" s="243">
        <f>ROUND(((AP131/AO131-1)*100), 1)</f>
        <v>5.8</v>
      </c>
      <c r="AR131" s="399">
        <f>AU131-AO131</f>
        <v>500</v>
      </c>
      <c r="AS131" s="400">
        <f>AV131-AP131</f>
        <v>764</v>
      </c>
      <c r="AT131" s="754">
        <f>ROUND(((AS131/AR131-1)*100), 1)</f>
        <v>52.8</v>
      </c>
      <c r="AU131" s="956">
        <v>3391</v>
      </c>
      <c r="AV131" s="957">
        <v>3823</v>
      </c>
      <c r="AW131" s="754">
        <f>ROUND(((AV131/AU131-1)*100), 1)</f>
        <v>12.7</v>
      </c>
      <c r="AX131" s="399">
        <f>BA131-AU131</f>
        <v>558</v>
      </c>
      <c r="AY131" s="400">
        <f>BB131-AV131</f>
        <v>374</v>
      </c>
      <c r="AZ131" s="754">
        <f>ROUND(((AY131/AX131-1)*100), 1)</f>
        <v>-33</v>
      </c>
      <c r="BA131" s="399">
        <v>3949</v>
      </c>
      <c r="BB131" s="400">
        <v>4197</v>
      </c>
      <c r="BC131" s="754">
        <f>ROUND(((BB131/BA131-1)*100), 1)</f>
        <v>6.3</v>
      </c>
      <c r="BD131" s="399">
        <f>BG131-BA131</f>
        <v>475</v>
      </c>
      <c r="BE131" s="400">
        <f>BH131-BB131</f>
        <v>411</v>
      </c>
      <c r="BF131" s="754">
        <f>ROUND(((BE131/BD131-1)*100), 1)</f>
        <v>-13.5</v>
      </c>
      <c r="BG131" s="399">
        <v>4424</v>
      </c>
      <c r="BH131" s="400">
        <v>4608</v>
      </c>
      <c r="BI131" s="754">
        <f>ROUND(((BH131/BG131-1)*100), 1)</f>
        <v>4.2</v>
      </c>
      <c r="BJ131" s="399">
        <f>BM131-BG131</f>
        <v>587</v>
      </c>
      <c r="BK131" s="400">
        <f>BN131-BH131</f>
        <v>388</v>
      </c>
      <c r="BL131" s="754">
        <f>ROUND(((BK131/BJ131-1)*100), 1)</f>
        <v>-33.9</v>
      </c>
      <c r="BM131" s="399">
        <v>5011</v>
      </c>
      <c r="BN131" s="400">
        <v>4996</v>
      </c>
      <c r="BO131" s="754">
        <f>ROUND(((BN131/BM131-1)*100), 1)</f>
        <v>-0.3</v>
      </c>
      <c r="BP131" s="399">
        <f>BS131-BM131</f>
        <v>482</v>
      </c>
      <c r="BQ131" s="400">
        <f>BT131-BN131</f>
        <v>508</v>
      </c>
      <c r="BR131" s="754">
        <f>ROUND(((BQ131/BP131-1)*100), 1)</f>
        <v>5.4</v>
      </c>
      <c r="BS131" s="399">
        <v>5493</v>
      </c>
      <c r="BT131" s="400">
        <v>5504</v>
      </c>
      <c r="BU131" s="754">
        <f>ROUND(((BT131/BS131-1)*100), 1)</f>
        <v>0.2</v>
      </c>
    </row>
    <row r="132" spans="1:73">
      <c r="A132" s="68" t="s">
        <v>118</v>
      </c>
      <c r="B132" s="292"/>
      <c r="M132" s="227"/>
    </row>
    <row r="133" spans="1:73">
      <c r="A133" s="55"/>
      <c r="B133" s="292"/>
      <c r="M133" s="227"/>
    </row>
    <row r="134" spans="1:73">
      <c r="A134" s="81" t="s">
        <v>135</v>
      </c>
      <c r="B134" s="249"/>
      <c r="C134" s="62"/>
      <c r="D134" s="62"/>
      <c r="E134" s="62"/>
      <c r="F134" s="62"/>
      <c r="G134" s="62"/>
      <c r="J134" s="62" t="s">
        <v>136</v>
      </c>
      <c r="K134" s="280"/>
      <c r="L134" s="280"/>
      <c r="M134" s="239"/>
      <c r="N134" s="280"/>
      <c r="O134" s="280"/>
      <c r="P134" s="239"/>
      <c r="Q134" s="280"/>
      <c r="R134" s="280"/>
      <c r="S134" s="239"/>
      <c r="T134" s="280"/>
      <c r="U134" s="280"/>
      <c r="V134" s="239"/>
      <c r="W134" s="280"/>
      <c r="X134" s="280"/>
      <c r="Y134" s="239"/>
      <c r="Z134" s="280"/>
      <c r="AA134" s="280"/>
      <c r="AB134" s="239"/>
      <c r="AC134" s="280"/>
      <c r="AD134" s="280"/>
      <c r="AE134" s="239"/>
      <c r="AF134" s="280"/>
      <c r="AG134" s="280"/>
      <c r="AH134" s="239"/>
      <c r="AI134" s="280"/>
      <c r="AJ134" s="280"/>
      <c r="AK134" s="239"/>
      <c r="AL134" s="280"/>
      <c r="AM134" s="280"/>
      <c r="AN134" s="239"/>
      <c r="AO134" s="747"/>
      <c r="AP134" s="747"/>
      <c r="AQ134" s="239"/>
      <c r="AR134" s="747"/>
      <c r="AS134" s="747"/>
      <c r="AT134" s="239"/>
      <c r="AU134" s="962"/>
      <c r="AV134" s="962"/>
      <c r="AW134" s="239"/>
      <c r="AX134" s="747"/>
      <c r="AY134" s="747"/>
      <c r="AZ134" s="239"/>
      <c r="BA134" s="747"/>
      <c r="BB134" s="747"/>
      <c r="BC134" s="239"/>
      <c r="BD134" s="747"/>
      <c r="BE134" s="747"/>
      <c r="BF134" s="239"/>
      <c r="BG134" s="747"/>
      <c r="BH134" s="747"/>
      <c r="BI134" s="239"/>
      <c r="BJ134" s="747"/>
      <c r="BK134" s="747"/>
      <c r="BL134" s="239"/>
      <c r="BM134" s="747"/>
      <c r="BN134" s="747"/>
      <c r="BO134" s="239"/>
      <c r="BP134" s="747"/>
      <c r="BQ134" s="747"/>
      <c r="BR134" s="239"/>
      <c r="BS134" s="747"/>
      <c r="BT134" s="747"/>
      <c r="BU134" s="239"/>
    </row>
    <row r="135" spans="1:73">
      <c r="A135" s="64"/>
      <c r="B135" s="30"/>
      <c r="C135" s="65"/>
      <c r="D135" s="65"/>
      <c r="E135" s="65"/>
      <c r="F135" s="65"/>
      <c r="G135" s="65"/>
      <c r="H135" s="65"/>
      <c r="I135" s="229"/>
      <c r="J135" s="229"/>
      <c r="K135" s="229"/>
      <c r="L135" s="229"/>
      <c r="M135" s="235" t="s">
        <v>94</v>
      </c>
      <c r="N135" s="229"/>
      <c r="O135" s="229"/>
      <c r="P135" s="244"/>
      <c r="Q135" s="229"/>
      <c r="R135" s="229"/>
      <c r="S135" s="244" t="s">
        <v>94</v>
      </c>
      <c r="T135" s="229"/>
      <c r="U135" s="229"/>
      <c r="V135" s="244"/>
      <c r="W135" s="229"/>
      <c r="X135" s="229"/>
      <c r="Y135" s="244" t="s">
        <v>94</v>
      </c>
      <c r="Z135" s="229"/>
      <c r="AA135" s="229"/>
      <c r="AB135" s="244"/>
      <c r="AC135" s="229"/>
      <c r="AD135" s="229"/>
      <c r="AE135" s="244" t="s">
        <v>94</v>
      </c>
      <c r="AF135" s="229"/>
      <c r="AG135" s="229"/>
      <c r="AH135" s="244"/>
      <c r="AI135" s="229"/>
      <c r="AJ135" s="229"/>
      <c r="AK135" s="244" t="s">
        <v>94</v>
      </c>
      <c r="AL135" s="229"/>
      <c r="AM135" s="229"/>
      <c r="AN135" s="244"/>
      <c r="AO135" s="229"/>
      <c r="AP135" s="229"/>
      <c r="AQ135" s="244" t="s">
        <v>94</v>
      </c>
      <c r="AR135" s="229"/>
      <c r="AS135" s="229"/>
      <c r="AT135" s="654"/>
      <c r="AU135" s="948"/>
      <c r="AV135" s="948"/>
      <c r="AW135" s="654" t="s">
        <v>94</v>
      </c>
      <c r="AX135" s="229"/>
      <c r="AY135" s="229"/>
      <c r="AZ135" s="654"/>
      <c r="BA135" s="229"/>
      <c r="BB135" s="229"/>
      <c r="BC135" s="654" t="s">
        <v>94</v>
      </c>
      <c r="BD135" s="229"/>
      <c r="BE135" s="229"/>
      <c r="BF135" s="654"/>
      <c r="BG135" s="229"/>
      <c r="BH135" s="229"/>
      <c r="BI135" s="654" t="s">
        <v>94</v>
      </c>
      <c r="BJ135" s="229"/>
      <c r="BK135" s="229"/>
      <c r="BL135" s="654"/>
      <c r="BM135" s="229"/>
      <c r="BN135" s="229"/>
      <c r="BO135" s="654" t="s">
        <v>94</v>
      </c>
      <c r="BP135" s="229"/>
      <c r="BQ135" s="229"/>
      <c r="BR135" s="654"/>
      <c r="BS135" s="229"/>
      <c r="BT135" s="229"/>
      <c r="BU135" s="654" t="s">
        <v>94</v>
      </c>
    </row>
    <row r="136" spans="1:73">
      <c r="A136" s="1157" t="s">
        <v>95</v>
      </c>
      <c r="B136" s="1157"/>
      <c r="C136" s="1156" t="s">
        <v>3</v>
      </c>
      <c r="D136" s="1156" t="s">
        <v>4</v>
      </c>
      <c r="E136" s="1156" t="s">
        <v>5</v>
      </c>
      <c r="F136" s="1156" t="s">
        <v>6</v>
      </c>
      <c r="G136" s="1156" t="s">
        <v>7</v>
      </c>
      <c r="H136" s="1156" t="s">
        <v>8</v>
      </c>
      <c r="I136" s="1155" t="s">
        <v>83</v>
      </c>
      <c r="J136" s="1156" t="s">
        <v>315</v>
      </c>
      <c r="K136" s="1159" t="s">
        <v>40</v>
      </c>
      <c r="L136" s="1160"/>
      <c r="M136" s="1161"/>
      <c r="N136" s="1155" t="s">
        <v>505</v>
      </c>
      <c r="O136" s="1156"/>
      <c r="P136" s="1157"/>
      <c r="Q136" s="1155" t="s">
        <v>506</v>
      </c>
      <c r="R136" s="1156"/>
      <c r="S136" s="1157"/>
      <c r="T136" s="1155" t="s">
        <v>513</v>
      </c>
      <c r="U136" s="1156"/>
      <c r="V136" s="1157"/>
      <c r="W136" s="1155" t="s">
        <v>514</v>
      </c>
      <c r="X136" s="1156"/>
      <c r="Y136" s="1157"/>
      <c r="Z136" s="1155" t="s">
        <v>531</v>
      </c>
      <c r="AA136" s="1156"/>
      <c r="AB136" s="1157"/>
      <c r="AC136" s="1155" t="s">
        <v>533</v>
      </c>
      <c r="AD136" s="1156"/>
      <c r="AE136" s="1157"/>
      <c r="AF136" s="1155" t="s">
        <v>575</v>
      </c>
      <c r="AG136" s="1156"/>
      <c r="AH136" s="1157"/>
      <c r="AI136" s="1155" t="s">
        <v>576</v>
      </c>
      <c r="AJ136" s="1156"/>
      <c r="AK136" s="1157"/>
      <c r="AL136" s="1155" t="s">
        <v>583</v>
      </c>
      <c r="AM136" s="1156"/>
      <c r="AN136" s="1157"/>
      <c r="AO136" s="1155" t="s">
        <v>584</v>
      </c>
      <c r="AP136" s="1156"/>
      <c r="AQ136" s="1157"/>
      <c r="AR136" s="1155" t="s">
        <v>621</v>
      </c>
      <c r="AS136" s="1156"/>
      <c r="AT136" s="1157"/>
      <c r="AU136" s="1155" t="s">
        <v>622</v>
      </c>
      <c r="AV136" s="1156"/>
      <c r="AW136" s="1157"/>
      <c r="AX136" s="1155" t="s">
        <v>626</v>
      </c>
      <c r="AY136" s="1156"/>
      <c r="AZ136" s="1157"/>
      <c r="BA136" s="1155" t="s">
        <v>628</v>
      </c>
      <c r="BB136" s="1156"/>
      <c r="BC136" s="1157"/>
      <c r="BD136" s="1155" t="s">
        <v>650</v>
      </c>
      <c r="BE136" s="1156"/>
      <c r="BF136" s="1157"/>
      <c r="BG136" s="1155" t="s">
        <v>651</v>
      </c>
      <c r="BH136" s="1156"/>
      <c r="BI136" s="1157"/>
      <c r="BJ136" s="1155" t="s">
        <v>674</v>
      </c>
      <c r="BK136" s="1156"/>
      <c r="BL136" s="1157"/>
      <c r="BM136" s="1155" t="s">
        <v>675</v>
      </c>
      <c r="BN136" s="1156"/>
      <c r="BO136" s="1157"/>
      <c r="BP136" s="1155" t="s">
        <v>712</v>
      </c>
      <c r="BQ136" s="1156"/>
      <c r="BR136" s="1157"/>
      <c r="BS136" s="1155" t="s">
        <v>711</v>
      </c>
      <c r="BT136" s="1156"/>
      <c r="BU136" s="1157"/>
    </row>
    <row r="137" spans="1:73">
      <c r="A137" s="1157"/>
      <c r="B137" s="1157"/>
      <c r="C137" s="1156"/>
      <c r="D137" s="1156"/>
      <c r="E137" s="1156"/>
      <c r="F137" s="1156"/>
      <c r="G137" s="1156"/>
      <c r="H137" s="1156"/>
      <c r="I137" s="1155"/>
      <c r="J137" s="1156"/>
      <c r="K137" s="413" t="s">
        <v>445</v>
      </c>
      <c r="L137" s="294" t="s">
        <v>446</v>
      </c>
      <c r="M137" s="236" t="s">
        <v>10</v>
      </c>
      <c r="N137" s="413" t="s">
        <v>445</v>
      </c>
      <c r="O137" s="294" t="s">
        <v>446</v>
      </c>
      <c r="P137" s="250" t="s">
        <v>10</v>
      </c>
      <c r="Q137" s="413" t="s">
        <v>445</v>
      </c>
      <c r="R137" s="294" t="s">
        <v>446</v>
      </c>
      <c r="S137" s="250" t="s">
        <v>10</v>
      </c>
      <c r="T137" s="413" t="s">
        <v>445</v>
      </c>
      <c r="U137" s="294" t="s">
        <v>446</v>
      </c>
      <c r="V137" s="250" t="s">
        <v>10</v>
      </c>
      <c r="W137" s="413" t="s">
        <v>445</v>
      </c>
      <c r="X137" s="294" t="s">
        <v>446</v>
      </c>
      <c r="Y137" s="250" t="s">
        <v>10</v>
      </c>
      <c r="Z137" s="413" t="s">
        <v>445</v>
      </c>
      <c r="AA137" s="294" t="s">
        <v>446</v>
      </c>
      <c r="AB137" s="250" t="s">
        <v>10</v>
      </c>
      <c r="AC137" s="413" t="s">
        <v>445</v>
      </c>
      <c r="AD137" s="294" t="s">
        <v>446</v>
      </c>
      <c r="AE137" s="250" t="s">
        <v>10</v>
      </c>
      <c r="AF137" s="413" t="s">
        <v>577</v>
      </c>
      <c r="AG137" s="294" t="s">
        <v>578</v>
      </c>
      <c r="AH137" s="250" t="s">
        <v>10</v>
      </c>
      <c r="AI137" s="413" t="s">
        <v>577</v>
      </c>
      <c r="AJ137" s="294" t="s">
        <v>578</v>
      </c>
      <c r="AK137" s="250" t="s">
        <v>10</v>
      </c>
      <c r="AL137" s="413" t="s">
        <v>445</v>
      </c>
      <c r="AM137" s="294" t="s">
        <v>446</v>
      </c>
      <c r="AN137" s="250" t="s">
        <v>10</v>
      </c>
      <c r="AO137" s="685" t="s">
        <v>445</v>
      </c>
      <c r="AP137" s="680" t="s">
        <v>446</v>
      </c>
      <c r="AQ137" s="250" t="s">
        <v>10</v>
      </c>
      <c r="AR137" s="685" t="s">
        <v>445</v>
      </c>
      <c r="AS137" s="680" t="s">
        <v>446</v>
      </c>
      <c r="AT137" s="674" t="s">
        <v>10</v>
      </c>
      <c r="AU137" s="949" t="s">
        <v>445</v>
      </c>
      <c r="AV137" s="950" t="s">
        <v>446</v>
      </c>
      <c r="AW137" s="674" t="s">
        <v>10</v>
      </c>
      <c r="AX137" s="685" t="s">
        <v>445</v>
      </c>
      <c r="AY137" s="680" t="s">
        <v>446</v>
      </c>
      <c r="AZ137" s="674" t="s">
        <v>10</v>
      </c>
      <c r="BA137" s="685" t="s">
        <v>445</v>
      </c>
      <c r="BB137" s="680" t="s">
        <v>446</v>
      </c>
      <c r="BC137" s="674" t="s">
        <v>10</v>
      </c>
      <c r="BD137" s="685" t="s">
        <v>670</v>
      </c>
      <c r="BE137" s="680" t="s">
        <v>671</v>
      </c>
      <c r="BF137" s="674" t="s">
        <v>10</v>
      </c>
      <c r="BG137" s="685" t="s">
        <v>669</v>
      </c>
      <c r="BH137" s="680" t="s">
        <v>671</v>
      </c>
      <c r="BI137" s="674" t="s">
        <v>10</v>
      </c>
      <c r="BJ137" s="685" t="s">
        <v>698</v>
      </c>
      <c r="BK137" s="680" t="s">
        <v>699</v>
      </c>
      <c r="BL137" s="674" t="s">
        <v>10</v>
      </c>
      <c r="BM137" s="685" t="s">
        <v>698</v>
      </c>
      <c r="BN137" s="680" t="s">
        <v>699</v>
      </c>
      <c r="BO137" s="674" t="s">
        <v>10</v>
      </c>
      <c r="BP137" s="685" t="s">
        <v>743</v>
      </c>
      <c r="BQ137" s="680" t="s">
        <v>446</v>
      </c>
      <c r="BR137" s="674" t="s">
        <v>10</v>
      </c>
      <c r="BS137" s="685" t="s">
        <v>445</v>
      </c>
      <c r="BT137" s="680" t="s">
        <v>446</v>
      </c>
      <c r="BU137" s="674" t="s">
        <v>10</v>
      </c>
    </row>
    <row r="138" spans="1:73">
      <c r="A138" s="86"/>
      <c r="B138" s="85" t="s">
        <v>50</v>
      </c>
      <c r="C138" s="189">
        <v>15633</v>
      </c>
      <c r="D138" s="189">
        <v>15877</v>
      </c>
      <c r="E138" s="189">
        <v>16692</v>
      </c>
      <c r="F138" s="189">
        <v>16819</v>
      </c>
      <c r="G138" s="189">
        <v>18141</v>
      </c>
      <c r="H138" s="189">
        <v>20310</v>
      </c>
      <c r="I138" s="362">
        <v>20082</v>
      </c>
      <c r="J138" s="44">
        <v>20606</v>
      </c>
      <c r="K138" s="383">
        <v>1426</v>
      </c>
      <c r="L138" s="390">
        <v>1831</v>
      </c>
      <c r="M138" s="232">
        <f t="shared" ref="M138:M148" si="252">ROUND(((L138/K138-1)*100), 1)</f>
        <v>28.4</v>
      </c>
      <c r="N138" s="383">
        <f t="shared" ref="N138:N154" si="253">Q138-K138</f>
        <v>1486</v>
      </c>
      <c r="O138" s="390">
        <f t="shared" ref="O138:O154" si="254">R138-L138</f>
        <v>1533</v>
      </c>
      <c r="P138" s="242">
        <f t="shared" ref="P138:P148" si="255">ROUND(((O138/N138-1)*100), 1)</f>
        <v>3.2</v>
      </c>
      <c r="Q138" s="383">
        <v>2912</v>
      </c>
      <c r="R138" s="390">
        <v>3364</v>
      </c>
      <c r="S138" s="242">
        <f t="shared" ref="S138:S148" si="256">ROUND(((R138/Q138-1)*100), 1)</f>
        <v>15.5</v>
      </c>
      <c r="T138" s="383">
        <f t="shared" ref="T138:T154" si="257">W138-Q138</f>
        <v>1519</v>
      </c>
      <c r="U138" s="390">
        <f t="shared" ref="U138:U154" si="258">X138-R138</f>
        <v>2172</v>
      </c>
      <c r="V138" s="242">
        <f t="shared" ref="V138:V148" si="259">ROUND(((U138/T138-1)*100), 1)</f>
        <v>43</v>
      </c>
      <c r="W138" s="383">
        <v>4431</v>
      </c>
      <c r="X138" s="390">
        <v>5536</v>
      </c>
      <c r="Y138" s="242">
        <f t="shared" ref="Y138:Y148" si="260">ROUND(((X138/W138-1)*100), 1)</f>
        <v>24.9</v>
      </c>
      <c r="Z138" s="527">
        <f t="shared" ref="Z138:Z154" si="261">AC138-W138</f>
        <v>1993</v>
      </c>
      <c r="AA138" s="390">
        <f t="shared" ref="AA138:AA154" si="262">AD138-X138</f>
        <v>2124</v>
      </c>
      <c r="AB138" s="242">
        <f t="shared" ref="AB138:AB148" si="263">ROUND(((AA138/Z138-1)*100), 1)</f>
        <v>6.6</v>
      </c>
      <c r="AC138" s="527">
        <v>6424</v>
      </c>
      <c r="AD138" s="390">
        <v>7660</v>
      </c>
      <c r="AE138" s="242">
        <f t="shared" ref="AE138:AE148" si="264">ROUND(((AD138/AC138-1)*100), 1)</f>
        <v>19.2</v>
      </c>
      <c r="AF138" s="527">
        <f t="shared" ref="AF138:AG154" si="265">AI138-AC138</f>
        <v>1940</v>
      </c>
      <c r="AG138" s="390">
        <f t="shared" si="265"/>
        <v>1972</v>
      </c>
      <c r="AH138" s="242">
        <f t="shared" ref="AH138:AH148" si="266">ROUND(((AG138/AF138-1)*100), 1)</f>
        <v>1.6</v>
      </c>
      <c r="AI138" s="527">
        <v>8364</v>
      </c>
      <c r="AJ138" s="390">
        <v>9632</v>
      </c>
      <c r="AK138" s="242">
        <f t="shared" ref="AK138:AK148" si="267">ROUND(((AJ138/AI138-1)*100), 1)</f>
        <v>15.2</v>
      </c>
      <c r="AL138" s="527">
        <f t="shared" ref="AL138:AL154" si="268">AO138-AI138</f>
        <v>1679</v>
      </c>
      <c r="AM138" s="390">
        <f t="shared" ref="AM138:AM154" si="269">AP138-AJ138</f>
        <v>1559</v>
      </c>
      <c r="AN138" s="242">
        <f t="shared" ref="AN138:AN150" si="270">ROUND(((AM138/AL138-1)*100), 1)</f>
        <v>-7.1</v>
      </c>
      <c r="AO138" s="817">
        <v>10043</v>
      </c>
      <c r="AP138" s="819">
        <v>11191</v>
      </c>
      <c r="AQ138" s="242">
        <f t="shared" ref="AQ138:AQ148" si="271">ROUND(((AP138/AO138-1)*100), 1)</f>
        <v>11.4</v>
      </c>
      <c r="AR138" s="817">
        <f t="shared" ref="AR138:AS154" si="272">AU138-AO138</f>
        <v>1977</v>
      </c>
      <c r="AS138" s="819">
        <f t="shared" si="272"/>
        <v>2172</v>
      </c>
      <c r="AT138" s="753">
        <f t="shared" ref="AT138:AT148" si="273">ROUND(((AS138/AR138-1)*100), 1)</f>
        <v>9.9</v>
      </c>
      <c r="AU138" s="969">
        <v>12020</v>
      </c>
      <c r="AV138" s="970">
        <v>13363</v>
      </c>
      <c r="AW138" s="753">
        <f t="shared" ref="AW138:AW148" si="274">ROUND(((AV138/AU138-1)*100), 1)</f>
        <v>11.2</v>
      </c>
      <c r="AX138" s="817">
        <f t="shared" ref="AX138:AX154" si="275">BA138-AU138</f>
        <v>1347</v>
      </c>
      <c r="AY138" s="819">
        <f t="shared" ref="AY138:AY154" si="276">BB138-AV138</f>
        <v>1620</v>
      </c>
      <c r="AZ138" s="753">
        <f t="shared" ref="AZ138:AZ149" si="277">ROUND(((AY138/AX138-1)*100), 1)</f>
        <v>20.3</v>
      </c>
      <c r="BA138" s="817">
        <v>13367</v>
      </c>
      <c r="BB138" s="819">
        <v>14983</v>
      </c>
      <c r="BC138" s="753">
        <f t="shared" ref="BC138:BC149" si="278">ROUND(((BB138/BA138-1)*100), 1)</f>
        <v>12.1</v>
      </c>
      <c r="BD138" s="817">
        <f t="shared" ref="BD138:BE154" si="279">BG138-BA138</f>
        <v>1525</v>
      </c>
      <c r="BE138" s="819">
        <f t="shared" si="279"/>
        <v>2295</v>
      </c>
      <c r="BF138" s="753">
        <f t="shared" ref="BF138:BF149" si="280">ROUND(((BE138/BD138-1)*100), 1)</f>
        <v>50.5</v>
      </c>
      <c r="BG138" s="817">
        <v>14892</v>
      </c>
      <c r="BH138" s="819">
        <v>17278</v>
      </c>
      <c r="BI138" s="753">
        <f t="shared" ref="BI138:BI149" si="281">ROUND(((BH138/BG138-1)*100), 1)</f>
        <v>16</v>
      </c>
      <c r="BJ138" s="817">
        <f t="shared" ref="BJ138:BK154" si="282">BM138-BG138</f>
        <v>1883</v>
      </c>
      <c r="BK138" s="819">
        <f t="shared" si="282"/>
        <v>2553</v>
      </c>
      <c r="BL138" s="753">
        <f t="shared" ref="BL138:BL149" si="283">ROUND(((BK138/BJ138-1)*100), 1)</f>
        <v>35.6</v>
      </c>
      <c r="BM138" s="817">
        <v>16775</v>
      </c>
      <c r="BN138" s="819">
        <v>19831</v>
      </c>
      <c r="BO138" s="753">
        <f t="shared" ref="BO138:BO149" si="284">ROUND(((BN138/BM138-1)*100), 1)</f>
        <v>18.2</v>
      </c>
      <c r="BP138" s="817">
        <f t="shared" ref="BP138:BQ154" si="285">BS138-BM138</f>
        <v>1695</v>
      </c>
      <c r="BQ138" s="819">
        <f t="shared" si="285"/>
        <v>2617</v>
      </c>
      <c r="BR138" s="753">
        <f t="shared" ref="BR138:BR149" si="286">ROUND(((BQ138/BP138-1)*100), 1)</f>
        <v>54.4</v>
      </c>
      <c r="BS138" s="817">
        <v>18470</v>
      </c>
      <c r="BT138" s="819">
        <v>22448</v>
      </c>
      <c r="BU138" s="753">
        <f t="shared" ref="BU138:BU149" si="287">ROUND(((BT138/BS138-1)*100), 1)</f>
        <v>21.5</v>
      </c>
    </row>
    <row r="139" spans="1:73">
      <c r="A139" s="86" t="s">
        <v>121</v>
      </c>
      <c r="B139" s="43" t="s">
        <v>54</v>
      </c>
      <c r="C139" s="188">
        <v>10467</v>
      </c>
      <c r="D139" s="188">
        <v>12815</v>
      </c>
      <c r="E139" s="188">
        <v>17577</v>
      </c>
      <c r="F139" s="188">
        <v>11493</v>
      </c>
      <c r="G139" s="188">
        <v>9630</v>
      </c>
      <c r="H139" s="188">
        <v>13352</v>
      </c>
      <c r="I139" s="362">
        <v>14744</v>
      </c>
      <c r="J139" s="44">
        <v>11541</v>
      </c>
      <c r="K139" s="383">
        <v>1180</v>
      </c>
      <c r="L139" s="390">
        <v>892</v>
      </c>
      <c r="M139" s="232">
        <f t="shared" si="252"/>
        <v>-24.4</v>
      </c>
      <c r="N139" s="383">
        <f t="shared" si="253"/>
        <v>1072</v>
      </c>
      <c r="O139" s="390">
        <f t="shared" si="254"/>
        <v>946</v>
      </c>
      <c r="P139" s="242">
        <f t="shared" si="255"/>
        <v>-11.8</v>
      </c>
      <c r="Q139" s="383">
        <v>2252</v>
      </c>
      <c r="R139" s="390">
        <v>1838</v>
      </c>
      <c r="S139" s="242">
        <f t="shared" si="256"/>
        <v>-18.399999999999999</v>
      </c>
      <c r="T139" s="383">
        <f t="shared" si="257"/>
        <v>948</v>
      </c>
      <c r="U139" s="390">
        <f t="shared" si="258"/>
        <v>921</v>
      </c>
      <c r="V139" s="242">
        <f t="shared" si="259"/>
        <v>-2.8</v>
      </c>
      <c r="W139" s="383">
        <v>3200</v>
      </c>
      <c r="X139" s="390">
        <v>2759</v>
      </c>
      <c r="Y139" s="242">
        <f t="shared" si="260"/>
        <v>-13.8</v>
      </c>
      <c r="Z139" s="527">
        <f t="shared" si="261"/>
        <v>1228</v>
      </c>
      <c r="AA139" s="390">
        <f t="shared" si="262"/>
        <v>879</v>
      </c>
      <c r="AB139" s="242">
        <f t="shared" si="263"/>
        <v>-28.4</v>
      </c>
      <c r="AC139" s="527">
        <v>4428</v>
      </c>
      <c r="AD139" s="390">
        <v>3638</v>
      </c>
      <c r="AE139" s="242">
        <f t="shared" si="264"/>
        <v>-17.8</v>
      </c>
      <c r="AF139" s="527">
        <f t="shared" si="265"/>
        <v>744</v>
      </c>
      <c r="AG139" s="390">
        <f t="shared" si="265"/>
        <v>660</v>
      </c>
      <c r="AH139" s="242">
        <f t="shared" si="266"/>
        <v>-11.3</v>
      </c>
      <c r="AI139" s="527">
        <v>5172</v>
      </c>
      <c r="AJ139" s="390">
        <v>4298</v>
      </c>
      <c r="AK139" s="242">
        <f t="shared" si="267"/>
        <v>-16.899999999999999</v>
      </c>
      <c r="AL139" s="527">
        <f t="shared" si="268"/>
        <v>1026</v>
      </c>
      <c r="AM139" s="390">
        <f t="shared" si="269"/>
        <v>616</v>
      </c>
      <c r="AN139" s="242">
        <f t="shared" si="270"/>
        <v>-40</v>
      </c>
      <c r="AO139" s="817">
        <v>6198</v>
      </c>
      <c r="AP139" s="819">
        <v>4914</v>
      </c>
      <c r="AQ139" s="242">
        <f t="shared" si="271"/>
        <v>-20.7</v>
      </c>
      <c r="AR139" s="817">
        <f t="shared" si="272"/>
        <v>1011</v>
      </c>
      <c r="AS139" s="819">
        <f t="shared" si="272"/>
        <v>530</v>
      </c>
      <c r="AT139" s="753">
        <f t="shared" si="273"/>
        <v>-47.6</v>
      </c>
      <c r="AU139" s="969">
        <v>7209</v>
      </c>
      <c r="AV139" s="970">
        <v>5444</v>
      </c>
      <c r="AW139" s="753">
        <f t="shared" si="274"/>
        <v>-24.5</v>
      </c>
      <c r="AX139" s="817">
        <f t="shared" si="275"/>
        <v>732</v>
      </c>
      <c r="AY139" s="819">
        <f t="shared" si="276"/>
        <v>398</v>
      </c>
      <c r="AZ139" s="753">
        <f t="shared" si="277"/>
        <v>-45.6</v>
      </c>
      <c r="BA139" s="817">
        <v>7941</v>
      </c>
      <c r="BB139" s="819">
        <v>5842</v>
      </c>
      <c r="BC139" s="753">
        <f t="shared" si="278"/>
        <v>-26.4</v>
      </c>
      <c r="BD139" s="817">
        <f t="shared" si="279"/>
        <v>789</v>
      </c>
      <c r="BE139" s="819">
        <f t="shared" si="279"/>
        <v>631</v>
      </c>
      <c r="BF139" s="753">
        <f t="shared" si="280"/>
        <v>-20</v>
      </c>
      <c r="BG139" s="817">
        <v>8730</v>
      </c>
      <c r="BH139" s="819">
        <v>6473</v>
      </c>
      <c r="BI139" s="753">
        <f t="shared" si="281"/>
        <v>-25.9</v>
      </c>
      <c r="BJ139" s="817">
        <f t="shared" si="282"/>
        <v>906</v>
      </c>
      <c r="BK139" s="819">
        <f t="shared" si="282"/>
        <v>762</v>
      </c>
      <c r="BL139" s="753">
        <f t="shared" si="283"/>
        <v>-15.9</v>
      </c>
      <c r="BM139" s="817">
        <v>9636</v>
      </c>
      <c r="BN139" s="819">
        <v>7235</v>
      </c>
      <c r="BO139" s="753">
        <f t="shared" si="284"/>
        <v>-24.9</v>
      </c>
      <c r="BP139" s="817">
        <f t="shared" si="285"/>
        <v>910</v>
      </c>
      <c r="BQ139" s="819">
        <f t="shared" si="285"/>
        <v>848</v>
      </c>
      <c r="BR139" s="753">
        <f t="shared" si="286"/>
        <v>-6.8</v>
      </c>
      <c r="BS139" s="817">
        <v>10546</v>
      </c>
      <c r="BT139" s="819">
        <v>8083</v>
      </c>
      <c r="BU139" s="753">
        <f t="shared" si="287"/>
        <v>-23.4</v>
      </c>
    </row>
    <row r="140" spans="1:73">
      <c r="A140" s="86"/>
      <c r="B140" s="43" t="s">
        <v>60</v>
      </c>
      <c r="C140" s="188">
        <v>17714</v>
      </c>
      <c r="D140" s="188">
        <v>18643</v>
      </c>
      <c r="E140" s="188">
        <v>15687</v>
      </c>
      <c r="F140" s="188">
        <v>11246</v>
      </c>
      <c r="G140" s="188">
        <v>11316</v>
      </c>
      <c r="H140" s="188">
        <v>11061</v>
      </c>
      <c r="I140" s="362">
        <v>10856</v>
      </c>
      <c r="J140" s="44">
        <v>8039</v>
      </c>
      <c r="K140" s="383">
        <v>777</v>
      </c>
      <c r="L140" s="390">
        <v>572</v>
      </c>
      <c r="M140" s="232">
        <f t="shared" si="252"/>
        <v>-26.4</v>
      </c>
      <c r="N140" s="383">
        <f t="shared" si="253"/>
        <v>595</v>
      </c>
      <c r="O140" s="390">
        <f t="shared" si="254"/>
        <v>409</v>
      </c>
      <c r="P140" s="242">
        <f t="shared" si="255"/>
        <v>-31.3</v>
      </c>
      <c r="Q140" s="383">
        <v>1372</v>
      </c>
      <c r="R140" s="390">
        <v>981</v>
      </c>
      <c r="S140" s="242">
        <f t="shared" si="256"/>
        <v>-28.5</v>
      </c>
      <c r="T140" s="383">
        <f t="shared" si="257"/>
        <v>882</v>
      </c>
      <c r="U140" s="390">
        <f t="shared" si="258"/>
        <v>649</v>
      </c>
      <c r="V140" s="242">
        <f t="shared" si="259"/>
        <v>-26.4</v>
      </c>
      <c r="W140" s="383">
        <v>2254</v>
      </c>
      <c r="X140" s="390">
        <v>1630</v>
      </c>
      <c r="Y140" s="242">
        <f t="shared" si="260"/>
        <v>-27.7</v>
      </c>
      <c r="Z140" s="527">
        <f t="shared" si="261"/>
        <v>834</v>
      </c>
      <c r="AA140" s="390">
        <f t="shared" si="262"/>
        <v>451</v>
      </c>
      <c r="AB140" s="242">
        <f t="shared" si="263"/>
        <v>-45.9</v>
      </c>
      <c r="AC140" s="527">
        <v>3088</v>
      </c>
      <c r="AD140" s="390">
        <v>2081</v>
      </c>
      <c r="AE140" s="242">
        <f t="shared" si="264"/>
        <v>-32.6</v>
      </c>
      <c r="AF140" s="527">
        <f t="shared" si="265"/>
        <v>917</v>
      </c>
      <c r="AG140" s="390">
        <f t="shared" si="265"/>
        <v>407</v>
      </c>
      <c r="AH140" s="242">
        <f t="shared" si="266"/>
        <v>-55.6</v>
      </c>
      <c r="AI140" s="527">
        <v>4005</v>
      </c>
      <c r="AJ140" s="390">
        <v>2488</v>
      </c>
      <c r="AK140" s="242">
        <f t="shared" si="267"/>
        <v>-37.9</v>
      </c>
      <c r="AL140" s="527">
        <f t="shared" si="268"/>
        <v>571</v>
      </c>
      <c r="AM140" s="390">
        <f t="shared" si="269"/>
        <v>225</v>
      </c>
      <c r="AN140" s="242">
        <f t="shared" si="270"/>
        <v>-60.6</v>
      </c>
      <c r="AO140" s="817">
        <v>4576</v>
      </c>
      <c r="AP140" s="819">
        <v>2713</v>
      </c>
      <c r="AQ140" s="242">
        <f t="shared" si="271"/>
        <v>-40.700000000000003</v>
      </c>
      <c r="AR140" s="817">
        <f t="shared" si="272"/>
        <v>502</v>
      </c>
      <c r="AS140" s="819">
        <f t="shared" si="272"/>
        <v>390</v>
      </c>
      <c r="AT140" s="753">
        <f t="shared" si="273"/>
        <v>-22.3</v>
      </c>
      <c r="AU140" s="969">
        <v>5078</v>
      </c>
      <c r="AV140" s="970">
        <v>3103</v>
      </c>
      <c r="AW140" s="753">
        <f t="shared" si="274"/>
        <v>-38.9</v>
      </c>
      <c r="AX140" s="817">
        <f t="shared" si="275"/>
        <v>390</v>
      </c>
      <c r="AY140" s="819">
        <f t="shared" si="276"/>
        <v>312</v>
      </c>
      <c r="AZ140" s="753">
        <f t="shared" si="277"/>
        <v>-20</v>
      </c>
      <c r="BA140" s="817">
        <v>5468</v>
      </c>
      <c r="BB140" s="819">
        <v>3415</v>
      </c>
      <c r="BC140" s="753">
        <f t="shared" si="278"/>
        <v>-37.5</v>
      </c>
      <c r="BD140" s="817">
        <f t="shared" si="279"/>
        <v>704</v>
      </c>
      <c r="BE140" s="819">
        <f t="shared" si="279"/>
        <v>371</v>
      </c>
      <c r="BF140" s="753">
        <f t="shared" si="280"/>
        <v>-47.3</v>
      </c>
      <c r="BG140" s="817">
        <v>6172</v>
      </c>
      <c r="BH140" s="819">
        <v>3786</v>
      </c>
      <c r="BI140" s="753">
        <f t="shared" si="281"/>
        <v>-38.700000000000003</v>
      </c>
      <c r="BJ140" s="817">
        <f t="shared" si="282"/>
        <v>705</v>
      </c>
      <c r="BK140" s="819">
        <f t="shared" si="282"/>
        <v>567</v>
      </c>
      <c r="BL140" s="753">
        <f t="shared" si="283"/>
        <v>-19.600000000000001</v>
      </c>
      <c r="BM140" s="817">
        <v>6877</v>
      </c>
      <c r="BN140" s="819">
        <v>4353</v>
      </c>
      <c r="BO140" s="753">
        <f t="shared" si="284"/>
        <v>-36.700000000000003</v>
      </c>
      <c r="BP140" s="817">
        <f t="shared" si="285"/>
        <v>641</v>
      </c>
      <c r="BQ140" s="819">
        <f t="shared" si="285"/>
        <v>659</v>
      </c>
      <c r="BR140" s="753">
        <f t="shared" si="286"/>
        <v>2.8</v>
      </c>
      <c r="BS140" s="817">
        <v>7518</v>
      </c>
      <c r="BT140" s="819">
        <v>5012</v>
      </c>
      <c r="BU140" s="753">
        <f t="shared" si="287"/>
        <v>-33.299999999999997</v>
      </c>
    </row>
    <row r="141" spans="1:73">
      <c r="A141" s="86"/>
      <c r="B141" s="43" t="s">
        <v>57</v>
      </c>
      <c r="C141" s="188">
        <v>5322</v>
      </c>
      <c r="D141" s="188">
        <v>5713</v>
      </c>
      <c r="E141" s="188">
        <v>6082</v>
      </c>
      <c r="F141" s="188">
        <v>5972</v>
      </c>
      <c r="G141" s="188">
        <v>6670</v>
      </c>
      <c r="H141" s="188">
        <v>7780</v>
      </c>
      <c r="I141" s="362">
        <v>7144</v>
      </c>
      <c r="J141" s="44">
        <v>7104</v>
      </c>
      <c r="K141" s="383">
        <v>663</v>
      </c>
      <c r="L141" s="390">
        <v>699</v>
      </c>
      <c r="M141" s="232">
        <f t="shared" si="252"/>
        <v>5.4</v>
      </c>
      <c r="N141" s="383">
        <f t="shared" si="253"/>
        <v>563</v>
      </c>
      <c r="O141" s="390">
        <f t="shared" si="254"/>
        <v>584</v>
      </c>
      <c r="P141" s="242">
        <f t="shared" si="255"/>
        <v>3.7</v>
      </c>
      <c r="Q141" s="383">
        <v>1226</v>
      </c>
      <c r="R141" s="390">
        <v>1283</v>
      </c>
      <c r="S141" s="242">
        <f t="shared" si="256"/>
        <v>4.5999999999999996</v>
      </c>
      <c r="T141" s="383">
        <f t="shared" si="257"/>
        <v>769</v>
      </c>
      <c r="U141" s="390">
        <f t="shared" si="258"/>
        <v>652</v>
      </c>
      <c r="V141" s="242">
        <f t="shared" si="259"/>
        <v>-15.2</v>
      </c>
      <c r="W141" s="383">
        <v>1995</v>
      </c>
      <c r="X141" s="390">
        <v>1935</v>
      </c>
      <c r="Y141" s="242">
        <f t="shared" si="260"/>
        <v>-3</v>
      </c>
      <c r="Z141" s="527">
        <f t="shared" si="261"/>
        <v>620</v>
      </c>
      <c r="AA141" s="390">
        <f t="shared" si="262"/>
        <v>653</v>
      </c>
      <c r="AB141" s="242">
        <f t="shared" si="263"/>
        <v>5.3</v>
      </c>
      <c r="AC141" s="527">
        <v>2615</v>
      </c>
      <c r="AD141" s="390">
        <v>2588</v>
      </c>
      <c r="AE141" s="242">
        <f t="shared" si="264"/>
        <v>-1</v>
      </c>
      <c r="AF141" s="527">
        <f t="shared" si="265"/>
        <v>491</v>
      </c>
      <c r="AG141" s="390">
        <f t="shared" si="265"/>
        <v>807</v>
      </c>
      <c r="AH141" s="242">
        <f t="shared" si="266"/>
        <v>64.400000000000006</v>
      </c>
      <c r="AI141" s="527">
        <v>3106</v>
      </c>
      <c r="AJ141" s="390">
        <v>3395</v>
      </c>
      <c r="AK141" s="242">
        <f t="shared" si="267"/>
        <v>9.3000000000000007</v>
      </c>
      <c r="AL141" s="527">
        <f t="shared" si="268"/>
        <v>529</v>
      </c>
      <c r="AM141" s="390">
        <f t="shared" si="269"/>
        <v>752</v>
      </c>
      <c r="AN141" s="242">
        <f t="shared" si="270"/>
        <v>42.2</v>
      </c>
      <c r="AO141" s="817">
        <v>3635</v>
      </c>
      <c r="AP141" s="819">
        <v>4147</v>
      </c>
      <c r="AQ141" s="242">
        <f t="shared" si="271"/>
        <v>14.1</v>
      </c>
      <c r="AR141" s="817">
        <f t="shared" si="272"/>
        <v>595</v>
      </c>
      <c r="AS141" s="819">
        <f t="shared" si="272"/>
        <v>579</v>
      </c>
      <c r="AT141" s="753">
        <f t="shared" si="273"/>
        <v>-2.7</v>
      </c>
      <c r="AU141" s="969">
        <v>4230</v>
      </c>
      <c r="AV141" s="970">
        <v>4726</v>
      </c>
      <c r="AW141" s="753">
        <f t="shared" si="274"/>
        <v>11.7</v>
      </c>
      <c r="AX141" s="817">
        <f t="shared" si="275"/>
        <v>460</v>
      </c>
      <c r="AY141" s="819">
        <f t="shared" si="276"/>
        <v>550</v>
      </c>
      <c r="AZ141" s="753">
        <f t="shared" si="277"/>
        <v>19.600000000000001</v>
      </c>
      <c r="BA141" s="817">
        <v>4690</v>
      </c>
      <c r="BB141" s="819">
        <v>5276</v>
      </c>
      <c r="BC141" s="753">
        <f t="shared" si="278"/>
        <v>12.5</v>
      </c>
      <c r="BD141" s="817">
        <f t="shared" si="279"/>
        <v>497</v>
      </c>
      <c r="BE141" s="819">
        <f t="shared" si="279"/>
        <v>674</v>
      </c>
      <c r="BF141" s="753">
        <f t="shared" si="280"/>
        <v>35.6</v>
      </c>
      <c r="BG141" s="817">
        <v>5187</v>
      </c>
      <c r="BH141" s="819">
        <v>5950</v>
      </c>
      <c r="BI141" s="753">
        <f t="shared" si="281"/>
        <v>14.7</v>
      </c>
      <c r="BJ141" s="817">
        <f t="shared" si="282"/>
        <v>772</v>
      </c>
      <c r="BK141" s="819">
        <f t="shared" si="282"/>
        <v>522</v>
      </c>
      <c r="BL141" s="753">
        <f t="shared" si="283"/>
        <v>-32.4</v>
      </c>
      <c r="BM141" s="817">
        <v>5959</v>
      </c>
      <c r="BN141" s="819">
        <v>6472</v>
      </c>
      <c r="BO141" s="753">
        <f t="shared" si="284"/>
        <v>8.6</v>
      </c>
      <c r="BP141" s="817">
        <f t="shared" si="285"/>
        <v>583</v>
      </c>
      <c r="BQ141" s="819">
        <f t="shared" si="285"/>
        <v>729</v>
      </c>
      <c r="BR141" s="753">
        <f t="shared" si="286"/>
        <v>25</v>
      </c>
      <c r="BS141" s="817">
        <v>6542</v>
      </c>
      <c r="BT141" s="819">
        <v>7201</v>
      </c>
      <c r="BU141" s="753">
        <f t="shared" si="287"/>
        <v>10.1</v>
      </c>
    </row>
    <row r="142" spans="1:73">
      <c r="A142" s="86"/>
      <c r="B142" s="43" t="s">
        <v>56</v>
      </c>
      <c r="C142" s="188">
        <v>6402</v>
      </c>
      <c r="D142" s="188">
        <v>6226</v>
      </c>
      <c r="E142" s="188">
        <v>6823</v>
      </c>
      <c r="F142" s="188">
        <v>6966</v>
      </c>
      <c r="G142" s="188">
        <v>7320</v>
      </c>
      <c r="H142" s="188">
        <v>8936</v>
      </c>
      <c r="I142" s="362">
        <v>8523</v>
      </c>
      <c r="J142" s="44">
        <v>5608</v>
      </c>
      <c r="K142" s="383">
        <v>519</v>
      </c>
      <c r="L142" s="390">
        <v>475</v>
      </c>
      <c r="M142" s="232">
        <f t="shared" si="252"/>
        <v>-8.5</v>
      </c>
      <c r="N142" s="383">
        <f t="shared" si="253"/>
        <v>604</v>
      </c>
      <c r="O142" s="390">
        <f t="shared" si="254"/>
        <v>464</v>
      </c>
      <c r="P142" s="242">
        <f t="shared" si="255"/>
        <v>-23.2</v>
      </c>
      <c r="Q142" s="383">
        <v>1123</v>
      </c>
      <c r="R142" s="390">
        <v>939</v>
      </c>
      <c r="S142" s="242">
        <f t="shared" si="256"/>
        <v>-16.399999999999999</v>
      </c>
      <c r="T142" s="383">
        <f t="shared" si="257"/>
        <v>591</v>
      </c>
      <c r="U142" s="390">
        <f t="shared" si="258"/>
        <v>450</v>
      </c>
      <c r="V142" s="242">
        <f t="shared" si="259"/>
        <v>-23.9</v>
      </c>
      <c r="W142" s="383">
        <v>1714</v>
      </c>
      <c r="X142" s="390">
        <v>1389</v>
      </c>
      <c r="Y142" s="242">
        <f t="shared" si="260"/>
        <v>-19</v>
      </c>
      <c r="Z142" s="527">
        <f t="shared" si="261"/>
        <v>494</v>
      </c>
      <c r="AA142" s="390">
        <f t="shared" si="262"/>
        <v>293</v>
      </c>
      <c r="AB142" s="242">
        <f t="shared" si="263"/>
        <v>-40.700000000000003</v>
      </c>
      <c r="AC142" s="527">
        <v>2208</v>
      </c>
      <c r="AD142" s="390">
        <v>1682</v>
      </c>
      <c r="AE142" s="242">
        <f t="shared" si="264"/>
        <v>-23.8</v>
      </c>
      <c r="AF142" s="527">
        <f t="shared" si="265"/>
        <v>325</v>
      </c>
      <c r="AG142" s="390">
        <f t="shared" si="265"/>
        <v>395</v>
      </c>
      <c r="AH142" s="242">
        <f t="shared" si="266"/>
        <v>21.5</v>
      </c>
      <c r="AI142" s="527">
        <v>2533</v>
      </c>
      <c r="AJ142" s="390">
        <v>2077</v>
      </c>
      <c r="AK142" s="242">
        <f t="shared" si="267"/>
        <v>-18</v>
      </c>
      <c r="AL142" s="527">
        <f t="shared" si="268"/>
        <v>382</v>
      </c>
      <c r="AM142" s="390">
        <f t="shared" si="269"/>
        <v>374</v>
      </c>
      <c r="AN142" s="242">
        <f t="shared" si="270"/>
        <v>-2.1</v>
      </c>
      <c r="AO142" s="817">
        <v>2915</v>
      </c>
      <c r="AP142" s="819">
        <v>2451</v>
      </c>
      <c r="AQ142" s="242">
        <f t="shared" si="271"/>
        <v>-15.9</v>
      </c>
      <c r="AR142" s="817">
        <f t="shared" si="272"/>
        <v>538</v>
      </c>
      <c r="AS142" s="819">
        <f t="shared" si="272"/>
        <v>525</v>
      </c>
      <c r="AT142" s="753">
        <f t="shared" si="273"/>
        <v>-2.4</v>
      </c>
      <c r="AU142" s="969">
        <v>3453</v>
      </c>
      <c r="AV142" s="970">
        <v>2976</v>
      </c>
      <c r="AW142" s="753">
        <f t="shared" si="274"/>
        <v>-13.8</v>
      </c>
      <c r="AX142" s="817">
        <f t="shared" si="275"/>
        <v>333</v>
      </c>
      <c r="AY142" s="819">
        <f t="shared" si="276"/>
        <v>315</v>
      </c>
      <c r="AZ142" s="753">
        <f t="shared" si="277"/>
        <v>-5.4</v>
      </c>
      <c r="BA142" s="817">
        <v>3786</v>
      </c>
      <c r="BB142" s="819">
        <v>3291</v>
      </c>
      <c r="BC142" s="753">
        <f t="shared" si="278"/>
        <v>-13.1</v>
      </c>
      <c r="BD142" s="817">
        <f t="shared" si="279"/>
        <v>591</v>
      </c>
      <c r="BE142" s="819">
        <f t="shared" si="279"/>
        <v>479</v>
      </c>
      <c r="BF142" s="753">
        <f t="shared" si="280"/>
        <v>-19</v>
      </c>
      <c r="BG142" s="817">
        <v>4377</v>
      </c>
      <c r="BH142" s="819">
        <v>3770</v>
      </c>
      <c r="BI142" s="753">
        <f t="shared" si="281"/>
        <v>-13.9</v>
      </c>
      <c r="BJ142" s="817">
        <f t="shared" si="282"/>
        <v>440</v>
      </c>
      <c r="BK142" s="819">
        <f t="shared" si="282"/>
        <v>305</v>
      </c>
      <c r="BL142" s="753">
        <f t="shared" si="283"/>
        <v>-30.7</v>
      </c>
      <c r="BM142" s="817">
        <v>4817</v>
      </c>
      <c r="BN142" s="819">
        <v>4075</v>
      </c>
      <c r="BO142" s="753">
        <f t="shared" si="284"/>
        <v>-15.4</v>
      </c>
      <c r="BP142" s="817">
        <f t="shared" si="285"/>
        <v>377</v>
      </c>
      <c r="BQ142" s="819">
        <f t="shared" si="285"/>
        <v>364</v>
      </c>
      <c r="BR142" s="753">
        <f t="shared" si="286"/>
        <v>-3.4</v>
      </c>
      <c r="BS142" s="817">
        <v>5194</v>
      </c>
      <c r="BT142" s="819">
        <v>4439</v>
      </c>
      <c r="BU142" s="753">
        <f t="shared" si="287"/>
        <v>-14.5</v>
      </c>
    </row>
    <row r="143" spans="1:73">
      <c r="A143" s="86"/>
      <c r="B143" s="43" t="s">
        <v>51</v>
      </c>
      <c r="C143" s="188">
        <v>1308</v>
      </c>
      <c r="D143" s="188">
        <v>1714</v>
      </c>
      <c r="E143" s="188">
        <v>2277</v>
      </c>
      <c r="F143" s="188">
        <v>3295</v>
      </c>
      <c r="G143" s="188">
        <v>4418</v>
      </c>
      <c r="H143" s="188">
        <v>4167</v>
      </c>
      <c r="I143" s="362">
        <v>4888</v>
      </c>
      <c r="J143" s="44">
        <v>4945</v>
      </c>
      <c r="K143" s="383">
        <v>400</v>
      </c>
      <c r="L143" s="390">
        <v>259</v>
      </c>
      <c r="M143" s="232">
        <f t="shared" si="252"/>
        <v>-35.299999999999997</v>
      </c>
      <c r="N143" s="383">
        <f t="shared" si="253"/>
        <v>399</v>
      </c>
      <c r="O143" s="390">
        <f t="shared" si="254"/>
        <v>446</v>
      </c>
      <c r="P143" s="242">
        <f t="shared" si="255"/>
        <v>11.8</v>
      </c>
      <c r="Q143" s="383">
        <v>799</v>
      </c>
      <c r="R143" s="390">
        <v>705</v>
      </c>
      <c r="S143" s="242">
        <f t="shared" si="256"/>
        <v>-11.8</v>
      </c>
      <c r="T143" s="383">
        <f t="shared" si="257"/>
        <v>482</v>
      </c>
      <c r="U143" s="390">
        <f t="shared" si="258"/>
        <v>575</v>
      </c>
      <c r="V143" s="242">
        <f t="shared" si="259"/>
        <v>19.3</v>
      </c>
      <c r="W143" s="383">
        <v>1281</v>
      </c>
      <c r="X143" s="390">
        <v>1280</v>
      </c>
      <c r="Y143" s="242">
        <f t="shared" si="260"/>
        <v>-0.1</v>
      </c>
      <c r="Z143" s="527">
        <f t="shared" si="261"/>
        <v>372</v>
      </c>
      <c r="AA143" s="390">
        <f t="shared" si="262"/>
        <v>423</v>
      </c>
      <c r="AB143" s="242">
        <f t="shared" si="263"/>
        <v>13.7</v>
      </c>
      <c r="AC143" s="527">
        <v>1653</v>
      </c>
      <c r="AD143" s="390">
        <v>1703</v>
      </c>
      <c r="AE143" s="242">
        <f t="shared" si="264"/>
        <v>3</v>
      </c>
      <c r="AF143" s="527">
        <f t="shared" si="265"/>
        <v>455</v>
      </c>
      <c r="AG143" s="390">
        <f t="shared" si="265"/>
        <v>356</v>
      </c>
      <c r="AH143" s="242">
        <f t="shared" si="266"/>
        <v>-21.8</v>
      </c>
      <c r="AI143" s="527">
        <v>2108</v>
      </c>
      <c r="AJ143" s="390">
        <v>2059</v>
      </c>
      <c r="AK143" s="242">
        <f t="shared" si="267"/>
        <v>-2.2999999999999998</v>
      </c>
      <c r="AL143" s="527">
        <f t="shared" si="268"/>
        <v>462</v>
      </c>
      <c r="AM143" s="390">
        <f t="shared" si="269"/>
        <v>378</v>
      </c>
      <c r="AN143" s="242">
        <f t="shared" si="270"/>
        <v>-18.2</v>
      </c>
      <c r="AO143" s="817">
        <v>2570</v>
      </c>
      <c r="AP143" s="819">
        <v>2437</v>
      </c>
      <c r="AQ143" s="242">
        <f t="shared" si="271"/>
        <v>-5.2</v>
      </c>
      <c r="AR143" s="817">
        <f t="shared" si="272"/>
        <v>331</v>
      </c>
      <c r="AS143" s="819">
        <f t="shared" si="272"/>
        <v>402</v>
      </c>
      <c r="AT143" s="753">
        <f t="shared" si="273"/>
        <v>21.5</v>
      </c>
      <c r="AU143" s="969">
        <v>2901</v>
      </c>
      <c r="AV143" s="970">
        <v>2839</v>
      </c>
      <c r="AW143" s="753">
        <f t="shared" si="274"/>
        <v>-2.1</v>
      </c>
      <c r="AX143" s="817">
        <f t="shared" si="275"/>
        <v>378</v>
      </c>
      <c r="AY143" s="819">
        <f t="shared" si="276"/>
        <v>438</v>
      </c>
      <c r="AZ143" s="753">
        <f t="shared" si="277"/>
        <v>15.9</v>
      </c>
      <c r="BA143" s="817">
        <v>3279</v>
      </c>
      <c r="BB143" s="819">
        <v>3277</v>
      </c>
      <c r="BC143" s="753">
        <f t="shared" si="278"/>
        <v>-0.1</v>
      </c>
      <c r="BD143" s="817">
        <f t="shared" si="279"/>
        <v>353</v>
      </c>
      <c r="BE143" s="819">
        <f t="shared" si="279"/>
        <v>418</v>
      </c>
      <c r="BF143" s="753">
        <f t="shared" si="280"/>
        <v>18.399999999999999</v>
      </c>
      <c r="BG143" s="817">
        <v>3632</v>
      </c>
      <c r="BH143" s="819">
        <v>3695</v>
      </c>
      <c r="BI143" s="753">
        <f t="shared" si="281"/>
        <v>1.7</v>
      </c>
      <c r="BJ143" s="817">
        <f t="shared" si="282"/>
        <v>393</v>
      </c>
      <c r="BK143" s="819">
        <f t="shared" si="282"/>
        <v>463</v>
      </c>
      <c r="BL143" s="753">
        <f t="shared" si="283"/>
        <v>17.8</v>
      </c>
      <c r="BM143" s="817">
        <v>4025</v>
      </c>
      <c r="BN143" s="819">
        <v>4158</v>
      </c>
      <c r="BO143" s="753">
        <f t="shared" si="284"/>
        <v>3.3</v>
      </c>
      <c r="BP143" s="817">
        <f t="shared" si="285"/>
        <v>451</v>
      </c>
      <c r="BQ143" s="819">
        <f t="shared" si="285"/>
        <v>409</v>
      </c>
      <c r="BR143" s="753">
        <f t="shared" si="286"/>
        <v>-9.3000000000000007</v>
      </c>
      <c r="BS143" s="817">
        <v>4476</v>
      </c>
      <c r="BT143" s="819">
        <v>4567</v>
      </c>
      <c r="BU143" s="753">
        <f t="shared" si="287"/>
        <v>2</v>
      </c>
    </row>
    <row r="144" spans="1:73">
      <c r="A144" s="86"/>
      <c r="B144" s="43" t="s">
        <v>55</v>
      </c>
      <c r="C144" s="188">
        <v>2462</v>
      </c>
      <c r="D144" s="188">
        <v>4354</v>
      </c>
      <c r="E144" s="188">
        <v>3905</v>
      </c>
      <c r="F144" s="188">
        <v>3348</v>
      </c>
      <c r="G144" s="188">
        <v>2559</v>
      </c>
      <c r="H144" s="188">
        <v>3487</v>
      </c>
      <c r="I144" s="362">
        <v>4615</v>
      </c>
      <c r="J144" s="44">
        <v>4827</v>
      </c>
      <c r="K144" s="383">
        <v>407</v>
      </c>
      <c r="L144" s="390">
        <v>227</v>
      </c>
      <c r="M144" s="232">
        <f t="shared" si="252"/>
        <v>-44.2</v>
      </c>
      <c r="N144" s="383">
        <f t="shared" si="253"/>
        <v>188</v>
      </c>
      <c r="O144" s="390">
        <f t="shared" si="254"/>
        <v>353</v>
      </c>
      <c r="P144" s="242">
        <f t="shared" si="255"/>
        <v>87.8</v>
      </c>
      <c r="Q144" s="383">
        <v>595</v>
      </c>
      <c r="R144" s="390">
        <v>580</v>
      </c>
      <c r="S144" s="242">
        <f t="shared" si="256"/>
        <v>-2.5</v>
      </c>
      <c r="T144" s="383">
        <f t="shared" si="257"/>
        <v>145</v>
      </c>
      <c r="U144" s="390">
        <f t="shared" si="258"/>
        <v>413</v>
      </c>
      <c r="V144" s="242">
        <f t="shared" si="259"/>
        <v>184.8</v>
      </c>
      <c r="W144" s="383">
        <v>740</v>
      </c>
      <c r="X144" s="390">
        <v>993</v>
      </c>
      <c r="Y144" s="242">
        <f t="shared" si="260"/>
        <v>34.200000000000003</v>
      </c>
      <c r="Z144" s="527">
        <f t="shared" si="261"/>
        <v>171</v>
      </c>
      <c r="AA144" s="390">
        <f t="shared" si="262"/>
        <v>301</v>
      </c>
      <c r="AB144" s="242">
        <f t="shared" si="263"/>
        <v>76</v>
      </c>
      <c r="AC144" s="527">
        <v>911</v>
      </c>
      <c r="AD144" s="390">
        <v>1294</v>
      </c>
      <c r="AE144" s="242">
        <f t="shared" si="264"/>
        <v>42</v>
      </c>
      <c r="AF144" s="527">
        <f t="shared" si="265"/>
        <v>182</v>
      </c>
      <c r="AG144" s="390">
        <f t="shared" si="265"/>
        <v>96</v>
      </c>
      <c r="AH144" s="242">
        <f t="shared" si="266"/>
        <v>-47.3</v>
      </c>
      <c r="AI144" s="527">
        <v>1093</v>
      </c>
      <c r="AJ144" s="390">
        <v>1390</v>
      </c>
      <c r="AK144" s="242">
        <f t="shared" si="267"/>
        <v>27.2</v>
      </c>
      <c r="AL144" s="527">
        <f t="shared" si="268"/>
        <v>324</v>
      </c>
      <c r="AM144" s="390">
        <f t="shared" si="269"/>
        <v>71</v>
      </c>
      <c r="AN144" s="242">
        <f t="shared" si="270"/>
        <v>-78.099999999999994</v>
      </c>
      <c r="AO144" s="817">
        <v>1417</v>
      </c>
      <c r="AP144" s="819">
        <v>1461</v>
      </c>
      <c r="AQ144" s="242">
        <f t="shared" si="271"/>
        <v>3.1</v>
      </c>
      <c r="AR144" s="817">
        <f t="shared" si="272"/>
        <v>688</v>
      </c>
      <c r="AS144" s="819">
        <f t="shared" si="272"/>
        <v>222</v>
      </c>
      <c r="AT144" s="753">
        <f t="shared" si="273"/>
        <v>-67.7</v>
      </c>
      <c r="AU144" s="969">
        <v>2105</v>
      </c>
      <c r="AV144" s="970">
        <v>1683</v>
      </c>
      <c r="AW144" s="753">
        <f t="shared" si="274"/>
        <v>-20</v>
      </c>
      <c r="AX144" s="817">
        <f t="shared" si="275"/>
        <v>414</v>
      </c>
      <c r="AY144" s="819">
        <f t="shared" si="276"/>
        <v>147</v>
      </c>
      <c r="AZ144" s="753">
        <f t="shared" si="277"/>
        <v>-64.5</v>
      </c>
      <c r="BA144" s="817">
        <v>2519</v>
      </c>
      <c r="BB144" s="819">
        <v>1830</v>
      </c>
      <c r="BC144" s="753">
        <f t="shared" si="278"/>
        <v>-27.4</v>
      </c>
      <c r="BD144" s="817">
        <f t="shared" si="279"/>
        <v>555</v>
      </c>
      <c r="BE144" s="819">
        <f t="shared" si="279"/>
        <v>428</v>
      </c>
      <c r="BF144" s="753">
        <f t="shared" si="280"/>
        <v>-22.9</v>
      </c>
      <c r="BG144" s="817">
        <v>3074</v>
      </c>
      <c r="BH144" s="819">
        <v>2258</v>
      </c>
      <c r="BI144" s="753">
        <f t="shared" si="281"/>
        <v>-26.5</v>
      </c>
      <c r="BJ144" s="817">
        <f t="shared" si="282"/>
        <v>720</v>
      </c>
      <c r="BK144" s="819">
        <f t="shared" si="282"/>
        <v>445</v>
      </c>
      <c r="BL144" s="753">
        <f t="shared" si="283"/>
        <v>-38.200000000000003</v>
      </c>
      <c r="BM144" s="817">
        <v>3794</v>
      </c>
      <c r="BN144" s="819">
        <v>2703</v>
      </c>
      <c r="BO144" s="753">
        <f t="shared" si="284"/>
        <v>-28.8</v>
      </c>
      <c r="BP144" s="817">
        <f t="shared" si="285"/>
        <v>552</v>
      </c>
      <c r="BQ144" s="819">
        <f t="shared" si="285"/>
        <v>477</v>
      </c>
      <c r="BR144" s="753">
        <f t="shared" si="286"/>
        <v>-13.6</v>
      </c>
      <c r="BS144" s="817">
        <v>4346</v>
      </c>
      <c r="BT144" s="819">
        <v>3180</v>
      </c>
      <c r="BU144" s="753">
        <f t="shared" si="287"/>
        <v>-26.8</v>
      </c>
    </row>
    <row r="145" spans="1:73">
      <c r="A145" s="86"/>
      <c r="B145" s="43" t="s">
        <v>59</v>
      </c>
      <c r="C145" s="188">
        <v>4117</v>
      </c>
      <c r="D145" s="188">
        <v>4983</v>
      </c>
      <c r="E145" s="188">
        <v>5793</v>
      </c>
      <c r="F145" s="188">
        <v>4468</v>
      </c>
      <c r="G145" s="188">
        <v>4198</v>
      </c>
      <c r="H145" s="188">
        <v>3986</v>
      </c>
      <c r="I145" s="362">
        <v>4462</v>
      </c>
      <c r="J145" s="44">
        <v>4356</v>
      </c>
      <c r="K145" s="383">
        <v>512</v>
      </c>
      <c r="L145" s="390">
        <v>226</v>
      </c>
      <c r="M145" s="232">
        <f t="shared" si="252"/>
        <v>-55.9</v>
      </c>
      <c r="N145" s="383">
        <f t="shared" si="253"/>
        <v>237</v>
      </c>
      <c r="O145" s="390">
        <f t="shared" si="254"/>
        <v>259</v>
      </c>
      <c r="P145" s="242">
        <f t="shared" si="255"/>
        <v>9.3000000000000007</v>
      </c>
      <c r="Q145" s="383">
        <v>749</v>
      </c>
      <c r="R145" s="390">
        <v>485</v>
      </c>
      <c r="S145" s="242">
        <f t="shared" si="256"/>
        <v>-35.200000000000003</v>
      </c>
      <c r="T145" s="383">
        <f t="shared" si="257"/>
        <v>323</v>
      </c>
      <c r="U145" s="390">
        <f t="shared" si="258"/>
        <v>839</v>
      </c>
      <c r="V145" s="242">
        <f t="shared" si="259"/>
        <v>159.80000000000001</v>
      </c>
      <c r="W145" s="383">
        <v>1072</v>
      </c>
      <c r="X145" s="390">
        <v>1324</v>
      </c>
      <c r="Y145" s="242">
        <f t="shared" si="260"/>
        <v>23.5</v>
      </c>
      <c r="Z145" s="527">
        <f t="shared" si="261"/>
        <v>412</v>
      </c>
      <c r="AA145" s="390">
        <f t="shared" si="262"/>
        <v>247</v>
      </c>
      <c r="AB145" s="242">
        <f t="shared" si="263"/>
        <v>-40</v>
      </c>
      <c r="AC145" s="527">
        <v>1484</v>
      </c>
      <c r="AD145" s="390">
        <v>1571</v>
      </c>
      <c r="AE145" s="242">
        <f t="shared" si="264"/>
        <v>5.9</v>
      </c>
      <c r="AF145" s="527">
        <f t="shared" si="265"/>
        <v>310</v>
      </c>
      <c r="AG145" s="390">
        <f t="shared" si="265"/>
        <v>112</v>
      </c>
      <c r="AH145" s="242">
        <f t="shared" si="266"/>
        <v>-63.9</v>
      </c>
      <c r="AI145" s="527">
        <v>1794</v>
      </c>
      <c r="AJ145" s="390">
        <v>1683</v>
      </c>
      <c r="AK145" s="242">
        <f t="shared" si="267"/>
        <v>-6.2</v>
      </c>
      <c r="AL145" s="527">
        <f t="shared" si="268"/>
        <v>256</v>
      </c>
      <c r="AM145" s="390">
        <f t="shared" si="269"/>
        <v>109</v>
      </c>
      <c r="AN145" s="242">
        <f t="shared" si="270"/>
        <v>-57.4</v>
      </c>
      <c r="AO145" s="817">
        <v>2050</v>
      </c>
      <c r="AP145" s="819">
        <v>1792</v>
      </c>
      <c r="AQ145" s="242">
        <f t="shared" si="271"/>
        <v>-12.6</v>
      </c>
      <c r="AR145" s="817">
        <f t="shared" si="272"/>
        <v>291</v>
      </c>
      <c r="AS145" s="819">
        <f t="shared" si="272"/>
        <v>263</v>
      </c>
      <c r="AT145" s="753">
        <f t="shared" si="273"/>
        <v>-9.6</v>
      </c>
      <c r="AU145" s="969">
        <v>2341</v>
      </c>
      <c r="AV145" s="970">
        <v>2055</v>
      </c>
      <c r="AW145" s="753">
        <f t="shared" si="274"/>
        <v>-12.2</v>
      </c>
      <c r="AX145" s="817">
        <f t="shared" si="275"/>
        <v>276</v>
      </c>
      <c r="AY145" s="819">
        <f t="shared" si="276"/>
        <v>241</v>
      </c>
      <c r="AZ145" s="753">
        <f t="shared" si="277"/>
        <v>-12.7</v>
      </c>
      <c r="BA145" s="817">
        <v>2617</v>
      </c>
      <c r="BB145" s="819">
        <v>2296</v>
      </c>
      <c r="BC145" s="753">
        <f t="shared" si="278"/>
        <v>-12.3</v>
      </c>
      <c r="BD145" s="817">
        <f t="shared" si="279"/>
        <v>915</v>
      </c>
      <c r="BE145" s="819">
        <f t="shared" si="279"/>
        <v>206</v>
      </c>
      <c r="BF145" s="753">
        <f t="shared" si="280"/>
        <v>-77.5</v>
      </c>
      <c r="BG145" s="817">
        <v>3532</v>
      </c>
      <c r="BH145" s="819">
        <v>2502</v>
      </c>
      <c r="BI145" s="753">
        <f t="shared" si="281"/>
        <v>-29.2</v>
      </c>
      <c r="BJ145" s="817">
        <f t="shared" si="282"/>
        <v>311</v>
      </c>
      <c r="BK145" s="819">
        <f t="shared" si="282"/>
        <v>281</v>
      </c>
      <c r="BL145" s="753">
        <f t="shared" si="283"/>
        <v>-9.6</v>
      </c>
      <c r="BM145" s="817">
        <v>3843</v>
      </c>
      <c r="BN145" s="819">
        <v>2783</v>
      </c>
      <c r="BO145" s="753">
        <f t="shared" si="284"/>
        <v>-27.6</v>
      </c>
      <c r="BP145" s="817">
        <f t="shared" si="285"/>
        <v>291</v>
      </c>
      <c r="BQ145" s="819">
        <f t="shared" si="285"/>
        <v>319</v>
      </c>
      <c r="BR145" s="753">
        <f t="shared" si="286"/>
        <v>9.6</v>
      </c>
      <c r="BS145" s="817">
        <v>4134</v>
      </c>
      <c r="BT145" s="819">
        <v>3102</v>
      </c>
      <c r="BU145" s="753">
        <f t="shared" si="287"/>
        <v>-25</v>
      </c>
    </row>
    <row r="146" spans="1:73">
      <c r="A146" s="86"/>
      <c r="B146" s="43" t="s">
        <v>58</v>
      </c>
      <c r="C146" s="188">
        <v>1792</v>
      </c>
      <c r="D146" s="188">
        <v>1256</v>
      </c>
      <c r="E146" s="188">
        <v>2066</v>
      </c>
      <c r="F146" s="188">
        <v>1688</v>
      </c>
      <c r="G146" s="188">
        <v>2069</v>
      </c>
      <c r="H146" s="188">
        <v>2338</v>
      </c>
      <c r="I146" s="362">
        <v>2628</v>
      </c>
      <c r="J146" s="44">
        <v>2333</v>
      </c>
      <c r="K146" s="383">
        <v>209</v>
      </c>
      <c r="L146" s="390">
        <v>195</v>
      </c>
      <c r="M146" s="232">
        <f t="shared" si="252"/>
        <v>-6.7</v>
      </c>
      <c r="N146" s="383">
        <f t="shared" si="253"/>
        <v>121</v>
      </c>
      <c r="O146" s="390">
        <f t="shared" si="254"/>
        <v>318</v>
      </c>
      <c r="P146" s="242">
        <f t="shared" si="255"/>
        <v>162.80000000000001</v>
      </c>
      <c r="Q146" s="383">
        <v>330</v>
      </c>
      <c r="R146" s="390">
        <v>513</v>
      </c>
      <c r="S146" s="242">
        <f t="shared" si="256"/>
        <v>55.5</v>
      </c>
      <c r="T146" s="383">
        <f t="shared" si="257"/>
        <v>166</v>
      </c>
      <c r="U146" s="390">
        <f t="shared" si="258"/>
        <v>293</v>
      </c>
      <c r="V146" s="242">
        <f t="shared" si="259"/>
        <v>76.5</v>
      </c>
      <c r="W146" s="383">
        <v>496</v>
      </c>
      <c r="X146" s="390">
        <v>806</v>
      </c>
      <c r="Y146" s="242">
        <f t="shared" si="260"/>
        <v>62.5</v>
      </c>
      <c r="Z146" s="527">
        <f t="shared" si="261"/>
        <v>212</v>
      </c>
      <c r="AA146" s="390">
        <f t="shared" si="262"/>
        <v>231</v>
      </c>
      <c r="AB146" s="242">
        <f t="shared" si="263"/>
        <v>9</v>
      </c>
      <c r="AC146" s="527">
        <v>708</v>
      </c>
      <c r="AD146" s="390">
        <v>1037</v>
      </c>
      <c r="AE146" s="242">
        <f t="shared" si="264"/>
        <v>46.5</v>
      </c>
      <c r="AF146" s="527">
        <f t="shared" si="265"/>
        <v>136</v>
      </c>
      <c r="AG146" s="390">
        <f t="shared" si="265"/>
        <v>103</v>
      </c>
      <c r="AH146" s="242">
        <f t="shared" si="266"/>
        <v>-24.3</v>
      </c>
      <c r="AI146" s="527">
        <v>844</v>
      </c>
      <c r="AJ146" s="390">
        <v>1140</v>
      </c>
      <c r="AK146" s="242">
        <f t="shared" si="267"/>
        <v>35.1</v>
      </c>
      <c r="AL146" s="527">
        <f t="shared" si="268"/>
        <v>151</v>
      </c>
      <c r="AM146" s="390">
        <f t="shared" si="269"/>
        <v>166</v>
      </c>
      <c r="AN146" s="242">
        <f t="shared" si="270"/>
        <v>9.9</v>
      </c>
      <c r="AO146" s="817">
        <v>995</v>
      </c>
      <c r="AP146" s="819">
        <v>1306</v>
      </c>
      <c r="AQ146" s="242">
        <f t="shared" si="271"/>
        <v>31.3</v>
      </c>
      <c r="AR146" s="817">
        <f t="shared" si="272"/>
        <v>159</v>
      </c>
      <c r="AS146" s="819">
        <f t="shared" si="272"/>
        <v>207</v>
      </c>
      <c r="AT146" s="753">
        <f t="shared" si="273"/>
        <v>30.2</v>
      </c>
      <c r="AU146" s="969">
        <v>1154</v>
      </c>
      <c r="AV146" s="970">
        <v>1513</v>
      </c>
      <c r="AW146" s="753">
        <f t="shared" si="274"/>
        <v>31.1</v>
      </c>
      <c r="AX146" s="817">
        <f t="shared" si="275"/>
        <v>251</v>
      </c>
      <c r="AY146" s="819">
        <f t="shared" si="276"/>
        <v>110</v>
      </c>
      <c r="AZ146" s="753">
        <f t="shared" si="277"/>
        <v>-56.2</v>
      </c>
      <c r="BA146" s="817">
        <v>1405</v>
      </c>
      <c r="BB146" s="819">
        <v>1623</v>
      </c>
      <c r="BC146" s="753">
        <f t="shared" si="278"/>
        <v>15.5</v>
      </c>
      <c r="BD146" s="817">
        <f t="shared" si="279"/>
        <v>252</v>
      </c>
      <c r="BE146" s="819">
        <f t="shared" si="279"/>
        <v>228</v>
      </c>
      <c r="BF146" s="753">
        <f t="shared" si="280"/>
        <v>-9.5</v>
      </c>
      <c r="BG146" s="817">
        <v>1657</v>
      </c>
      <c r="BH146" s="819">
        <v>1851</v>
      </c>
      <c r="BI146" s="753">
        <f t="shared" si="281"/>
        <v>11.7</v>
      </c>
      <c r="BJ146" s="817">
        <f t="shared" si="282"/>
        <v>279</v>
      </c>
      <c r="BK146" s="819">
        <f t="shared" si="282"/>
        <v>135</v>
      </c>
      <c r="BL146" s="753">
        <f t="shared" si="283"/>
        <v>-51.6</v>
      </c>
      <c r="BM146" s="817">
        <v>1936</v>
      </c>
      <c r="BN146" s="819">
        <v>1986</v>
      </c>
      <c r="BO146" s="753">
        <f t="shared" si="284"/>
        <v>2.6</v>
      </c>
      <c r="BP146" s="817">
        <f t="shared" si="285"/>
        <v>256</v>
      </c>
      <c r="BQ146" s="819">
        <f t="shared" si="285"/>
        <v>138</v>
      </c>
      <c r="BR146" s="753">
        <f t="shared" si="286"/>
        <v>-46.1</v>
      </c>
      <c r="BS146" s="817">
        <v>2192</v>
      </c>
      <c r="BT146" s="819">
        <v>2124</v>
      </c>
      <c r="BU146" s="753">
        <f t="shared" si="287"/>
        <v>-3.1</v>
      </c>
    </row>
    <row r="147" spans="1:73">
      <c r="A147" s="86"/>
      <c r="B147" s="43" t="s">
        <v>52</v>
      </c>
      <c r="C147" s="188">
        <v>335</v>
      </c>
      <c r="D147" s="188">
        <v>350</v>
      </c>
      <c r="E147" s="188">
        <v>518</v>
      </c>
      <c r="F147" s="188">
        <v>868</v>
      </c>
      <c r="G147" s="188">
        <v>2326</v>
      </c>
      <c r="H147" s="188">
        <v>3117</v>
      </c>
      <c r="I147" s="362">
        <v>2626</v>
      </c>
      <c r="J147" s="44">
        <v>2130</v>
      </c>
      <c r="K147" s="383">
        <v>288</v>
      </c>
      <c r="L147" s="390">
        <v>73</v>
      </c>
      <c r="M147" s="232">
        <f t="shared" si="252"/>
        <v>-74.7</v>
      </c>
      <c r="N147" s="383">
        <f t="shared" si="253"/>
        <v>294</v>
      </c>
      <c r="O147" s="390">
        <f t="shared" si="254"/>
        <v>164</v>
      </c>
      <c r="P147" s="242">
        <f t="shared" si="255"/>
        <v>-44.2</v>
      </c>
      <c r="Q147" s="383">
        <v>582</v>
      </c>
      <c r="R147" s="390">
        <v>237</v>
      </c>
      <c r="S147" s="242">
        <f t="shared" si="256"/>
        <v>-59.3</v>
      </c>
      <c r="T147" s="383">
        <f t="shared" si="257"/>
        <v>127</v>
      </c>
      <c r="U147" s="390">
        <f t="shared" si="258"/>
        <v>167</v>
      </c>
      <c r="V147" s="242">
        <f t="shared" si="259"/>
        <v>31.5</v>
      </c>
      <c r="W147" s="383">
        <v>709</v>
      </c>
      <c r="X147" s="390">
        <v>404</v>
      </c>
      <c r="Y147" s="242">
        <f t="shared" si="260"/>
        <v>-43</v>
      </c>
      <c r="Z147" s="527">
        <f t="shared" si="261"/>
        <v>482</v>
      </c>
      <c r="AA147" s="390">
        <f t="shared" si="262"/>
        <v>120</v>
      </c>
      <c r="AB147" s="242">
        <f t="shared" si="263"/>
        <v>-75.099999999999994</v>
      </c>
      <c r="AC147" s="527">
        <v>1191</v>
      </c>
      <c r="AD147" s="390">
        <v>524</v>
      </c>
      <c r="AE147" s="242">
        <f t="shared" si="264"/>
        <v>-56</v>
      </c>
      <c r="AF147" s="527">
        <f t="shared" si="265"/>
        <v>185</v>
      </c>
      <c r="AG147" s="390">
        <f t="shared" si="265"/>
        <v>45</v>
      </c>
      <c r="AH147" s="242">
        <f t="shared" si="266"/>
        <v>-75.7</v>
      </c>
      <c r="AI147" s="527">
        <v>1376</v>
      </c>
      <c r="AJ147" s="390">
        <v>569</v>
      </c>
      <c r="AK147" s="242">
        <f t="shared" si="267"/>
        <v>-58.6</v>
      </c>
      <c r="AL147" s="527">
        <f t="shared" si="268"/>
        <v>108</v>
      </c>
      <c r="AM147" s="390">
        <f t="shared" si="269"/>
        <v>13</v>
      </c>
      <c r="AN147" s="242">
        <f t="shared" si="270"/>
        <v>-88</v>
      </c>
      <c r="AO147" s="817">
        <v>1484</v>
      </c>
      <c r="AP147" s="819">
        <v>582</v>
      </c>
      <c r="AQ147" s="242">
        <f t="shared" si="271"/>
        <v>-60.8</v>
      </c>
      <c r="AR147" s="817">
        <f t="shared" si="272"/>
        <v>151</v>
      </c>
      <c r="AS147" s="819">
        <f t="shared" si="272"/>
        <v>130</v>
      </c>
      <c r="AT147" s="753">
        <f t="shared" si="273"/>
        <v>-13.9</v>
      </c>
      <c r="AU147" s="969">
        <v>1635</v>
      </c>
      <c r="AV147" s="970">
        <v>712</v>
      </c>
      <c r="AW147" s="753">
        <f t="shared" si="274"/>
        <v>-56.5</v>
      </c>
      <c r="AX147" s="817">
        <f t="shared" si="275"/>
        <v>97</v>
      </c>
      <c r="AY147" s="819">
        <f t="shared" si="276"/>
        <v>122</v>
      </c>
      <c r="AZ147" s="753">
        <f t="shared" si="277"/>
        <v>25.8</v>
      </c>
      <c r="BA147" s="817">
        <v>1732</v>
      </c>
      <c r="BB147" s="819">
        <v>834</v>
      </c>
      <c r="BC147" s="753">
        <f t="shared" si="278"/>
        <v>-51.8</v>
      </c>
      <c r="BD147" s="817">
        <f t="shared" si="279"/>
        <v>85</v>
      </c>
      <c r="BE147" s="819">
        <f t="shared" si="279"/>
        <v>190</v>
      </c>
      <c r="BF147" s="753">
        <f t="shared" si="280"/>
        <v>123.5</v>
      </c>
      <c r="BG147" s="817">
        <v>1817</v>
      </c>
      <c r="BH147" s="819">
        <v>1024</v>
      </c>
      <c r="BI147" s="753">
        <f t="shared" si="281"/>
        <v>-43.6</v>
      </c>
      <c r="BJ147" s="817">
        <f t="shared" si="282"/>
        <v>111</v>
      </c>
      <c r="BK147" s="819">
        <f t="shared" si="282"/>
        <v>110</v>
      </c>
      <c r="BL147" s="753">
        <f t="shared" si="283"/>
        <v>-0.9</v>
      </c>
      <c r="BM147" s="817">
        <v>1928</v>
      </c>
      <c r="BN147" s="819">
        <v>1134</v>
      </c>
      <c r="BO147" s="753">
        <f t="shared" si="284"/>
        <v>-41.2</v>
      </c>
      <c r="BP147" s="817">
        <f t="shared" si="285"/>
        <v>96</v>
      </c>
      <c r="BQ147" s="819">
        <f t="shared" si="285"/>
        <v>305</v>
      </c>
      <c r="BR147" s="753">
        <f t="shared" si="286"/>
        <v>217.7</v>
      </c>
      <c r="BS147" s="817">
        <v>2024</v>
      </c>
      <c r="BT147" s="819">
        <v>1439</v>
      </c>
      <c r="BU147" s="753">
        <f t="shared" si="287"/>
        <v>-28.9</v>
      </c>
    </row>
    <row r="148" spans="1:73">
      <c r="A148" s="86"/>
      <c r="B148" s="43" t="s">
        <v>411</v>
      </c>
      <c r="C148" s="188">
        <v>19</v>
      </c>
      <c r="D148" s="188">
        <v>104</v>
      </c>
      <c r="E148" s="188">
        <v>182</v>
      </c>
      <c r="F148" s="188">
        <v>325</v>
      </c>
      <c r="G148" s="188">
        <v>295</v>
      </c>
      <c r="H148" s="188">
        <v>398</v>
      </c>
      <c r="I148" s="362">
        <v>547</v>
      </c>
      <c r="J148" s="44">
        <v>595</v>
      </c>
      <c r="K148" s="383">
        <v>28</v>
      </c>
      <c r="L148" s="390">
        <v>67</v>
      </c>
      <c r="M148" s="232">
        <f t="shared" si="252"/>
        <v>139.30000000000001</v>
      </c>
      <c r="N148" s="383">
        <f t="shared" si="253"/>
        <v>54</v>
      </c>
      <c r="O148" s="390">
        <f t="shared" si="254"/>
        <v>41</v>
      </c>
      <c r="P148" s="242">
        <f t="shared" si="255"/>
        <v>-24.1</v>
      </c>
      <c r="Q148" s="383">
        <v>82</v>
      </c>
      <c r="R148" s="390">
        <v>108</v>
      </c>
      <c r="S148" s="242">
        <f t="shared" si="256"/>
        <v>31.7</v>
      </c>
      <c r="T148" s="383">
        <f t="shared" si="257"/>
        <v>53</v>
      </c>
      <c r="U148" s="390">
        <f t="shared" si="258"/>
        <v>21</v>
      </c>
      <c r="V148" s="242">
        <f t="shared" si="259"/>
        <v>-60.4</v>
      </c>
      <c r="W148" s="383">
        <v>135</v>
      </c>
      <c r="X148" s="390">
        <v>129</v>
      </c>
      <c r="Y148" s="242">
        <f t="shared" si="260"/>
        <v>-4.4000000000000004</v>
      </c>
      <c r="Z148" s="527">
        <f t="shared" si="261"/>
        <v>44</v>
      </c>
      <c r="AA148" s="390">
        <f t="shared" si="262"/>
        <v>9</v>
      </c>
      <c r="AB148" s="242">
        <f t="shared" si="263"/>
        <v>-79.5</v>
      </c>
      <c r="AC148" s="527">
        <v>179</v>
      </c>
      <c r="AD148" s="390">
        <v>138</v>
      </c>
      <c r="AE148" s="242">
        <f t="shared" si="264"/>
        <v>-22.9</v>
      </c>
      <c r="AF148" s="527">
        <f t="shared" si="265"/>
        <v>84</v>
      </c>
      <c r="AG148" s="390">
        <f t="shared" si="265"/>
        <v>4</v>
      </c>
      <c r="AH148" s="242">
        <f t="shared" si="266"/>
        <v>-95.2</v>
      </c>
      <c r="AI148" s="527">
        <v>263</v>
      </c>
      <c r="AJ148" s="390">
        <v>142</v>
      </c>
      <c r="AK148" s="242">
        <f t="shared" si="267"/>
        <v>-46</v>
      </c>
      <c r="AL148" s="527">
        <f t="shared" si="268"/>
        <v>80</v>
      </c>
      <c r="AM148" s="390">
        <f t="shared" si="269"/>
        <v>25</v>
      </c>
      <c r="AN148" s="242">
        <f t="shared" si="270"/>
        <v>-68.8</v>
      </c>
      <c r="AO148" s="817">
        <v>343</v>
      </c>
      <c r="AP148" s="819">
        <v>167</v>
      </c>
      <c r="AQ148" s="242">
        <f t="shared" si="271"/>
        <v>-51.3</v>
      </c>
      <c r="AR148" s="817">
        <f t="shared" si="272"/>
        <v>21</v>
      </c>
      <c r="AS148" s="819">
        <f t="shared" si="272"/>
        <v>6</v>
      </c>
      <c r="AT148" s="753">
        <f t="shared" si="273"/>
        <v>-71.400000000000006</v>
      </c>
      <c r="AU148" s="969">
        <v>364</v>
      </c>
      <c r="AV148" s="970">
        <v>173</v>
      </c>
      <c r="AW148" s="753">
        <f t="shared" si="274"/>
        <v>-52.5</v>
      </c>
      <c r="AX148" s="817">
        <f t="shared" si="275"/>
        <v>39</v>
      </c>
      <c r="AY148" s="819">
        <f t="shared" si="276"/>
        <v>553</v>
      </c>
      <c r="AZ148" s="753">
        <f t="shared" si="277"/>
        <v>1317.9</v>
      </c>
      <c r="BA148" s="817">
        <v>403</v>
      </c>
      <c r="BB148" s="819">
        <v>726</v>
      </c>
      <c r="BC148" s="753">
        <f t="shared" si="278"/>
        <v>80.099999999999994</v>
      </c>
      <c r="BD148" s="817">
        <f t="shared" si="279"/>
        <v>61</v>
      </c>
      <c r="BE148" s="819">
        <f t="shared" si="279"/>
        <v>44</v>
      </c>
      <c r="BF148" s="753">
        <f t="shared" si="280"/>
        <v>-27.9</v>
      </c>
      <c r="BG148" s="817">
        <v>464</v>
      </c>
      <c r="BH148" s="819">
        <v>770</v>
      </c>
      <c r="BI148" s="753">
        <f t="shared" si="281"/>
        <v>65.900000000000006</v>
      </c>
      <c r="BJ148" s="817">
        <f t="shared" si="282"/>
        <v>52</v>
      </c>
      <c r="BK148" s="819">
        <f t="shared" si="282"/>
        <v>33</v>
      </c>
      <c r="BL148" s="753">
        <f t="shared" si="283"/>
        <v>-36.5</v>
      </c>
      <c r="BM148" s="817">
        <v>516</v>
      </c>
      <c r="BN148" s="819">
        <v>803</v>
      </c>
      <c r="BO148" s="753">
        <f t="shared" si="284"/>
        <v>55.6</v>
      </c>
      <c r="BP148" s="817">
        <f t="shared" si="285"/>
        <v>57</v>
      </c>
      <c r="BQ148" s="819">
        <f t="shared" si="285"/>
        <v>20</v>
      </c>
      <c r="BR148" s="753">
        <f t="shared" si="286"/>
        <v>-64.900000000000006</v>
      </c>
      <c r="BS148" s="817">
        <v>573</v>
      </c>
      <c r="BT148" s="819">
        <v>823</v>
      </c>
      <c r="BU148" s="753">
        <f t="shared" si="287"/>
        <v>43.6</v>
      </c>
    </row>
    <row r="149" spans="1:73">
      <c r="A149" s="86"/>
      <c r="B149" s="43" t="s">
        <v>410</v>
      </c>
      <c r="C149" s="188">
        <v>95</v>
      </c>
      <c r="D149" s="188">
        <v>97</v>
      </c>
      <c r="E149" s="188">
        <v>40</v>
      </c>
      <c r="F149" s="188">
        <v>265</v>
      </c>
      <c r="G149" s="188">
        <v>796</v>
      </c>
      <c r="H149" s="188">
        <v>595</v>
      </c>
      <c r="I149" s="362">
        <v>885</v>
      </c>
      <c r="J149" s="44">
        <v>585</v>
      </c>
      <c r="K149" s="383">
        <v>0</v>
      </c>
      <c r="L149" s="390">
        <v>0</v>
      </c>
      <c r="M149" s="177">
        <v>0</v>
      </c>
      <c r="N149" s="383">
        <f t="shared" si="253"/>
        <v>0</v>
      </c>
      <c r="O149" s="390">
        <f t="shared" si="254"/>
        <v>79</v>
      </c>
      <c r="P149" s="177">
        <v>0</v>
      </c>
      <c r="Q149" s="383">
        <v>0</v>
      </c>
      <c r="R149" s="390">
        <v>79</v>
      </c>
      <c r="S149" s="177">
        <v>0</v>
      </c>
      <c r="T149" s="383">
        <f t="shared" si="257"/>
        <v>0</v>
      </c>
      <c r="U149" s="390">
        <f t="shared" si="258"/>
        <v>294</v>
      </c>
      <c r="V149" s="177">
        <v>0</v>
      </c>
      <c r="W149" s="383">
        <v>0</v>
      </c>
      <c r="X149" s="390">
        <v>373</v>
      </c>
      <c r="Y149" s="177">
        <v>0</v>
      </c>
      <c r="Z149" s="527">
        <f t="shared" si="261"/>
        <v>0</v>
      </c>
      <c r="AA149" s="390">
        <f t="shared" si="262"/>
        <v>98</v>
      </c>
      <c r="AB149" s="521">
        <v>0</v>
      </c>
      <c r="AC149" s="527">
        <v>0</v>
      </c>
      <c r="AD149" s="390">
        <v>471</v>
      </c>
      <c r="AE149" s="521">
        <v>0</v>
      </c>
      <c r="AF149" s="527">
        <f t="shared" si="265"/>
        <v>0</v>
      </c>
      <c r="AG149" s="390">
        <f t="shared" si="265"/>
        <v>155</v>
      </c>
      <c r="AH149" s="521">
        <v>0</v>
      </c>
      <c r="AI149" s="527">
        <v>0</v>
      </c>
      <c r="AJ149" s="390">
        <v>626</v>
      </c>
      <c r="AK149" s="521">
        <v>0</v>
      </c>
      <c r="AL149" s="527">
        <f t="shared" si="268"/>
        <v>0</v>
      </c>
      <c r="AM149" s="390">
        <f t="shared" si="269"/>
        <v>0</v>
      </c>
      <c r="AN149" s="521">
        <v>0</v>
      </c>
      <c r="AO149" s="817">
        <v>0</v>
      </c>
      <c r="AP149" s="819">
        <v>626</v>
      </c>
      <c r="AQ149" s="521">
        <v>0</v>
      </c>
      <c r="AR149" s="817">
        <f t="shared" si="272"/>
        <v>0</v>
      </c>
      <c r="AS149" s="819">
        <f t="shared" si="272"/>
        <v>0</v>
      </c>
      <c r="AT149" s="799">
        <v>0</v>
      </c>
      <c r="AU149" s="969">
        <v>0</v>
      </c>
      <c r="AV149" s="970">
        <v>626</v>
      </c>
      <c r="AW149" s="799">
        <v>0</v>
      </c>
      <c r="AX149" s="817">
        <f t="shared" si="275"/>
        <v>130</v>
      </c>
      <c r="AY149" s="819">
        <f t="shared" si="276"/>
        <v>0</v>
      </c>
      <c r="AZ149" s="753">
        <f t="shared" si="277"/>
        <v>-100</v>
      </c>
      <c r="BA149" s="817">
        <v>130</v>
      </c>
      <c r="BB149" s="819">
        <v>626</v>
      </c>
      <c r="BC149" s="753">
        <f t="shared" si="278"/>
        <v>381.5</v>
      </c>
      <c r="BD149" s="817">
        <f t="shared" si="279"/>
        <v>200</v>
      </c>
      <c r="BE149" s="819">
        <f t="shared" si="279"/>
        <v>0</v>
      </c>
      <c r="BF149" s="753">
        <f t="shared" si="280"/>
        <v>-100</v>
      </c>
      <c r="BG149" s="817">
        <v>330</v>
      </c>
      <c r="BH149" s="819">
        <v>626</v>
      </c>
      <c r="BI149" s="753">
        <f t="shared" si="281"/>
        <v>89.7</v>
      </c>
      <c r="BJ149" s="817">
        <f t="shared" si="282"/>
        <v>61</v>
      </c>
      <c r="BK149" s="819">
        <f t="shared" si="282"/>
        <v>0</v>
      </c>
      <c r="BL149" s="753">
        <f t="shared" si="283"/>
        <v>-100</v>
      </c>
      <c r="BM149" s="817">
        <v>391</v>
      </c>
      <c r="BN149" s="819">
        <v>626</v>
      </c>
      <c r="BO149" s="753">
        <f t="shared" si="284"/>
        <v>60.1</v>
      </c>
      <c r="BP149" s="817">
        <f t="shared" si="285"/>
        <v>5</v>
      </c>
      <c r="BQ149" s="819">
        <f t="shared" si="285"/>
        <v>0</v>
      </c>
      <c r="BR149" s="753">
        <f t="shared" si="286"/>
        <v>-100</v>
      </c>
      <c r="BS149" s="817">
        <v>396</v>
      </c>
      <c r="BT149" s="819">
        <v>626</v>
      </c>
      <c r="BU149" s="753">
        <f t="shared" si="287"/>
        <v>58.1</v>
      </c>
    </row>
    <row r="150" spans="1:73">
      <c r="A150" s="86"/>
      <c r="B150" s="43" t="s">
        <v>413</v>
      </c>
      <c r="C150" s="188">
        <v>158</v>
      </c>
      <c r="D150" s="188">
        <v>46</v>
      </c>
      <c r="E150" s="188">
        <v>85</v>
      </c>
      <c r="F150" s="188">
        <v>100</v>
      </c>
      <c r="G150" s="188">
        <v>270</v>
      </c>
      <c r="H150" s="188">
        <v>367</v>
      </c>
      <c r="I150" s="362">
        <v>235</v>
      </c>
      <c r="J150" s="44">
        <v>336</v>
      </c>
      <c r="K150" s="383">
        <v>40</v>
      </c>
      <c r="L150" s="390">
        <v>0</v>
      </c>
      <c r="M150" s="232">
        <f>ROUND(((L150/K150-1)*100), 1)</f>
        <v>-100</v>
      </c>
      <c r="N150" s="383">
        <f t="shared" si="253"/>
        <v>0</v>
      </c>
      <c r="O150" s="390">
        <f t="shared" si="254"/>
        <v>0</v>
      </c>
      <c r="P150" s="524">
        <v>0</v>
      </c>
      <c r="Q150" s="383">
        <v>40</v>
      </c>
      <c r="R150" s="390">
        <v>0</v>
      </c>
      <c r="S150" s="242">
        <f>ROUND(((R150/Q150-1)*100), 1)</f>
        <v>-100</v>
      </c>
      <c r="T150" s="383">
        <f t="shared" si="257"/>
        <v>18</v>
      </c>
      <c r="U150" s="390">
        <f t="shared" si="258"/>
        <v>39</v>
      </c>
      <c r="V150" s="242">
        <f>ROUND(((U150/T150-1)*100), 1)</f>
        <v>116.7</v>
      </c>
      <c r="W150" s="383">
        <v>58</v>
      </c>
      <c r="X150" s="390">
        <v>39</v>
      </c>
      <c r="Y150" s="242">
        <f>ROUND(((X150/W150-1)*100), 1)</f>
        <v>-32.799999999999997</v>
      </c>
      <c r="Z150" s="527">
        <f t="shared" si="261"/>
        <v>20</v>
      </c>
      <c r="AA150" s="390">
        <f t="shared" si="262"/>
        <v>0</v>
      </c>
      <c r="AB150" s="242">
        <f>ROUND(((AA150/Z150-1)*100), 1)</f>
        <v>-100</v>
      </c>
      <c r="AC150" s="527">
        <v>78</v>
      </c>
      <c r="AD150" s="390">
        <v>39</v>
      </c>
      <c r="AE150" s="242">
        <f>ROUND(((AD150/AC150-1)*100), 1)</f>
        <v>-50</v>
      </c>
      <c r="AF150" s="527">
        <f t="shared" si="265"/>
        <v>0</v>
      </c>
      <c r="AG150" s="390">
        <f t="shared" si="265"/>
        <v>0</v>
      </c>
      <c r="AH150" s="521">
        <v>0</v>
      </c>
      <c r="AI150" s="527">
        <v>78</v>
      </c>
      <c r="AJ150" s="390">
        <v>39</v>
      </c>
      <c r="AK150" s="242">
        <f>ROUND(((AJ150/AI150-1)*100), 1)</f>
        <v>-50</v>
      </c>
      <c r="AL150" s="527">
        <f t="shared" si="268"/>
        <v>19</v>
      </c>
      <c r="AM150" s="390">
        <f t="shared" si="269"/>
        <v>0</v>
      </c>
      <c r="AN150" s="753">
        <f t="shared" si="270"/>
        <v>-100</v>
      </c>
      <c r="AO150" s="817">
        <v>97</v>
      </c>
      <c r="AP150" s="819">
        <v>39</v>
      </c>
      <c r="AQ150" s="242">
        <f>ROUND(((AP150/AO150-1)*100), 1)</f>
        <v>-59.8</v>
      </c>
      <c r="AR150" s="817">
        <f t="shared" si="272"/>
        <v>59</v>
      </c>
      <c r="AS150" s="819">
        <f t="shared" si="272"/>
        <v>20</v>
      </c>
      <c r="AT150" s="753">
        <f>ROUND(((AS150/AR150-1)*100), 1)</f>
        <v>-66.099999999999994</v>
      </c>
      <c r="AU150" s="969">
        <v>156</v>
      </c>
      <c r="AV150" s="970">
        <v>59</v>
      </c>
      <c r="AW150" s="753">
        <f>ROUND(((AV150/AU150-1)*100), 1)</f>
        <v>-62.2</v>
      </c>
      <c r="AX150" s="817">
        <f t="shared" si="275"/>
        <v>20</v>
      </c>
      <c r="AY150" s="819">
        <f t="shared" si="276"/>
        <v>19</v>
      </c>
      <c r="AZ150" s="753">
        <f>ROUND(((AY150/AX150-1)*100), 1)</f>
        <v>-5</v>
      </c>
      <c r="BA150" s="817">
        <v>176</v>
      </c>
      <c r="BB150" s="819">
        <v>78</v>
      </c>
      <c r="BC150" s="753">
        <f>ROUND(((BB150/BA150-1)*100), 1)</f>
        <v>-55.7</v>
      </c>
      <c r="BD150" s="817">
        <f t="shared" si="279"/>
        <v>39</v>
      </c>
      <c r="BE150" s="819">
        <f t="shared" si="279"/>
        <v>20</v>
      </c>
      <c r="BF150" s="753">
        <f>ROUND(((BE150/BD150-1)*100), 1)</f>
        <v>-48.7</v>
      </c>
      <c r="BG150" s="817">
        <v>215</v>
      </c>
      <c r="BH150" s="819">
        <v>98</v>
      </c>
      <c r="BI150" s="753">
        <f>ROUND(((BH150/BG150-1)*100), 1)</f>
        <v>-54.4</v>
      </c>
      <c r="BJ150" s="817">
        <f t="shared" si="282"/>
        <v>40</v>
      </c>
      <c r="BK150" s="819">
        <f t="shared" si="282"/>
        <v>20</v>
      </c>
      <c r="BL150" s="753">
        <f>ROUND(((BK150/BJ150-1)*100), 1)</f>
        <v>-50</v>
      </c>
      <c r="BM150" s="817">
        <v>255</v>
      </c>
      <c r="BN150" s="819">
        <v>118</v>
      </c>
      <c r="BO150" s="753">
        <f>ROUND(((BN150/BM150-1)*100), 1)</f>
        <v>-53.7</v>
      </c>
      <c r="BP150" s="817">
        <f t="shared" si="285"/>
        <v>78</v>
      </c>
      <c r="BQ150" s="819">
        <f t="shared" si="285"/>
        <v>20</v>
      </c>
      <c r="BR150" s="753">
        <f>ROUND(((BQ150/BP150-1)*100), 1)</f>
        <v>-74.400000000000006</v>
      </c>
      <c r="BS150" s="817">
        <v>333</v>
      </c>
      <c r="BT150" s="819">
        <v>138</v>
      </c>
      <c r="BU150" s="753">
        <f>ROUND(((BT150/BS150-1)*100), 1)</f>
        <v>-58.6</v>
      </c>
    </row>
    <row r="151" spans="1:73">
      <c r="A151" s="86"/>
      <c r="B151" s="43" t="s">
        <v>412</v>
      </c>
      <c r="C151" s="188">
        <v>61</v>
      </c>
      <c r="D151" s="188">
        <v>107</v>
      </c>
      <c r="E151" s="188">
        <v>185</v>
      </c>
      <c r="F151" s="188">
        <v>230</v>
      </c>
      <c r="G151" s="188">
        <v>183</v>
      </c>
      <c r="H151" s="188">
        <v>297</v>
      </c>
      <c r="I151" s="362">
        <v>267</v>
      </c>
      <c r="J151" s="44">
        <v>205</v>
      </c>
      <c r="K151" s="383">
        <v>0</v>
      </c>
      <c r="L151" s="390">
        <v>54</v>
      </c>
      <c r="M151" s="177">
        <v>0</v>
      </c>
      <c r="N151" s="383">
        <f t="shared" si="253"/>
        <v>0</v>
      </c>
      <c r="O151" s="390">
        <f t="shared" si="254"/>
        <v>48</v>
      </c>
      <c r="P151" s="177">
        <v>0</v>
      </c>
      <c r="Q151" s="383">
        <v>0</v>
      </c>
      <c r="R151" s="390">
        <v>102</v>
      </c>
      <c r="S151" s="177">
        <v>0</v>
      </c>
      <c r="T151" s="383">
        <f t="shared" si="257"/>
        <v>9</v>
      </c>
      <c r="U151" s="390">
        <f t="shared" si="258"/>
        <v>15</v>
      </c>
      <c r="V151" s="242">
        <f>ROUND(((U151/T151-1)*100), 1)</f>
        <v>66.7</v>
      </c>
      <c r="W151" s="383">
        <v>9</v>
      </c>
      <c r="X151" s="390">
        <v>117</v>
      </c>
      <c r="Y151" s="242">
        <f>ROUND(((X151/W151-1)*100), 1)</f>
        <v>1200</v>
      </c>
      <c r="Z151" s="527">
        <f t="shared" si="261"/>
        <v>10</v>
      </c>
      <c r="AA151" s="390">
        <f t="shared" si="262"/>
        <v>0</v>
      </c>
      <c r="AB151" s="242">
        <f>ROUND(((AA151/Z151-1)*100), 1)</f>
        <v>-100</v>
      </c>
      <c r="AC151" s="527">
        <v>19</v>
      </c>
      <c r="AD151" s="390">
        <v>117</v>
      </c>
      <c r="AE151" s="242">
        <f>ROUND(((AD151/AC151-1)*100), 1)</f>
        <v>515.79999999999995</v>
      </c>
      <c r="AF151" s="527">
        <f t="shared" si="265"/>
        <v>16</v>
      </c>
      <c r="AG151" s="390">
        <f t="shared" si="265"/>
        <v>12</v>
      </c>
      <c r="AH151" s="242">
        <f>ROUND(((AG151/AF151-1)*100), 1)</f>
        <v>-25</v>
      </c>
      <c r="AI151" s="527">
        <v>35</v>
      </c>
      <c r="AJ151" s="390">
        <v>129</v>
      </c>
      <c r="AK151" s="242">
        <f>ROUND(((AJ151/AI151-1)*100), 1)</f>
        <v>268.60000000000002</v>
      </c>
      <c r="AL151" s="527">
        <f t="shared" si="268"/>
        <v>14</v>
      </c>
      <c r="AM151" s="390">
        <f t="shared" si="269"/>
        <v>17</v>
      </c>
      <c r="AN151" s="242">
        <f>ROUND(((AM151/AL151-1)*100), 1)</f>
        <v>21.4</v>
      </c>
      <c r="AO151" s="817">
        <v>49</v>
      </c>
      <c r="AP151" s="819">
        <v>146</v>
      </c>
      <c r="AQ151" s="242">
        <f>ROUND(((AP151/AO151-1)*100), 1)</f>
        <v>198</v>
      </c>
      <c r="AR151" s="817">
        <f t="shared" si="272"/>
        <v>23</v>
      </c>
      <c r="AS151" s="819">
        <f t="shared" si="272"/>
        <v>30</v>
      </c>
      <c r="AT151" s="753">
        <f>ROUND(((AS151/AR151-1)*100), 1)</f>
        <v>30.4</v>
      </c>
      <c r="AU151" s="969">
        <v>72</v>
      </c>
      <c r="AV151" s="970">
        <v>176</v>
      </c>
      <c r="AW151" s="753">
        <f>ROUND(((AV151/AU151-1)*100), 1)</f>
        <v>144.4</v>
      </c>
      <c r="AX151" s="817">
        <f t="shared" si="275"/>
        <v>24</v>
      </c>
      <c r="AY151" s="819">
        <f t="shared" si="276"/>
        <v>12</v>
      </c>
      <c r="AZ151" s="753">
        <f>ROUND(((AY151/AX151-1)*100), 1)</f>
        <v>-50</v>
      </c>
      <c r="BA151" s="817">
        <v>96</v>
      </c>
      <c r="BB151" s="819">
        <v>188</v>
      </c>
      <c r="BC151" s="753">
        <f>ROUND(((BB151/BA151-1)*100), 1)</f>
        <v>95.8</v>
      </c>
      <c r="BD151" s="817">
        <f t="shared" si="279"/>
        <v>21</v>
      </c>
      <c r="BE151" s="819">
        <f t="shared" si="279"/>
        <v>19</v>
      </c>
      <c r="BF151" s="753">
        <f>ROUND(((BE151/BD151-1)*100), 1)</f>
        <v>-9.5</v>
      </c>
      <c r="BG151" s="817">
        <v>117</v>
      </c>
      <c r="BH151" s="819">
        <v>207</v>
      </c>
      <c r="BI151" s="753">
        <f>ROUND(((BH151/BG151-1)*100), 1)</f>
        <v>76.900000000000006</v>
      </c>
      <c r="BJ151" s="817">
        <f t="shared" si="282"/>
        <v>34</v>
      </c>
      <c r="BK151" s="819">
        <f t="shared" si="282"/>
        <v>15</v>
      </c>
      <c r="BL151" s="753">
        <f>ROUND(((BK151/BJ151-1)*100), 1)</f>
        <v>-55.9</v>
      </c>
      <c r="BM151" s="817">
        <v>151</v>
      </c>
      <c r="BN151" s="819">
        <v>222</v>
      </c>
      <c r="BO151" s="753">
        <f>ROUND(((BN151/BM151-1)*100), 1)</f>
        <v>47</v>
      </c>
      <c r="BP151" s="817">
        <f t="shared" si="285"/>
        <v>19</v>
      </c>
      <c r="BQ151" s="819">
        <f t="shared" si="285"/>
        <v>35</v>
      </c>
      <c r="BR151" s="753">
        <f>ROUND(((BQ151/BP151-1)*100), 1)</f>
        <v>84.2</v>
      </c>
      <c r="BS151" s="817">
        <v>170</v>
      </c>
      <c r="BT151" s="819">
        <v>257</v>
      </c>
      <c r="BU151" s="753">
        <f>ROUND(((BT151/BS151-1)*100), 1)</f>
        <v>51.2</v>
      </c>
    </row>
    <row r="152" spans="1:73">
      <c r="A152" s="86"/>
      <c r="B152" s="43" t="s">
        <v>61</v>
      </c>
      <c r="C152" s="188">
        <v>118</v>
      </c>
      <c r="D152" s="188">
        <v>116</v>
      </c>
      <c r="E152" s="188">
        <v>136</v>
      </c>
      <c r="F152" s="188">
        <v>126</v>
      </c>
      <c r="G152" s="188">
        <v>107</v>
      </c>
      <c r="H152" s="188">
        <v>163</v>
      </c>
      <c r="I152" s="362">
        <v>219</v>
      </c>
      <c r="J152" s="44">
        <v>161</v>
      </c>
      <c r="K152" s="383">
        <v>17</v>
      </c>
      <c r="L152" s="390">
        <v>4</v>
      </c>
      <c r="M152" s="232">
        <f t="shared" ref="M152:M164" si="288">ROUND(((L152/K152-1)*100), 1)</f>
        <v>-76.5</v>
      </c>
      <c r="N152" s="383">
        <f t="shared" si="253"/>
        <v>1</v>
      </c>
      <c r="O152" s="390">
        <f t="shared" si="254"/>
        <v>3</v>
      </c>
      <c r="P152" s="242">
        <f t="shared" ref="P152:P164" si="289">ROUND(((O152/N152-1)*100), 1)</f>
        <v>200</v>
      </c>
      <c r="Q152" s="383">
        <v>18</v>
      </c>
      <c r="R152" s="390">
        <v>7</v>
      </c>
      <c r="S152" s="242">
        <f t="shared" ref="S152:S164" si="290">ROUND(((R152/Q152-1)*100), 1)</f>
        <v>-61.1</v>
      </c>
      <c r="T152" s="383">
        <f t="shared" si="257"/>
        <v>10</v>
      </c>
      <c r="U152" s="390">
        <f t="shared" si="258"/>
        <v>28</v>
      </c>
      <c r="V152" s="242">
        <f t="shared" ref="V152:V164" si="291">ROUND(((U152/T152-1)*100), 1)</f>
        <v>180</v>
      </c>
      <c r="W152" s="383">
        <v>28</v>
      </c>
      <c r="X152" s="390">
        <v>35</v>
      </c>
      <c r="Y152" s="242">
        <f t="shared" ref="Y152:Y164" si="292">ROUND(((X152/W152-1)*100), 1)</f>
        <v>25</v>
      </c>
      <c r="Z152" s="527">
        <f t="shared" si="261"/>
        <v>11</v>
      </c>
      <c r="AA152" s="390">
        <f t="shared" si="262"/>
        <v>4</v>
      </c>
      <c r="AB152" s="242">
        <f t="shared" ref="AB152" si="293">ROUND(((AA152/Z152-1)*100), 1)</f>
        <v>-63.6</v>
      </c>
      <c r="AC152" s="527">
        <v>39</v>
      </c>
      <c r="AD152" s="390">
        <v>39</v>
      </c>
      <c r="AE152" s="242">
        <f t="shared" ref="AE152:AE164" si="294">ROUND(((AD152/AC152-1)*100), 1)</f>
        <v>0</v>
      </c>
      <c r="AF152" s="527">
        <f t="shared" si="265"/>
        <v>13</v>
      </c>
      <c r="AG152" s="390">
        <f t="shared" si="265"/>
        <v>3</v>
      </c>
      <c r="AH152" s="242">
        <f t="shared" ref="AH152" si="295">ROUND(((AG152/AF152-1)*100), 1)</f>
        <v>-76.900000000000006</v>
      </c>
      <c r="AI152" s="527">
        <v>52</v>
      </c>
      <c r="AJ152" s="390">
        <v>42</v>
      </c>
      <c r="AK152" s="242">
        <f t="shared" ref="AK152:AK164" si="296">ROUND(((AJ152/AI152-1)*100), 1)</f>
        <v>-19.2</v>
      </c>
      <c r="AL152" s="527">
        <f t="shared" si="268"/>
        <v>5</v>
      </c>
      <c r="AM152" s="390">
        <f t="shared" si="269"/>
        <v>37</v>
      </c>
      <c r="AN152" s="242">
        <f t="shared" ref="AN152" si="297">ROUND(((AM152/AL152-1)*100), 1)</f>
        <v>640</v>
      </c>
      <c r="AO152" s="817">
        <v>57</v>
      </c>
      <c r="AP152" s="819">
        <v>79</v>
      </c>
      <c r="AQ152" s="242">
        <f t="shared" ref="AQ152:AQ164" si="298">ROUND(((AP152/AO152-1)*100), 1)</f>
        <v>38.6</v>
      </c>
      <c r="AR152" s="817">
        <f t="shared" si="272"/>
        <v>21</v>
      </c>
      <c r="AS152" s="819">
        <f t="shared" si="272"/>
        <v>7</v>
      </c>
      <c r="AT152" s="753">
        <f>ROUND(((AS152/AR152-1)*100), 1)</f>
        <v>-66.7</v>
      </c>
      <c r="AU152" s="969">
        <v>78</v>
      </c>
      <c r="AV152" s="970">
        <v>86</v>
      </c>
      <c r="AW152" s="753">
        <f t="shared" ref="AW152:AW164" si="299">ROUND(((AV152/AU152-1)*100), 1)</f>
        <v>10.3</v>
      </c>
      <c r="AX152" s="817">
        <f t="shared" si="275"/>
        <v>9</v>
      </c>
      <c r="AY152" s="819">
        <f t="shared" si="276"/>
        <v>0</v>
      </c>
      <c r="AZ152" s="753">
        <f>ROUND(((AY152/AX152-1)*100), 1)</f>
        <v>-100</v>
      </c>
      <c r="BA152" s="817">
        <v>87</v>
      </c>
      <c r="BB152" s="819">
        <v>86</v>
      </c>
      <c r="BC152" s="753">
        <f t="shared" ref="BC152:BC164" si="300">ROUND(((BB152/BA152-1)*100), 1)</f>
        <v>-1.1000000000000001</v>
      </c>
      <c r="BD152" s="817">
        <f t="shared" si="279"/>
        <v>14</v>
      </c>
      <c r="BE152" s="819">
        <f t="shared" si="279"/>
        <v>21</v>
      </c>
      <c r="BF152" s="753">
        <f>ROUND(((BE152/BD152-1)*100), 1)</f>
        <v>50</v>
      </c>
      <c r="BG152" s="817">
        <v>101</v>
      </c>
      <c r="BH152" s="819">
        <v>107</v>
      </c>
      <c r="BI152" s="753">
        <f t="shared" ref="BI152:BI170" si="301">ROUND(((BH152/BG152-1)*100), 1)</f>
        <v>5.9</v>
      </c>
      <c r="BJ152" s="817">
        <f t="shared" si="282"/>
        <v>32</v>
      </c>
      <c r="BK152" s="819">
        <f t="shared" si="282"/>
        <v>7</v>
      </c>
      <c r="BL152" s="753">
        <f>ROUND(((BK152/BJ152-1)*100), 1)</f>
        <v>-78.099999999999994</v>
      </c>
      <c r="BM152" s="817">
        <v>133</v>
      </c>
      <c r="BN152" s="819">
        <v>114</v>
      </c>
      <c r="BO152" s="753">
        <f t="shared" ref="BO152:BO170" si="302">ROUND(((BN152/BM152-1)*100), 1)</f>
        <v>-14.3</v>
      </c>
      <c r="BP152" s="817">
        <f t="shared" si="285"/>
        <v>2</v>
      </c>
      <c r="BQ152" s="819">
        <f t="shared" si="285"/>
        <v>18</v>
      </c>
      <c r="BR152" s="753">
        <f>ROUND(((BQ152/BP152-1)*100), 1)</f>
        <v>800</v>
      </c>
      <c r="BS152" s="817">
        <v>135</v>
      </c>
      <c r="BT152" s="819">
        <v>132</v>
      </c>
      <c r="BU152" s="753">
        <f t="shared" ref="BU152:BU170" si="303">ROUND(((BT152/BS152-1)*100), 1)</f>
        <v>-2.2000000000000002</v>
      </c>
    </row>
    <row r="153" spans="1:73" s="291" customFormat="1">
      <c r="A153" s="86"/>
      <c r="B153" s="43" t="s">
        <v>464</v>
      </c>
      <c r="C153" s="188">
        <v>78</v>
      </c>
      <c r="D153" s="188">
        <v>7</v>
      </c>
      <c r="E153" s="188">
        <v>43</v>
      </c>
      <c r="F153" s="188">
        <v>81</v>
      </c>
      <c r="G153" s="188">
        <v>36</v>
      </c>
      <c r="H153" s="188">
        <v>97</v>
      </c>
      <c r="I153" s="362">
        <v>79</v>
      </c>
      <c r="J153" s="44">
        <v>115</v>
      </c>
      <c r="K153" s="383">
        <v>3</v>
      </c>
      <c r="L153" s="390">
        <v>7</v>
      </c>
      <c r="M153" s="242">
        <f t="shared" si="288"/>
        <v>133.30000000000001</v>
      </c>
      <c r="N153" s="383">
        <f t="shared" si="253"/>
        <v>6</v>
      </c>
      <c r="O153" s="390">
        <f t="shared" si="254"/>
        <v>0</v>
      </c>
      <c r="P153" s="242">
        <f t="shared" si="289"/>
        <v>-100</v>
      </c>
      <c r="Q153" s="383">
        <v>9</v>
      </c>
      <c r="R153" s="390">
        <v>7</v>
      </c>
      <c r="S153" s="242">
        <f t="shared" si="290"/>
        <v>-22.2</v>
      </c>
      <c r="T153" s="383">
        <f t="shared" si="257"/>
        <v>0</v>
      </c>
      <c r="U153" s="390">
        <f t="shared" si="258"/>
        <v>0</v>
      </c>
      <c r="V153" s="177">
        <v>0</v>
      </c>
      <c r="W153" s="383">
        <v>9</v>
      </c>
      <c r="X153" s="390">
        <v>7</v>
      </c>
      <c r="Y153" s="242">
        <f t="shared" si="292"/>
        <v>-22.2</v>
      </c>
      <c r="Z153" s="527">
        <f t="shared" si="261"/>
        <v>23</v>
      </c>
      <c r="AA153" s="390">
        <f t="shared" si="262"/>
        <v>0</v>
      </c>
      <c r="AB153" s="242">
        <f>ROUND(((AA153/Z153-1)*100), 1)</f>
        <v>-100</v>
      </c>
      <c r="AC153" s="527">
        <v>32</v>
      </c>
      <c r="AD153" s="390">
        <v>7</v>
      </c>
      <c r="AE153" s="242">
        <f t="shared" si="294"/>
        <v>-78.099999999999994</v>
      </c>
      <c r="AF153" s="527">
        <f t="shared" si="265"/>
        <v>40</v>
      </c>
      <c r="AG153" s="390">
        <f t="shared" si="265"/>
        <v>0</v>
      </c>
      <c r="AH153" s="242">
        <f>ROUND(((AG153/AF153-1)*100), 1)</f>
        <v>-100</v>
      </c>
      <c r="AI153" s="527">
        <v>72</v>
      </c>
      <c r="AJ153" s="390">
        <v>7</v>
      </c>
      <c r="AK153" s="242">
        <f t="shared" si="296"/>
        <v>-90.3</v>
      </c>
      <c r="AL153" s="527">
        <f t="shared" si="268"/>
        <v>0</v>
      </c>
      <c r="AM153" s="390">
        <f t="shared" si="269"/>
        <v>0</v>
      </c>
      <c r="AN153" s="799">
        <v>0</v>
      </c>
      <c r="AO153" s="817">
        <v>72</v>
      </c>
      <c r="AP153" s="819">
        <v>7</v>
      </c>
      <c r="AQ153" s="242">
        <f t="shared" si="298"/>
        <v>-90.3</v>
      </c>
      <c r="AR153" s="817">
        <f t="shared" si="272"/>
        <v>21</v>
      </c>
      <c r="AS153" s="819">
        <f t="shared" si="272"/>
        <v>0</v>
      </c>
      <c r="AT153" s="753">
        <f t="shared" ref="AT153:AT166" si="304">ROUND(((AS153/AR153-1)*100), 1)</f>
        <v>-100</v>
      </c>
      <c r="AU153" s="969">
        <v>93</v>
      </c>
      <c r="AV153" s="970">
        <v>7</v>
      </c>
      <c r="AW153" s="753">
        <f t="shared" si="299"/>
        <v>-92.5</v>
      </c>
      <c r="AX153" s="817">
        <f t="shared" si="275"/>
        <v>2</v>
      </c>
      <c r="AY153" s="819">
        <f t="shared" si="276"/>
        <v>5</v>
      </c>
      <c r="AZ153" s="753">
        <f t="shared" ref="AZ153:AZ162" si="305">ROUND(((AY153/AX153-1)*100), 1)</f>
        <v>150</v>
      </c>
      <c r="BA153" s="817">
        <v>95</v>
      </c>
      <c r="BB153" s="819">
        <v>12</v>
      </c>
      <c r="BC153" s="753">
        <f t="shared" si="300"/>
        <v>-87.4</v>
      </c>
      <c r="BD153" s="817">
        <f t="shared" si="279"/>
        <v>20</v>
      </c>
      <c r="BE153" s="819">
        <f t="shared" si="279"/>
        <v>2</v>
      </c>
      <c r="BF153" s="753">
        <f t="shared" ref="BF153:BF162" si="306">ROUND(((BE153/BD153-1)*100), 1)</f>
        <v>-90</v>
      </c>
      <c r="BG153" s="817">
        <v>115</v>
      </c>
      <c r="BH153" s="819">
        <v>14</v>
      </c>
      <c r="BI153" s="753">
        <f t="shared" si="301"/>
        <v>-87.8</v>
      </c>
      <c r="BJ153" s="817">
        <f t="shared" si="282"/>
        <v>0</v>
      </c>
      <c r="BK153" s="819">
        <f t="shared" si="282"/>
        <v>5</v>
      </c>
      <c r="BL153" s="753" t="e">
        <f t="shared" ref="BL153:BL162" si="307">ROUND(((BK153/BJ153-1)*100), 1)</f>
        <v>#DIV/0!</v>
      </c>
      <c r="BM153" s="817">
        <v>115</v>
      </c>
      <c r="BN153" s="819">
        <v>19</v>
      </c>
      <c r="BO153" s="753">
        <f t="shared" si="302"/>
        <v>-83.5</v>
      </c>
      <c r="BP153" s="817">
        <f t="shared" si="285"/>
        <v>0</v>
      </c>
      <c r="BQ153" s="819">
        <f t="shared" si="285"/>
        <v>0</v>
      </c>
      <c r="BR153" s="799">
        <v>0</v>
      </c>
      <c r="BS153" s="817">
        <v>115</v>
      </c>
      <c r="BT153" s="819">
        <v>19</v>
      </c>
      <c r="BU153" s="753">
        <f t="shared" si="303"/>
        <v>-83.5</v>
      </c>
    </row>
    <row r="154" spans="1:73" s="291" customFormat="1">
      <c r="A154" s="86"/>
      <c r="B154" s="43" t="s">
        <v>465</v>
      </c>
      <c r="C154" s="188">
        <v>1</v>
      </c>
      <c r="D154" s="188">
        <v>1</v>
      </c>
      <c r="E154" s="188">
        <v>15</v>
      </c>
      <c r="F154" s="188">
        <v>4</v>
      </c>
      <c r="G154" s="188">
        <v>0</v>
      </c>
      <c r="H154" s="188">
        <v>5</v>
      </c>
      <c r="I154" s="362">
        <v>21</v>
      </c>
      <c r="J154" s="44">
        <v>113</v>
      </c>
      <c r="K154" s="383">
        <v>3</v>
      </c>
      <c r="L154" s="390">
        <v>5</v>
      </c>
      <c r="M154" s="242">
        <f t="shared" si="288"/>
        <v>66.7</v>
      </c>
      <c r="N154" s="383">
        <f t="shared" si="253"/>
        <v>12</v>
      </c>
      <c r="O154" s="390">
        <f t="shared" si="254"/>
        <v>8</v>
      </c>
      <c r="P154" s="242">
        <f t="shared" si="289"/>
        <v>-33.299999999999997</v>
      </c>
      <c r="Q154" s="383">
        <v>15</v>
      </c>
      <c r="R154" s="390">
        <v>13</v>
      </c>
      <c r="S154" s="242">
        <f t="shared" si="290"/>
        <v>-13.3</v>
      </c>
      <c r="T154" s="383">
        <f t="shared" si="257"/>
        <v>6</v>
      </c>
      <c r="U154" s="390">
        <f t="shared" si="258"/>
        <v>13</v>
      </c>
      <c r="V154" s="242">
        <f t="shared" si="291"/>
        <v>116.7</v>
      </c>
      <c r="W154" s="383">
        <v>21</v>
      </c>
      <c r="X154" s="390">
        <v>26</v>
      </c>
      <c r="Y154" s="242">
        <f t="shared" si="292"/>
        <v>23.8</v>
      </c>
      <c r="Z154" s="527">
        <f t="shared" si="261"/>
        <v>21</v>
      </c>
      <c r="AA154" s="390">
        <f t="shared" si="262"/>
        <v>0</v>
      </c>
      <c r="AB154" s="242">
        <f t="shared" ref="AB154:AB164" si="308">ROUND(((AA154/Z154-1)*100), 1)</f>
        <v>-100</v>
      </c>
      <c r="AC154" s="527">
        <v>42</v>
      </c>
      <c r="AD154" s="390">
        <v>26</v>
      </c>
      <c r="AE154" s="242">
        <f t="shared" si="294"/>
        <v>-38.1</v>
      </c>
      <c r="AF154" s="527">
        <f t="shared" si="265"/>
        <v>0</v>
      </c>
      <c r="AG154" s="390">
        <f t="shared" si="265"/>
        <v>0</v>
      </c>
      <c r="AH154" s="521">
        <v>0</v>
      </c>
      <c r="AI154" s="527">
        <v>42</v>
      </c>
      <c r="AJ154" s="390">
        <v>26</v>
      </c>
      <c r="AK154" s="242">
        <f t="shared" si="296"/>
        <v>-38.1</v>
      </c>
      <c r="AL154" s="527">
        <f t="shared" si="268"/>
        <v>8</v>
      </c>
      <c r="AM154" s="390">
        <f t="shared" si="269"/>
        <v>13</v>
      </c>
      <c r="AN154" s="753">
        <f t="shared" ref="AN154" si="309">ROUND(((AM154/AL154-1)*100), 1)</f>
        <v>62.5</v>
      </c>
      <c r="AO154" s="817">
        <v>50</v>
      </c>
      <c r="AP154" s="819">
        <v>39</v>
      </c>
      <c r="AQ154" s="242">
        <f t="shared" si="298"/>
        <v>-22</v>
      </c>
      <c r="AR154" s="817">
        <f t="shared" si="272"/>
        <v>10</v>
      </c>
      <c r="AS154" s="819">
        <f t="shared" si="272"/>
        <v>22</v>
      </c>
      <c r="AT154" s="753">
        <f t="shared" si="304"/>
        <v>120</v>
      </c>
      <c r="AU154" s="969">
        <v>60</v>
      </c>
      <c r="AV154" s="970">
        <v>61</v>
      </c>
      <c r="AW154" s="753">
        <f t="shared" si="299"/>
        <v>1.7</v>
      </c>
      <c r="AX154" s="817">
        <f t="shared" si="275"/>
        <v>26</v>
      </c>
      <c r="AY154" s="819">
        <f t="shared" si="276"/>
        <v>10</v>
      </c>
      <c r="AZ154" s="753">
        <f t="shared" si="305"/>
        <v>-61.5</v>
      </c>
      <c r="BA154" s="817">
        <v>86</v>
      </c>
      <c r="BB154" s="819">
        <v>71</v>
      </c>
      <c r="BC154" s="753">
        <f t="shared" si="300"/>
        <v>-17.399999999999999</v>
      </c>
      <c r="BD154" s="817">
        <f t="shared" si="279"/>
        <v>17</v>
      </c>
      <c r="BE154" s="819">
        <f t="shared" si="279"/>
        <v>10</v>
      </c>
      <c r="BF154" s="753">
        <f t="shared" si="306"/>
        <v>-41.2</v>
      </c>
      <c r="BG154" s="817">
        <v>103</v>
      </c>
      <c r="BH154" s="819">
        <v>81</v>
      </c>
      <c r="BI154" s="753">
        <f t="shared" si="301"/>
        <v>-21.4</v>
      </c>
      <c r="BJ154" s="817">
        <f t="shared" si="282"/>
        <v>9</v>
      </c>
      <c r="BK154" s="819">
        <f t="shared" si="282"/>
        <v>26</v>
      </c>
      <c r="BL154" s="753">
        <f t="shared" si="307"/>
        <v>188.9</v>
      </c>
      <c r="BM154" s="817">
        <v>112</v>
      </c>
      <c r="BN154" s="819">
        <v>107</v>
      </c>
      <c r="BO154" s="753">
        <f t="shared" si="302"/>
        <v>-4.5</v>
      </c>
      <c r="BP154" s="817">
        <f t="shared" si="285"/>
        <v>1</v>
      </c>
      <c r="BQ154" s="819">
        <f t="shared" si="285"/>
        <v>20</v>
      </c>
      <c r="BR154" s="753">
        <f t="shared" ref="BR153:BR162" si="310">ROUND(((BQ154/BP154-1)*100), 1)</f>
        <v>1900</v>
      </c>
      <c r="BS154" s="817">
        <v>113</v>
      </c>
      <c r="BT154" s="819">
        <v>127</v>
      </c>
      <c r="BU154" s="753">
        <f t="shared" si="303"/>
        <v>12.4</v>
      </c>
    </row>
    <row r="155" spans="1:73">
      <c r="A155" s="86"/>
      <c r="B155" s="43" t="s">
        <v>24</v>
      </c>
      <c r="C155" s="188">
        <f t="shared" ref="C155:L155" si="311">C156-SUM(C138:C154)</f>
        <v>975</v>
      </c>
      <c r="D155" s="188">
        <f t="shared" si="311"/>
        <v>1263</v>
      </c>
      <c r="E155" s="188">
        <f t="shared" si="311"/>
        <v>1471</v>
      </c>
      <c r="F155" s="188">
        <f t="shared" si="311"/>
        <v>1533</v>
      </c>
      <c r="G155" s="188">
        <f t="shared" si="311"/>
        <v>1032</v>
      </c>
      <c r="H155" s="188">
        <f t="shared" si="311"/>
        <v>246</v>
      </c>
      <c r="I155" s="362">
        <f t="shared" si="311"/>
        <v>126</v>
      </c>
      <c r="J155" s="44">
        <f t="shared" si="311"/>
        <v>254</v>
      </c>
      <c r="K155" s="383">
        <f t="shared" si="311"/>
        <v>20</v>
      </c>
      <c r="L155" s="390">
        <f t="shared" si="311"/>
        <v>79</v>
      </c>
      <c r="M155" s="232">
        <f t="shared" si="288"/>
        <v>295</v>
      </c>
      <c r="N155" s="383">
        <f>N156-SUM(N138:N154)</f>
        <v>2</v>
      </c>
      <c r="O155" s="390">
        <f>O156-SUM(O138:O154)</f>
        <v>142</v>
      </c>
      <c r="P155" s="242">
        <f t="shared" si="289"/>
        <v>7000</v>
      </c>
      <c r="Q155" s="383">
        <f>Q156-SUM(Q138:Q154)</f>
        <v>22</v>
      </c>
      <c r="R155" s="390">
        <f>R156-SUM(R138:R154)</f>
        <v>221</v>
      </c>
      <c r="S155" s="242">
        <f t="shared" si="290"/>
        <v>904.5</v>
      </c>
      <c r="T155" s="383">
        <f>T156-SUM(T138:T154)</f>
        <v>6</v>
      </c>
      <c r="U155" s="390">
        <f>U156-SUM(U138:U154)</f>
        <v>104</v>
      </c>
      <c r="V155" s="242">
        <f t="shared" si="291"/>
        <v>1633.3</v>
      </c>
      <c r="W155" s="383">
        <f>W156-SUM(W138:W154)</f>
        <v>28</v>
      </c>
      <c r="X155" s="390">
        <f>X156-SUM(X138:X154)</f>
        <v>325</v>
      </c>
      <c r="Y155" s="242">
        <f t="shared" si="292"/>
        <v>1060.7</v>
      </c>
      <c r="Z155" s="527">
        <f>Z156-SUM(Z138:Z154)</f>
        <v>26</v>
      </c>
      <c r="AA155" s="390">
        <f>AA156-SUM(AA138:AA154)</f>
        <v>101</v>
      </c>
      <c r="AB155" s="242">
        <f t="shared" si="308"/>
        <v>288.5</v>
      </c>
      <c r="AC155" s="527">
        <f>AC156-SUM(AC138:AC154)</f>
        <v>54</v>
      </c>
      <c r="AD155" s="390">
        <f>AD156-SUM(AD138:AD154)</f>
        <v>426</v>
      </c>
      <c r="AE155" s="242">
        <f t="shared" si="294"/>
        <v>688.9</v>
      </c>
      <c r="AF155" s="527">
        <f>AF156-SUM(AF138:AF154)</f>
        <v>15</v>
      </c>
      <c r="AG155" s="390">
        <f>AG156-SUM(AG138:AG154)</f>
        <v>88</v>
      </c>
      <c r="AH155" s="242">
        <f t="shared" ref="AH155:AH164" si="312">ROUND(((AG155/AF155-1)*100), 1)</f>
        <v>486.7</v>
      </c>
      <c r="AI155" s="527">
        <f>AI156-SUM(AI138:AI154)</f>
        <v>69</v>
      </c>
      <c r="AJ155" s="390">
        <f>AJ156-SUM(AJ138:AJ154)</f>
        <v>514</v>
      </c>
      <c r="AK155" s="242">
        <f t="shared" si="296"/>
        <v>644.9</v>
      </c>
      <c r="AL155" s="527">
        <f>AL156-SUM(AL138:AL154)</f>
        <v>13</v>
      </c>
      <c r="AM155" s="390">
        <f>AM156-SUM(AM138:AM154)</f>
        <v>48</v>
      </c>
      <c r="AN155" s="242">
        <f t="shared" ref="AN155:AN163" si="313">ROUND(((AM155/AL155-1)*100), 1)</f>
        <v>269.2</v>
      </c>
      <c r="AO155" s="817">
        <f>AO156-SUM(AO138:AO154)</f>
        <v>82</v>
      </c>
      <c r="AP155" s="819">
        <f>AP156-SUM(AP138:AP154)</f>
        <v>562</v>
      </c>
      <c r="AQ155" s="242">
        <f t="shared" si="298"/>
        <v>585.4</v>
      </c>
      <c r="AR155" s="817">
        <f>AR156-SUM(AR138:AR154)</f>
        <v>25</v>
      </c>
      <c r="AS155" s="819">
        <f>AS156-SUM(AS138:AS154)</f>
        <v>183</v>
      </c>
      <c r="AT155" s="753">
        <f t="shared" si="304"/>
        <v>632</v>
      </c>
      <c r="AU155" s="969">
        <f>AU156-SUM(AU138:AU154)</f>
        <v>107</v>
      </c>
      <c r="AV155" s="970">
        <f>AV156-SUM(AV138:AV154)</f>
        <v>745</v>
      </c>
      <c r="AW155" s="753">
        <f t="shared" si="299"/>
        <v>596.29999999999995</v>
      </c>
      <c r="AX155" s="817">
        <f>AX156-SUM(AX138:AX154)</f>
        <v>19</v>
      </c>
      <c r="AY155" s="819">
        <f>AY156-SUM(AY138:AY154)</f>
        <v>82</v>
      </c>
      <c r="AZ155" s="753">
        <f t="shared" si="305"/>
        <v>331.6</v>
      </c>
      <c r="BA155" s="817">
        <f>BA156-SUM(BA138:BA154)</f>
        <v>126</v>
      </c>
      <c r="BB155" s="819">
        <f>BB156-SUM(BB138:BB154)</f>
        <v>827</v>
      </c>
      <c r="BC155" s="753">
        <f t="shared" si="300"/>
        <v>556.29999999999995</v>
      </c>
      <c r="BD155" s="817">
        <f>BD156-SUM(BD138:BD154)</f>
        <v>25</v>
      </c>
      <c r="BE155" s="819">
        <f>BE156-SUM(BE138:BE154)</f>
        <v>190</v>
      </c>
      <c r="BF155" s="753">
        <f t="shared" si="306"/>
        <v>660</v>
      </c>
      <c r="BG155" s="817">
        <f>BG156-SUM(BG138:BG154)</f>
        <v>151</v>
      </c>
      <c r="BH155" s="819">
        <f>BH156-SUM(BH138:BH154)</f>
        <v>1017</v>
      </c>
      <c r="BI155" s="753">
        <f t="shared" si="301"/>
        <v>573.5</v>
      </c>
      <c r="BJ155" s="817">
        <f>BJ156-SUM(BJ138:BJ154)</f>
        <v>37</v>
      </c>
      <c r="BK155" s="819">
        <f>BK156-SUM(BK138:BK154)</f>
        <v>107</v>
      </c>
      <c r="BL155" s="753">
        <f t="shared" si="307"/>
        <v>189.2</v>
      </c>
      <c r="BM155" s="817">
        <f>BM156-SUM(BM138:BM154)</f>
        <v>188</v>
      </c>
      <c r="BN155" s="819">
        <f>BN156-SUM(BN138:BN154)</f>
        <v>1124</v>
      </c>
      <c r="BO155" s="753">
        <f t="shared" si="302"/>
        <v>497.9</v>
      </c>
      <c r="BP155" s="817">
        <f>BP156-SUM(BP138:BP154)</f>
        <v>14</v>
      </c>
      <c r="BQ155" s="819">
        <f>BQ156-SUM(BQ138:BQ154)</f>
        <v>160</v>
      </c>
      <c r="BR155" s="753">
        <f t="shared" si="310"/>
        <v>1042.9000000000001</v>
      </c>
      <c r="BS155" s="817">
        <f>BS156-SUM(BS138:BS154)</f>
        <v>202</v>
      </c>
      <c r="BT155" s="819">
        <f>BT156-SUM(BT138:BT154)</f>
        <v>1284</v>
      </c>
      <c r="BU155" s="753">
        <f t="shared" si="303"/>
        <v>535.6</v>
      </c>
    </row>
    <row r="156" spans="1:73">
      <c r="A156" s="87"/>
      <c r="B156" s="67" t="s">
        <v>108</v>
      </c>
      <c r="C156" s="324">
        <v>67057</v>
      </c>
      <c r="D156" s="324">
        <v>73672</v>
      </c>
      <c r="E156" s="324">
        <v>79577</v>
      </c>
      <c r="F156" s="324">
        <v>68827</v>
      </c>
      <c r="G156" s="324">
        <v>71366</v>
      </c>
      <c r="H156" s="324">
        <v>80702</v>
      </c>
      <c r="I156" s="375">
        <v>82947</v>
      </c>
      <c r="J156" s="46">
        <v>73853</v>
      </c>
      <c r="K156" s="403">
        <v>6492</v>
      </c>
      <c r="L156" s="295">
        <v>5665</v>
      </c>
      <c r="M156" s="233">
        <f t="shared" si="288"/>
        <v>-12.7</v>
      </c>
      <c r="N156" s="403">
        <f t="shared" ref="N156:N172" si="314">Q156-K156</f>
        <v>5634</v>
      </c>
      <c r="O156" s="295">
        <f t="shared" ref="O156:O172" si="315">R156-L156</f>
        <v>5797</v>
      </c>
      <c r="P156" s="243">
        <f t="shared" si="289"/>
        <v>2.9</v>
      </c>
      <c r="Q156" s="403">
        <v>12126</v>
      </c>
      <c r="R156" s="295">
        <v>11462</v>
      </c>
      <c r="S156" s="243">
        <f t="shared" si="290"/>
        <v>-5.5</v>
      </c>
      <c r="T156" s="403">
        <f t="shared" ref="T156:T172" si="316">W156-Q156</f>
        <v>6054</v>
      </c>
      <c r="U156" s="295">
        <f t="shared" ref="U156:U172" si="317">X156-R156</f>
        <v>7645</v>
      </c>
      <c r="V156" s="243">
        <f t="shared" si="291"/>
        <v>26.3</v>
      </c>
      <c r="W156" s="403">
        <v>18180</v>
      </c>
      <c r="X156" s="295">
        <v>19107</v>
      </c>
      <c r="Y156" s="243">
        <f t="shared" si="292"/>
        <v>5.0999999999999996</v>
      </c>
      <c r="Z156" s="403">
        <f t="shared" ref="Z156:Z172" si="318">AC156-W156</f>
        <v>6973</v>
      </c>
      <c r="AA156" s="295">
        <f t="shared" ref="AA156:AA172" si="319">AD156-X156</f>
        <v>5934</v>
      </c>
      <c r="AB156" s="243">
        <f t="shared" si="308"/>
        <v>-14.9</v>
      </c>
      <c r="AC156" s="403">
        <v>25153</v>
      </c>
      <c r="AD156" s="295">
        <v>25041</v>
      </c>
      <c r="AE156" s="243">
        <f t="shared" si="294"/>
        <v>-0.4</v>
      </c>
      <c r="AF156" s="403">
        <f t="shared" ref="AF156:AG172" si="320">AI156-AC156</f>
        <v>5853</v>
      </c>
      <c r="AG156" s="295">
        <f t="shared" si="320"/>
        <v>5215</v>
      </c>
      <c r="AH156" s="243">
        <f t="shared" si="312"/>
        <v>-10.9</v>
      </c>
      <c r="AI156" s="403">
        <v>31006</v>
      </c>
      <c r="AJ156" s="295">
        <v>30256</v>
      </c>
      <c r="AK156" s="243">
        <f t="shared" si="296"/>
        <v>-2.4</v>
      </c>
      <c r="AL156" s="403">
        <f t="shared" ref="AL156:AL172" si="321">AO156-AI156</f>
        <v>5627</v>
      </c>
      <c r="AM156" s="295">
        <f t="shared" ref="AM156:AM172" si="322">AP156-AJ156</f>
        <v>4403</v>
      </c>
      <c r="AN156" s="243">
        <f t="shared" si="313"/>
        <v>-21.8</v>
      </c>
      <c r="AO156" s="814">
        <v>36633</v>
      </c>
      <c r="AP156" s="808">
        <v>34659</v>
      </c>
      <c r="AQ156" s="243">
        <f t="shared" si="298"/>
        <v>-5.4</v>
      </c>
      <c r="AR156" s="814">
        <f t="shared" ref="AR156:AS172" si="323">AU156-AO156</f>
        <v>6423</v>
      </c>
      <c r="AS156" s="808">
        <f t="shared" si="323"/>
        <v>5688</v>
      </c>
      <c r="AT156" s="754">
        <f t="shared" si="304"/>
        <v>-11.4</v>
      </c>
      <c r="AU156" s="971">
        <v>43056</v>
      </c>
      <c r="AV156" s="972">
        <v>40347</v>
      </c>
      <c r="AW156" s="754">
        <f t="shared" si="299"/>
        <v>-6.3</v>
      </c>
      <c r="AX156" s="814">
        <f t="shared" ref="AX156:AX172" si="324">BA156-AU156</f>
        <v>4947</v>
      </c>
      <c r="AY156" s="808">
        <f t="shared" ref="AY156:AY172" si="325">BB156-AV156</f>
        <v>4934</v>
      </c>
      <c r="AZ156" s="754">
        <f t="shared" si="305"/>
        <v>-0.3</v>
      </c>
      <c r="BA156" s="814">
        <v>48003</v>
      </c>
      <c r="BB156" s="808">
        <v>45281</v>
      </c>
      <c r="BC156" s="754">
        <f t="shared" si="300"/>
        <v>-5.7</v>
      </c>
      <c r="BD156" s="814">
        <f t="shared" ref="BD156:BE172" si="326">BG156-BA156</f>
        <v>6663</v>
      </c>
      <c r="BE156" s="808">
        <f t="shared" si="326"/>
        <v>6226</v>
      </c>
      <c r="BF156" s="754">
        <f t="shared" si="306"/>
        <v>-6.6</v>
      </c>
      <c r="BG156" s="814">
        <v>54666</v>
      </c>
      <c r="BH156" s="808">
        <v>51507</v>
      </c>
      <c r="BI156" s="754">
        <f t="shared" si="301"/>
        <v>-5.8</v>
      </c>
      <c r="BJ156" s="814">
        <f t="shared" ref="BJ156:BK172" si="327">BM156-BG156</f>
        <v>6785</v>
      </c>
      <c r="BK156" s="808">
        <f t="shared" si="327"/>
        <v>6356</v>
      </c>
      <c r="BL156" s="754">
        <f t="shared" si="307"/>
        <v>-6.3</v>
      </c>
      <c r="BM156" s="814">
        <v>61451</v>
      </c>
      <c r="BN156" s="808">
        <v>57863</v>
      </c>
      <c r="BO156" s="754">
        <f t="shared" si="302"/>
        <v>-5.8</v>
      </c>
      <c r="BP156" s="814">
        <f t="shared" ref="BP156:BQ172" si="328">BS156-BM156</f>
        <v>6028</v>
      </c>
      <c r="BQ156" s="808">
        <f t="shared" si="328"/>
        <v>7138</v>
      </c>
      <c r="BR156" s="754">
        <f t="shared" si="310"/>
        <v>18.399999999999999</v>
      </c>
      <c r="BS156" s="814">
        <v>67479</v>
      </c>
      <c r="BT156" s="808">
        <v>65001</v>
      </c>
      <c r="BU156" s="754">
        <f t="shared" si="303"/>
        <v>-3.7</v>
      </c>
    </row>
    <row r="157" spans="1:73">
      <c r="A157" s="88"/>
      <c r="B157" s="85" t="s">
        <v>54</v>
      </c>
      <c r="C157" s="189">
        <v>7396</v>
      </c>
      <c r="D157" s="189">
        <v>7532</v>
      </c>
      <c r="E157" s="189">
        <v>8181</v>
      </c>
      <c r="F157" s="189">
        <v>7452</v>
      </c>
      <c r="G157" s="189">
        <v>6874</v>
      </c>
      <c r="H157" s="189">
        <v>6547</v>
      </c>
      <c r="I157" s="380">
        <v>5209</v>
      </c>
      <c r="J157" s="66">
        <v>4943</v>
      </c>
      <c r="K157" s="384">
        <v>424</v>
      </c>
      <c r="L157" s="389">
        <v>281</v>
      </c>
      <c r="M157" s="232">
        <f t="shared" si="288"/>
        <v>-33.700000000000003</v>
      </c>
      <c r="N157" s="384">
        <f t="shared" si="314"/>
        <v>380</v>
      </c>
      <c r="O157" s="389">
        <f t="shared" si="315"/>
        <v>376</v>
      </c>
      <c r="P157" s="242">
        <f t="shared" si="289"/>
        <v>-1.1000000000000001</v>
      </c>
      <c r="Q157" s="384">
        <v>804</v>
      </c>
      <c r="R157" s="389">
        <v>657</v>
      </c>
      <c r="S157" s="242">
        <f t="shared" si="290"/>
        <v>-18.3</v>
      </c>
      <c r="T157" s="384">
        <f t="shared" si="316"/>
        <v>369</v>
      </c>
      <c r="U157" s="389">
        <f t="shared" si="317"/>
        <v>406</v>
      </c>
      <c r="V157" s="242">
        <f t="shared" si="291"/>
        <v>10</v>
      </c>
      <c r="W157" s="384">
        <v>1173</v>
      </c>
      <c r="X157" s="389">
        <v>1063</v>
      </c>
      <c r="Y157" s="242">
        <f t="shared" si="292"/>
        <v>-9.4</v>
      </c>
      <c r="Z157" s="528">
        <f t="shared" si="318"/>
        <v>456</v>
      </c>
      <c r="AA157" s="389">
        <f t="shared" si="319"/>
        <v>370</v>
      </c>
      <c r="AB157" s="242">
        <f t="shared" si="308"/>
        <v>-18.899999999999999</v>
      </c>
      <c r="AC157" s="528">
        <v>1629</v>
      </c>
      <c r="AD157" s="389">
        <v>1433</v>
      </c>
      <c r="AE157" s="242">
        <f t="shared" si="294"/>
        <v>-12</v>
      </c>
      <c r="AF157" s="528">
        <f t="shared" si="320"/>
        <v>394</v>
      </c>
      <c r="AG157" s="389">
        <f t="shared" si="320"/>
        <v>235</v>
      </c>
      <c r="AH157" s="242">
        <f t="shared" si="312"/>
        <v>-40.4</v>
      </c>
      <c r="AI157" s="528">
        <v>2023</v>
      </c>
      <c r="AJ157" s="389">
        <v>1668</v>
      </c>
      <c r="AK157" s="242">
        <f t="shared" si="296"/>
        <v>-17.5</v>
      </c>
      <c r="AL157" s="528">
        <f t="shared" si="321"/>
        <v>407</v>
      </c>
      <c r="AM157" s="389">
        <f t="shared" si="322"/>
        <v>203</v>
      </c>
      <c r="AN157" s="242">
        <f t="shared" si="313"/>
        <v>-50.1</v>
      </c>
      <c r="AO157" s="818">
        <v>2430</v>
      </c>
      <c r="AP157" s="812">
        <v>1871</v>
      </c>
      <c r="AQ157" s="242">
        <f t="shared" si="298"/>
        <v>-23</v>
      </c>
      <c r="AR157" s="818">
        <f t="shared" si="323"/>
        <v>582</v>
      </c>
      <c r="AS157" s="812">
        <f t="shared" si="323"/>
        <v>289</v>
      </c>
      <c r="AT157" s="753">
        <f t="shared" si="304"/>
        <v>-50.3</v>
      </c>
      <c r="AU157" s="973">
        <v>3012</v>
      </c>
      <c r="AV157" s="974">
        <v>2160</v>
      </c>
      <c r="AW157" s="753">
        <f t="shared" si="299"/>
        <v>-28.3</v>
      </c>
      <c r="AX157" s="818">
        <f t="shared" si="324"/>
        <v>450</v>
      </c>
      <c r="AY157" s="812">
        <f t="shared" si="325"/>
        <v>295</v>
      </c>
      <c r="AZ157" s="753">
        <f t="shared" si="305"/>
        <v>-34.4</v>
      </c>
      <c r="BA157" s="818">
        <v>3462</v>
      </c>
      <c r="BB157" s="812">
        <v>2455</v>
      </c>
      <c r="BC157" s="753">
        <f t="shared" si="300"/>
        <v>-29.1</v>
      </c>
      <c r="BD157" s="818">
        <f t="shared" si="326"/>
        <v>430</v>
      </c>
      <c r="BE157" s="812">
        <f t="shared" si="326"/>
        <v>294</v>
      </c>
      <c r="BF157" s="753">
        <f t="shared" si="306"/>
        <v>-31.6</v>
      </c>
      <c r="BG157" s="818">
        <v>3892</v>
      </c>
      <c r="BH157" s="812">
        <v>2749</v>
      </c>
      <c r="BI157" s="753">
        <f t="shared" si="301"/>
        <v>-29.4</v>
      </c>
      <c r="BJ157" s="818">
        <f t="shared" si="327"/>
        <v>322</v>
      </c>
      <c r="BK157" s="812">
        <f t="shared" si="327"/>
        <v>418</v>
      </c>
      <c r="BL157" s="753">
        <f t="shared" si="307"/>
        <v>29.8</v>
      </c>
      <c r="BM157" s="818">
        <v>4214</v>
      </c>
      <c r="BN157" s="812">
        <v>3167</v>
      </c>
      <c r="BO157" s="753">
        <f t="shared" si="302"/>
        <v>-24.8</v>
      </c>
      <c r="BP157" s="818">
        <f t="shared" si="328"/>
        <v>330</v>
      </c>
      <c r="BQ157" s="812">
        <f t="shared" si="328"/>
        <v>326</v>
      </c>
      <c r="BR157" s="753">
        <f t="shared" si="310"/>
        <v>-1.2</v>
      </c>
      <c r="BS157" s="818">
        <v>4544</v>
      </c>
      <c r="BT157" s="812">
        <v>3493</v>
      </c>
      <c r="BU157" s="753">
        <f t="shared" si="303"/>
        <v>-23.1</v>
      </c>
    </row>
    <row r="158" spans="1:73">
      <c r="A158" s="86" t="s">
        <v>110</v>
      </c>
      <c r="B158" s="43" t="s">
        <v>415</v>
      </c>
      <c r="C158" s="188">
        <v>43</v>
      </c>
      <c r="D158" s="188">
        <v>39</v>
      </c>
      <c r="E158" s="188">
        <v>0</v>
      </c>
      <c r="F158" s="188">
        <v>0</v>
      </c>
      <c r="G158" s="188">
        <v>469</v>
      </c>
      <c r="H158" s="188">
        <v>2934</v>
      </c>
      <c r="I158" s="362">
        <v>2245</v>
      </c>
      <c r="J158" s="44">
        <v>3914</v>
      </c>
      <c r="K158" s="383">
        <v>432</v>
      </c>
      <c r="L158" s="390">
        <v>329</v>
      </c>
      <c r="M158" s="232">
        <f t="shared" si="288"/>
        <v>-23.8</v>
      </c>
      <c r="N158" s="383">
        <f t="shared" si="314"/>
        <v>132</v>
      </c>
      <c r="O158" s="390">
        <f t="shared" si="315"/>
        <v>197</v>
      </c>
      <c r="P158" s="242">
        <f t="shared" si="289"/>
        <v>49.2</v>
      </c>
      <c r="Q158" s="383">
        <v>564</v>
      </c>
      <c r="R158" s="390">
        <v>526</v>
      </c>
      <c r="S158" s="242">
        <f t="shared" si="290"/>
        <v>-6.7</v>
      </c>
      <c r="T158" s="383">
        <f t="shared" si="316"/>
        <v>534</v>
      </c>
      <c r="U158" s="390">
        <f t="shared" si="317"/>
        <v>278</v>
      </c>
      <c r="V158" s="242">
        <f t="shared" si="291"/>
        <v>-47.9</v>
      </c>
      <c r="W158" s="383">
        <v>1098</v>
      </c>
      <c r="X158" s="390">
        <v>804</v>
      </c>
      <c r="Y158" s="242">
        <f t="shared" si="292"/>
        <v>-26.8</v>
      </c>
      <c r="Z158" s="527">
        <f t="shared" si="318"/>
        <v>284</v>
      </c>
      <c r="AA158" s="390">
        <f t="shared" si="319"/>
        <v>130</v>
      </c>
      <c r="AB158" s="242">
        <f t="shared" si="308"/>
        <v>-54.2</v>
      </c>
      <c r="AC158" s="527">
        <v>1382</v>
      </c>
      <c r="AD158" s="390">
        <v>934</v>
      </c>
      <c r="AE158" s="242">
        <f t="shared" si="294"/>
        <v>-32.4</v>
      </c>
      <c r="AF158" s="527">
        <f t="shared" si="320"/>
        <v>304</v>
      </c>
      <c r="AG158" s="390">
        <f t="shared" si="320"/>
        <v>233</v>
      </c>
      <c r="AH158" s="242">
        <f t="shared" si="312"/>
        <v>-23.4</v>
      </c>
      <c r="AI158" s="527">
        <v>1686</v>
      </c>
      <c r="AJ158" s="390">
        <v>1167</v>
      </c>
      <c r="AK158" s="242">
        <f t="shared" si="296"/>
        <v>-30.8</v>
      </c>
      <c r="AL158" s="527">
        <f t="shared" si="321"/>
        <v>294</v>
      </c>
      <c r="AM158" s="390">
        <f t="shared" si="322"/>
        <v>386</v>
      </c>
      <c r="AN158" s="242">
        <f t="shared" si="313"/>
        <v>31.3</v>
      </c>
      <c r="AO158" s="817">
        <v>1980</v>
      </c>
      <c r="AP158" s="819">
        <v>1553</v>
      </c>
      <c r="AQ158" s="242">
        <f t="shared" si="298"/>
        <v>-21.6</v>
      </c>
      <c r="AR158" s="817">
        <f t="shared" si="323"/>
        <v>508</v>
      </c>
      <c r="AS158" s="819">
        <f t="shared" si="323"/>
        <v>382</v>
      </c>
      <c r="AT158" s="753">
        <f t="shared" si="304"/>
        <v>-24.8</v>
      </c>
      <c r="AU158" s="969">
        <v>2488</v>
      </c>
      <c r="AV158" s="970">
        <v>1935</v>
      </c>
      <c r="AW158" s="753">
        <f t="shared" si="299"/>
        <v>-22.2</v>
      </c>
      <c r="AX158" s="817">
        <f t="shared" si="324"/>
        <v>361</v>
      </c>
      <c r="AY158" s="819">
        <f t="shared" si="325"/>
        <v>437</v>
      </c>
      <c r="AZ158" s="753">
        <f t="shared" si="305"/>
        <v>21.1</v>
      </c>
      <c r="BA158" s="817">
        <v>2849</v>
      </c>
      <c r="BB158" s="819">
        <v>2372</v>
      </c>
      <c r="BC158" s="753">
        <f t="shared" si="300"/>
        <v>-16.7</v>
      </c>
      <c r="BD158" s="817">
        <f t="shared" si="326"/>
        <v>385</v>
      </c>
      <c r="BE158" s="819">
        <f t="shared" si="326"/>
        <v>210</v>
      </c>
      <c r="BF158" s="753">
        <f t="shared" si="306"/>
        <v>-45.5</v>
      </c>
      <c r="BG158" s="817">
        <v>3234</v>
      </c>
      <c r="BH158" s="819">
        <v>2582</v>
      </c>
      <c r="BI158" s="753">
        <f t="shared" si="301"/>
        <v>-20.2</v>
      </c>
      <c r="BJ158" s="817">
        <f t="shared" si="327"/>
        <v>300</v>
      </c>
      <c r="BK158" s="819">
        <f t="shared" si="327"/>
        <v>479</v>
      </c>
      <c r="BL158" s="753">
        <f t="shared" si="307"/>
        <v>59.7</v>
      </c>
      <c r="BM158" s="817">
        <v>3534</v>
      </c>
      <c r="BN158" s="819">
        <v>3061</v>
      </c>
      <c r="BO158" s="753">
        <f t="shared" si="302"/>
        <v>-13.4</v>
      </c>
      <c r="BP158" s="817">
        <f t="shared" si="328"/>
        <v>226</v>
      </c>
      <c r="BQ158" s="819">
        <f t="shared" si="328"/>
        <v>251</v>
      </c>
      <c r="BR158" s="753">
        <f t="shared" si="310"/>
        <v>11.1</v>
      </c>
      <c r="BS158" s="817">
        <v>3760</v>
      </c>
      <c r="BT158" s="819">
        <v>3312</v>
      </c>
      <c r="BU158" s="753">
        <f t="shared" si="303"/>
        <v>-11.9</v>
      </c>
    </row>
    <row r="159" spans="1:73">
      <c r="A159" s="86"/>
      <c r="B159" s="43" t="s">
        <v>68</v>
      </c>
      <c r="C159" s="188">
        <v>1773</v>
      </c>
      <c r="D159" s="188">
        <v>2146</v>
      </c>
      <c r="E159" s="188">
        <v>1530</v>
      </c>
      <c r="F159" s="188">
        <v>1546</v>
      </c>
      <c r="G159" s="188">
        <v>648</v>
      </c>
      <c r="H159" s="188">
        <v>756</v>
      </c>
      <c r="I159" s="362">
        <v>1057</v>
      </c>
      <c r="J159" s="44">
        <v>905</v>
      </c>
      <c r="K159" s="383">
        <v>89</v>
      </c>
      <c r="L159" s="390">
        <v>61</v>
      </c>
      <c r="M159" s="232">
        <f t="shared" si="288"/>
        <v>-31.5</v>
      </c>
      <c r="N159" s="383">
        <f t="shared" si="314"/>
        <v>61</v>
      </c>
      <c r="O159" s="390">
        <f t="shared" si="315"/>
        <v>58</v>
      </c>
      <c r="P159" s="242">
        <f t="shared" si="289"/>
        <v>-4.9000000000000004</v>
      </c>
      <c r="Q159" s="383">
        <v>150</v>
      </c>
      <c r="R159" s="390">
        <v>119</v>
      </c>
      <c r="S159" s="242">
        <f t="shared" si="290"/>
        <v>-20.7</v>
      </c>
      <c r="T159" s="383">
        <f t="shared" si="316"/>
        <v>74</v>
      </c>
      <c r="U159" s="390">
        <f t="shared" si="317"/>
        <v>55</v>
      </c>
      <c r="V159" s="242">
        <f t="shared" si="291"/>
        <v>-25.7</v>
      </c>
      <c r="W159" s="383">
        <v>224</v>
      </c>
      <c r="X159" s="390">
        <v>174</v>
      </c>
      <c r="Y159" s="242">
        <f t="shared" si="292"/>
        <v>-22.3</v>
      </c>
      <c r="Z159" s="527">
        <f t="shared" si="318"/>
        <v>97</v>
      </c>
      <c r="AA159" s="390">
        <f t="shared" si="319"/>
        <v>38</v>
      </c>
      <c r="AB159" s="242">
        <f t="shared" si="308"/>
        <v>-60.8</v>
      </c>
      <c r="AC159" s="527">
        <v>321</v>
      </c>
      <c r="AD159" s="390">
        <v>212</v>
      </c>
      <c r="AE159" s="242">
        <f t="shared" si="294"/>
        <v>-34</v>
      </c>
      <c r="AF159" s="527">
        <f t="shared" si="320"/>
        <v>45</v>
      </c>
      <c r="AG159" s="390">
        <f t="shared" si="320"/>
        <v>80</v>
      </c>
      <c r="AH159" s="242">
        <f t="shared" si="312"/>
        <v>77.8</v>
      </c>
      <c r="AI159" s="527">
        <v>366</v>
      </c>
      <c r="AJ159" s="390">
        <v>292</v>
      </c>
      <c r="AK159" s="242">
        <f t="shared" si="296"/>
        <v>-20.2</v>
      </c>
      <c r="AL159" s="527">
        <f t="shared" si="321"/>
        <v>43</v>
      </c>
      <c r="AM159" s="390">
        <f t="shared" si="322"/>
        <v>66</v>
      </c>
      <c r="AN159" s="242">
        <f t="shared" si="313"/>
        <v>53.5</v>
      </c>
      <c r="AO159" s="817">
        <v>409</v>
      </c>
      <c r="AP159" s="819">
        <v>358</v>
      </c>
      <c r="AQ159" s="242">
        <f t="shared" si="298"/>
        <v>-12.5</v>
      </c>
      <c r="AR159" s="817">
        <f t="shared" si="323"/>
        <v>78</v>
      </c>
      <c r="AS159" s="819">
        <f t="shared" si="323"/>
        <v>79</v>
      </c>
      <c r="AT159" s="753">
        <f t="shared" si="304"/>
        <v>1.3</v>
      </c>
      <c r="AU159" s="969">
        <v>487</v>
      </c>
      <c r="AV159" s="970">
        <v>437</v>
      </c>
      <c r="AW159" s="753">
        <f t="shared" si="299"/>
        <v>-10.3</v>
      </c>
      <c r="AX159" s="817">
        <f t="shared" si="324"/>
        <v>95</v>
      </c>
      <c r="AY159" s="819">
        <f t="shared" si="325"/>
        <v>28</v>
      </c>
      <c r="AZ159" s="753">
        <f t="shared" si="305"/>
        <v>-70.5</v>
      </c>
      <c r="BA159" s="817">
        <v>582</v>
      </c>
      <c r="BB159" s="819">
        <v>465</v>
      </c>
      <c r="BC159" s="753">
        <f t="shared" si="300"/>
        <v>-20.100000000000001</v>
      </c>
      <c r="BD159" s="817">
        <f t="shared" si="326"/>
        <v>121</v>
      </c>
      <c r="BE159" s="819">
        <f t="shared" si="326"/>
        <v>61</v>
      </c>
      <c r="BF159" s="753">
        <f t="shared" si="306"/>
        <v>-49.6</v>
      </c>
      <c r="BG159" s="817">
        <v>703</v>
      </c>
      <c r="BH159" s="819">
        <v>526</v>
      </c>
      <c r="BI159" s="753">
        <f t="shared" si="301"/>
        <v>-25.2</v>
      </c>
      <c r="BJ159" s="817">
        <f t="shared" si="327"/>
        <v>99</v>
      </c>
      <c r="BK159" s="819">
        <f t="shared" si="327"/>
        <v>64</v>
      </c>
      <c r="BL159" s="753">
        <f t="shared" si="307"/>
        <v>-35.4</v>
      </c>
      <c r="BM159" s="817">
        <v>802</v>
      </c>
      <c r="BN159" s="819">
        <v>590</v>
      </c>
      <c r="BO159" s="753">
        <f t="shared" si="302"/>
        <v>-26.4</v>
      </c>
      <c r="BP159" s="817">
        <f t="shared" si="328"/>
        <v>76</v>
      </c>
      <c r="BQ159" s="819">
        <f t="shared" si="328"/>
        <v>72</v>
      </c>
      <c r="BR159" s="753">
        <f t="shared" si="310"/>
        <v>-5.3</v>
      </c>
      <c r="BS159" s="817">
        <v>878</v>
      </c>
      <c r="BT159" s="819">
        <v>662</v>
      </c>
      <c r="BU159" s="753">
        <f t="shared" si="303"/>
        <v>-24.6</v>
      </c>
    </row>
    <row r="160" spans="1:73">
      <c r="A160" s="86"/>
      <c r="B160" s="43" t="s">
        <v>416</v>
      </c>
      <c r="C160" s="188">
        <v>2673</v>
      </c>
      <c r="D160" s="188">
        <v>4649</v>
      </c>
      <c r="E160" s="188">
        <v>2495</v>
      </c>
      <c r="F160" s="188">
        <v>1452</v>
      </c>
      <c r="G160" s="188">
        <v>1714</v>
      </c>
      <c r="H160" s="188">
        <v>1530</v>
      </c>
      <c r="I160" s="362">
        <v>1432</v>
      </c>
      <c r="J160" s="44">
        <v>732</v>
      </c>
      <c r="K160" s="383">
        <v>77</v>
      </c>
      <c r="L160" s="390">
        <v>102</v>
      </c>
      <c r="M160" s="232">
        <f t="shared" si="288"/>
        <v>32.5</v>
      </c>
      <c r="N160" s="383">
        <f t="shared" si="314"/>
        <v>85</v>
      </c>
      <c r="O160" s="390">
        <f t="shared" si="315"/>
        <v>101</v>
      </c>
      <c r="P160" s="242">
        <f t="shared" si="289"/>
        <v>18.8</v>
      </c>
      <c r="Q160" s="383">
        <v>162</v>
      </c>
      <c r="R160" s="390">
        <v>203</v>
      </c>
      <c r="S160" s="242">
        <f t="shared" si="290"/>
        <v>25.3</v>
      </c>
      <c r="T160" s="383">
        <f t="shared" si="316"/>
        <v>82</v>
      </c>
      <c r="U160" s="390">
        <f t="shared" si="317"/>
        <v>204</v>
      </c>
      <c r="V160" s="242">
        <f t="shared" si="291"/>
        <v>148.80000000000001</v>
      </c>
      <c r="W160" s="383">
        <v>244</v>
      </c>
      <c r="X160" s="390">
        <v>407</v>
      </c>
      <c r="Y160" s="242">
        <f t="shared" si="292"/>
        <v>66.8</v>
      </c>
      <c r="Z160" s="527">
        <f t="shared" si="318"/>
        <v>12</v>
      </c>
      <c r="AA160" s="390">
        <f t="shared" si="319"/>
        <v>222</v>
      </c>
      <c r="AB160" s="242">
        <f t="shared" si="308"/>
        <v>1750</v>
      </c>
      <c r="AC160" s="527">
        <v>256</v>
      </c>
      <c r="AD160" s="390">
        <v>629</v>
      </c>
      <c r="AE160" s="242">
        <f t="shared" si="294"/>
        <v>145.69999999999999</v>
      </c>
      <c r="AF160" s="527">
        <f t="shared" si="320"/>
        <v>103</v>
      </c>
      <c r="AG160" s="390">
        <f t="shared" si="320"/>
        <v>45</v>
      </c>
      <c r="AH160" s="242">
        <f t="shared" si="312"/>
        <v>-56.3</v>
      </c>
      <c r="AI160" s="527">
        <v>359</v>
      </c>
      <c r="AJ160" s="390">
        <v>674</v>
      </c>
      <c r="AK160" s="242">
        <f t="shared" si="296"/>
        <v>87.7</v>
      </c>
      <c r="AL160" s="527">
        <f t="shared" si="321"/>
        <v>8</v>
      </c>
      <c r="AM160" s="390">
        <f t="shared" si="322"/>
        <v>264</v>
      </c>
      <c r="AN160" s="242">
        <f t="shared" si="313"/>
        <v>3200</v>
      </c>
      <c r="AO160" s="817">
        <v>367</v>
      </c>
      <c r="AP160" s="819">
        <v>938</v>
      </c>
      <c r="AQ160" s="242">
        <f t="shared" si="298"/>
        <v>155.6</v>
      </c>
      <c r="AR160" s="817">
        <f t="shared" si="323"/>
        <v>70</v>
      </c>
      <c r="AS160" s="819">
        <f t="shared" si="323"/>
        <v>476</v>
      </c>
      <c r="AT160" s="753">
        <f t="shared" si="304"/>
        <v>580</v>
      </c>
      <c r="AU160" s="969">
        <v>437</v>
      </c>
      <c r="AV160" s="970">
        <v>1414</v>
      </c>
      <c r="AW160" s="753">
        <f t="shared" si="299"/>
        <v>223.6</v>
      </c>
      <c r="AX160" s="817">
        <f t="shared" si="324"/>
        <v>82</v>
      </c>
      <c r="AY160" s="819">
        <f t="shared" si="325"/>
        <v>132</v>
      </c>
      <c r="AZ160" s="753">
        <f t="shared" si="305"/>
        <v>61</v>
      </c>
      <c r="BA160" s="817">
        <v>519</v>
      </c>
      <c r="BB160" s="819">
        <v>1546</v>
      </c>
      <c r="BC160" s="753">
        <f t="shared" si="300"/>
        <v>197.9</v>
      </c>
      <c r="BD160" s="817">
        <f t="shared" si="326"/>
        <v>52</v>
      </c>
      <c r="BE160" s="819">
        <f t="shared" si="326"/>
        <v>324</v>
      </c>
      <c r="BF160" s="753">
        <f t="shared" si="306"/>
        <v>523.1</v>
      </c>
      <c r="BG160" s="817">
        <v>571</v>
      </c>
      <c r="BH160" s="819">
        <v>1870</v>
      </c>
      <c r="BI160" s="753">
        <f t="shared" si="301"/>
        <v>227.5</v>
      </c>
      <c r="BJ160" s="817">
        <f t="shared" si="327"/>
        <v>17</v>
      </c>
      <c r="BK160" s="819">
        <f t="shared" si="327"/>
        <v>442</v>
      </c>
      <c r="BL160" s="753">
        <f t="shared" si="307"/>
        <v>2500</v>
      </c>
      <c r="BM160" s="817">
        <v>588</v>
      </c>
      <c r="BN160" s="819">
        <v>2312</v>
      </c>
      <c r="BO160" s="753">
        <f t="shared" si="302"/>
        <v>293.2</v>
      </c>
      <c r="BP160" s="817">
        <f t="shared" si="328"/>
        <v>68</v>
      </c>
      <c r="BQ160" s="819">
        <f t="shared" si="328"/>
        <v>373</v>
      </c>
      <c r="BR160" s="753">
        <f t="shared" si="310"/>
        <v>448.5</v>
      </c>
      <c r="BS160" s="817">
        <v>656</v>
      </c>
      <c r="BT160" s="819">
        <v>2685</v>
      </c>
      <c r="BU160" s="753">
        <f t="shared" si="303"/>
        <v>309.3</v>
      </c>
    </row>
    <row r="161" spans="1:73">
      <c r="A161" s="86"/>
      <c r="B161" s="43" t="s">
        <v>50</v>
      </c>
      <c r="C161" s="188">
        <v>9057</v>
      </c>
      <c r="D161" s="188">
        <v>9833</v>
      </c>
      <c r="E161" s="188">
        <v>8293</v>
      </c>
      <c r="F161" s="188">
        <v>6412</v>
      </c>
      <c r="G161" s="188">
        <v>2837</v>
      </c>
      <c r="H161" s="188">
        <v>1089</v>
      </c>
      <c r="I161" s="362">
        <v>493</v>
      </c>
      <c r="J161" s="44">
        <v>662</v>
      </c>
      <c r="K161" s="383">
        <v>45</v>
      </c>
      <c r="L161" s="390">
        <v>75</v>
      </c>
      <c r="M161" s="232">
        <f t="shared" si="288"/>
        <v>66.7</v>
      </c>
      <c r="N161" s="383">
        <f t="shared" si="314"/>
        <v>3</v>
      </c>
      <c r="O161" s="390">
        <f t="shared" si="315"/>
        <v>28</v>
      </c>
      <c r="P161" s="242">
        <f t="shared" si="289"/>
        <v>833.3</v>
      </c>
      <c r="Q161" s="383">
        <v>48</v>
      </c>
      <c r="R161" s="390">
        <v>103</v>
      </c>
      <c r="S161" s="242">
        <f t="shared" si="290"/>
        <v>114.6</v>
      </c>
      <c r="T161" s="383">
        <f t="shared" si="316"/>
        <v>27</v>
      </c>
      <c r="U161" s="390">
        <f t="shared" si="317"/>
        <v>51</v>
      </c>
      <c r="V161" s="242">
        <f t="shared" si="291"/>
        <v>88.9</v>
      </c>
      <c r="W161" s="383">
        <v>75</v>
      </c>
      <c r="X161" s="390">
        <v>154</v>
      </c>
      <c r="Y161" s="242">
        <f t="shared" si="292"/>
        <v>105.3</v>
      </c>
      <c r="Z161" s="527">
        <f t="shared" si="318"/>
        <v>54</v>
      </c>
      <c r="AA161" s="390">
        <f t="shared" si="319"/>
        <v>34</v>
      </c>
      <c r="AB161" s="242">
        <f t="shared" si="308"/>
        <v>-37</v>
      </c>
      <c r="AC161" s="527">
        <v>129</v>
      </c>
      <c r="AD161" s="390">
        <v>188</v>
      </c>
      <c r="AE161" s="242">
        <f t="shared" si="294"/>
        <v>45.7</v>
      </c>
      <c r="AF161" s="527">
        <f t="shared" si="320"/>
        <v>21</v>
      </c>
      <c r="AG161" s="390">
        <f t="shared" si="320"/>
        <v>222</v>
      </c>
      <c r="AH161" s="242">
        <f t="shared" si="312"/>
        <v>957.1</v>
      </c>
      <c r="AI161" s="527">
        <v>150</v>
      </c>
      <c r="AJ161" s="390">
        <v>410</v>
      </c>
      <c r="AK161" s="242">
        <f t="shared" si="296"/>
        <v>173.3</v>
      </c>
      <c r="AL161" s="527">
        <f t="shared" si="321"/>
        <v>54</v>
      </c>
      <c r="AM161" s="390">
        <f t="shared" si="322"/>
        <v>208</v>
      </c>
      <c r="AN161" s="242">
        <f t="shared" si="313"/>
        <v>285.2</v>
      </c>
      <c r="AO161" s="817">
        <v>204</v>
      </c>
      <c r="AP161" s="819">
        <v>618</v>
      </c>
      <c r="AQ161" s="242">
        <f t="shared" si="298"/>
        <v>202.9</v>
      </c>
      <c r="AR161" s="817">
        <f t="shared" si="323"/>
        <v>92</v>
      </c>
      <c r="AS161" s="819">
        <f t="shared" si="323"/>
        <v>48</v>
      </c>
      <c r="AT161" s="753">
        <f t="shared" si="304"/>
        <v>-47.8</v>
      </c>
      <c r="AU161" s="969">
        <v>296</v>
      </c>
      <c r="AV161" s="970">
        <v>666</v>
      </c>
      <c r="AW161" s="753">
        <f t="shared" si="299"/>
        <v>125</v>
      </c>
      <c r="AX161" s="817">
        <f t="shared" si="324"/>
        <v>73</v>
      </c>
      <c r="AY161" s="819">
        <f t="shared" si="325"/>
        <v>76</v>
      </c>
      <c r="AZ161" s="753">
        <f t="shared" si="305"/>
        <v>4.0999999999999996</v>
      </c>
      <c r="BA161" s="817">
        <v>369</v>
      </c>
      <c r="BB161" s="819">
        <v>742</v>
      </c>
      <c r="BC161" s="753">
        <f t="shared" si="300"/>
        <v>101.1</v>
      </c>
      <c r="BD161" s="817">
        <f t="shared" si="326"/>
        <v>81</v>
      </c>
      <c r="BE161" s="819">
        <f t="shared" si="326"/>
        <v>76</v>
      </c>
      <c r="BF161" s="753">
        <f t="shared" si="306"/>
        <v>-6.2</v>
      </c>
      <c r="BG161" s="817">
        <v>450</v>
      </c>
      <c r="BH161" s="819">
        <v>818</v>
      </c>
      <c r="BI161" s="753">
        <f t="shared" si="301"/>
        <v>81.8</v>
      </c>
      <c r="BJ161" s="817">
        <f t="shared" si="327"/>
        <v>78</v>
      </c>
      <c r="BK161" s="819">
        <f t="shared" si="327"/>
        <v>62</v>
      </c>
      <c r="BL161" s="753">
        <f t="shared" si="307"/>
        <v>-20.5</v>
      </c>
      <c r="BM161" s="817">
        <v>528</v>
      </c>
      <c r="BN161" s="819">
        <v>880</v>
      </c>
      <c r="BO161" s="753">
        <f t="shared" si="302"/>
        <v>66.7</v>
      </c>
      <c r="BP161" s="817">
        <f t="shared" si="328"/>
        <v>73</v>
      </c>
      <c r="BQ161" s="819">
        <f t="shared" si="328"/>
        <v>46</v>
      </c>
      <c r="BR161" s="753">
        <f t="shared" si="310"/>
        <v>-37</v>
      </c>
      <c r="BS161" s="817">
        <v>601</v>
      </c>
      <c r="BT161" s="819">
        <v>926</v>
      </c>
      <c r="BU161" s="753">
        <f t="shared" si="303"/>
        <v>54.1</v>
      </c>
    </row>
    <row r="162" spans="1:73">
      <c r="A162" s="86"/>
      <c r="B162" s="43" t="s">
        <v>53</v>
      </c>
      <c r="C162" s="188">
        <v>3594</v>
      </c>
      <c r="D162" s="188">
        <v>7505</v>
      </c>
      <c r="E162" s="188">
        <v>7542</v>
      </c>
      <c r="F162" s="188">
        <v>7573</v>
      </c>
      <c r="G162" s="188">
        <v>4729</v>
      </c>
      <c r="H162" s="188">
        <v>3098</v>
      </c>
      <c r="I162" s="362">
        <v>3066</v>
      </c>
      <c r="J162" s="44">
        <v>537</v>
      </c>
      <c r="K162" s="383">
        <v>229</v>
      </c>
      <c r="L162" s="390">
        <v>12</v>
      </c>
      <c r="M162" s="232">
        <f t="shared" si="288"/>
        <v>-94.8</v>
      </c>
      <c r="N162" s="383">
        <f t="shared" si="314"/>
        <v>166</v>
      </c>
      <c r="O162" s="390">
        <f t="shared" si="315"/>
        <v>7</v>
      </c>
      <c r="P162" s="242">
        <f t="shared" si="289"/>
        <v>-95.8</v>
      </c>
      <c r="Q162" s="383">
        <v>395</v>
      </c>
      <c r="R162" s="390">
        <v>19</v>
      </c>
      <c r="S162" s="242">
        <f t="shared" si="290"/>
        <v>-95.2</v>
      </c>
      <c r="T162" s="383">
        <f t="shared" si="316"/>
        <v>37</v>
      </c>
      <c r="U162" s="390">
        <f t="shared" si="317"/>
        <v>10</v>
      </c>
      <c r="V162" s="242">
        <f t="shared" si="291"/>
        <v>-73</v>
      </c>
      <c r="W162" s="383">
        <v>432</v>
      </c>
      <c r="X162" s="390">
        <v>29</v>
      </c>
      <c r="Y162" s="242">
        <f t="shared" si="292"/>
        <v>-93.3</v>
      </c>
      <c r="Z162" s="527">
        <f t="shared" si="318"/>
        <v>20</v>
      </c>
      <c r="AA162" s="390">
        <f t="shared" si="319"/>
        <v>9</v>
      </c>
      <c r="AB162" s="242">
        <f t="shared" si="308"/>
        <v>-55</v>
      </c>
      <c r="AC162" s="527">
        <v>452</v>
      </c>
      <c r="AD162" s="390">
        <v>38</v>
      </c>
      <c r="AE162" s="242">
        <f t="shared" si="294"/>
        <v>-91.6</v>
      </c>
      <c r="AF162" s="527">
        <f t="shared" si="320"/>
        <v>12</v>
      </c>
      <c r="AG162" s="390">
        <f t="shared" si="320"/>
        <v>12</v>
      </c>
      <c r="AH162" s="242">
        <f t="shared" si="312"/>
        <v>0</v>
      </c>
      <c r="AI162" s="527">
        <v>464</v>
      </c>
      <c r="AJ162" s="390">
        <v>50</v>
      </c>
      <c r="AK162" s="242">
        <f t="shared" si="296"/>
        <v>-89.2</v>
      </c>
      <c r="AL162" s="527">
        <f t="shared" si="321"/>
        <v>10</v>
      </c>
      <c r="AM162" s="390">
        <f t="shared" si="322"/>
        <v>5</v>
      </c>
      <c r="AN162" s="242">
        <f t="shared" si="313"/>
        <v>-50</v>
      </c>
      <c r="AO162" s="817">
        <v>474</v>
      </c>
      <c r="AP162" s="819">
        <v>55</v>
      </c>
      <c r="AQ162" s="242">
        <f t="shared" si="298"/>
        <v>-88.4</v>
      </c>
      <c r="AR162" s="817">
        <f t="shared" si="323"/>
        <v>12</v>
      </c>
      <c r="AS162" s="819">
        <f t="shared" si="323"/>
        <v>6</v>
      </c>
      <c r="AT162" s="753">
        <f t="shared" si="304"/>
        <v>-50</v>
      </c>
      <c r="AU162" s="969">
        <v>486</v>
      </c>
      <c r="AV162" s="970">
        <v>61</v>
      </c>
      <c r="AW162" s="753">
        <f t="shared" si="299"/>
        <v>-87.4</v>
      </c>
      <c r="AX162" s="817">
        <f t="shared" si="324"/>
        <v>9</v>
      </c>
      <c r="AY162" s="819">
        <f t="shared" si="325"/>
        <v>5</v>
      </c>
      <c r="AZ162" s="753">
        <f t="shared" si="305"/>
        <v>-44.4</v>
      </c>
      <c r="BA162" s="817">
        <v>495</v>
      </c>
      <c r="BB162" s="819">
        <v>66</v>
      </c>
      <c r="BC162" s="753">
        <f t="shared" si="300"/>
        <v>-86.7</v>
      </c>
      <c r="BD162" s="817">
        <f t="shared" si="326"/>
        <v>5</v>
      </c>
      <c r="BE162" s="819">
        <f t="shared" si="326"/>
        <v>8</v>
      </c>
      <c r="BF162" s="753">
        <f t="shared" si="306"/>
        <v>60</v>
      </c>
      <c r="BG162" s="817">
        <v>500</v>
      </c>
      <c r="BH162" s="819">
        <v>74</v>
      </c>
      <c r="BI162" s="753">
        <f t="shared" si="301"/>
        <v>-85.2</v>
      </c>
      <c r="BJ162" s="817">
        <f t="shared" si="327"/>
        <v>8</v>
      </c>
      <c r="BK162" s="819">
        <f t="shared" si="327"/>
        <v>10</v>
      </c>
      <c r="BL162" s="753">
        <f t="shared" si="307"/>
        <v>25</v>
      </c>
      <c r="BM162" s="817">
        <v>508</v>
      </c>
      <c r="BN162" s="819">
        <v>84</v>
      </c>
      <c r="BO162" s="753">
        <f t="shared" si="302"/>
        <v>-83.5</v>
      </c>
      <c r="BP162" s="817">
        <f t="shared" si="328"/>
        <v>10</v>
      </c>
      <c r="BQ162" s="819">
        <f t="shared" si="328"/>
        <v>20</v>
      </c>
      <c r="BR162" s="753">
        <f t="shared" si="310"/>
        <v>100</v>
      </c>
      <c r="BS162" s="817">
        <v>518</v>
      </c>
      <c r="BT162" s="819">
        <v>104</v>
      </c>
      <c r="BU162" s="753">
        <f t="shared" si="303"/>
        <v>-79.900000000000006</v>
      </c>
    </row>
    <row r="163" spans="1:73">
      <c r="A163" s="86"/>
      <c r="B163" s="43" t="s">
        <v>417</v>
      </c>
      <c r="C163" s="188">
        <v>433</v>
      </c>
      <c r="D163" s="188">
        <v>438</v>
      </c>
      <c r="E163" s="188">
        <v>745</v>
      </c>
      <c r="F163" s="188">
        <v>401</v>
      </c>
      <c r="G163" s="188">
        <v>321</v>
      </c>
      <c r="H163" s="188">
        <v>544</v>
      </c>
      <c r="I163" s="362">
        <v>526</v>
      </c>
      <c r="J163" s="44">
        <v>525</v>
      </c>
      <c r="K163" s="383">
        <v>163</v>
      </c>
      <c r="L163" s="390">
        <v>5</v>
      </c>
      <c r="M163" s="232">
        <f t="shared" si="288"/>
        <v>-96.9</v>
      </c>
      <c r="N163" s="383">
        <f t="shared" si="314"/>
        <v>167</v>
      </c>
      <c r="O163" s="390">
        <f t="shared" si="315"/>
        <v>0</v>
      </c>
      <c r="P163" s="242">
        <f t="shared" si="289"/>
        <v>-100</v>
      </c>
      <c r="Q163" s="383">
        <v>330</v>
      </c>
      <c r="R163" s="390">
        <v>5</v>
      </c>
      <c r="S163" s="242">
        <f t="shared" si="290"/>
        <v>-98.5</v>
      </c>
      <c r="T163" s="383">
        <f t="shared" si="316"/>
        <v>29</v>
      </c>
      <c r="U163" s="390">
        <f t="shared" si="317"/>
        <v>8</v>
      </c>
      <c r="V163" s="242">
        <f t="shared" si="291"/>
        <v>-72.400000000000006</v>
      </c>
      <c r="W163" s="383">
        <v>359</v>
      </c>
      <c r="X163" s="390">
        <v>13</v>
      </c>
      <c r="Y163" s="242">
        <f t="shared" si="292"/>
        <v>-96.4</v>
      </c>
      <c r="Z163" s="527">
        <f t="shared" si="318"/>
        <v>0</v>
      </c>
      <c r="AA163" s="390">
        <f t="shared" si="319"/>
        <v>0</v>
      </c>
      <c r="AB163" s="521">
        <v>0</v>
      </c>
      <c r="AC163" s="527">
        <v>359</v>
      </c>
      <c r="AD163" s="390">
        <v>13</v>
      </c>
      <c r="AE163" s="242">
        <f t="shared" si="294"/>
        <v>-96.4</v>
      </c>
      <c r="AF163" s="527">
        <f t="shared" si="320"/>
        <v>0</v>
      </c>
      <c r="AG163" s="390">
        <f t="shared" si="320"/>
        <v>1</v>
      </c>
      <c r="AH163" s="521">
        <v>0</v>
      </c>
      <c r="AI163" s="527">
        <v>359</v>
      </c>
      <c r="AJ163" s="390">
        <v>14</v>
      </c>
      <c r="AK163" s="242">
        <f t="shared" si="296"/>
        <v>-96.1</v>
      </c>
      <c r="AL163" s="527">
        <f t="shared" si="321"/>
        <v>35</v>
      </c>
      <c r="AM163" s="390">
        <f t="shared" si="322"/>
        <v>0</v>
      </c>
      <c r="AN163" s="753">
        <f t="shared" si="313"/>
        <v>-100</v>
      </c>
      <c r="AO163" s="817">
        <v>394</v>
      </c>
      <c r="AP163" s="819">
        <v>14</v>
      </c>
      <c r="AQ163" s="242">
        <f t="shared" si="298"/>
        <v>-96.4</v>
      </c>
      <c r="AR163" s="817">
        <f t="shared" si="323"/>
        <v>0</v>
      </c>
      <c r="AS163" s="819">
        <f t="shared" si="323"/>
        <v>1</v>
      </c>
      <c r="AT163" s="799">
        <v>0</v>
      </c>
      <c r="AU163" s="969">
        <v>394</v>
      </c>
      <c r="AV163" s="970">
        <v>15</v>
      </c>
      <c r="AW163" s="753">
        <f t="shared" si="299"/>
        <v>-96.2</v>
      </c>
      <c r="AX163" s="817">
        <f t="shared" si="324"/>
        <v>0</v>
      </c>
      <c r="AY163" s="819">
        <f t="shared" si="325"/>
        <v>0</v>
      </c>
      <c r="AZ163" s="799">
        <v>0</v>
      </c>
      <c r="BA163" s="817">
        <v>394</v>
      </c>
      <c r="BB163" s="819">
        <v>15</v>
      </c>
      <c r="BC163" s="753">
        <f t="shared" si="300"/>
        <v>-96.2</v>
      </c>
      <c r="BD163" s="817">
        <f t="shared" si="326"/>
        <v>0</v>
      </c>
      <c r="BE163" s="819">
        <f t="shared" si="326"/>
        <v>1</v>
      </c>
      <c r="BF163" s="799">
        <v>0</v>
      </c>
      <c r="BG163" s="817">
        <v>394</v>
      </c>
      <c r="BH163" s="819">
        <v>16</v>
      </c>
      <c r="BI163" s="753">
        <f t="shared" si="301"/>
        <v>-95.9</v>
      </c>
      <c r="BJ163" s="817">
        <f t="shared" si="327"/>
        <v>0</v>
      </c>
      <c r="BK163" s="819">
        <f t="shared" si="327"/>
        <v>0</v>
      </c>
      <c r="BL163" s="799">
        <v>0</v>
      </c>
      <c r="BM163" s="817">
        <v>394</v>
      </c>
      <c r="BN163" s="819">
        <v>16</v>
      </c>
      <c r="BO163" s="753">
        <f t="shared" si="302"/>
        <v>-95.9</v>
      </c>
      <c r="BP163" s="817">
        <f t="shared" si="328"/>
        <v>0</v>
      </c>
      <c r="BQ163" s="819">
        <f t="shared" si="328"/>
        <v>0</v>
      </c>
      <c r="BR163" s="799">
        <v>0</v>
      </c>
      <c r="BS163" s="817">
        <v>394</v>
      </c>
      <c r="BT163" s="819">
        <v>16</v>
      </c>
      <c r="BU163" s="753">
        <f t="shared" si="303"/>
        <v>-95.9</v>
      </c>
    </row>
    <row r="164" spans="1:73">
      <c r="A164" s="86"/>
      <c r="B164" s="43" t="s">
        <v>57</v>
      </c>
      <c r="C164" s="188">
        <v>1209</v>
      </c>
      <c r="D164" s="188">
        <v>1302</v>
      </c>
      <c r="E164" s="188">
        <v>1281</v>
      </c>
      <c r="F164" s="188">
        <v>1415</v>
      </c>
      <c r="G164" s="188">
        <v>1065</v>
      </c>
      <c r="H164" s="188">
        <v>1080</v>
      </c>
      <c r="I164" s="362">
        <v>1110</v>
      </c>
      <c r="J164" s="44">
        <v>169</v>
      </c>
      <c r="K164" s="383">
        <v>15</v>
      </c>
      <c r="L164" s="390">
        <v>15</v>
      </c>
      <c r="M164" s="232">
        <f t="shared" si="288"/>
        <v>0</v>
      </c>
      <c r="N164" s="383">
        <f t="shared" si="314"/>
        <v>10</v>
      </c>
      <c r="O164" s="390">
        <f t="shared" si="315"/>
        <v>17</v>
      </c>
      <c r="P164" s="242">
        <f t="shared" si="289"/>
        <v>70</v>
      </c>
      <c r="Q164" s="383">
        <v>25</v>
      </c>
      <c r="R164" s="390">
        <v>32</v>
      </c>
      <c r="S164" s="242">
        <f t="shared" si="290"/>
        <v>28</v>
      </c>
      <c r="T164" s="383">
        <f t="shared" si="316"/>
        <v>14</v>
      </c>
      <c r="U164" s="390">
        <f t="shared" si="317"/>
        <v>23</v>
      </c>
      <c r="V164" s="242">
        <f t="shared" si="291"/>
        <v>64.3</v>
      </c>
      <c r="W164" s="383">
        <v>39</v>
      </c>
      <c r="X164" s="390">
        <v>55</v>
      </c>
      <c r="Y164" s="242">
        <f t="shared" si="292"/>
        <v>41</v>
      </c>
      <c r="Z164" s="527">
        <f t="shared" si="318"/>
        <v>18</v>
      </c>
      <c r="AA164" s="390">
        <f t="shared" si="319"/>
        <v>28</v>
      </c>
      <c r="AB164" s="242">
        <f t="shared" si="308"/>
        <v>55.6</v>
      </c>
      <c r="AC164" s="527">
        <v>57</v>
      </c>
      <c r="AD164" s="390">
        <v>83</v>
      </c>
      <c r="AE164" s="242">
        <f t="shared" si="294"/>
        <v>45.6</v>
      </c>
      <c r="AF164" s="527">
        <f t="shared" si="320"/>
        <v>13</v>
      </c>
      <c r="AG164" s="390">
        <f t="shared" si="320"/>
        <v>19</v>
      </c>
      <c r="AH164" s="242">
        <f t="shared" si="312"/>
        <v>46.2</v>
      </c>
      <c r="AI164" s="527">
        <v>70</v>
      </c>
      <c r="AJ164" s="390">
        <v>102</v>
      </c>
      <c r="AK164" s="242">
        <f t="shared" si="296"/>
        <v>45.7</v>
      </c>
      <c r="AL164" s="527">
        <f t="shared" si="321"/>
        <v>12</v>
      </c>
      <c r="AM164" s="390">
        <f t="shared" si="322"/>
        <v>15</v>
      </c>
      <c r="AN164" s="242">
        <f t="shared" ref="AN164" si="329">ROUND(((AM164/AL164-1)*100), 1)</f>
        <v>25</v>
      </c>
      <c r="AO164" s="817">
        <v>82</v>
      </c>
      <c r="AP164" s="819">
        <v>117</v>
      </c>
      <c r="AQ164" s="242">
        <f t="shared" si="298"/>
        <v>42.7</v>
      </c>
      <c r="AR164" s="817">
        <f t="shared" si="323"/>
        <v>18</v>
      </c>
      <c r="AS164" s="819">
        <f t="shared" si="323"/>
        <v>17</v>
      </c>
      <c r="AT164" s="753">
        <f t="shared" si="304"/>
        <v>-5.6</v>
      </c>
      <c r="AU164" s="969">
        <v>100</v>
      </c>
      <c r="AV164" s="970">
        <v>134</v>
      </c>
      <c r="AW164" s="753">
        <f t="shared" si="299"/>
        <v>34</v>
      </c>
      <c r="AX164" s="817">
        <f t="shared" si="324"/>
        <v>18</v>
      </c>
      <c r="AY164" s="819">
        <f t="shared" si="325"/>
        <v>15</v>
      </c>
      <c r="AZ164" s="753">
        <f t="shared" ref="AZ164:AZ166" si="330">ROUND(((AY164/AX164-1)*100), 1)</f>
        <v>-16.7</v>
      </c>
      <c r="BA164" s="817">
        <v>118</v>
      </c>
      <c r="BB164" s="819">
        <v>149</v>
      </c>
      <c r="BC164" s="753">
        <f t="shared" si="300"/>
        <v>26.3</v>
      </c>
      <c r="BD164" s="817">
        <f t="shared" si="326"/>
        <v>17</v>
      </c>
      <c r="BE164" s="819">
        <f t="shared" si="326"/>
        <v>27</v>
      </c>
      <c r="BF164" s="753">
        <f t="shared" ref="BF164" si="331">ROUND(((BE164/BD164-1)*100), 1)</f>
        <v>58.8</v>
      </c>
      <c r="BG164" s="817">
        <v>135</v>
      </c>
      <c r="BH164" s="819">
        <v>176</v>
      </c>
      <c r="BI164" s="753">
        <f t="shared" si="301"/>
        <v>30.4</v>
      </c>
      <c r="BJ164" s="817">
        <f t="shared" si="327"/>
        <v>10</v>
      </c>
      <c r="BK164" s="819">
        <f t="shared" si="327"/>
        <v>49</v>
      </c>
      <c r="BL164" s="753">
        <f t="shared" ref="BL164" si="332">ROUND(((BK164/BJ164-1)*100), 1)</f>
        <v>390</v>
      </c>
      <c r="BM164" s="817">
        <v>145</v>
      </c>
      <c r="BN164" s="819">
        <v>225</v>
      </c>
      <c r="BO164" s="753">
        <f t="shared" si="302"/>
        <v>55.2</v>
      </c>
      <c r="BP164" s="817">
        <f t="shared" si="328"/>
        <v>10</v>
      </c>
      <c r="BQ164" s="819">
        <f t="shared" si="328"/>
        <v>75</v>
      </c>
      <c r="BR164" s="753">
        <f>ROUND(((BQ164/BP164-1)*100), 1)</f>
        <v>650</v>
      </c>
      <c r="BS164" s="817">
        <v>155</v>
      </c>
      <c r="BT164" s="819">
        <v>300</v>
      </c>
      <c r="BU164" s="753">
        <f t="shared" si="303"/>
        <v>93.5</v>
      </c>
    </row>
    <row r="165" spans="1:73">
      <c r="A165" s="86"/>
      <c r="B165" s="43" t="s">
        <v>418</v>
      </c>
      <c r="C165" s="188">
        <v>5</v>
      </c>
      <c r="D165" s="188">
        <v>20</v>
      </c>
      <c r="E165" s="188">
        <v>52</v>
      </c>
      <c r="F165" s="188">
        <v>13</v>
      </c>
      <c r="G165" s="188">
        <v>9</v>
      </c>
      <c r="H165" s="188">
        <v>89</v>
      </c>
      <c r="I165" s="362">
        <v>32</v>
      </c>
      <c r="J165" s="44">
        <v>104</v>
      </c>
      <c r="K165" s="383">
        <v>0</v>
      </c>
      <c r="L165" s="390">
        <v>0</v>
      </c>
      <c r="M165" s="177">
        <v>0</v>
      </c>
      <c r="N165" s="383">
        <f t="shared" si="314"/>
        <v>31</v>
      </c>
      <c r="O165" s="390">
        <f t="shared" si="315"/>
        <v>0</v>
      </c>
      <c r="P165" s="242">
        <f>ROUND(((O165/N165-1)*100), 1)</f>
        <v>-100</v>
      </c>
      <c r="Q165" s="383">
        <v>31</v>
      </c>
      <c r="R165" s="390">
        <v>0</v>
      </c>
      <c r="S165" s="242">
        <f>ROUND(((R165/Q165-1)*100), 1)</f>
        <v>-100</v>
      </c>
      <c r="T165" s="383">
        <f t="shared" si="316"/>
        <v>0</v>
      </c>
      <c r="U165" s="390">
        <f t="shared" si="317"/>
        <v>50</v>
      </c>
      <c r="V165" s="177">
        <v>0</v>
      </c>
      <c r="W165" s="383">
        <v>31</v>
      </c>
      <c r="X165" s="390">
        <v>50</v>
      </c>
      <c r="Y165" s="242">
        <f>ROUND(((X165/W165-1)*100), 1)</f>
        <v>61.3</v>
      </c>
      <c r="Z165" s="527">
        <f t="shared" si="318"/>
        <v>0</v>
      </c>
      <c r="AA165" s="390">
        <f t="shared" si="319"/>
        <v>0</v>
      </c>
      <c r="AB165" s="521">
        <v>0</v>
      </c>
      <c r="AC165" s="527">
        <v>31</v>
      </c>
      <c r="AD165" s="390">
        <v>50</v>
      </c>
      <c r="AE165" s="242">
        <f>ROUND(((AD165/AC165-1)*100), 1)</f>
        <v>61.3</v>
      </c>
      <c r="AF165" s="527">
        <f t="shared" si="320"/>
        <v>0</v>
      </c>
      <c r="AG165" s="390">
        <f t="shared" si="320"/>
        <v>0</v>
      </c>
      <c r="AH165" s="521">
        <v>0</v>
      </c>
      <c r="AI165" s="527">
        <v>31</v>
      </c>
      <c r="AJ165" s="390">
        <v>50</v>
      </c>
      <c r="AK165" s="242">
        <f>ROUND(((AJ165/AI165-1)*100), 1)</f>
        <v>61.3</v>
      </c>
      <c r="AL165" s="527">
        <f t="shared" si="321"/>
        <v>0</v>
      </c>
      <c r="AM165" s="390">
        <f t="shared" si="322"/>
        <v>0</v>
      </c>
      <c r="AN165" s="521">
        <v>0</v>
      </c>
      <c r="AO165" s="817">
        <v>31</v>
      </c>
      <c r="AP165" s="819">
        <v>50</v>
      </c>
      <c r="AQ165" s="242">
        <f>ROUND(((AP165/AO165-1)*100), 1)</f>
        <v>61.3</v>
      </c>
      <c r="AR165" s="817">
        <f t="shared" si="323"/>
        <v>1</v>
      </c>
      <c r="AS165" s="819">
        <f t="shared" si="323"/>
        <v>0</v>
      </c>
      <c r="AT165" s="753">
        <f t="shared" si="304"/>
        <v>-100</v>
      </c>
      <c r="AU165" s="969">
        <v>32</v>
      </c>
      <c r="AV165" s="970">
        <v>50</v>
      </c>
      <c r="AW165" s="753">
        <f>ROUND(((AV165/AU165-1)*100), 1)</f>
        <v>56.3</v>
      </c>
      <c r="AX165" s="817">
        <f t="shared" si="324"/>
        <v>0</v>
      </c>
      <c r="AY165" s="819">
        <f t="shared" si="325"/>
        <v>0</v>
      </c>
      <c r="AZ165" s="799">
        <v>0</v>
      </c>
      <c r="BA165" s="817">
        <v>32</v>
      </c>
      <c r="BB165" s="819">
        <v>50</v>
      </c>
      <c r="BC165" s="753">
        <f>ROUND(((BB165/BA165-1)*100), 1)</f>
        <v>56.3</v>
      </c>
      <c r="BD165" s="817">
        <f t="shared" si="326"/>
        <v>0</v>
      </c>
      <c r="BE165" s="819">
        <f t="shared" si="326"/>
        <v>20</v>
      </c>
      <c r="BF165" s="799">
        <v>0</v>
      </c>
      <c r="BG165" s="817">
        <v>32</v>
      </c>
      <c r="BH165" s="819">
        <v>70</v>
      </c>
      <c r="BI165" s="753">
        <f t="shared" si="301"/>
        <v>118.8</v>
      </c>
      <c r="BJ165" s="817">
        <f t="shared" si="327"/>
        <v>72</v>
      </c>
      <c r="BK165" s="819">
        <f t="shared" si="327"/>
        <v>0</v>
      </c>
      <c r="BL165" s="753">
        <f>ROUND(((BK165/BJ165-1)*100), 1)</f>
        <v>-100</v>
      </c>
      <c r="BM165" s="817">
        <v>104</v>
      </c>
      <c r="BN165" s="819">
        <v>70</v>
      </c>
      <c r="BO165" s="753">
        <f t="shared" si="302"/>
        <v>-32.700000000000003</v>
      </c>
      <c r="BP165" s="817">
        <f t="shared" si="328"/>
        <v>0</v>
      </c>
      <c r="BQ165" s="819">
        <f t="shared" si="328"/>
        <v>38</v>
      </c>
      <c r="BR165" s="799">
        <v>0</v>
      </c>
      <c r="BS165" s="817">
        <v>104</v>
      </c>
      <c r="BT165" s="819">
        <v>108</v>
      </c>
      <c r="BU165" s="753">
        <f t="shared" si="303"/>
        <v>3.8</v>
      </c>
    </row>
    <row r="166" spans="1:73">
      <c r="A166" s="86"/>
      <c r="B166" s="43" t="s">
        <v>60</v>
      </c>
      <c r="C166" s="188">
        <v>28</v>
      </c>
      <c r="D166" s="188">
        <v>34</v>
      </c>
      <c r="E166" s="188">
        <v>18</v>
      </c>
      <c r="F166" s="188">
        <v>3</v>
      </c>
      <c r="G166" s="188">
        <v>23</v>
      </c>
      <c r="H166" s="188">
        <v>8</v>
      </c>
      <c r="I166" s="362">
        <v>67</v>
      </c>
      <c r="J166" s="44">
        <v>18</v>
      </c>
      <c r="K166" s="383">
        <v>0</v>
      </c>
      <c r="L166" s="390">
        <v>2</v>
      </c>
      <c r="M166" s="177">
        <v>0</v>
      </c>
      <c r="N166" s="383">
        <f t="shared" si="314"/>
        <v>1</v>
      </c>
      <c r="O166" s="390">
        <f t="shared" si="315"/>
        <v>7</v>
      </c>
      <c r="P166" s="242">
        <f>ROUND(((O166/N166-1)*100), 1)</f>
        <v>600</v>
      </c>
      <c r="Q166" s="383">
        <v>1</v>
      </c>
      <c r="R166" s="390">
        <v>9</v>
      </c>
      <c r="S166" s="242">
        <f>ROUND(((R166/Q166-1)*100), 1)</f>
        <v>800</v>
      </c>
      <c r="T166" s="383">
        <f t="shared" si="316"/>
        <v>0</v>
      </c>
      <c r="U166" s="390">
        <f t="shared" si="317"/>
        <v>0</v>
      </c>
      <c r="V166" s="177">
        <v>0</v>
      </c>
      <c r="W166" s="383">
        <v>1</v>
      </c>
      <c r="X166" s="390">
        <v>9</v>
      </c>
      <c r="Y166" s="242">
        <f>ROUND(((X166/W166-1)*100), 1)</f>
        <v>800</v>
      </c>
      <c r="Z166" s="527">
        <f t="shared" si="318"/>
        <v>0</v>
      </c>
      <c r="AA166" s="390">
        <f t="shared" si="319"/>
        <v>0</v>
      </c>
      <c r="AB166" s="521">
        <v>0</v>
      </c>
      <c r="AC166" s="527">
        <v>1</v>
      </c>
      <c r="AD166" s="390">
        <v>9</v>
      </c>
      <c r="AE166" s="242">
        <f>ROUND(((AD166/AC166-1)*100), 1)</f>
        <v>800</v>
      </c>
      <c r="AF166" s="527">
        <f t="shared" si="320"/>
        <v>1</v>
      </c>
      <c r="AG166" s="390">
        <f t="shared" si="320"/>
        <v>6</v>
      </c>
      <c r="AH166" s="242">
        <f t="shared" ref="AH166" si="333">ROUND(((AG166/AF166-1)*100), 1)</f>
        <v>500</v>
      </c>
      <c r="AI166" s="527">
        <v>2</v>
      </c>
      <c r="AJ166" s="390">
        <v>15</v>
      </c>
      <c r="AK166" s="242">
        <f>ROUND(((AJ166/AI166-1)*100), 1)</f>
        <v>650</v>
      </c>
      <c r="AL166" s="527">
        <f t="shared" si="321"/>
        <v>0</v>
      </c>
      <c r="AM166" s="390">
        <f t="shared" si="322"/>
        <v>3</v>
      </c>
      <c r="AN166" s="799">
        <v>0</v>
      </c>
      <c r="AO166" s="817">
        <v>2</v>
      </c>
      <c r="AP166" s="819">
        <v>18</v>
      </c>
      <c r="AQ166" s="242">
        <f>ROUND(((AP166/AO166-1)*100), 1)</f>
        <v>800</v>
      </c>
      <c r="AR166" s="817">
        <f t="shared" si="323"/>
        <v>3</v>
      </c>
      <c r="AS166" s="819">
        <f t="shared" si="323"/>
        <v>0</v>
      </c>
      <c r="AT166" s="753">
        <f t="shared" si="304"/>
        <v>-100</v>
      </c>
      <c r="AU166" s="969">
        <v>5</v>
      </c>
      <c r="AV166" s="970">
        <v>18</v>
      </c>
      <c r="AW166" s="753">
        <f>ROUND(((AV166/AU166-1)*100), 1)</f>
        <v>260</v>
      </c>
      <c r="AX166" s="817">
        <f t="shared" si="324"/>
        <v>6</v>
      </c>
      <c r="AY166" s="819">
        <f t="shared" si="325"/>
        <v>18</v>
      </c>
      <c r="AZ166" s="753">
        <f t="shared" si="330"/>
        <v>200</v>
      </c>
      <c r="BA166" s="817">
        <v>11</v>
      </c>
      <c r="BB166" s="819">
        <v>36</v>
      </c>
      <c r="BC166" s="753">
        <f>ROUND(((BB166/BA166-1)*100), 1)</f>
        <v>227.3</v>
      </c>
      <c r="BD166" s="817">
        <f t="shared" si="326"/>
        <v>5</v>
      </c>
      <c r="BE166" s="819">
        <f t="shared" si="326"/>
        <v>0</v>
      </c>
      <c r="BF166" s="753">
        <f t="shared" ref="BF166" si="334">ROUND(((BE166/BD166-1)*100), 1)</f>
        <v>-100</v>
      </c>
      <c r="BG166" s="817">
        <v>16</v>
      </c>
      <c r="BH166" s="819">
        <v>36</v>
      </c>
      <c r="BI166" s="753">
        <f t="shared" si="301"/>
        <v>125</v>
      </c>
      <c r="BJ166" s="817">
        <f t="shared" si="327"/>
        <v>0</v>
      </c>
      <c r="BK166" s="819">
        <f t="shared" si="327"/>
        <v>6</v>
      </c>
      <c r="BL166" s="753" t="e">
        <f t="shared" ref="BL166" si="335">ROUND(((BK166/BJ166-1)*100), 1)</f>
        <v>#DIV/0!</v>
      </c>
      <c r="BM166" s="817">
        <v>16</v>
      </c>
      <c r="BN166" s="819">
        <v>42</v>
      </c>
      <c r="BO166" s="753">
        <f t="shared" si="302"/>
        <v>162.5</v>
      </c>
      <c r="BP166" s="817">
        <f t="shared" si="328"/>
        <v>2</v>
      </c>
      <c r="BQ166" s="819">
        <f t="shared" si="328"/>
        <v>0</v>
      </c>
      <c r="BR166" s="753">
        <f>ROUND(((BQ166/BP166-1)*100), 1)</f>
        <v>-100</v>
      </c>
      <c r="BS166" s="817">
        <v>18</v>
      </c>
      <c r="BT166" s="819">
        <v>42</v>
      </c>
      <c r="BU166" s="753">
        <f t="shared" si="303"/>
        <v>133.30000000000001</v>
      </c>
    </row>
    <row r="167" spans="1:73">
      <c r="A167" s="86"/>
      <c r="B167" s="43" t="s">
        <v>76</v>
      </c>
      <c r="C167" s="188">
        <v>52</v>
      </c>
      <c r="D167" s="188">
        <v>65</v>
      </c>
      <c r="E167" s="188">
        <v>16</v>
      </c>
      <c r="F167" s="188">
        <v>12</v>
      </c>
      <c r="G167" s="188">
        <v>22</v>
      </c>
      <c r="H167" s="188">
        <v>18</v>
      </c>
      <c r="I167" s="362">
        <v>19</v>
      </c>
      <c r="J167" s="44">
        <v>12</v>
      </c>
      <c r="K167" s="383">
        <v>3</v>
      </c>
      <c r="L167" s="390">
        <v>0</v>
      </c>
      <c r="M167" s="232">
        <f>ROUND(((L167/K167-1)*100), 1)</f>
        <v>-100</v>
      </c>
      <c r="N167" s="383">
        <f t="shared" si="314"/>
        <v>0</v>
      </c>
      <c r="O167" s="390">
        <f t="shared" si="315"/>
        <v>3</v>
      </c>
      <c r="P167" s="524">
        <v>0</v>
      </c>
      <c r="Q167" s="383">
        <v>3</v>
      </c>
      <c r="R167" s="390">
        <v>3</v>
      </c>
      <c r="S167" s="242">
        <f>ROUND(((R167/Q167-1)*100), 1)</f>
        <v>0</v>
      </c>
      <c r="T167" s="383">
        <f t="shared" si="316"/>
        <v>0</v>
      </c>
      <c r="U167" s="390">
        <f t="shared" si="317"/>
        <v>0</v>
      </c>
      <c r="V167" s="177">
        <v>0</v>
      </c>
      <c r="W167" s="383">
        <v>3</v>
      </c>
      <c r="X167" s="390">
        <v>3</v>
      </c>
      <c r="Y167" s="242">
        <f>ROUND(((X167/W167-1)*100), 1)</f>
        <v>0</v>
      </c>
      <c r="Z167" s="527">
        <f t="shared" si="318"/>
        <v>2</v>
      </c>
      <c r="AA167" s="390">
        <f t="shared" si="319"/>
        <v>0</v>
      </c>
      <c r="AB167" s="242">
        <f t="shared" ref="AB167" si="336">ROUND(((AA167/Z167-1)*100), 1)</f>
        <v>-100</v>
      </c>
      <c r="AC167" s="527">
        <v>5</v>
      </c>
      <c r="AD167" s="390">
        <v>3</v>
      </c>
      <c r="AE167" s="242">
        <f>ROUND(((AD167/AC167-1)*100), 1)</f>
        <v>-40</v>
      </c>
      <c r="AF167" s="527">
        <f t="shared" si="320"/>
        <v>0</v>
      </c>
      <c r="AG167" s="390">
        <f t="shared" si="320"/>
        <v>3</v>
      </c>
      <c r="AH167" s="521">
        <v>0</v>
      </c>
      <c r="AI167" s="527">
        <v>5</v>
      </c>
      <c r="AJ167" s="390">
        <v>6</v>
      </c>
      <c r="AK167" s="242">
        <f>ROUND(((AJ167/AI167-1)*100), 1)</f>
        <v>20</v>
      </c>
      <c r="AL167" s="527">
        <f t="shared" si="321"/>
        <v>2</v>
      </c>
      <c r="AM167" s="390">
        <f t="shared" si="322"/>
        <v>1</v>
      </c>
      <c r="AN167" s="753">
        <f t="shared" ref="AN167" si="337">ROUND(((AM167/AL167-1)*100), 1)</f>
        <v>-50</v>
      </c>
      <c r="AO167" s="817">
        <v>7</v>
      </c>
      <c r="AP167" s="819">
        <v>7</v>
      </c>
      <c r="AQ167" s="242">
        <f>ROUND(((AP167/AO167-1)*100), 1)</f>
        <v>0</v>
      </c>
      <c r="AR167" s="817">
        <f t="shared" si="323"/>
        <v>0</v>
      </c>
      <c r="AS167" s="819">
        <f t="shared" si="323"/>
        <v>0</v>
      </c>
      <c r="AT167" s="799">
        <v>0</v>
      </c>
      <c r="AU167" s="969">
        <v>7</v>
      </c>
      <c r="AV167" s="970">
        <v>7</v>
      </c>
      <c r="AW167" s="753">
        <f>ROUND(((AV167/AU167-1)*100), 1)</f>
        <v>0</v>
      </c>
      <c r="AX167" s="817">
        <f t="shared" si="324"/>
        <v>0</v>
      </c>
      <c r="AY167" s="819">
        <f t="shared" si="325"/>
        <v>3</v>
      </c>
      <c r="AZ167" s="799">
        <v>0</v>
      </c>
      <c r="BA167" s="817">
        <v>7</v>
      </c>
      <c r="BB167" s="819">
        <v>10</v>
      </c>
      <c r="BC167" s="753">
        <f>ROUND(((BB167/BA167-1)*100), 1)</f>
        <v>42.9</v>
      </c>
      <c r="BD167" s="817">
        <f t="shared" si="326"/>
        <v>3</v>
      </c>
      <c r="BE167" s="819">
        <f t="shared" si="326"/>
        <v>0</v>
      </c>
      <c r="BF167" s="753">
        <f>ROUND(((BE167/BD167-1)*100), 1)</f>
        <v>-100</v>
      </c>
      <c r="BG167" s="817">
        <v>10</v>
      </c>
      <c r="BH167" s="819">
        <v>10</v>
      </c>
      <c r="BI167" s="753">
        <f t="shared" si="301"/>
        <v>0</v>
      </c>
      <c r="BJ167" s="817">
        <f t="shared" si="327"/>
        <v>0</v>
      </c>
      <c r="BK167" s="819">
        <f t="shared" si="327"/>
        <v>0</v>
      </c>
      <c r="BL167" s="753" t="e">
        <f>ROUND(((BK167/BJ167-1)*100), 1)</f>
        <v>#DIV/0!</v>
      </c>
      <c r="BM167" s="817">
        <v>10</v>
      </c>
      <c r="BN167" s="819">
        <v>10</v>
      </c>
      <c r="BO167" s="753">
        <f t="shared" si="302"/>
        <v>0</v>
      </c>
      <c r="BP167" s="817">
        <f t="shared" si="328"/>
        <v>0</v>
      </c>
      <c r="BQ167" s="819">
        <f t="shared" si="328"/>
        <v>2</v>
      </c>
      <c r="BR167" s="799">
        <v>0</v>
      </c>
      <c r="BS167" s="817">
        <v>10</v>
      </c>
      <c r="BT167" s="819">
        <v>12</v>
      </c>
      <c r="BU167" s="753">
        <f t="shared" si="303"/>
        <v>20</v>
      </c>
    </row>
    <row r="168" spans="1:73">
      <c r="A168" s="86"/>
      <c r="B168" s="43" t="s">
        <v>419</v>
      </c>
      <c r="C168" s="188">
        <v>20</v>
      </c>
      <c r="D168" s="188">
        <v>39</v>
      </c>
      <c r="E168" s="188">
        <v>3</v>
      </c>
      <c r="F168" s="188">
        <v>3</v>
      </c>
      <c r="G168" s="188">
        <v>9</v>
      </c>
      <c r="H168" s="188">
        <v>19</v>
      </c>
      <c r="I168" s="362">
        <v>7</v>
      </c>
      <c r="J168" s="44">
        <v>12</v>
      </c>
      <c r="K168" s="383">
        <v>0</v>
      </c>
      <c r="L168" s="390">
        <v>0</v>
      </c>
      <c r="M168" s="177">
        <v>0</v>
      </c>
      <c r="N168" s="383">
        <f t="shared" si="314"/>
        <v>5</v>
      </c>
      <c r="O168" s="390">
        <f t="shared" si="315"/>
        <v>0</v>
      </c>
      <c r="P168" s="242">
        <f>ROUND(((O168/N168-1)*100), 1)</f>
        <v>-100</v>
      </c>
      <c r="Q168" s="383">
        <v>5</v>
      </c>
      <c r="R168" s="390">
        <v>0</v>
      </c>
      <c r="S168" s="242">
        <f>ROUND(((R168/Q168-1)*100), 1)</f>
        <v>-100</v>
      </c>
      <c r="T168" s="383">
        <f t="shared" si="316"/>
        <v>0</v>
      </c>
      <c r="U168" s="390">
        <f t="shared" si="317"/>
        <v>0</v>
      </c>
      <c r="V168" s="177">
        <v>0</v>
      </c>
      <c r="W168" s="383">
        <v>5</v>
      </c>
      <c r="X168" s="390">
        <v>0</v>
      </c>
      <c r="Y168" s="242">
        <f>ROUND(((X168/W168-1)*100), 1)</f>
        <v>-100</v>
      </c>
      <c r="Z168" s="527">
        <f t="shared" si="318"/>
        <v>0</v>
      </c>
      <c r="AA168" s="390">
        <f t="shared" si="319"/>
        <v>0</v>
      </c>
      <c r="AB168" s="521">
        <v>0</v>
      </c>
      <c r="AC168" s="527">
        <v>5</v>
      </c>
      <c r="AD168" s="390">
        <v>0</v>
      </c>
      <c r="AE168" s="242">
        <f>ROUND(((AD168/AC168-1)*100), 1)</f>
        <v>-100</v>
      </c>
      <c r="AF168" s="527">
        <f t="shared" si="320"/>
        <v>0</v>
      </c>
      <c r="AG168" s="390">
        <f t="shared" si="320"/>
        <v>0</v>
      </c>
      <c r="AH168" s="521">
        <v>0</v>
      </c>
      <c r="AI168" s="527">
        <v>5</v>
      </c>
      <c r="AJ168" s="390">
        <v>0</v>
      </c>
      <c r="AK168" s="242">
        <f>ROUND(((AJ168/AI168-1)*100), 1)</f>
        <v>-100</v>
      </c>
      <c r="AL168" s="527">
        <f t="shared" si="321"/>
        <v>0</v>
      </c>
      <c r="AM168" s="390">
        <f t="shared" si="322"/>
        <v>0</v>
      </c>
      <c r="AN168" s="521">
        <v>0</v>
      </c>
      <c r="AO168" s="817">
        <v>5</v>
      </c>
      <c r="AP168" s="819">
        <v>0</v>
      </c>
      <c r="AQ168" s="242">
        <f>ROUND(((AP168/AO168-1)*100), 1)</f>
        <v>-100</v>
      </c>
      <c r="AR168" s="817">
        <f t="shared" si="323"/>
        <v>2</v>
      </c>
      <c r="AS168" s="819">
        <f t="shared" si="323"/>
        <v>0</v>
      </c>
      <c r="AT168" s="753">
        <f t="shared" ref="AT168" si="338">ROUND(((AS168/AR168-1)*100), 1)</f>
        <v>-100</v>
      </c>
      <c r="AU168" s="969">
        <v>7</v>
      </c>
      <c r="AV168" s="970">
        <v>0</v>
      </c>
      <c r="AW168" s="753">
        <f>ROUND(((AV168/AU168-1)*100), 1)</f>
        <v>-100</v>
      </c>
      <c r="AX168" s="817">
        <f t="shared" si="324"/>
        <v>1</v>
      </c>
      <c r="AY168" s="819">
        <f t="shared" si="325"/>
        <v>0</v>
      </c>
      <c r="AZ168" s="753">
        <f t="shared" ref="AZ168" si="339">ROUND(((AY168/AX168-1)*100), 1)</f>
        <v>-100</v>
      </c>
      <c r="BA168" s="817">
        <v>8</v>
      </c>
      <c r="BB168" s="819">
        <v>0</v>
      </c>
      <c r="BC168" s="753">
        <f>ROUND(((BB168/BA168-1)*100), 1)</f>
        <v>-100</v>
      </c>
      <c r="BD168" s="817">
        <f t="shared" si="326"/>
        <v>0</v>
      </c>
      <c r="BE168" s="819">
        <f t="shared" si="326"/>
        <v>0</v>
      </c>
      <c r="BF168" s="799">
        <v>0</v>
      </c>
      <c r="BG168" s="817">
        <v>8</v>
      </c>
      <c r="BH168" s="819">
        <v>0</v>
      </c>
      <c r="BI168" s="753">
        <f t="shared" si="301"/>
        <v>-100</v>
      </c>
      <c r="BJ168" s="817">
        <f t="shared" si="327"/>
        <v>0</v>
      </c>
      <c r="BK168" s="819">
        <f t="shared" si="327"/>
        <v>0</v>
      </c>
      <c r="BL168" s="799">
        <v>0</v>
      </c>
      <c r="BM168" s="817">
        <v>8</v>
      </c>
      <c r="BN168" s="819">
        <v>0</v>
      </c>
      <c r="BO168" s="753">
        <f t="shared" si="302"/>
        <v>-100</v>
      </c>
      <c r="BP168" s="817">
        <f t="shared" si="328"/>
        <v>4</v>
      </c>
      <c r="BQ168" s="819">
        <f t="shared" si="328"/>
        <v>4</v>
      </c>
      <c r="BR168" s="753">
        <f t="shared" ref="BR168" si="340">ROUND(((BQ168/BP168-1)*100), 1)</f>
        <v>0</v>
      </c>
      <c r="BS168" s="817">
        <v>12</v>
      </c>
      <c r="BT168" s="819">
        <v>4</v>
      </c>
      <c r="BU168" s="753">
        <f t="shared" si="303"/>
        <v>-66.7</v>
      </c>
    </row>
    <row r="169" spans="1:73">
      <c r="A169" s="86"/>
      <c r="B169" s="43" t="s">
        <v>420</v>
      </c>
      <c r="C169" s="188">
        <v>5</v>
      </c>
      <c r="D169" s="188">
        <v>1</v>
      </c>
      <c r="E169" s="188">
        <v>2</v>
      </c>
      <c r="F169" s="188">
        <v>1</v>
      </c>
      <c r="G169" s="188">
        <v>3</v>
      </c>
      <c r="H169" s="188">
        <v>1</v>
      </c>
      <c r="I169" s="362">
        <v>6</v>
      </c>
      <c r="J169" s="44">
        <v>2</v>
      </c>
      <c r="K169" s="383">
        <v>2</v>
      </c>
      <c r="L169" s="390">
        <v>0</v>
      </c>
      <c r="M169" s="242">
        <f>ROUND(((L169/K169-1)*100), 1)</f>
        <v>-100</v>
      </c>
      <c r="N169" s="383">
        <f t="shared" si="314"/>
        <v>0</v>
      </c>
      <c r="O169" s="390">
        <f t="shared" si="315"/>
        <v>0</v>
      </c>
      <c r="P169" s="524">
        <v>0</v>
      </c>
      <c r="Q169" s="383">
        <v>2</v>
      </c>
      <c r="R169" s="390">
        <v>0</v>
      </c>
      <c r="S169" s="242">
        <f>ROUND(((R169/Q169-1)*100), 1)</f>
        <v>-100</v>
      </c>
      <c r="T169" s="383">
        <f t="shared" si="316"/>
        <v>0</v>
      </c>
      <c r="U169" s="390">
        <f t="shared" si="317"/>
        <v>0</v>
      </c>
      <c r="V169" s="177">
        <v>0</v>
      </c>
      <c r="W169" s="383">
        <v>2</v>
      </c>
      <c r="X169" s="390">
        <v>0</v>
      </c>
      <c r="Y169" s="242">
        <f>ROUND(((X169/W169-1)*100), 1)</f>
        <v>-100</v>
      </c>
      <c r="Z169" s="527">
        <f t="shared" si="318"/>
        <v>0</v>
      </c>
      <c r="AA169" s="390">
        <f t="shared" si="319"/>
        <v>0</v>
      </c>
      <c r="AB169" s="521">
        <v>0</v>
      </c>
      <c r="AC169" s="527">
        <v>2</v>
      </c>
      <c r="AD169" s="390">
        <v>0</v>
      </c>
      <c r="AE169" s="242">
        <f>ROUND(((AD169/AC169-1)*100), 1)</f>
        <v>-100</v>
      </c>
      <c r="AF169" s="527">
        <f t="shared" si="320"/>
        <v>0</v>
      </c>
      <c r="AG169" s="390">
        <f t="shared" si="320"/>
        <v>0</v>
      </c>
      <c r="AH169" s="521">
        <v>0</v>
      </c>
      <c r="AI169" s="527">
        <v>2</v>
      </c>
      <c r="AJ169" s="390">
        <v>0</v>
      </c>
      <c r="AK169" s="242">
        <f>ROUND(((AJ169/AI169-1)*100), 1)</f>
        <v>-100</v>
      </c>
      <c r="AL169" s="527">
        <f t="shared" si="321"/>
        <v>0</v>
      </c>
      <c r="AM169" s="390">
        <f t="shared" si="322"/>
        <v>0</v>
      </c>
      <c r="AN169" s="521">
        <v>0</v>
      </c>
      <c r="AO169" s="817">
        <v>2</v>
      </c>
      <c r="AP169" s="819">
        <v>0</v>
      </c>
      <c r="AQ169" s="242">
        <f>ROUND(((AP169/AO169-1)*100), 1)</f>
        <v>-100</v>
      </c>
      <c r="AR169" s="817">
        <f t="shared" si="323"/>
        <v>0</v>
      </c>
      <c r="AS169" s="819">
        <f t="shared" si="323"/>
        <v>4</v>
      </c>
      <c r="AT169" s="799">
        <v>0</v>
      </c>
      <c r="AU169" s="969">
        <v>2</v>
      </c>
      <c r="AV169" s="970">
        <v>4</v>
      </c>
      <c r="AW169" s="753">
        <f>ROUND(((AV169/AU169-1)*100), 1)</f>
        <v>100</v>
      </c>
      <c r="AX169" s="817">
        <f t="shared" si="324"/>
        <v>0</v>
      </c>
      <c r="AY169" s="819">
        <f t="shared" si="325"/>
        <v>0</v>
      </c>
      <c r="AZ169" s="799">
        <v>0</v>
      </c>
      <c r="BA169" s="817">
        <v>2</v>
      </c>
      <c r="BB169" s="819">
        <v>4</v>
      </c>
      <c r="BC169" s="753">
        <f>ROUND(((BB169/BA169-1)*100), 1)</f>
        <v>100</v>
      </c>
      <c r="BD169" s="817">
        <f t="shared" si="326"/>
        <v>0</v>
      </c>
      <c r="BE169" s="819">
        <f t="shared" si="326"/>
        <v>0</v>
      </c>
      <c r="BF169" s="799">
        <v>0</v>
      </c>
      <c r="BG169" s="817">
        <v>2</v>
      </c>
      <c r="BH169" s="819">
        <v>4</v>
      </c>
      <c r="BI169" s="753">
        <f t="shared" si="301"/>
        <v>100</v>
      </c>
      <c r="BJ169" s="817">
        <f t="shared" si="327"/>
        <v>0</v>
      </c>
      <c r="BK169" s="819">
        <f t="shared" si="327"/>
        <v>0</v>
      </c>
      <c r="BL169" s="799">
        <v>0</v>
      </c>
      <c r="BM169" s="817">
        <v>2</v>
      </c>
      <c r="BN169" s="819">
        <v>4</v>
      </c>
      <c r="BO169" s="753">
        <f t="shared" si="302"/>
        <v>100</v>
      </c>
      <c r="BP169" s="817">
        <f t="shared" si="328"/>
        <v>0</v>
      </c>
      <c r="BQ169" s="819">
        <f t="shared" si="328"/>
        <v>0</v>
      </c>
      <c r="BR169" s="799">
        <v>0</v>
      </c>
      <c r="BS169" s="817">
        <v>2</v>
      </c>
      <c r="BT169" s="819">
        <v>4</v>
      </c>
      <c r="BU169" s="753">
        <f t="shared" si="303"/>
        <v>100</v>
      </c>
    </row>
    <row r="170" spans="1:73">
      <c r="A170" s="86"/>
      <c r="B170" s="43" t="s">
        <v>421</v>
      </c>
      <c r="C170" s="188">
        <v>158</v>
      </c>
      <c r="D170" s="188">
        <v>32</v>
      </c>
      <c r="E170" s="188">
        <v>15</v>
      </c>
      <c r="F170" s="188">
        <v>339</v>
      </c>
      <c r="G170" s="188">
        <v>58</v>
      </c>
      <c r="H170" s="188">
        <v>19</v>
      </c>
      <c r="I170" s="362">
        <v>3</v>
      </c>
      <c r="J170" s="44">
        <v>1</v>
      </c>
      <c r="K170" s="383">
        <v>0</v>
      </c>
      <c r="L170" s="390">
        <v>0</v>
      </c>
      <c r="M170" s="177">
        <v>0</v>
      </c>
      <c r="N170" s="383">
        <f t="shared" si="314"/>
        <v>0</v>
      </c>
      <c r="O170" s="390">
        <f t="shared" si="315"/>
        <v>0</v>
      </c>
      <c r="P170" s="177">
        <v>0</v>
      </c>
      <c r="Q170" s="383">
        <v>0</v>
      </c>
      <c r="R170" s="390">
        <v>0</v>
      </c>
      <c r="S170" s="177">
        <v>0</v>
      </c>
      <c r="T170" s="383">
        <f t="shared" si="316"/>
        <v>0</v>
      </c>
      <c r="U170" s="390">
        <f t="shared" si="317"/>
        <v>0</v>
      </c>
      <c r="V170" s="177">
        <v>0</v>
      </c>
      <c r="W170" s="383">
        <v>0</v>
      </c>
      <c r="X170" s="390">
        <v>0</v>
      </c>
      <c r="Y170" s="177">
        <v>0</v>
      </c>
      <c r="Z170" s="527">
        <f t="shared" si="318"/>
        <v>0</v>
      </c>
      <c r="AA170" s="390">
        <f t="shared" si="319"/>
        <v>0</v>
      </c>
      <c r="AB170" s="521">
        <v>0</v>
      </c>
      <c r="AC170" s="527">
        <v>0</v>
      </c>
      <c r="AD170" s="390">
        <v>0</v>
      </c>
      <c r="AE170" s="521">
        <v>0</v>
      </c>
      <c r="AF170" s="527">
        <f t="shared" si="320"/>
        <v>0</v>
      </c>
      <c r="AG170" s="390">
        <f t="shared" si="320"/>
        <v>0</v>
      </c>
      <c r="AH170" s="521">
        <v>0</v>
      </c>
      <c r="AI170" s="527">
        <v>0</v>
      </c>
      <c r="AJ170" s="390">
        <v>0</v>
      </c>
      <c r="AK170" s="521">
        <v>0</v>
      </c>
      <c r="AL170" s="527">
        <f t="shared" si="321"/>
        <v>0</v>
      </c>
      <c r="AM170" s="390">
        <f t="shared" si="322"/>
        <v>1</v>
      </c>
      <c r="AN170" s="521">
        <v>0</v>
      </c>
      <c r="AO170" s="817">
        <v>0</v>
      </c>
      <c r="AP170" s="819">
        <v>1</v>
      </c>
      <c r="AQ170" s="521">
        <v>0</v>
      </c>
      <c r="AR170" s="817">
        <f t="shared" si="323"/>
        <v>0</v>
      </c>
      <c r="AS170" s="819">
        <f t="shared" si="323"/>
        <v>0</v>
      </c>
      <c r="AT170" s="799">
        <v>0</v>
      </c>
      <c r="AU170" s="969">
        <v>0</v>
      </c>
      <c r="AV170" s="970">
        <v>1</v>
      </c>
      <c r="AW170" s="799">
        <v>0</v>
      </c>
      <c r="AX170" s="817">
        <f t="shared" si="324"/>
        <v>0</v>
      </c>
      <c r="AY170" s="819">
        <f t="shared" si="325"/>
        <v>0</v>
      </c>
      <c r="AZ170" s="799">
        <v>0</v>
      </c>
      <c r="BA170" s="817">
        <v>0</v>
      </c>
      <c r="BB170" s="819">
        <v>1</v>
      </c>
      <c r="BC170" s="799">
        <v>0</v>
      </c>
      <c r="BD170" s="817">
        <f t="shared" si="326"/>
        <v>1</v>
      </c>
      <c r="BE170" s="819">
        <f t="shared" si="326"/>
        <v>0</v>
      </c>
      <c r="BF170" s="753">
        <f>ROUND(((BE170/BD170-1)*100), 1)</f>
        <v>-100</v>
      </c>
      <c r="BG170" s="817">
        <v>1</v>
      </c>
      <c r="BH170" s="819">
        <v>1</v>
      </c>
      <c r="BI170" s="753">
        <f t="shared" si="301"/>
        <v>0</v>
      </c>
      <c r="BJ170" s="817">
        <f t="shared" si="327"/>
        <v>0</v>
      </c>
      <c r="BK170" s="819">
        <f t="shared" si="327"/>
        <v>0</v>
      </c>
      <c r="BL170" s="753" t="e">
        <f>ROUND(((BK170/BJ170-1)*100), 1)</f>
        <v>#DIV/0!</v>
      </c>
      <c r="BM170" s="817">
        <v>1</v>
      </c>
      <c r="BN170" s="819">
        <v>1</v>
      </c>
      <c r="BO170" s="753">
        <f t="shared" si="302"/>
        <v>0</v>
      </c>
      <c r="BP170" s="817">
        <f t="shared" si="328"/>
        <v>0</v>
      </c>
      <c r="BQ170" s="819">
        <f t="shared" si="328"/>
        <v>0</v>
      </c>
      <c r="BR170" s="799">
        <v>0</v>
      </c>
      <c r="BS170" s="817">
        <v>1</v>
      </c>
      <c r="BT170" s="819">
        <v>1</v>
      </c>
      <c r="BU170" s="753">
        <f t="shared" si="303"/>
        <v>0</v>
      </c>
    </row>
    <row r="171" spans="1:73">
      <c r="A171" s="86"/>
      <c r="B171" s="43" t="s">
        <v>69</v>
      </c>
      <c r="C171" s="188">
        <v>0</v>
      </c>
      <c r="D171" s="188">
        <v>1</v>
      </c>
      <c r="E171" s="188">
        <v>20</v>
      </c>
      <c r="F171" s="188">
        <v>132</v>
      </c>
      <c r="G171" s="188">
        <v>1</v>
      </c>
      <c r="H171" s="188">
        <v>6</v>
      </c>
      <c r="I171" s="362">
        <v>0</v>
      </c>
      <c r="J171" s="44">
        <v>0</v>
      </c>
      <c r="K171" s="383">
        <v>0</v>
      </c>
      <c r="L171" s="390">
        <v>0</v>
      </c>
      <c r="M171" s="177">
        <v>0</v>
      </c>
      <c r="N171" s="383">
        <f t="shared" si="314"/>
        <v>0</v>
      </c>
      <c r="O171" s="390">
        <f t="shared" si="315"/>
        <v>0</v>
      </c>
      <c r="P171" s="177">
        <v>0</v>
      </c>
      <c r="Q171" s="383">
        <v>0</v>
      </c>
      <c r="R171" s="390">
        <v>0</v>
      </c>
      <c r="S171" s="177">
        <v>0</v>
      </c>
      <c r="T171" s="383">
        <f t="shared" si="316"/>
        <v>0</v>
      </c>
      <c r="U171" s="390">
        <f t="shared" si="317"/>
        <v>0</v>
      </c>
      <c r="V171" s="177">
        <v>0</v>
      </c>
      <c r="W171" s="383">
        <v>0</v>
      </c>
      <c r="X171" s="390">
        <v>0</v>
      </c>
      <c r="Y171" s="177">
        <v>0</v>
      </c>
      <c r="Z171" s="527">
        <f t="shared" si="318"/>
        <v>0</v>
      </c>
      <c r="AA171" s="390">
        <f t="shared" si="319"/>
        <v>0</v>
      </c>
      <c r="AB171" s="521">
        <v>0</v>
      </c>
      <c r="AC171" s="527">
        <v>0</v>
      </c>
      <c r="AD171" s="390">
        <v>0</v>
      </c>
      <c r="AE171" s="521">
        <v>0</v>
      </c>
      <c r="AF171" s="527">
        <f t="shared" si="320"/>
        <v>0</v>
      </c>
      <c r="AG171" s="390">
        <f t="shared" si="320"/>
        <v>0</v>
      </c>
      <c r="AH171" s="521">
        <v>0</v>
      </c>
      <c r="AI171" s="527">
        <v>0</v>
      </c>
      <c r="AJ171" s="390">
        <v>0</v>
      </c>
      <c r="AK171" s="521">
        <v>0</v>
      </c>
      <c r="AL171" s="527">
        <f t="shared" si="321"/>
        <v>0</v>
      </c>
      <c r="AM171" s="390">
        <f t="shared" si="322"/>
        <v>0</v>
      </c>
      <c r="AN171" s="521">
        <v>0</v>
      </c>
      <c r="AO171" s="817">
        <v>0</v>
      </c>
      <c r="AP171" s="819">
        <v>0</v>
      </c>
      <c r="AQ171" s="521">
        <v>0</v>
      </c>
      <c r="AR171" s="817">
        <f t="shared" si="323"/>
        <v>0</v>
      </c>
      <c r="AS171" s="819">
        <f t="shared" si="323"/>
        <v>0</v>
      </c>
      <c r="AT171" s="799">
        <v>0</v>
      </c>
      <c r="AU171" s="969">
        <v>0</v>
      </c>
      <c r="AV171" s="970">
        <v>0</v>
      </c>
      <c r="AW171" s="799">
        <v>0</v>
      </c>
      <c r="AX171" s="817">
        <f t="shared" si="324"/>
        <v>0</v>
      </c>
      <c r="AY171" s="819">
        <f t="shared" si="325"/>
        <v>0</v>
      </c>
      <c r="AZ171" s="799">
        <v>0</v>
      </c>
      <c r="BA171" s="817">
        <v>0</v>
      </c>
      <c r="BB171" s="819">
        <v>0</v>
      </c>
      <c r="BC171" s="799">
        <v>0</v>
      </c>
      <c r="BD171" s="817">
        <f t="shared" si="326"/>
        <v>0</v>
      </c>
      <c r="BE171" s="819">
        <f t="shared" si="326"/>
        <v>0</v>
      </c>
      <c r="BF171" s="799">
        <v>0</v>
      </c>
      <c r="BG171" s="817">
        <v>0</v>
      </c>
      <c r="BH171" s="819">
        <v>0</v>
      </c>
      <c r="BI171" s="799">
        <v>0</v>
      </c>
      <c r="BJ171" s="817">
        <f t="shared" si="327"/>
        <v>0</v>
      </c>
      <c r="BK171" s="819">
        <f t="shared" si="327"/>
        <v>0</v>
      </c>
      <c r="BL171" s="799">
        <v>0</v>
      </c>
      <c r="BM171" s="817">
        <v>0</v>
      </c>
      <c r="BN171" s="819">
        <v>0</v>
      </c>
      <c r="BO171" s="799">
        <v>0</v>
      </c>
      <c r="BP171" s="817">
        <f t="shared" si="328"/>
        <v>0</v>
      </c>
      <c r="BQ171" s="819">
        <f t="shared" si="328"/>
        <v>0</v>
      </c>
      <c r="BR171" s="799">
        <v>0</v>
      </c>
      <c r="BS171" s="817">
        <v>0</v>
      </c>
      <c r="BT171" s="819">
        <v>0</v>
      </c>
      <c r="BU171" s="799">
        <v>0</v>
      </c>
    </row>
    <row r="172" spans="1:73">
      <c r="A172" s="86"/>
      <c r="B172" s="43" t="s">
        <v>422</v>
      </c>
      <c r="C172" s="188">
        <v>73</v>
      </c>
      <c r="D172" s="188">
        <v>15</v>
      </c>
      <c r="E172" s="188">
        <v>6</v>
      </c>
      <c r="F172" s="188">
        <v>1</v>
      </c>
      <c r="G172" s="188">
        <v>1</v>
      </c>
      <c r="H172" s="188">
        <v>0</v>
      </c>
      <c r="I172" s="362">
        <v>0</v>
      </c>
      <c r="J172" s="44">
        <v>0</v>
      </c>
      <c r="K172" s="383">
        <v>0</v>
      </c>
      <c r="L172" s="390">
        <v>0</v>
      </c>
      <c r="M172" s="177">
        <v>0</v>
      </c>
      <c r="N172" s="383">
        <f t="shared" si="314"/>
        <v>0</v>
      </c>
      <c r="O172" s="390">
        <f t="shared" si="315"/>
        <v>0</v>
      </c>
      <c r="P172" s="177">
        <v>0</v>
      </c>
      <c r="Q172" s="383">
        <v>0</v>
      </c>
      <c r="R172" s="390">
        <v>0</v>
      </c>
      <c r="S172" s="177">
        <v>0</v>
      </c>
      <c r="T172" s="383">
        <f t="shared" si="316"/>
        <v>0</v>
      </c>
      <c r="U172" s="390">
        <f t="shared" si="317"/>
        <v>0</v>
      </c>
      <c r="V172" s="177">
        <v>0</v>
      </c>
      <c r="W172" s="383">
        <v>0</v>
      </c>
      <c r="X172" s="390">
        <v>0</v>
      </c>
      <c r="Y172" s="177">
        <v>0</v>
      </c>
      <c r="Z172" s="527">
        <f t="shared" si="318"/>
        <v>0</v>
      </c>
      <c r="AA172" s="390">
        <f t="shared" si="319"/>
        <v>0</v>
      </c>
      <c r="AB172" s="521">
        <v>0</v>
      </c>
      <c r="AC172" s="527">
        <v>0</v>
      </c>
      <c r="AD172" s="390">
        <v>0</v>
      </c>
      <c r="AE172" s="521">
        <v>0</v>
      </c>
      <c r="AF172" s="527">
        <f t="shared" si="320"/>
        <v>0</v>
      </c>
      <c r="AG172" s="390">
        <f t="shared" si="320"/>
        <v>0</v>
      </c>
      <c r="AH172" s="521">
        <v>0</v>
      </c>
      <c r="AI172" s="527">
        <v>0</v>
      </c>
      <c r="AJ172" s="390">
        <v>0</v>
      </c>
      <c r="AK172" s="521">
        <v>0</v>
      </c>
      <c r="AL172" s="527">
        <f t="shared" si="321"/>
        <v>0</v>
      </c>
      <c r="AM172" s="390">
        <f t="shared" si="322"/>
        <v>0</v>
      </c>
      <c r="AN172" s="521">
        <v>0</v>
      </c>
      <c r="AO172" s="817">
        <v>0</v>
      </c>
      <c r="AP172" s="819">
        <v>0</v>
      </c>
      <c r="AQ172" s="521">
        <v>0</v>
      </c>
      <c r="AR172" s="817">
        <f t="shared" si="323"/>
        <v>0</v>
      </c>
      <c r="AS172" s="819">
        <f t="shared" si="323"/>
        <v>0</v>
      </c>
      <c r="AT172" s="799">
        <v>0</v>
      </c>
      <c r="AU172" s="969">
        <v>0</v>
      </c>
      <c r="AV172" s="970">
        <v>0</v>
      </c>
      <c r="AW172" s="799">
        <v>0</v>
      </c>
      <c r="AX172" s="817">
        <f t="shared" si="324"/>
        <v>0</v>
      </c>
      <c r="AY172" s="819">
        <f t="shared" si="325"/>
        <v>0</v>
      </c>
      <c r="AZ172" s="799">
        <v>0</v>
      </c>
      <c r="BA172" s="817">
        <v>0</v>
      </c>
      <c r="BB172" s="819">
        <v>0</v>
      </c>
      <c r="BC172" s="799">
        <v>0</v>
      </c>
      <c r="BD172" s="817">
        <f t="shared" si="326"/>
        <v>0</v>
      </c>
      <c r="BE172" s="819">
        <f t="shared" si="326"/>
        <v>0</v>
      </c>
      <c r="BF172" s="799">
        <v>0</v>
      </c>
      <c r="BG172" s="817">
        <v>0</v>
      </c>
      <c r="BH172" s="819">
        <v>0</v>
      </c>
      <c r="BI172" s="799">
        <v>0</v>
      </c>
      <c r="BJ172" s="817">
        <f t="shared" si="327"/>
        <v>0</v>
      </c>
      <c r="BK172" s="819">
        <f t="shared" si="327"/>
        <v>0</v>
      </c>
      <c r="BL172" s="799">
        <v>0</v>
      </c>
      <c r="BM172" s="817">
        <v>0</v>
      </c>
      <c r="BN172" s="819">
        <v>0</v>
      </c>
      <c r="BO172" s="799">
        <v>0</v>
      </c>
      <c r="BP172" s="817">
        <f t="shared" si="328"/>
        <v>0</v>
      </c>
      <c r="BQ172" s="819">
        <f t="shared" si="328"/>
        <v>0</v>
      </c>
      <c r="BR172" s="799">
        <v>0</v>
      </c>
      <c r="BS172" s="817">
        <v>0</v>
      </c>
      <c r="BT172" s="819">
        <v>0</v>
      </c>
      <c r="BU172" s="799">
        <v>0</v>
      </c>
    </row>
    <row r="173" spans="1:73">
      <c r="A173" s="86"/>
      <c r="B173" s="43" t="s">
        <v>24</v>
      </c>
      <c r="C173" s="188">
        <f t="shared" ref="C173:L173" si="341">C174-SUM(C157:C172)</f>
        <v>98</v>
      </c>
      <c r="D173" s="188">
        <f t="shared" si="341"/>
        <v>30</v>
      </c>
      <c r="E173" s="188">
        <f t="shared" si="341"/>
        <v>54</v>
      </c>
      <c r="F173" s="188">
        <f t="shared" si="341"/>
        <v>20</v>
      </c>
      <c r="G173" s="188">
        <f t="shared" si="341"/>
        <v>33</v>
      </c>
      <c r="H173" s="188">
        <f t="shared" si="341"/>
        <v>32</v>
      </c>
      <c r="I173" s="362">
        <f t="shared" si="341"/>
        <v>78</v>
      </c>
      <c r="J173" s="44">
        <f>J174-SUM(J157:J172)</f>
        <v>83</v>
      </c>
      <c r="K173" s="383">
        <f t="shared" si="341"/>
        <v>5</v>
      </c>
      <c r="L173" s="390">
        <f t="shared" si="341"/>
        <v>2</v>
      </c>
      <c r="M173" s="232">
        <f>ROUND(((L173/K173-1)*100), 1)</f>
        <v>-60</v>
      </c>
      <c r="N173" s="383">
        <f>N174-SUM(N157:N172)</f>
        <v>2</v>
      </c>
      <c r="O173" s="390">
        <f>O174-SUM(O157:O172)</f>
        <v>0</v>
      </c>
      <c r="P173" s="242">
        <f>ROUND(((O173/N173-1)*100), 1)</f>
        <v>-100</v>
      </c>
      <c r="Q173" s="383">
        <f>Q174-SUM(Q157:Q172)</f>
        <v>7</v>
      </c>
      <c r="R173" s="390">
        <f>R174-SUM(R157:R172)</f>
        <v>2</v>
      </c>
      <c r="S173" s="242">
        <f>ROUND(((R173/Q173-1)*100), 1)</f>
        <v>-71.400000000000006</v>
      </c>
      <c r="T173" s="383">
        <f>T174-SUM(T157:T172)</f>
        <v>2</v>
      </c>
      <c r="U173" s="390">
        <f>U174-SUM(U157:U172)</f>
        <v>0</v>
      </c>
      <c r="V173" s="242">
        <f>ROUND(((U173/T173-1)*100), 1)</f>
        <v>-100</v>
      </c>
      <c r="W173" s="383">
        <f>W174-SUM(W157:W172)</f>
        <v>9</v>
      </c>
      <c r="X173" s="390">
        <f>X174-SUM(X157:X172)</f>
        <v>2</v>
      </c>
      <c r="Y173" s="242">
        <f>ROUND(((X173/W173-1)*100), 1)</f>
        <v>-77.8</v>
      </c>
      <c r="Z173" s="527">
        <f>Z174-SUM(Z157:Z172)</f>
        <v>0</v>
      </c>
      <c r="AA173" s="390">
        <f>AA174-SUM(AA157:AA172)</f>
        <v>0</v>
      </c>
      <c r="AB173" s="522">
        <v>0</v>
      </c>
      <c r="AC173" s="527">
        <f>AC174-SUM(AC157:AC172)</f>
        <v>9</v>
      </c>
      <c r="AD173" s="390">
        <f>AD174-SUM(AD157:AD172)</f>
        <v>2</v>
      </c>
      <c r="AE173" s="242">
        <f>ROUND(((AD173/AC173-1)*100), 1)</f>
        <v>-77.8</v>
      </c>
      <c r="AF173" s="527">
        <f>AF174-SUM(AF157:AF172)</f>
        <v>12</v>
      </c>
      <c r="AG173" s="390">
        <f>AG174-SUM(AG157:AG172)</f>
        <v>20</v>
      </c>
      <c r="AH173" s="242">
        <f>ROUND(((AG173/AF173-1)*100), 1)</f>
        <v>66.7</v>
      </c>
      <c r="AI173" s="527">
        <f>AI174-SUM(AI157:AI172)</f>
        <v>21</v>
      </c>
      <c r="AJ173" s="390">
        <f>AJ174-SUM(AJ157:AJ172)</f>
        <v>22</v>
      </c>
      <c r="AK173" s="242">
        <f>ROUND(((AJ173/AI173-1)*100), 1)</f>
        <v>4.8</v>
      </c>
      <c r="AL173" s="527">
        <f>AL174-SUM(AL157:AL172)</f>
        <v>1</v>
      </c>
      <c r="AM173" s="390">
        <f>AM174-SUM(AM157:AM172)</f>
        <v>0</v>
      </c>
      <c r="AN173" s="242">
        <f>ROUND(((AM173/AL173-1)*100), 1)</f>
        <v>-100</v>
      </c>
      <c r="AO173" s="817">
        <f>AO174-SUM(AO157:AO172)</f>
        <v>22</v>
      </c>
      <c r="AP173" s="819">
        <f>AP174-SUM(AP157:AP172)</f>
        <v>22</v>
      </c>
      <c r="AQ173" s="242">
        <f>ROUND(((AP173/AO173-1)*100), 1)</f>
        <v>0</v>
      </c>
      <c r="AR173" s="817">
        <f>AR174-SUM(AR157:AR172)</f>
        <v>2</v>
      </c>
      <c r="AS173" s="819">
        <f>AS174-SUM(AS157:AS172)</f>
        <v>1</v>
      </c>
      <c r="AT173" s="753">
        <f>ROUND(((AS173/AR173-1)*100), 1)</f>
        <v>-50</v>
      </c>
      <c r="AU173" s="969">
        <f>AU174-SUM(AU157:AU172)</f>
        <v>24</v>
      </c>
      <c r="AV173" s="970">
        <f>AV174-SUM(AV157:AV172)</f>
        <v>23</v>
      </c>
      <c r="AW173" s="753">
        <f>ROUND(((AV173/AU173-1)*100), 1)</f>
        <v>-4.2</v>
      </c>
      <c r="AX173" s="817">
        <f>AX174-SUM(AX157:AX172)</f>
        <v>31</v>
      </c>
      <c r="AY173" s="819">
        <f>AY174-SUM(AY157:AY172)</f>
        <v>25</v>
      </c>
      <c r="AZ173" s="753">
        <f>ROUND(((AY173/AX173-1)*100), 1)</f>
        <v>-19.399999999999999</v>
      </c>
      <c r="BA173" s="817">
        <f>BA174-SUM(BA157:BA172)</f>
        <v>55</v>
      </c>
      <c r="BB173" s="819">
        <f>BB174-SUM(BB157:BB172)</f>
        <v>48</v>
      </c>
      <c r="BC173" s="753">
        <f>ROUND(((BB173/BA173-1)*100), 1)</f>
        <v>-12.7</v>
      </c>
      <c r="BD173" s="817">
        <f>BD174-SUM(BD157:BD172)</f>
        <v>0</v>
      </c>
      <c r="BE173" s="819">
        <f>BE174-SUM(BE157:BE172)</f>
        <v>17</v>
      </c>
      <c r="BF173" s="800">
        <v>0</v>
      </c>
      <c r="BG173" s="817">
        <f>BG174-SUM(BG157:BG172)</f>
        <v>55</v>
      </c>
      <c r="BH173" s="819">
        <f>BH174-SUM(BH157:BH172)</f>
        <v>65</v>
      </c>
      <c r="BI173" s="753">
        <f>ROUND(((BH173/BG173-1)*100), 1)</f>
        <v>18.2</v>
      </c>
      <c r="BJ173" s="817">
        <f>BJ174-SUM(BJ157:BJ172)</f>
        <v>1</v>
      </c>
      <c r="BK173" s="819">
        <f>BK174-SUM(BK157:BK172)</f>
        <v>22</v>
      </c>
      <c r="BL173" s="753">
        <f>ROUND(((BK173/BJ173-1)*100), 1)</f>
        <v>2100</v>
      </c>
      <c r="BM173" s="817">
        <f>BM174-SUM(BM157:BM172)</f>
        <v>56</v>
      </c>
      <c r="BN173" s="819">
        <f>BN174-SUM(BN157:BN172)</f>
        <v>87</v>
      </c>
      <c r="BO173" s="753">
        <f>ROUND(((BN173/BM173-1)*100), 1)</f>
        <v>55.4</v>
      </c>
      <c r="BP173" s="817">
        <f>BP174-SUM(BP157:BP172)</f>
        <v>3</v>
      </c>
      <c r="BQ173" s="819">
        <f>BQ174-SUM(BQ157:BQ172)</f>
        <v>23</v>
      </c>
      <c r="BR173" s="753">
        <f>ROUND(((BQ173/BP173-1)*100), 1)</f>
        <v>666.7</v>
      </c>
      <c r="BS173" s="817">
        <f>BS174-SUM(BS157:BS172)</f>
        <v>59</v>
      </c>
      <c r="BT173" s="819">
        <f>BT174-SUM(BT157:BT172)</f>
        <v>110</v>
      </c>
      <c r="BU173" s="753">
        <f>ROUND(((BT173/BS173-1)*100), 1)</f>
        <v>86.4</v>
      </c>
    </row>
    <row r="174" spans="1:73">
      <c r="A174" s="87"/>
      <c r="B174" s="67" t="s">
        <v>108</v>
      </c>
      <c r="C174" s="324">
        <v>26617</v>
      </c>
      <c r="D174" s="324">
        <v>33681</v>
      </c>
      <c r="E174" s="324">
        <v>30253</v>
      </c>
      <c r="F174" s="324">
        <v>26775</v>
      </c>
      <c r="G174" s="324">
        <v>18816</v>
      </c>
      <c r="H174" s="324">
        <v>17770</v>
      </c>
      <c r="I174" s="375">
        <v>15350</v>
      </c>
      <c r="J174" s="46">
        <v>12619</v>
      </c>
      <c r="K174" s="403">
        <v>1484</v>
      </c>
      <c r="L174" s="295">
        <v>884</v>
      </c>
      <c r="M174" s="233">
        <f>ROUND(((L174/K174-1)*100), 1)</f>
        <v>-40.4</v>
      </c>
      <c r="N174" s="403">
        <f>Q174-K174</f>
        <v>1043</v>
      </c>
      <c r="O174" s="295">
        <f>R174-L174</f>
        <v>794</v>
      </c>
      <c r="P174" s="243">
        <f>ROUND(((O174/N174-1)*100), 1)</f>
        <v>-23.9</v>
      </c>
      <c r="Q174" s="403">
        <v>2527</v>
      </c>
      <c r="R174" s="295">
        <v>1678</v>
      </c>
      <c r="S174" s="243">
        <f>ROUND(((R174/Q174-1)*100), 1)</f>
        <v>-33.6</v>
      </c>
      <c r="T174" s="403">
        <f>W174-Q174</f>
        <v>1168</v>
      </c>
      <c r="U174" s="295">
        <f>X174-R174</f>
        <v>1085</v>
      </c>
      <c r="V174" s="243">
        <f>ROUND(((U174/T174-1)*100), 1)</f>
        <v>-7.1</v>
      </c>
      <c r="W174" s="403">
        <v>3695</v>
      </c>
      <c r="X174" s="295">
        <v>2763</v>
      </c>
      <c r="Y174" s="243">
        <f>ROUND(((X174/W174-1)*100), 1)</f>
        <v>-25.2</v>
      </c>
      <c r="Z174" s="403">
        <f>AC174-W174</f>
        <v>943</v>
      </c>
      <c r="AA174" s="295">
        <f>AD174-X174</f>
        <v>831</v>
      </c>
      <c r="AB174" s="243">
        <f>ROUND(((AA174/Z174-1)*100), 1)</f>
        <v>-11.9</v>
      </c>
      <c r="AC174" s="403">
        <v>4638</v>
      </c>
      <c r="AD174" s="295">
        <v>3594</v>
      </c>
      <c r="AE174" s="243">
        <f>ROUND(((AD174/AC174-1)*100), 1)</f>
        <v>-22.5</v>
      </c>
      <c r="AF174" s="403">
        <f>AI174-AC174</f>
        <v>905</v>
      </c>
      <c r="AG174" s="295">
        <f>AJ174-AD174</f>
        <v>876</v>
      </c>
      <c r="AH174" s="243">
        <f>ROUND(((AG174/AF174-1)*100), 1)</f>
        <v>-3.2</v>
      </c>
      <c r="AI174" s="403">
        <v>5543</v>
      </c>
      <c r="AJ174" s="295">
        <v>4470</v>
      </c>
      <c r="AK174" s="243">
        <f>ROUND(((AJ174/AI174-1)*100), 1)</f>
        <v>-19.399999999999999</v>
      </c>
      <c r="AL174" s="403">
        <f>AO174-AI174</f>
        <v>866</v>
      </c>
      <c r="AM174" s="295">
        <f>AP174-AJ174</f>
        <v>1152</v>
      </c>
      <c r="AN174" s="243">
        <f>ROUND(((AM174/AL174-1)*100), 1)</f>
        <v>33</v>
      </c>
      <c r="AO174" s="814">
        <v>6409</v>
      </c>
      <c r="AP174" s="808">
        <v>5622</v>
      </c>
      <c r="AQ174" s="243">
        <f>ROUND(((AP174/AO174-1)*100), 1)</f>
        <v>-12.3</v>
      </c>
      <c r="AR174" s="814">
        <f>AU174-AO174</f>
        <v>1368</v>
      </c>
      <c r="AS174" s="808">
        <f>AV174-AP174</f>
        <v>1303</v>
      </c>
      <c r="AT174" s="754">
        <f>ROUND(((AS174/AR174-1)*100), 1)</f>
        <v>-4.8</v>
      </c>
      <c r="AU174" s="971">
        <v>7777</v>
      </c>
      <c r="AV174" s="972">
        <v>6925</v>
      </c>
      <c r="AW174" s="754">
        <f>ROUND(((AV174/AU174-1)*100), 1)</f>
        <v>-11</v>
      </c>
      <c r="AX174" s="814">
        <f>BA174-AU174</f>
        <v>1126</v>
      </c>
      <c r="AY174" s="808">
        <f>BB174-AV174</f>
        <v>1034</v>
      </c>
      <c r="AZ174" s="754">
        <f>ROUND(((AY174/AX174-1)*100), 1)</f>
        <v>-8.1999999999999993</v>
      </c>
      <c r="BA174" s="814">
        <v>8903</v>
      </c>
      <c r="BB174" s="808">
        <v>7959</v>
      </c>
      <c r="BC174" s="754">
        <f>ROUND(((BB174/BA174-1)*100), 1)</f>
        <v>-10.6</v>
      </c>
      <c r="BD174" s="814">
        <f>BG174-BA174</f>
        <v>1100</v>
      </c>
      <c r="BE174" s="808">
        <f>BH174-BB174</f>
        <v>1038</v>
      </c>
      <c r="BF174" s="754">
        <f>ROUND(((BE174/BD174-1)*100), 1)</f>
        <v>-5.6</v>
      </c>
      <c r="BG174" s="814">
        <v>10003</v>
      </c>
      <c r="BH174" s="808">
        <v>8997</v>
      </c>
      <c r="BI174" s="754">
        <f>ROUND(((BH174/BG174-1)*100), 1)</f>
        <v>-10.1</v>
      </c>
      <c r="BJ174" s="814">
        <f>BM174-BG174</f>
        <v>907</v>
      </c>
      <c r="BK174" s="808">
        <f>BN174-BH174</f>
        <v>1552</v>
      </c>
      <c r="BL174" s="754">
        <f>ROUND(((BK174/BJ174-1)*100), 1)</f>
        <v>71.099999999999994</v>
      </c>
      <c r="BM174" s="814">
        <v>10910</v>
      </c>
      <c r="BN174" s="808">
        <v>10549</v>
      </c>
      <c r="BO174" s="754">
        <f>ROUND(((BN174/BM174-1)*100), 1)</f>
        <v>-3.3</v>
      </c>
      <c r="BP174" s="814">
        <f>BS174-BM174</f>
        <v>802</v>
      </c>
      <c r="BQ174" s="808">
        <f>BT174-BN174</f>
        <v>1230</v>
      </c>
      <c r="BR174" s="754">
        <f>ROUND(((BQ174/BP174-1)*100), 1)</f>
        <v>53.4</v>
      </c>
      <c r="BS174" s="814">
        <v>11712</v>
      </c>
      <c r="BT174" s="808">
        <v>11779</v>
      </c>
      <c r="BU174" s="754">
        <f>ROUND(((BT174/BS174-1)*100), 1)</f>
        <v>0.6</v>
      </c>
    </row>
    <row r="175" spans="1:73">
      <c r="A175" s="68" t="s">
        <v>118</v>
      </c>
      <c r="B175" s="292"/>
      <c r="M175" s="227"/>
    </row>
    <row r="176" spans="1:73">
      <c r="A176" s="55"/>
      <c r="B176" s="292"/>
      <c r="M176" s="227"/>
      <c r="AU176" s="960" t="s">
        <v>623</v>
      </c>
      <c r="BA176" s="833" t="s">
        <v>623</v>
      </c>
      <c r="BG176" s="833" t="s">
        <v>672</v>
      </c>
      <c r="BM176" s="833" t="s">
        <v>700</v>
      </c>
      <c r="BS176" s="833" t="s">
        <v>623</v>
      </c>
    </row>
    <row r="177" spans="1:73">
      <c r="A177" s="81" t="s">
        <v>140</v>
      </c>
      <c r="B177" s="249"/>
      <c r="C177" s="62"/>
      <c r="D177" s="62"/>
      <c r="E177" s="62"/>
      <c r="F177" s="62"/>
      <c r="G177" s="62"/>
      <c r="J177" s="62" t="s">
        <v>141</v>
      </c>
      <c r="K177" s="280"/>
      <c r="L177" s="280"/>
      <c r="M177" s="239"/>
      <c r="N177" s="280"/>
      <c r="O177" s="280"/>
      <c r="P177" s="239"/>
      <c r="Q177" s="280"/>
      <c r="R177" s="280"/>
      <c r="S177" s="239"/>
      <c r="T177" s="280"/>
      <c r="U177" s="280"/>
      <c r="V177" s="239"/>
      <c r="W177" s="280"/>
      <c r="X177" s="280"/>
      <c r="Y177" s="239"/>
      <c r="Z177" s="280"/>
      <c r="AA177" s="280"/>
      <c r="AB177" s="239"/>
      <c r="AC177" s="280"/>
      <c r="AD177" s="280"/>
      <c r="AE177" s="239"/>
      <c r="AF177" s="280"/>
      <c r="AG177" s="280"/>
      <c r="AH177" s="239"/>
      <c r="AI177" s="280"/>
      <c r="AJ177" s="280"/>
      <c r="AK177" s="239"/>
      <c r="AL177" s="280"/>
      <c r="AM177" s="280"/>
      <c r="AN177" s="239"/>
      <c r="AO177" s="747"/>
      <c r="AP177" s="747"/>
      <c r="AQ177" s="239"/>
      <c r="AR177" s="747"/>
      <c r="AS177" s="747"/>
      <c r="AT177" s="239"/>
      <c r="AU177" s="962"/>
      <c r="AV177" s="962"/>
      <c r="AW177" s="239"/>
      <c r="AX177" s="747"/>
      <c r="AY177" s="747"/>
      <c r="AZ177" s="239"/>
      <c r="BA177" s="747"/>
      <c r="BB177" s="747"/>
      <c r="BC177" s="239"/>
      <c r="BD177" s="747"/>
      <c r="BE177" s="747"/>
      <c r="BF177" s="239"/>
      <c r="BG177" s="747"/>
      <c r="BH177" s="747"/>
      <c r="BI177" s="239"/>
      <c r="BJ177" s="747"/>
      <c r="BK177" s="747"/>
      <c r="BL177" s="239"/>
      <c r="BM177" s="747"/>
      <c r="BN177" s="747"/>
      <c r="BO177" s="239"/>
      <c r="BP177" s="747"/>
      <c r="BQ177" s="747"/>
      <c r="BR177" s="239"/>
      <c r="BS177" s="747"/>
      <c r="BT177" s="747"/>
      <c r="BU177" s="239"/>
    </row>
    <row r="178" spans="1:73">
      <c r="A178" s="64"/>
      <c r="B178" s="30"/>
      <c r="C178" s="65"/>
      <c r="D178" s="65"/>
      <c r="E178" s="65"/>
      <c r="F178" s="65"/>
      <c r="G178" s="65"/>
      <c r="H178" s="65"/>
      <c r="I178" s="229"/>
      <c r="J178" s="229"/>
      <c r="K178" s="229"/>
      <c r="L178" s="229"/>
      <c r="M178" s="235" t="s">
        <v>94</v>
      </c>
      <c r="N178" s="229"/>
      <c r="O178" s="229"/>
      <c r="P178" s="244"/>
      <c r="Q178" s="229"/>
      <c r="R178" s="229"/>
      <c r="S178" s="244" t="s">
        <v>94</v>
      </c>
      <c r="T178" s="229"/>
      <c r="U178" s="229"/>
      <c r="V178" s="244"/>
      <c r="W178" s="229"/>
      <c r="X178" s="229"/>
      <c r="Y178" s="244" t="s">
        <v>94</v>
      </c>
      <c r="Z178" s="229"/>
      <c r="AA178" s="229"/>
      <c r="AB178" s="244"/>
      <c r="AC178" s="229"/>
      <c r="AD178" s="229"/>
      <c r="AE178" s="244" t="s">
        <v>94</v>
      </c>
      <c r="AF178" s="229"/>
      <c r="AG178" s="229"/>
      <c r="AH178" s="244"/>
      <c r="AI178" s="229"/>
      <c r="AJ178" s="229"/>
      <c r="AK178" s="244" t="s">
        <v>94</v>
      </c>
      <c r="AL178" s="229"/>
      <c r="AM178" s="229"/>
      <c r="AN178" s="244"/>
      <c r="AO178" s="229"/>
      <c r="AP178" s="229"/>
      <c r="AQ178" s="244" t="s">
        <v>94</v>
      </c>
      <c r="AR178" s="229"/>
      <c r="AS178" s="229"/>
      <c r="AT178" s="654"/>
      <c r="AU178" s="948"/>
      <c r="AV178" s="948"/>
      <c r="AW178" s="654" t="s">
        <v>94</v>
      </c>
      <c r="AX178" s="229"/>
      <c r="AY178" s="229"/>
      <c r="AZ178" s="654"/>
      <c r="BA178" s="229"/>
      <c r="BB178" s="229"/>
      <c r="BC178" s="654" t="s">
        <v>94</v>
      </c>
      <c r="BD178" s="229"/>
      <c r="BE178" s="229"/>
      <c r="BF178" s="654"/>
      <c r="BG178" s="229"/>
      <c r="BH178" s="229"/>
      <c r="BI178" s="654" t="s">
        <v>94</v>
      </c>
      <c r="BJ178" s="229"/>
      <c r="BK178" s="229"/>
      <c r="BL178" s="654"/>
      <c r="BM178" s="229"/>
      <c r="BN178" s="229"/>
      <c r="BO178" s="654" t="s">
        <v>94</v>
      </c>
      <c r="BP178" s="229"/>
      <c r="BQ178" s="229"/>
      <c r="BR178" s="654"/>
      <c r="BS178" s="229"/>
      <c r="BT178" s="229"/>
      <c r="BU178" s="654" t="s">
        <v>94</v>
      </c>
    </row>
    <row r="179" spans="1:73">
      <c r="A179" s="1157" t="s">
        <v>95</v>
      </c>
      <c r="B179" s="1157"/>
      <c r="C179" s="1156" t="s">
        <v>3</v>
      </c>
      <c r="D179" s="1156" t="s">
        <v>4</v>
      </c>
      <c r="E179" s="1156" t="s">
        <v>5</v>
      </c>
      <c r="F179" s="1156" t="s">
        <v>6</v>
      </c>
      <c r="G179" s="1156" t="s">
        <v>7</v>
      </c>
      <c r="H179" s="1156" t="s">
        <v>8</v>
      </c>
      <c r="I179" s="1155" t="s">
        <v>83</v>
      </c>
      <c r="J179" s="1156" t="s">
        <v>315</v>
      </c>
      <c r="K179" s="1155" t="s">
        <v>40</v>
      </c>
      <c r="L179" s="1156"/>
      <c r="M179" s="1157"/>
      <c r="N179" s="1155" t="s">
        <v>505</v>
      </c>
      <c r="O179" s="1156"/>
      <c r="P179" s="1157"/>
      <c r="Q179" s="1155" t="s">
        <v>506</v>
      </c>
      <c r="R179" s="1156"/>
      <c r="S179" s="1157"/>
      <c r="T179" s="1155" t="s">
        <v>513</v>
      </c>
      <c r="U179" s="1156"/>
      <c r="V179" s="1157"/>
      <c r="W179" s="1155" t="s">
        <v>514</v>
      </c>
      <c r="X179" s="1156"/>
      <c r="Y179" s="1157"/>
      <c r="Z179" s="1155" t="s">
        <v>531</v>
      </c>
      <c r="AA179" s="1156"/>
      <c r="AB179" s="1157"/>
      <c r="AC179" s="1155" t="s">
        <v>533</v>
      </c>
      <c r="AD179" s="1156"/>
      <c r="AE179" s="1157"/>
      <c r="AF179" s="1155" t="s">
        <v>575</v>
      </c>
      <c r="AG179" s="1156"/>
      <c r="AH179" s="1157"/>
      <c r="AI179" s="1155" t="s">
        <v>576</v>
      </c>
      <c r="AJ179" s="1156"/>
      <c r="AK179" s="1157"/>
      <c r="AL179" s="1155" t="s">
        <v>583</v>
      </c>
      <c r="AM179" s="1156"/>
      <c r="AN179" s="1157"/>
      <c r="AO179" s="1155" t="s">
        <v>584</v>
      </c>
      <c r="AP179" s="1156"/>
      <c r="AQ179" s="1157"/>
      <c r="AR179" s="1155" t="s">
        <v>621</v>
      </c>
      <c r="AS179" s="1156"/>
      <c r="AT179" s="1157"/>
      <c r="AU179" s="1155" t="s">
        <v>622</v>
      </c>
      <c r="AV179" s="1156"/>
      <c r="AW179" s="1157"/>
      <c r="AX179" s="1155" t="s">
        <v>626</v>
      </c>
      <c r="AY179" s="1156"/>
      <c r="AZ179" s="1157"/>
      <c r="BA179" s="1155" t="s">
        <v>628</v>
      </c>
      <c r="BB179" s="1156"/>
      <c r="BC179" s="1157"/>
      <c r="BD179" s="1155" t="s">
        <v>648</v>
      </c>
      <c r="BE179" s="1156"/>
      <c r="BF179" s="1157"/>
      <c r="BG179" s="1155" t="s">
        <v>651</v>
      </c>
      <c r="BH179" s="1156"/>
      <c r="BI179" s="1157"/>
      <c r="BJ179" s="1155" t="s">
        <v>674</v>
      </c>
      <c r="BK179" s="1156"/>
      <c r="BL179" s="1157"/>
      <c r="BM179" s="1155" t="s">
        <v>675</v>
      </c>
      <c r="BN179" s="1156"/>
      <c r="BO179" s="1157"/>
      <c r="BP179" s="1155" t="s">
        <v>744</v>
      </c>
      <c r="BQ179" s="1156"/>
      <c r="BR179" s="1157"/>
      <c r="BS179" s="1155" t="s">
        <v>711</v>
      </c>
      <c r="BT179" s="1156"/>
      <c r="BU179" s="1157"/>
    </row>
    <row r="180" spans="1:73">
      <c r="A180" s="1157"/>
      <c r="B180" s="1157"/>
      <c r="C180" s="1156"/>
      <c r="D180" s="1156"/>
      <c r="E180" s="1156"/>
      <c r="F180" s="1156"/>
      <c r="G180" s="1156"/>
      <c r="H180" s="1156"/>
      <c r="I180" s="1155"/>
      <c r="J180" s="1156"/>
      <c r="K180" s="413" t="s">
        <v>445</v>
      </c>
      <c r="L180" s="294" t="s">
        <v>446</v>
      </c>
      <c r="M180" s="236" t="s">
        <v>10</v>
      </c>
      <c r="N180" s="413" t="s">
        <v>445</v>
      </c>
      <c r="O180" s="294" t="s">
        <v>446</v>
      </c>
      <c r="P180" s="250" t="s">
        <v>10</v>
      </c>
      <c r="Q180" s="413" t="s">
        <v>445</v>
      </c>
      <c r="R180" s="294" t="s">
        <v>446</v>
      </c>
      <c r="S180" s="250" t="s">
        <v>10</v>
      </c>
      <c r="T180" s="413" t="s">
        <v>445</v>
      </c>
      <c r="U180" s="294" t="s">
        <v>446</v>
      </c>
      <c r="V180" s="250" t="s">
        <v>10</v>
      </c>
      <c r="W180" s="413" t="s">
        <v>445</v>
      </c>
      <c r="X180" s="294" t="s">
        <v>446</v>
      </c>
      <c r="Y180" s="250" t="s">
        <v>10</v>
      </c>
      <c r="Z180" s="413" t="s">
        <v>445</v>
      </c>
      <c r="AA180" s="294" t="s">
        <v>446</v>
      </c>
      <c r="AB180" s="250" t="s">
        <v>10</v>
      </c>
      <c r="AC180" s="413" t="s">
        <v>445</v>
      </c>
      <c r="AD180" s="294" t="s">
        <v>446</v>
      </c>
      <c r="AE180" s="250" t="s">
        <v>10</v>
      </c>
      <c r="AF180" s="413" t="s">
        <v>577</v>
      </c>
      <c r="AG180" s="294" t="s">
        <v>578</v>
      </c>
      <c r="AH180" s="250" t="s">
        <v>10</v>
      </c>
      <c r="AI180" s="413" t="s">
        <v>577</v>
      </c>
      <c r="AJ180" s="294" t="s">
        <v>578</v>
      </c>
      <c r="AK180" s="250" t="s">
        <v>10</v>
      </c>
      <c r="AL180" s="413" t="s">
        <v>445</v>
      </c>
      <c r="AM180" s="294" t="s">
        <v>446</v>
      </c>
      <c r="AN180" s="250" t="s">
        <v>10</v>
      </c>
      <c r="AO180" s="685" t="s">
        <v>445</v>
      </c>
      <c r="AP180" s="680" t="s">
        <v>446</v>
      </c>
      <c r="AQ180" s="250" t="s">
        <v>10</v>
      </c>
      <c r="AR180" s="685" t="s">
        <v>445</v>
      </c>
      <c r="AS180" s="680" t="s">
        <v>446</v>
      </c>
      <c r="AT180" s="674" t="s">
        <v>10</v>
      </c>
      <c r="AU180" s="949" t="s">
        <v>445</v>
      </c>
      <c r="AV180" s="950" t="s">
        <v>446</v>
      </c>
      <c r="AW180" s="674" t="s">
        <v>10</v>
      </c>
      <c r="AX180" s="685" t="s">
        <v>445</v>
      </c>
      <c r="AY180" s="680" t="s">
        <v>446</v>
      </c>
      <c r="AZ180" s="674" t="s">
        <v>10</v>
      </c>
      <c r="BA180" s="685" t="s">
        <v>445</v>
      </c>
      <c r="BB180" s="680" t="s">
        <v>446</v>
      </c>
      <c r="BC180" s="674" t="s">
        <v>10</v>
      </c>
      <c r="BD180" s="685" t="s">
        <v>669</v>
      </c>
      <c r="BE180" s="680" t="s">
        <v>671</v>
      </c>
      <c r="BF180" s="674" t="s">
        <v>10</v>
      </c>
      <c r="BG180" s="685" t="s">
        <v>670</v>
      </c>
      <c r="BH180" s="680" t="s">
        <v>673</v>
      </c>
      <c r="BI180" s="674" t="s">
        <v>10</v>
      </c>
      <c r="BJ180" s="685" t="s">
        <v>698</v>
      </c>
      <c r="BK180" s="680" t="s">
        <v>699</v>
      </c>
      <c r="BL180" s="674" t="s">
        <v>10</v>
      </c>
      <c r="BM180" s="685" t="s">
        <v>698</v>
      </c>
      <c r="BN180" s="680" t="s">
        <v>699</v>
      </c>
      <c r="BO180" s="674" t="s">
        <v>10</v>
      </c>
      <c r="BP180" s="685" t="s">
        <v>445</v>
      </c>
      <c r="BQ180" s="680" t="s">
        <v>446</v>
      </c>
      <c r="BR180" s="674" t="s">
        <v>10</v>
      </c>
      <c r="BS180" s="685" t="s">
        <v>445</v>
      </c>
      <c r="BT180" s="680" t="s">
        <v>745</v>
      </c>
      <c r="BU180" s="674" t="s">
        <v>10</v>
      </c>
    </row>
    <row r="181" spans="1:73">
      <c r="A181" s="8"/>
      <c r="B181" s="85" t="s">
        <v>50</v>
      </c>
      <c r="C181" s="189">
        <v>17747</v>
      </c>
      <c r="D181" s="189">
        <v>12923</v>
      </c>
      <c r="E181" s="189">
        <v>12869</v>
      </c>
      <c r="F181" s="189">
        <v>14956</v>
      </c>
      <c r="G181" s="189">
        <v>15747</v>
      </c>
      <c r="H181" s="189">
        <v>17772</v>
      </c>
      <c r="I181" s="380">
        <v>18164</v>
      </c>
      <c r="J181" s="66">
        <v>16852</v>
      </c>
      <c r="K181" s="384">
        <v>1427</v>
      </c>
      <c r="L181" s="389">
        <v>1125</v>
      </c>
      <c r="M181" s="231">
        <f t="shared" ref="M181:M188" si="342">ROUND(((L181/K181-1)*100), 1)</f>
        <v>-21.2</v>
      </c>
      <c r="N181" s="384">
        <f t="shared" ref="N181:N200" si="343">Q181-K181</f>
        <v>1271</v>
      </c>
      <c r="O181" s="389">
        <f t="shared" ref="O181:O200" si="344">R181-L181</f>
        <v>966</v>
      </c>
      <c r="P181" s="231">
        <f t="shared" ref="P181:P188" si="345">ROUND(((O181/N181-1)*100), 1)</f>
        <v>-24</v>
      </c>
      <c r="Q181" s="384">
        <v>2698</v>
      </c>
      <c r="R181" s="389">
        <v>2091</v>
      </c>
      <c r="S181" s="231">
        <f t="shared" ref="S181:S188" si="346">ROUND(((R181/Q181-1)*100), 1)</f>
        <v>-22.5</v>
      </c>
      <c r="T181" s="384">
        <f t="shared" ref="T181:T200" si="347">W181-Q181</f>
        <v>1239</v>
      </c>
      <c r="U181" s="389">
        <f t="shared" ref="U181:U200" si="348">X181-R181</f>
        <v>1188</v>
      </c>
      <c r="V181" s="231">
        <f t="shared" ref="V181:V188" si="349">ROUND(((U181/T181-1)*100), 1)</f>
        <v>-4.0999999999999996</v>
      </c>
      <c r="W181" s="384">
        <v>3937</v>
      </c>
      <c r="X181" s="389">
        <v>3279</v>
      </c>
      <c r="Y181" s="231">
        <f t="shared" ref="Y181:Y188" si="350">ROUND(((X181/W181-1)*100), 1)</f>
        <v>-16.7</v>
      </c>
      <c r="Z181" s="528">
        <f t="shared" ref="Z181:Z200" si="351">AC181-W181</f>
        <v>1434</v>
      </c>
      <c r="AA181" s="389">
        <f t="shared" ref="AA181:AA200" si="352">AD181-X181</f>
        <v>1246</v>
      </c>
      <c r="AB181" s="231">
        <f t="shared" ref="AB181:AB188" si="353">ROUND(((AA181/Z181-1)*100), 1)</f>
        <v>-13.1</v>
      </c>
      <c r="AC181" s="528">
        <v>5371</v>
      </c>
      <c r="AD181" s="389">
        <v>4525</v>
      </c>
      <c r="AE181" s="231">
        <f t="shared" ref="AE181:AE188" si="354">ROUND(((AD181/AC181-1)*100), 1)</f>
        <v>-15.8</v>
      </c>
      <c r="AF181" s="528">
        <f t="shared" ref="AF181:AG200" si="355">AI181-AC181</f>
        <v>1669</v>
      </c>
      <c r="AG181" s="389">
        <f t="shared" si="355"/>
        <v>891</v>
      </c>
      <c r="AH181" s="231">
        <f t="shared" ref="AH181:AH188" si="356">ROUND(((AG181/AF181-1)*100), 1)</f>
        <v>-46.6</v>
      </c>
      <c r="AI181" s="528">
        <v>7040</v>
      </c>
      <c r="AJ181" s="389">
        <v>5416</v>
      </c>
      <c r="AK181" s="231">
        <f t="shared" ref="AK181:AK188" si="357">ROUND(((AJ181/AI181-1)*100), 1)</f>
        <v>-23.1</v>
      </c>
      <c r="AL181" s="528">
        <f t="shared" ref="AL181:AL200" si="358">AO181-AI181</f>
        <v>1302</v>
      </c>
      <c r="AM181" s="389">
        <f t="shared" ref="AM181:AM200" si="359">AP181-AJ181</f>
        <v>1034</v>
      </c>
      <c r="AN181" s="231">
        <f t="shared" ref="AN181:AN188" si="360">ROUND(((AM181/AL181-1)*100), 1)</f>
        <v>-20.6</v>
      </c>
      <c r="AO181" s="818">
        <v>8342</v>
      </c>
      <c r="AP181" s="812">
        <v>6450</v>
      </c>
      <c r="AQ181" s="231">
        <f t="shared" ref="AQ181:AQ188" si="361">ROUND(((AP181/AO181-1)*100), 1)</f>
        <v>-22.7</v>
      </c>
      <c r="AR181" s="818">
        <f t="shared" ref="AR181:AS200" si="362">AU181-AO181</f>
        <v>1582</v>
      </c>
      <c r="AS181" s="812">
        <f t="shared" si="362"/>
        <v>1426</v>
      </c>
      <c r="AT181" s="651">
        <f t="shared" ref="AT181:AT188" si="363">ROUND(((AS181/AR181-1)*100), 1)</f>
        <v>-9.9</v>
      </c>
      <c r="AU181" s="973">
        <v>9924</v>
      </c>
      <c r="AV181" s="974">
        <v>7876</v>
      </c>
      <c r="AW181" s="651">
        <f t="shared" ref="AW181:AW188" si="364">ROUND(((AV181/AU181-1)*100), 1)</f>
        <v>-20.6</v>
      </c>
      <c r="AX181" s="818">
        <f t="shared" ref="AX181:AX200" si="365">BA181-AU181</f>
        <v>1626</v>
      </c>
      <c r="AY181" s="812">
        <f t="shared" ref="AY181:AY200" si="366">BB181-AV181</f>
        <v>1397</v>
      </c>
      <c r="AZ181" s="651">
        <f t="shared" ref="AZ181:AZ188" si="367">ROUND(((AY181/AX181-1)*100), 1)</f>
        <v>-14.1</v>
      </c>
      <c r="BA181" s="818">
        <v>11550</v>
      </c>
      <c r="BB181" s="812">
        <v>9273</v>
      </c>
      <c r="BC181" s="651">
        <f t="shared" ref="BC181:BC188" si="368">ROUND(((BB181/BA181-1)*100), 1)</f>
        <v>-19.7</v>
      </c>
      <c r="BD181" s="818">
        <f t="shared" ref="BD181:BE200" si="369">BG181-BA181</f>
        <v>1549</v>
      </c>
      <c r="BE181" s="812">
        <f t="shared" si="369"/>
        <v>1510</v>
      </c>
      <c r="BF181" s="651">
        <f t="shared" ref="BF181:BF188" si="370">ROUND(((BE181/BD181-1)*100), 1)</f>
        <v>-2.5</v>
      </c>
      <c r="BG181" s="818">
        <v>13099</v>
      </c>
      <c r="BH181" s="812">
        <v>10783</v>
      </c>
      <c r="BI181" s="651">
        <f t="shared" ref="BI181:BI188" si="371">ROUND(((BH181/BG181-1)*100), 1)</f>
        <v>-17.7</v>
      </c>
      <c r="BJ181" s="818">
        <f t="shared" ref="BJ181:BK200" si="372">BM181-BG181</f>
        <v>1303</v>
      </c>
      <c r="BK181" s="812">
        <f t="shared" si="372"/>
        <v>1260</v>
      </c>
      <c r="BL181" s="651">
        <f t="shared" ref="BL181:BL188" si="373">ROUND(((BK181/BJ181-1)*100), 1)</f>
        <v>-3.3</v>
      </c>
      <c r="BM181" s="818">
        <v>14402</v>
      </c>
      <c r="BN181" s="812">
        <v>12043</v>
      </c>
      <c r="BO181" s="651">
        <f t="shared" ref="BO181:BO188" si="374">ROUND(((BN181/BM181-1)*100), 1)</f>
        <v>-16.399999999999999</v>
      </c>
      <c r="BP181" s="818">
        <f t="shared" ref="BP181:BQ200" si="375">BS181-BM181</f>
        <v>1190</v>
      </c>
      <c r="BQ181" s="812">
        <f t="shared" si="375"/>
        <v>1411</v>
      </c>
      <c r="BR181" s="651">
        <f t="shared" ref="BR181:BR188" si="376">ROUND(((BQ181/BP181-1)*100), 1)</f>
        <v>18.600000000000001</v>
      </c>
      <c r="BS181" s="818">
        <v>15592</v>
      </c>
      <c r="BT181" s="812">
        <v>13454</v>
      </c>
      <c r="BU181" s="651">
        <f t="shared" ref="BU181:BU188" si="377">ROUND(((BT181/BS181-1)*100), 1)</f>
        <v>-13.7</v>
      </c>
    </row>
    <row r="182" spans="1:73">
      <c r="A182" s="4" t="s">
        <v>121</v>
      </c>
      <c r="B182" s="43" t="s">
        <v>54</v>
      </c>
      <c r="C182" s="188">
        <v>2220</v>
      </c>
      <c r="D182" s="188">
        <v>2303</v>
      </c>
      <c r="E182" s="188">
        <v>3245</v>
      </c>
      <c r="F182" s="188">
        <v>3029</v>
      </c>
      <c r="G182" s="188">
        <v>2904</v>
      </c>
      <c r="H182" s="188">
        <v>4104</v>
      </c>
      <c r="I182" s="362">
        <v>4882</v>
      </c>
      <c r="J182" s="44">
        <v>3777</v>
      </c>
      <c r="K182" s="383">
        <v>316</v>
      </c>
      <c r="L182" s="390">
        <v>189</v>
      </c>
      <c r="M182" s="232">
        <f t="shared" si="342"/>
        <v>-40.200000000000003</v>
      </c>
      <c r="N182" s="383">
        <f t="shared" si="343"/>
        <v>347</v>
      </c>
      <c r="O182" s="390">
        <f t="shared" si="344"/>
        <v>289</v>
      </c>
      <c r="P182" s="242">
        <f t="shared" si="345"/>
        <v>-16.7</v>
      </c>
      <c r="Q182" s="383">
        <v>663</v>
      </c>
      <c r="R182" s="390">
        <v>478</v>
      </c>
      <c r="S182" s="242">
        <f t="shared" si="346"/>
        <v>-27.9</v>
      </c>
      <c r="T182" s="383">
        <f t="shared" si="347"/>
        <v>370</v>
      </c>
      <c r="U182" s="390">
        <f t="shared" si="348"/>
        <v>347</v>
      </c>
      <c r="V182" s="242">
        <f t="shared" si="349"/>
        <v>-6.2</v>
      </c>
      <c r="W182" s="383">
        <v>1033</v>
      </c>
      <c r="X182" s="390">
        <v>825</v>
      </c>
      <c r="Y182" s="242">
        <f t="shared" si="350"/>
        <v>-20.100000000000001</v>
      </c>
      <c r="Z182" s="527">
        <f t="shared" si="351"/>
        <v>347</v>
      </c>
      <c r="AA182" s="390">
        <f t="shared" si="352"/>
        <v>319</v>
      </c>
      <c r="AB182" s="242">
        <f t="shared" si="353"/>
        <v>-8.1</v>
      </c>
      <c r="AC182" s="527">
        <v>1380</v>
      </c>
      <c r="AD182" s="390">
        <v>1144</v>
      </c>
      <c r="AE182" s="242">
        <f t="shared" si="354"/>
        <v>-17.100000000000001</v>
      </c>
      <c r="AF182" s="527">
        <f t="shared" si="355"/>
        <v>359</v>
      </c>
      <c r="AG182" s="390">
        <f t="shared" si="355"/>
        <v>240</v>
      </c>
      <c r="AH182" s="242">
        <f t="shared" si="356"/>
        <v>-33.1</v>
      </c>
      <c r="AI182" s="527">
        <v>1739</v>
      </c>
      <c r="AJ182" s="390">
        <v>1384</v>
      </c>
      <c r="AK182" s="242">
        <f t="shared" si="357"/>
        <v>-20.399999999999999</v>
      </c>
      <c r="AL182" s="527">
        <f t="shared" si="358"/>
        <v>277</v>
      </c>
      <c r="AM182" s="390">
        <f t="shared" si="359"/>
        <v>260</v>
      </c>
      <c r="AN182" s="242">
        <f t="shared" si="360"/>
        <v>-6.1</v>
      </c>
      <c r="AO182" s="779">
        <v>2016</v>
      </c>
      <c r="AP182" s="779">
        <v>1644</v>
      </c>
      <c r="AQ182" s="911">
        <f t="shared" si="361"/>
        <v>-18.5</v>
      </c>
      <c r="AR182" s="817">
        <f t="shared" si="362"/>
        <v>307</v>
      </c>
      <c r="AS182" s="819">
        <f t="shared" si="362"/>
        <v>290</v>
      </c>
      <c r="AT182" s="753">
        <f t="shared" si="363"/>
        <v>-5.5</v>
      </c>
      <c r="AU182" s="975">
        <v>2323</v>
      </c>
      <c r="AV182" s="975">
        <v>1934</v>
      </c>
      <c r="AW182" s="911">
        <f t="shared" si="364"/>
        <v>-16.7</v>
      </c>
      <c r="AX182" s="817">
        <f t="shared" si="365"/>
        <v>302</v>
      </c>
      <c r="AY182" s="819">
        <f t="shared" si="366"/>
        <v>184</v>
      </c>
      <c r="AZ182" s="753">
        <f t="shared" si="367"/>
        <v>-39.1</v>
      </c>
      <c r="BA182" s="779">
        <v>2625</v>
      </c>
      <c r="BB182" s="779">
        <v>2118</v>
      </c>
      <c r="BC182" s="911">
        <f t="shared" si="368"/>
        <v>-19.3</v>
      </c>
      <c r="BD182" s="817">
        <f t="shared" si="369"/>
        <v>295</v>
      </c>
      <c r="BE182" s="819">
        <f t="shared" si="369"/>
        <v>326</v>
      </c>
      <c r="BF182" s="753">
        <f t="shared" si="370"/>
        <v>10.5</v>
      </c>
      <c r="BG182" s="779">
        <v>2920</v>
      </c>
      <c r="BH182" s="779">
        <v>2444</v>
      </c>
      <c r="BI182" s="911">
        <f t="shared" si="371"/>
        <v>-16.3</v>
      </c>
      <c r="BJ182" s="817">
        <f t="shared" si="372"/>
        <v>305</v>
      </c>
      <c r="BK182" s="819">
        <f t="shared" si="372"/>
        <v>303</v>
      </c>
      <c r="BL182" s="753">
        <f t="shared" si="373"/>
        <v>-0.7</v>
      </c>
      <c r="BM182" s="779">
        <v>3225</v>
      </c>
      <c r="BN182" s="779">
        <v>2747</v>
      </c>
      <c r="BO182" s="911">
        <f t="shared" si="374"/>
        <v>-14.8</v>
      </c>
      <c r="BP182" s="817">
        <f t="shared" si="375"/>
        <v>350</v>
      </c>
      <c r="BQ182" s="819">
        <f t="shared" si="375"/>
        <v>346</v>
      </c>
      <c r="BR182" s="753">
        <f t="shared" si="376"/>
        <v>-1.1000000000000001</v>
      </c>
      <c r="BS182" s="779">
        <v>3575</v>
      </c>
      <c r="BT182" s="779">
        <v>3093</v>
      </c>
      <c r="BU182" s="911">
        <f t="shared" si="377"/>
        <v>-13.5</v>
      </c>
    </row>
    <row r="183" spans="1:73">
      <c r="A183" s="4"/>
      <c r="B183" s="43" t="s">
        <v>423</v>
      </c>
      <c r="C183" s="188">
        <v>654</v>
      </c>
      <c r="D183" s="188">
        <v>626</v>
      </c>
      <c r="E183" s="188">
        <v>864</v>
      </c>
      <c r="F183" s="188">
        <v>1160</v>
      </c>
      <c r="G183" s="188">
        <v>1794</v>
      </c>
      <c r="H183" s="188">
        <v>2208</v>
      </c>
      <c r="I183" s="362">
        <v>2579</v>
      </c>
      <c r="J183" s="44">
        <v>2810</v>
      </c>
      <c r="K183" s="383">
        <v>263</v>
      </c>
      <c r="L183" s="390">
        <v>199</v>
      </c>
      <c r="M183" s="232">
        <f t="shared" si="342"/>
        <v>-24.3</v>
      </c>
      <c r="N183" s="383">
        <f t="shared" si="343"/>
        <v>163</v>
      </c>
      <c r="O183" s="390">
        <f t="shared" si="344"/>
        <v>231</v>
      </c>
      <c r="P183" s="242">
        <f t="shared" si="345"/>
        <v>41.7</v>
      </c>
      <c r="Q183" s="383">
        <v>426</v>
      </c>
      <c r="R183" s="390">
        <v>430</v>
      </c>
      <c r="S183" s="242">
        <f t="shared" si="346"/>
        <v>0.9</v>
      </c>
      <c r="T183" s="383">
        <f t="shared" si="347"/>
        <v>294</v>
      </c>
      <c r="U183" s="390">
        <f t="shared" si="348"/>
        <v>213</v>
      </c>
      <c r="V183" s="242">
        <f t="shared" si="349"/>
        <v>-27.6</v>
      </c>
      <c r="W183" s="383">
        <v>720</v>
      </c>
      <c r="X183" s="390">
        <v>643</v>
      </c>
      <c r="Y183" s="242">
        <f t="shared" si="350"/>
        <v>-10.7</v>
      </c>
      <c r="Z183" s="527">
        <f t="shared" si="351"/>
        <v>317</v>
      </c>
      <c r="AA183" s="390">
        <f t="shared" si="352"/>
        <v>175</v>
      </c>
      <c r="AB183" s="242">
        <f t="shared" si="353"/>
        <v>-44.8</v>
      </c>
      <c r="AC183" s="527">
        <v>1037</v>
      </c>
      <c r="AD183" s="390">
        <v>818</v>
      </c>
      <c r="AE183" s="242">
        <f t="shared" si="354"/>
        <v>-21.1</v>
      </c>
      <c r="AF183" s="527">
        <f t="shared" si="355"/>
        <v>181</v>
      </c>
      <c r="AG183" s="390">
        <f t="shared" si="355"/>
        <v>183</v>
      </c>
      <c r="AH183" s="242">
        <f t="shared" si="356"/>
        <v>1.1000000000000001</v>
      </c>
      <c r="AI183" s="527">
        <v>1218</v>
      </c>
      <c r="AJ183" s="390">
        <v>1001</v>
      </c>
      <c r="AK183" s="242">
        <f t="shared" si="357"/>
        <v>-17.8</v>
      </c>
      <c r="AL183" s="527">
        <f t="shared" si="358"/>
        <v>204</v>
      </c>
      <c r="AM183" s="390">
        <f t="shared" si="359"/>
        <v>233</v>
      </c>
      <c r="AN183" s="242">
        <f t="shared" si="360"/>
        <v>14.2</v>
      </c>
      <c r="AO183" s="779">
        <v>1422</v>
      </c>
      <c r="AP183" s="779">
        <v>1234</v>
      </c>
      <c r="AQ183" s="911">
        <f t="shared" si="361"/>
        <v>-13.2</v>
      </c>
      <c r="AR183" s="817">
        <f t="shared" si="362"/>
        <v>247</v>
      </c>
      <c r="AS183" s="819">
        <f t="shared" si="362"/>
        <v>293</v>
      </c>
      <c r="AT183" s="753">
        <f t="shared" si="363"/>
        <v>18.600000000000001</v>
      </c>
      <c r="AU183" s="975">
        <v>1669</v>
      </c>
      <c r="AV183" s="975">
        <v>1527</v>
      </c>
      <c r="AW183" s="911">
        <f t="shared" si="364"/>
        <v>-8.5</v>
      </c>
      <c r="AX183" s="817">
        <f t="shared" si="365"/>
        <v>271</v>
      </c>
      <c r="AY183" s="819">
        <f t="shared" si="366"/>
        <v>279</v>
      </c>
      <c r="AZ183" s="753">
        <f t="shared" si="367"/>
        <v>3</v>
      </c>
      <c r="BA183" s="779">
        <v>1940</v>
      </c>
      <c r="BB183" s="779">
        <v>1806</v>
      </c>
      <c r="BC183" s="911">
        <f t="shared" si="368"/>
        <v>-6.9</v>
      </c>
      <c r="BD183" s="817">
        <f t="shared" si="369"/>
        <v>213</v>
      </c>
      <c r="BE183" s="819">
        <f t="shared" si="369"/>
        <v>255</v>
      </c>
      <c r="BF183" s="753">
        <f t="shared" si="370"/>
        <v>19.7</v>
      </c>
      <c r="BG183" s="779">
        <v>2153</v>
      </c>
      <c r="BH183" s="779">
        <v>2061</v>
      </c>
      <c r="BI183" s="911">
        <f t="shared" si="371"/>
        <v>-4.3</v>
      </c>
      <c r="BJ183" s="817">
        <f t="shared" si="372"/>
        <v>274</v>
      </c>
      <c r="BK183" s="819">
        <f t="shared" si="372"/>
        <v>183</v>
      </c>
      <c r="BL183" s="753">
        <f t="shared" si="373"/>
        <v>-33.200000000000003</v>
      </c>
      <c r="BM183" s="779">
        <v>2427</v>
      </c>
      <c r="BN183" s="779">
        <v>2244</v>
      </c>
      <c r="BO183" s="911">
        <f t="shared" si="374"/>
        <v>-7.5</v>
      </c>
      <c r="BP183" s="817">
        <f t="shared" si="375"/>
        <v>248</v>
      </c>
      <c r="BQ183" s="819">
        <f t="shared" si="375"/>
        <v>135</v>
      </c>
      <c r="BR183" s="753">
        <f t="shared" si="376"/>
        <v>-45.6</v>
      </c>
      <c r="BS183" s="779">
        <v>2675</v>
      </c>
      <c r="BT183" s="779">
        <v>2379</v>
      </c>
      <c r="BU183" s="911">
        <f t="shared" si="377"/>
        <v>-11.1</v>
      </c>
    </row>
    <row r="184" spans="1:73">
      <c r="A184" s="4"/>
      <c r="B184" s="33" t="s">
        <v>424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39</v>
      </c>
      <c r="I184" s="377">
        <v>557</v>
      </c>
      <c r="J184" s="340">
        <v>2594</v>
      </c>
      <c r="K184" s="327">
        <v>153</v>
      </c>
      <c r="L184" s="388">
        <v>0</v>
      </c>
      <c r="M184" s="328">
        <f t="shared" si="342"/>
        <v>-100</v>
      </c>
      <c r="N184" s="327">
        <f t="shared" si="343"/>
        <v>153</v>
      </c>
      <c r="O184" s="388">
        <f t="shared" si="344"/>
        <v>115</v>
      </c>
      <c r="P184" s="328">
        <f t="shared" si="345"/>
        <v>-24.8</v>
      </c>
      <c r="Q184" s="327">
        <v>306</v>
      </c>
      <c r="R184" s="388">
        <v>115</v>
      </c>
      <c r="S184" s="328">
        <f t="shared" si="346"/>
        <v>-62.4</v>
      </c>
      <c r="T184" s="327">
        <f t="shared" si="347"/>
        <v>142</v>
      </c>
      <c r="U184" s="388">
        <f t="shared" si="348"/>
        <v>377</v>
      </c>
      <c r="V184" s="328">
        <f t="shared" si="349"/>
        <v>165.5</v>
      </c>
      <c r="W184" s="327">
        <v>448</v>
      </c>
      <c r="X184" s="388">
        <v>492</v>
      </c>
      <c r="Y184" s="328">
        <f t="shared" si="350"/>
        <v>9.8000000000000007</v>
      </c>
      <c r="Z184" s="327">
        <f t="shared" si="351"/>
        <v>157</v>
      </c>
      <c r="AA184" s="388">
        <f t="shared" si="352"/>
        <v>304</v>
      </c>
      <c r="AB184" s="328">
        <f t="shared" si="353"/>
        <v>93.6</v>
      </c>
      <c r="AC184" s="327">
        <v>605</v>
      </c>
      <c r="AD184" s="388">
        <v>796</v>
      </c>
      <c r="AE184" s="328">
        <f t="shared" si="354"/>
        <v>31.6</v>
      </c>
      <c r="AF184" s="327">
        <f t="shared" si="355"/>
        <v>301</v>
      </c>
      <c r="AG184" s="388">
        <f t="shared" si="355"/>
        <v>700</v>
      </c>
      <c r="AH184" s="328">
        <f t="shared" si="356"/>
        <v>132.6</v>
      </c>
      <c r="AI184" s="327">
        <v>906</v>
      </c>
      <c r="AJ184" s="388">
        <v>1496</v>
      </c>
      <c r="AK184" s="328">
        <f t="shared" si="357"/>
        <v>65.099999999999994</v>
      </c>
      <c r="AL184" s="327">
        <f t="shared" si="358"/>
        <v>220</v>
      </c>
      <c r="AM184" s="388">
        <f t="shared" si="359"/>
        <v>497</v>
      </c>
      <c r="AN184" s="328">
        <f t="shared" si="360"/>
        <v>125.9</v>
      </c>
      <c r="AO184" s="777">
        <v>1126</v>
      </c>
      <c r="AP184" s="779">
        <v>1993</v>
      </c>
      <c r="AQ184" s="912">
        <f t="shared" si="361"/>
        <v>77</v>
      </c>
      <c r="AR184" s="659">
        <f t="shared" si="362"/>
        <v>219</v>
      </c>
      <c r="AS184" s="767">
        <f t="shared" si="362"/>
        <v>351</v>
      </c>
      <c r="AT184" s="765">
        <f t="shared" si="363"/>
        <v>60.3</v>
      </c>
      <c r="AU184" s="976">
        <v>1345</v>
      </c>
      <c r="AV184" s="975">
        <v>2344</v>
      </c>
      <c r="AW184" s="912">
        <f t="shared" si="364"/>
        <v>74.3</v>
      </c>
      <c r="AX184" s="659">
        <f t="shared" si="365"/>
        <v>149</v>
      </c>
      <c r="AY184" s="767">
        <f t="shared" si="366"/>
        <v>270</v>
      </c>
      <c r="AZ184" s="765">
        <f t="shared" si="367"/>
        <v>81.2</v>
      </c>
      <c r="BA184" s="777">
        <v>1494</v>
      </c>
      <c r="BB184" s="779">
        <v>2614</v>
      </c>
      <c r="BC184" s="912">
        <f t="shared" si="368"/>
        <v>75</v>
      </c>
      <c r="BD184" s="659">
        <f t="shared" si="369"/>
        <v>274</v>
      </c>
      <c r="BE184" s="767">
        <f t="shared" si="369"/>
        <v>440</v>
      </c>
      <c r="BF184" s="765">
        <f t="shared" si="370"/>
        <v>60.6</v>
      </c>
      <c r="BG184" s="777">
        <v>1768</v>
      </c>
      <c r="BH184" s="779">
        <v>3054</v>
      </c>
      <c r="BI184" s="912">
        <f t="shared" si="371"/>
        <v>72.7</v>
      </c>
      <c r="BJ184" s="659">
        <f t="shared" si="372"/>
        <v>273</v>
      </c>
      <c r="BK184" s="767">
        <f t="shared" si="372"/>
        <v>612</v>
      </c>
      <c r="BL184" s="765">
        <f t="shared" si="373"/>
        <v>124.2</v>
      </c>
      <c r="BM184" s="777">
        <v>2041</v>
      </c>
      <c r="BN184" s="779">
        <v>3666</v>
      </c>
      <c r="BO184" s="912">
        <f t="shared" si="374"/>
        <v>79.599999999999994</v>
      </c>
      <c r="BP184" s="659">
        <f t="shared" si="375"/>
        <v>440</v>
      </c>
      <c r="BQ184" s="767">
        <f t="shared" si="375"/>
        <v>536</v>
      </c>
      <c r="BR184" s="765">
        <f t="shared" si="376"/>
        <v>21.8</v>
      </c>
      <c r="BS184" s="777">
        <v>2481</v>
      </c>
      <c r="BT184" s="779">
        <v>4202</v>
      </c>
      <c r="BU184" s="912">
        <f t="shared" si="377"/>
        <v>69.400000000000006</v>
      </c>
    </row>
    <row r="185" spans="1:73">
      <c r="A185" s="4"/>
      <c r="B185" s="33" t="s">
        <v>425</v>
      </c>
      <c r="C185" s="326">
        <v>3</v>
      </c>
      <c r="D185" s="326">
        <v>0</v>
      </c>
      <c r="E185" s="326">
        <v>1</v>
      </c>
      <c r="F185" s="326">
        <v>0</v>
      </c>
      <c r="G185" s="326">
        <v>0</v>
      </c>
      <c r="H185" s="326">
        <v>0</v>
      </c>
      <c r="I185" s="377">
        <v>473</v>
      </c>
      <c r="J185" s="340">
        <v>2278</v>
      </c>
      <c r="K185" s="327">
        <v>225</v>
      </c>
      <c r="L185" s="388">
        <v>321</v>
      </c>
      <c r="M185" s="232">
        <f t="shared" si="342"/>
        <v>42.7</v>
      </c>
      <c r="N185" s="327">
        <f t="shared" si="343"/>
        <v>123</v>
      </c>
      <c r="O185" s="388">
        <f t="shared" si="344"/>
        <v>395</v>
      </c>
      <c r="P185" s="242">
        <f t="shared" si="345"/>
        <v>221.1</v>
      </c>
      <c r="Q185" s="327">
        <v>348</v>
      </c>
      <c r="R185" s="388">
        <v>716</v>
      </c>
      <c r="S185" s="242">
        <f t="shared" si="346"/>
        <v>105.7</v>
      </c>
      <c r="T185" s="327">
        <f t="shared" si="347"/>
        <v>99</v>
      </c>
      <c r="U185" s="388">
        <f t="shared" si="348"/>
        <v>744</v>
      </c>
      <c r="V185" s="242">
        <f t="shared" si="349"/>
        <v>651.5</v>
      </c>
      <c r="W185" s="327">
        <v>447</v>
      </c>
      <c r="X185" s="388">
        <v>1460</v>
      </c>
      <c r="Y185" s="242">
        <f t="shared" si="350"/>
        <v>226.6</v>
      </c>
      <c r="Z185" s="327">
        <f t="shared" si="351"/>
        <v>179</v>
      </c>
      <c r="AA185" s="388">
        <f t="shared" si="352"/>
        <v>579</v>
      </c>
      <c r="AB185" s="242">
        <f t="shared" si="353"/>
        <v>223.5</v>
      </c>
      <c r="AC185" s="327">
        <v>626</v>
      </c>
      <c r="AD185" s="388">
        <v>2039</v>
      </c>
      <c r="AE185" s="242">
        <f t="shared" si="354"/>
        <v>225.7</v>
      </c>
      <c r="AF185" s="327">
        <f t="shared" si="355"/>
        <v>63</v>
      </c>
      <c r="AG185" s="388">
        <f t="shared" si="355"/>
        <v>376</v>
      </c>
      <c r="AH185" s="242">
        <f t="shared" si="356"/>
        <v>496.8</v>
      </c>
      <c r="AI185" s="327">
        <v>689</v>
      </c>
      <c r="AJ185" s="388">
        <v>2415</v>
      </c>
      <c r="AK185" s="242">
        <f t="shared" si="357"/>
        <v>250.5</v>
      </c>
      <c r="AL185" s="327">
        <f t="shared" si="358"/>
        <v>69</v>
      </c>
      <c r="AM185" s="388">
        <f t="shared" si="359"/>
        <v>523</v>
      </c>
      <c r="AN185" s="242">
        <f t="shared" si="360"/>
        <v>658</v>
      </c>
      <c r="AO185" s="777">
        <v>758</v>
      </c>
      <c r="AP185" s="779">
        <v>2938</v>
      </c>
      <c r="AQ185" s="911">
        <f t="shared" si="361"/>
        <v>287.60000000000002</v>
      </c>
      <c r="AR185" s="659">
        <f t="shared" si="362"/>
        <v>188</v>
      </c>
      <c r="AS185" s="767">
        <f t="shared" si="362"/>
        <v>739</v>
      </c>
      <c r="AT185" s="753">
        <f t="shared" si="363"/>
        <v>293.10000000000002</v>
      </c>
      <c r="AU185" s="976">
        <v>946</v>
      </c>
      <c r="AV185" s="975">
        <v>3677</v>
      </c>
      <c r="AW185" s="911">
        <f t="shared" si="364"/>
        <v>288.7</v>
      </c>
      <c r="AX185" s="659">
        <f t="shared" si="365"/>
        <v>330</v>
      </c>
      <c r="AY185" s="767">
        <f t="shared" si="366"/>
        <v>757</v>
      </c>
      <c r="AZ185" s="753">
        <f t="shared" si="367"/>
        <v>129.4</v>
      </c>
      <c r="BA185" s="777">
        <v>1276</v>
      </c>
      <c r="BB185" s="779">
        <v>4434</v>
      </c>
      <c r="BC185" s="911">
        <f t="shared" si="368"/>
        <v>247.5</v>
      </c>
      <c r="BD185" s="659">
        <f t="shared" si="369"/>
        <v>274</v>
      </c>
      <c r="BE185" s="767">
        <f t="shared" si="369"/>
        <v>1161</v>
      </c>
      <c r="BF185" s="753">
        <f t="shared" si="370"/>
        <v>323.7</v>
      </c>
      <c r="BG185" s="777">
        <v>1550</v>
      </c>
      <c r="BH185" s="779">
        <v>5595</v>
      </c>
      <c r="BI185" s="911">
        <f t="shared" si="371"/>
        <v>261</v>
      </c>
      <c r="BJ185" s="659">
        <f t="shared" si="372"/>
        <v>286</v>
      </c>
      <c r="BK185" s="767">
        <f t="shared" si="372"/>
        <v>1148</v>
      </c>
      <c r="BL185" s="753">
        <f t="shared" si="373"/>
        <v>301.39999999999998</v>
      </c>
      <c r="BM185" s="777">
        <v>1836</v>
      </c>
      <c r="BN185" s="779">
        <v>6743</v>
      </c>
      <c r="BO185" s="911">
        <f t="shared" si="374"/>
        <v>267.3</v>
      </c>
      <c r="BP185" s="659">
        <f t="shared" si="375"/>
        <v>237</v>
      </c>
      <c r="BQ185" s="767">
        <f t="shared" si="375"/>
        <v>1122</v>
      </c>
      <c r="BR185" s="753">
        <f t="shared" si="376"/>
        <v>373.4</v>
      </c>
      <c r="BS185" s="777">
        <v>2073</v>
      </c>
      <c r="BT185" s="779">
        <v>7865</v>
      </c>
      <c r="BU185" s="911">
        <f t="shared" si="377"/>
        <v>279.39999999999998</v>
      </c>
    </row>
    <row r="186" spans="1:73">
      <c r="A186" s="4"/>
      <c r="B186" s="43" t="s">
        <v>56</v>
      </c>
      <c r="C186" s="188">
        <v>2087</v>
      </c>
      <c r="D186" s="188">
        <v>1093</v>
      </c>
      <c r="E186" s="188">
        <v>2245</v>
      </c>
      <c r="F186" s="188">
        <v>2678</v>
      </c>
      <c r="G186" s="188">
        <v>2569</v>
      </c>
      <c r="H186" s="188">
        <v>3228</v>
      </c>
      <c r="I186" s="362">
        <v>3905</v>
      </c>
      <c r="J186" s="44">
        <v>1991</v>
      </c>
      <c r="K186" s="383">
        <v>287</v>
      </c>
      <c r="L186" s="390">
        <v>85</v>
      </c>
      <c r="M186" s="232">
        <f t="shared" si="342"/>
        <v>-70.400000000000006</v>
      </c>
      <c r="N186" s="383">
        <f t="shared" si="343"/>
        <v>256</v>
      </c>
      <c r="O186" s="390">
        <f t="shared" si="344"/>
        <v>129</v>
      </c>
      <c r="P186" s="242">
        <f t="shared" si="345"/>
        <v>-49.6</v>
      </c>
      <c r="Q186" s="383">
        <v>543</v>
      </c>
      <c r="R186" s="390">
        <v>214</v>
      </c>
      <c r="S186" s="242">
        <f t="shared" si="346"/>
        <v>-60.6</v>
      </c>
      <c r="T186" s="383">
        <f t="shared" si="347"/>
        <v>157</v>
      </c>
      <c r="U186" s="390">
        <f t="shared" si="348"/>
        <v>57</v>
      </c>
      <c r="V186" s="242">
        <f t="shared" si="349"/>
        <v>-63.7</v>
      </c>
      <c r="W186" s="383">
        <v>700</v>
      </c>
      <c r="X186" s="390">
        <v>271</v>
      </c>
      <c r="Y186" s="242">
        <f t="shared" si="350"/>
        <v>-61.3</v>
      </c>
      <c r="Z186" s="527">
        <f t="shared" si="351"/>
        <v>275</v>
      </c>
      <c r="AA186" s="390">
        <f t="shared" si="352"/>
        <v>310</v>
      </c>
      <c r="AB186" s="242">
        <f t="shared" si="353"/>
        <v>12.7</v>
      </c>
      <c r="AC186" s="527">
        <v>975</v>
      </c>
      <c r="AD186" s="390">
        <v>581</v>
      </c>
      <c r="AE186" s="242">
        <f t="shared" si="354"/>
        <v>-40.4</v>
      </c>
      <c r="AF186" s="527">
        <f t="shared" si="355"/>
        <v>261</v>
      </c>
      <c r="AG186" s="390">
        <f t="shared" si="355"/>
        <v>170</v>
      </c>
      <c r="AH186" s="242">
        <f t="shared" si="356"/>
        <v>-34.9</v>
      </c>
      <c r="AI186" s="527">
        <v>1236</v>
      </c>
      <c r="AJ186" s="390">
        <v>751</v>
      </c>
      <c r="AK186" s="242">
        <f t="shared" si="357"/>
        <v>-39.200000000000003</v>
      </c>
      <c r="AL186" s="527">
        <f t="shared" si="358"/>
        <v>139</v>
      </c>
      <c r="AM186" s="390">
        <f t="shared" si="359"/>
        <v>241</v>
      </c>
      <c r="AN186" s="242">
        <f t="shared" si="360"/>
        <v>73.400000000000006</v>
      </c>
      <c r="AO186" s="779">
        <v>1375</v>
      </c>
      <c r="AP186" s="779">
        <v>992</v>
      </c>
      <c r="AQ186" s="911">
        <f t="shared" si="361"/>
        <v>-27.9</v>
      </c>
      <c r="AR186" s="817">
        <f t="shared" si="362"/>
        <v>113</v>
      </c>
      <c r="AS186" s="819">
        <f t="shared" si="362"/>
        <v>116</v>
      </c>
      <c r="AT186" s="753">
        <f t="shared" si="363"/>
        <v>2.7</v>
      </c>
      <c r="AU186" s="975">
        <v>1488</v>
      </c>
      <c r="AV186" s="975">
        <v>1108</v>
      </c>
      <c r="AW186" s="911">
        <f t="shared" si="364"/>
        <v>-25.5</v>
      </c>
      <c r="AX186" s="817">
        <f t="shared" si="365"/>
        <v>109</v>
      </c>
      <c r="AY186" s="819">
        <f t="shared" si="366"/>
        <v>177</v>
      </c>
      <c r="AZ186" s="753">
        <f t="shared" si="367"/>
        <v>62.4</v>
      </c>
      <c r="BA186" s="779">
        <v>1597</v>
      </c>
      <c r="BB186" s="779">
        <v>1285</v>
      </c>
      <c r="BC186" s="911">
        <f t="shared" si="368"/>
        <v>-19.5</v>
      </c>
      <c r="BD186" s="817">
        <f t="shared" si="369"/>
        <v>132</v>
      </c>
      <c r="BE186" s="819">
        <f t="shared" si="369"/>
        <v>236</v>
      </c>
      <c r="BF186" s="753">
        <f t="shared" si="370"/>
        <v>78.8</v>
      </c>
      <c r="BG186" s="779">
        <v>1729</v>
      </c>
      <c r="BH186" s="779">
        <v>1521</v>
      </c>
      <c r="BI186" s="911">
        <f t="shared" si="371"/>
        <v>-12</v>
      </c>
      <c r="BJ186" s="817">
        <f t="shared" si="372"/>
        <v>129</v>
      </c>
      <c r="BK186" s="819">
        <f t="shared" si="372"/>
        <v>227</v>
      </c>
      <c r="BL186" s="753">
        <f t="shared" si="373"/>
        <v>76</v>
      </c>
      <c r="BM186" s="779">
        <v>1858</v>
      </c>
      <c r="BN186" s="779">
        <v>1748</v>
      </c>
      <c r="BO186" s="911">
        <f t="shared" si="374"/>
        <v>-5.9</v>
      </c>
      <c r="BP186" s="659">
        <f t="shared" si="375"/>
        <v>69</v>
      </c>
      <c r="BQ186" s="819">
        <f t="shared" si="375"/>
        <v>252</v>
      </c>
      <c r="BR186" s="753">
        <f t="shared" si="376"/>
        <v>265.2</v>
      </c>
      <c r="BS186" s="779">
        <v>1927</v>
      </c>
      <c r="BT186" s="779">
        <v>2000</v>
      </c>
      <c r="BU186" s="911">
        <f t="shared" si="377"/>
        <v>3.8</v>
      </c>
    </row>
    <row r="187" spans="1:73">
      <c r="A187" s="4"/>
      <c r="B187" s="43" t="s">
        <v>53</v>
      </c>
      <c r="C187" s="188">
        <v>204</v>
      </c>
      <c r="D187" s="188">
        <v>200</v>
      </c>
      <c r="E187" s="188">
        <v>285</v>
      </c>
      <c r="F187" s="188">
        <v>564</v>
      </c>
      <c r="G187" s="188">
        <v>976</v>
      </c>
      <c r="H187" s="188">
        <v>623</v>
      </c>
      <c r="I187" s="362">
        <v>947</v>
      </c>
      <c r="J187" s="44">
        <v>942</v>
      </c>
      <c r="K187" s="383">
        <v>73</v>
      </c>
      <c r="L187" s="390">
        <v>114</v>
      </c>
      <c r="M187" s="232">
        <f t="shared" si="342"/>
        <v>56.2</v>
      </c>
      <c r="N187" s="383">
        <f t="shared" si="343"/>
        <v>93</v>
      </c>
      <c r="O187" s="390">
        <f t="shared" si="344"/>
        <v>123</v>
      </c>
      <c r="P187" s="242">
        <f t="shared" si="345"/>
        <v>32.299999999999997</v>
      </c>
      <c r="Q187" s="383">
        <v>166</v>
      </c>
      <c r="R187" s="390">
        <v>237</v>
      </c>
      <c r="S187" s="242">
        <f t="shared" si="346"/>
        <v>42.8</v>
      </c>
      <c r="T187" s="383">
        <f t="shared" si="347"/>
        <v>114</v>
      </c>
      <c r="U187" s="390">
        <f t="shared" si="348"/>
        <v>158</v>
      </c>
      <c r="V187" s="242">
        <f t="shared" si="349"/>
        <v>38.6</v>
      </c>
      <c r="W187" s="383">
        <v>280</v>
      </c>
      <c r="X187" s="390">
        <v>395</v>
      </c>
      <c r="Y187" s="242">
        <f t="shared" si="350"/>
        <v>41.1</v>
      </c>
      <c r="Z187" s="527">
        <f t="shared" si="351"/>
        <v>46</v>
      </c>
      <c r="AA187" s="390">
        <f t="shared" si="352"/>
        <v>46</v>
      </c>
      <c r="AB187" s="242">
        <f t="shared" si="353"/>
        <v>0</v>
      </c>
      <c r="AC187" s="527">
        <v>326</v>
      </c>
      <c r="AD187" s="390">
        <v>441</v>
      </c>
      <c r="AE187" s="242">
        <f t="shared" si="354"/>
        <v>35.299999999999997</v>
      </c>
      <c r="AF187" s="527">
        <f t="shared" si="355"/>
        <v>74</v>
      </c>
      <c r="AG187" s="390">
        <f t="shared" si="355"/>
        <v>6</v>
      </c>
      <c r="AH187" s="242">
        <f t="shared" si="356"/>
        <v>-91.9</v>
      </c>
      <c r="AI187" s="527">
        <v>400</v>
      </c>
      <c r="AJ187" s="390">
        <v>447</v>
      </c>
      <c r="AK187" s="242">
        <f t="shared" si="357"/>
        <v>11.8</v>
      </c>
      <c r="AL187" s="527">
        <f t="shared" si="358"/>
        <v>36</v>
      </c>
      <c r="AM187" s="390">
        <f t="shared" si="359"/>
        <v>109</v>
      </c>
      <c r="AN187" s="242">
        <f t="shared" si="360"/>
        <v>202.8</v>
      </c>
      <c r="AO187" s="779">
        <v>436</v>
      </c>
      <c r="AP187" s="779">
        <v>556</v>
      </c>
      <c r="AQ187" s="911">
        <f t="shared" si="361"/>
        <v>27.5</v>
      </c>
      <c r="AR187" s="817">
        <f t="shared" si="362"/>
        <v>67</v>
      </c>
      <c r="AS187" s="819">
        <f t="shared" si="362"/>
        <v>104</v>
      </c>
      <c r="AT187" s="753">
        <f t="shared" si="363"/>
        <v>55.2</v>
      </c>
      <c r="AU187" s="975">
        <v>503</v>
      </c>
      <c r="AV187" s="975">
        <v>660</v>
      </c>
      <c r="AW187" s="911">
        <f t="shared" si="364"/>
        <v>31.2</v>
      </c>
      <c r="AX187" s="817">
        <f t="shared" si="365"/>
        <v>96</v>
      </c>
      <c r="AY187" s="819">
        <f t="shared" si="366"/>
        <v>111</v>
      </c>
      <c r="AZ187" s="753">
        <f t="shared" si="367"/>
        <v>15.6</v>
      </c>
      <c r="BA187" s="779">
        <v>599</v>
      </c>
      <c r="BB187" s="779">
        <v>771</v>
      </c>
      <c r="BC187" s="911">
        <f t="shared" si="368"/>
        <v>28.7</v>
      </c>
      <c r="BD187" s="817">
        <f t="shared" si="369"/>
        <v>54</v>
      </c>
      <c r="BE187" s="819">
        <f t="shared" si="369"/>
        <v>84</v>
      </c>
      <c r="BF187" s="753">
        <f t="shared" si="370"/>
        <v>55.6</v>
      </c>
      <c r="BG187" s="779">
        <v>653</v>
      </c>
      <c r="BH187" s="779">
        <v>855</v>
      </c>
      <c r="BI187" s="911">
        <f t="shared" si="371"/>
        <v>30.9</v>
      </c>
      <c r="BJ187" s="817">
        <f t="shared" si="372"/>
        <v>67</v>
      </c>
      <c r="BK187" s="819">
        <f t="shared" si="372"/>
        <v>117</v>
      </c>
      <c r="BL187" s="753">
        <f t="shared" si="373"/>
        <v>74.599999999999994</v>
      </c>
      <c r="BM187" s="779">
        <v>720</v>
      </c>
      <c r="BN187" s="779">
        <v>972</v>
      </c>
      <c r="BO187" s="911">
        <f t="shared" si="374"/>
        <v>35</v>
      </c>
      <c r="BP187" s="659">
        <f t="shared" si="375"/>
        <v>97</v>
      </c>
      <c r="BQ187" s="819">
        <f t="shared" si="375"/>
        <v>139</v>
      </c>
      <c r="BR187" s="753">
        <f t="shared" si="376"/>
        <v>43.3</v>
      </c>
      <c r="BS187" s="779">
        <v>817</v>
      </c>
      <c r="BT187" s="779">
        <v>1111</v>
      </c>
      <c r="BU187" s="911">
        <f t="shared" si="377"/>
        <v>36</v>
      </c>
    </row>
    <row r="188" spans="1:73">
      <c r="A188" s="4"/>
      <c r="B188" s="43" t="s">
        <v>57</v>
      </c>
      <c r="C188" s="188">
        <v>1213</v>
      </c>
      <c r="D188" s="188">
        <v>596</v>
      </c>
      <c r="E188" s="188">
        <v>498</v>
      </c>
      <c r="F188" s="188">
        <v>349</v>
      </c>
      <c r="G188" s="188">
        <v>472</v>
      </c>
      <c r="H188" s="188">
        <v>589</v>
      </c>
      <c r="I188" s="362">
        <v>682</v>
      </c>
      <c r="J188" s="44">
        <v>873</v>
      </c>
      <c r="K188" s="383">
        <v>92</v>
      </c>
      <c r="L188" s="390">
        <v>66</v>
      </c>
      <c r="M188" s="232">
        <f t="shared" si="342"/>
        <v>-28.3</v>
      </c>
      <c r="N188" s="383">
        <f t="shared" si="343"/>
        <v>52</v>
      </c>
      <c r="O188" s="390">
        <f t="shared" si="344"/>
        <v>47</v>
      </c>
      <c r="P188" s="242">
        <f t="shared" si="345"/>
        <v>-9.6</v>
      </c>
      <c r="Q188" s="383">
        <v>144</v>
      </c>
      <c r="R188" s="390">
        <v>113</v>
      </c>
      <c r="S188" s="242">
        <f t="shared" si="346"/>
        <v>-21.5</v>
      </c>
      <c r="T188" s="383">
        <f t="shared" si="347"/>
        <v>58</v>
      </c>
      <c r="U188" s="390">
        <f t="shared" si="348"/>
        <v>83</v>
      </c>
      <c r="V188" s="242">
        <f t="shared" si="349"/>
        <v>43.1</v>
      </c>
      <c r="W188" s="383">
        <v>202</v>
      </c>
      <c r="X188" s="390">
        <v>196</v>
      </c>
      <c r="Y188" s="242">
        <f t="shared" si="350"/>
        <v>-3</v>
      </c>
      <c r="Z188" s="527">
        <f t="shared" si="351"/>
        <v>138</v>
      </c>
      <c r="AA188" s="390">
        <f t="shared" si="352"/>
        <v>77</v>
      </c>
      <c r="AB188" s="242">
        <f t="shared" si="353"/>
        <v>-44.2</v>
      </c>
      <c r="AC188" s="527">
        <v>340</v>
      </c>
      <c r="AD188" s="390">
        <v>273</v>
      </c>
      <c r="AE188" s="242">
        <f t="shared" si="354"/>
        <v>-19.7</v>
      </c>
      <c r="AF188" s="527">
        <f t="shared" si="355"/>
        <v>53</v>
      </c>
      <c r="AG188" s="390">
        <f t="shared" si="355"/>
        <v>87</v>
      </c>
      <c r="AH188" s="242">
        <f t="shared" si="356"/>
        <v>64.2</v>
      </c>
      <c r="AI188" s="527">
        <v>393</v>
      </c>
      <c r="AJ188" s="390">
        <v>360</v>
      </c>
      <c r="AK188" s="242">
        <f t="shared" si="357"/>
        <v>-8.4</v>
      </c>
      <c r="AL188" s="527">
        <f t="shared" si="358"/>
        <v>56</v>
      </c>
      <c r="AM188" s="390">
        <f t="shared" si="359"/>
        <v>76</v>
      </c>
      <c r="AN188" s="242">
        <f t="shared" si="360"/>
        <v>35.700000000000003</v>
      </c>
      <c r="AO188" s="779">
        <v>449</v>
      </c>
      <c r="AP188" s="779">
        <v>436</v>
      </c>
      <c r="AQ188" s="911">
        <f t="shared" si="361"/>
        <v>-2.9</v>
      </c>
      <c r="AR188" s="817">
        <f t="shared" si="362"/>
        <v>81</v>
      </c>
      <c r="AS188" s="819">
        <f t="shared" si="362"/>
        <v>68</v>
      </c>
      <c r="AT188" s="753">
        <f t="shared" si="363"/>
        <v>-16</v>
      </c>
      <c r="AU188" s="975">
        <v>530</v>
      </c>
      <c r="AV188" s="975">
        <v>504</v>
      </c>
      <c r="AW188" s="911">
        <f t="shared" si="364"/>
        <v>-4.9000000000000004</v>
      </c>
      <c r="AX188" s="817">
        <f t="shared" si="365"/>
        <v>65</v>
      </c>
      <c r="AY188" s="819">
        <f t="shared" si="366"/>
        <v>60</v>
      </c>
      <c r="AZ188" s="753">
        <f t="shared" si="367"/>
        <v>-7.7</v>
      </c>
      <c r="BA188" s="779">
        <v>595</v>
      </c>
      <c r="BB188" s="779">
        <v>564</v>
      </c>
      <c r="BC188" s="911">
        <f t="shared" si="368"/>
        <v>-5.2</v>
      </c>
      <c r="BD188" s="817">
        <f t="shared" si="369"/>
        <v>51</v>
      </c>
      <c r="BE188" s="819">
        <f t="shared" si="369"/>
        <v>58</v>
      </c>
      <c r="BF188" s="753">
        <f t="shared" si="370"/>
        <v>13.7</v>
      </c>
      <c r="BG188" s="779">
        <v>646</v>
      </c>
      <c r="BH188" s="779">
        <v>622</v>
      </c>
      <c r="BI188" s="911">
        <f t="shared" si="371"/>
        <v>-3.7</v>
      </c>
      <c r="BJ188" s="817">
        <f t="shared" si="372"/>
        <v>92</v>
      </c>
      <c r="BK188" s="819">
        <f t="shared" si="372"/>
        <v>74</v>
      </c>
      <c r="BL188" s="753">
        <f t="shared" si="373"/>
        <v>-19.600000000000001</v>
      </c>
      <c r="BM188" s="779">
        <v>738</v>
      </c>
      <c r="BN188" s="779">
        <v>696</v>
      </c>
      <c r="BO188" s="911">
        <f t="shared" si="374"/>
        <v>-5.7</v>
      </c>
      <c r="BP188" s="659">
        <f t="shared" si="375"/>
        <v>59</v>
      </c>
      <c r="BQ188" s="819">
        <f t="shared" si="375"/>
        <v>94</v>
      </c>
      <c r="BR188" s="753">
        <f t="shared" si="376"/>
        <v>59.3</v>
      </c>
      <c r="BS188" s="779">
        <v>797</v>
      </c>
      <c r="BT188" s="779">
        <v>790</v>
      </c>
      <c r="BU188" s="911">
        <f t="shared" si="377"/>
        <v>-0.9</v>
      </c>
    </row>
    <row r="189" spans="1:73" s="173" customFormat="1">
      <c r="A189" s="325"/>
      <c r="B189" s="33" t="s">
        <v>426</v>
      </c>
      <c r="C189" s="326">
        <v>147</v>
      </c>
      <c r="D189" s="326">
        <v>148</v>
      </c>
      <c r="E189" s="326">
        <v>106</v>
      </c>
      <c r="F189" s="326">
        <v>197</v>
      </c>
      <c r="G189" s="326">
        <v>138</v>
      </c>
      <c r="H189" s="326">
        <v>169</v>
      </c>
      <c r="I189" s="377">
        <v>179</v>
      </c>
      <c r="J189" s="340">
        <v>812</v>
      </c>
      <c r="K189" s="327">
        <v>0</v>
      </c>
      <c r="L189" s="388">
        <v>0</v>
      </c>
      <c r="M189" s="177">
        <v>0</v>
      </c>
      <c r="N189" s="327">
        <f t="shared" si="343"/>
        <v>60</v>
      </c>
      <c r="O189" s="388">
        <f t="shared" si="344"/>
        <v>0</v>
      </c>
      <c r="P189" s="242">
        <f>ROUND(((O189/N189-1)*100), 1)</f>
        <v>-100</v>
      </c>
      <c r="Q189" s="327">
        <v>60</v>
      </c>
      <c r="R189" s="388">
        <v>0</v>
      </c>
      <c r="S189" s="242">
        <f>ROUND(((R189/Q189-1)*100), 1)</f>
        <v>-100</v>
      </c>
      <c r="T189" s="327">
        <f t="shared" si="347"/>
        <v>197</v>
      </c>
      <c r="U189" s="388">
        <f t="shared" si="348"/>
        <v>0</v>
      </c>
      <c r="V189" s="242">
        <f>ROUND(((U189/T189-1)*100), 1)</f>
        <v>-100</v>
      </c>
      <c r="W189" s="327">
        <v>257</v>
      </c>
      <c r="X189" s="388">
        <v>0</v>
      </c>
      <c r="Y189" s="242">
        <f>ROUND(((X189/W189-1)*100), 1)</f>
        <v>-100</v>
      </c>
      <c r="Z189" s="327">
        <f t="shared" si="351"/>
        <v>120</v>
      </c>
      <c r="AA189" s="388">
        <f t="shared" si="352"/>
        <v>0</v>
      </c>
      <c r="AB189" s="242">
        <f>ROUND(((AA189/Z189-1)*100), 1)</f>
        <v>-100</v>
      </c>
      <c r="AC189" s="327">
        <v>377</v>
      </c>
      <c r="AD189" s="388">
        <v>0</v>
      </c>
      <c r="AE189" s="242">
        <f>ROUND(((AD189/AC189-1)*100), 1)</f>
        <v>-100</v>
      </c>
      <c r="AF189" s="327">
        <f t="shared" si="355"/>
        <v>106</v>
      </c>
      <c r="AG189" s="388">
        <f t="shared" si="355"/>
        <v>0</v>
      </c>
      <c r="AH189" s="242">
        <f>ROUND(((AG189/AF189-1)*100), 1)</f>
        <v>-100</v>
      </c>
      <c r="AI189" s="327">
        <v>483</v>
      </c>
      <c r="AJ189" s="388">
        <v>0</v>
      </c>
      <c r="AK189" s="242">
        <f>ROUND(((AJ189/AI189-1)*100), 1)</f>
        <v>-100</v>
      </c>
      <c r="AL189" s="327">
        <f t="shared" si="358"/>
        <v>137</v>
      </c>
      <c r="AM189" s="388">
        <f t="shared" si="359"/>
        <v>0</v>
      </c>
      <c r="AN189" s="242">
        <f>ROUND(((AM189/AL189-1)*100), 1)</f>
        <v>-100</v>
      </c>
      <c r="AO189" s="777">
        <v>620</v>
      </c>
      <c r="AP189" s="779">
        <v>0</v>
      </c>
      <c r="AQ189" s="911">
        <f>ROUND(((AP189/AO189-1)*100), 1)</f>
        <v>-100</v>
      </c>
      <c r="AR189" s="659">
        <f t="shared" si="362"/>
        <v>192</v>
      </c>
      <c r="AS189" s="767">
        <f t="shared" si="362"/>
        <v>0</v>
      </c>
      <c r="AT189" s="753">
        <f>ROUND(((AS189/AR189-1)*100), 1)</f>
        <v>-100</v>
      </c>
      <c r="AU189" s="976">
        <v>812</v>
      </c>
      <c r="AV189" s="975">
        <v>0</v>
      </c>
      <c r="AW189" s="911">
        <f>ROUND(((AV189/AU189-1)*100), 1)</f>
        <v>-100</v>
      </c>
      <c r="AX189" s="659">
        <f t="shared" si="365"/>
        <v>0</v>
      </c>
      <c r="AY189" s="767">
        <f t="shared" si="366"/>
        <v>293</v>
      </c>
      <c r="AZ189" s="799">
        <v>0</v>
      </c>
      <c r="BA189" s="777">
        <v>812</v>
      </c>
      <c r="BB189" s="779">
        <v>293</v>
      </c>
      <c r="BC189" s="911">
        <f>ROUND(((BB189/BA189-1)*100), 1)</f>
        <v>-63.9</v>
      </c>
      <c r="BD189" s="659">
        <f t="shared" si="369"/>
        <v>0</v>
      </c>
      <c r="BE189" s="767">
        <f t="shared" si="369"/>
        <v>61</v>
      </c>
      <c r="BF189" s="799">
        <v>0</v>
      </c>
      <c r="BG189" s="777">
        <v>812</v>
      </c>
      <c r="BH189" s="779">
        <v>354</v>
      </c>
      <c r="BI189" s="911">
        <f>ROUND(((BH189/BG189-1)*100), 1)</f>
        <v>-56.4</v>
      </c>
      <c r="BJ189" s="659">
        <f t="shared" si="372"/>
        <v>0</v>
      </c>
      <c r="BK189" s="767">
        <f t="shared" si="372"/>
        <v>0</v>
      </c>
      <c r="BL189" s="799">
        <v>0</v>
      </c>
      <c r="BM189" s="777">
        <v>812</v>
      </c>
      <c r="BN189" s="779">
        <v>354</v>
      </c>
      <c r="BO189" s="911">
        <f>ROUND(((BN189/BM189-1)*100), 1)</f>
        <v>-56.4</v>
      </c>
      <c r="BP189" s="659">
        <f t="shared" si="375"/>
        <v>0</v>
      </c>
      <c r="BQ189" s="767">
        <f t="shared" si="375"/>
        <v>0</v>
      </c>
      <c r="BR189" s="799">
        <v>0</v>
      </c>
      <c r="BS189" s="777">
        <v>812</v>
      </c>
      <c r="BT189" s="779">
        <v>354</v>
      </c>
      <c r="BU189" s="911">
        <f>ROUND(((BT189/BS189-1)*100), 1)</f>
        <v>-56.4</v>
      </c>
    </row>
    <row r="190" spans="1:73" s="173" customFormat="1">
      <c r="A190" s="325"/>
      <c r="B190" s="43" t="s">
        <v>52</v>
      </c>
      <c r="C190" s="188">
        <v>609</v>
      </c>
      <c r="D190" s="188">
        <v>913</v>
      </c>
      <c r="E190" s="188">
        <v>768</v>
      </c>
      <c r="F190" s="188">
        <v>631</v>
      </c>
      <c r="G190" s="188">
        <v>710</v>
      </c>
      <c r="H190" s="188">
        <v>644</v>
      </c>
      <c r="I190" s="362">
        <v>663</v>
      </c>
      <c r="J190" s="44">
        <v>689</v>
      </c>
      <c r="K190" s="383">
        <v>70</v>
      </c>
      <c r="L190" s="390">
        <v>44</v>
      </c>
      <c r="M190" s="242">
        <f t="shared" ref="M190:M197" si="378">ROUND(((L190/K190-1)*100), 1)</f>
        <v>-37.1</v>
      </c>
      <c r="N190" s="383">
        <f t="shared" si="343"/>
        <v>36</v>
      </c>
      <c r="O190" s="390">
        <f t="shared" si="344"/>
        <v>45</v>
      </c>
      <c r="P190" s="242">
        <f t="shared" ref="P190:P196" si="379">ROUND(((O190/N190-1)*100), 1)</f>
        <v>25</v>
      </c>
      <c r="Q190" s="383">
        <v>106</v>
      </c>
      <c r="R190" s="390">
        <v>89</v>
      </c>
      <c r="S190" s="242">
        <f t="shared" ref="S190:S197" si="380">ROUND(((R190/Q190-1)*100), 1)</f>
        <v>-16</v>
      </c>
      <c r="T190" s="383">
        <f t="shared" si="347"/>
        <v>60</v>
      </c>
      <c r="U190" s="390">
        <f t="shared" si="348"/>
        <v>88</v>
      </c>
      <c r="V190" s="242">
        <f t="shared" ref="V190:V196" si="381">ROUND(((U190/T190-1)*100), 1)</f>
        <v>46.7</v>
      </c>
      <c r="W190" s="383">
        <v>166</v>
      </c>
      <c r="X190" s="390">
        <v>177</v>
      </c>
      <c r="Y190" s="242">
        <f t="shared" ref="Y190:Y197" si="382">ROUND(((X190/W190-1)*100), 1)</f>
        <v>6.6</v>
      </c>
      <c r="Z190" s="527">
        <f t="shared" si="351"/>
        <v>61</v>
      </c>
      <c r="AA190" s="390">
        <f t="shared" si="352"/>
        <v>27</v>
      </c>
      <c r="AB190" s="242">
        <f t="shared" ref="AB190:AB196" si="383">ROUND(((AA190/Z190-1)*100), 1)</f>
        <v>-55.7</v>
      </c>
      <c r="AC190" s="527">
        <v>227</v>
      </c>
      <c r="AD190" s="390">
        <v>204</v>
      </c>
      <c r="AE190" s="242">
        <f t="shared" ref="AE190:AE197" si="384">ROUND(((AD190/AC190-1)*100), 1)</f>
        <v>-10.1</v>
      </c>
      <c r="AF190" s="527">
        <f t="shared" si="355"/>
        <v>64</v>
      </c>
      <c r="AG190" s="390">
        <f t="shared" si="355"/>
        <v>0</v>
      </c>
      <c r="AH190" s="242">
        <f t="shared" ref="AH190:AH197" si="385">ROUND(((AG190/AF190-1)*100), 1)</f>
        <v>-100</v>
      </c>
      <c r="AI190" s="527">
        <v>291</v>
      </c>
      <c r="AJ190" s="390">
        <v>204</v>
      </c>
      <c r="AK190" s="242">
        <f t="shared" ref="AK190:AK197" si="386">ROUND(((AJ190/AI190-1)*100), 1)</f>
        <v>-29.9</v>
      </c>
      <c r="AL190" s="527">
        <f t="shared" si="358"/>
        <v>116</v>
      </c>
      <c r="AM190" s="390">
        <f t="shared" si="359"/>
        <v>17</v>
      </c>
      <c r="AN190" s="242">
        <f t="shared" ref="AN190:AN196" si="387">ROUND(((AM190/AL190-1)*100), 1)</f>
        <v>-85.3</v>
      </c>
      <c r="AO190" s="779">
        <v>407</v>
      </c>
      <c r="AP190" s="779">
        <v>221</v>
      </c>
      <c r="AQ190" s="911">
        <f t="shared" ref="AQ190:AQ197" si="388">ROUND(((AP190/AO190-1)*100), 1)</f>
        <v>-45.7</v>
      </c>
      <c r="AR190" s="817">
        <f t="shared" si="362"/>
        <v>49</v>
      </c>
      <c r="AS190" s="819">
        <f t="shared" si="362"/>
        <v>96</v>
      </c>
      <c r="AT190" s="753">
        <f>ROUND(((AS190/AR190-1)*100), 1)</f>
        <v>95.9</v>
      </c>
      <c r="AU190" s="975">
        <v>456</v>
      </c>
      <c r="AV190" s="975">
        <v>317</v>
      </c>
      <c r="AW190" s="911">
        <f t="shared" ref="AW190:AW197" si="389">ROUND(((AV190/AU190-1)*100), 1)</f>
        <v>-30.5</v>
      </c>
      <c r="AX190" s="817">
        <f t="shared" si="365"/>
        <v>27</v>
      </c>
      <c r="AY190" s="819">
        <f t="shared" si="366"/>
        <v>93</v>
      </c>
      <c r="AZ190" s="753">
        <f>ROUND(((AY190/AX190-1)*100), 1)</f>
        <v>244.4</v>
      </c>
      <c r="BA190" s="779">
        <v>483</v>
      </c>
      <c r="BB190" s="779">
        <v>410</v>
      </c>
      <c r="BC190" s="911">
        <f t="shared" ref="BC190:BC197" si="390">ROUND(((BB190/BA190-1)*100), 1)</f>
        <v>-15.1</v>
      </c>
      <c r="BD190" s="817">
        <f t="shared" si="369"/>
        <v>73</v>
      </c>
      <c r="BE190" s="819">
        <f t="shared" si="369"/>
        <v>13</v>
      </c>
      <c r="BF190" s="753">
        <f>ROUND(((BE190/BD190-1)*100), 1)</f>
        <v>-82.2</v>
      </c>
      <c r="BG190" s="779">
        <v>556</v>
      </c>
      <c r="BH190" s="779">
        <v>423</v>
      </c>
      <c r="BI190" s="911">
        <f t="shared" ref="BI190:BI197" si="391">ROUND(((BH190/BG190-1)*100), 1)</f>
        <v>-23.9</v>
      </c>
      <c r="BJ190" s="817">
        <f t="shared" si="372"/>
        <v>44</v>
      </c>
      <c r="BK190" s="819">
        <f t="shared" si="372"/>
        <v>46</v>
      </c>
      <c r="BL190" s="753">
        <f>ROUND(((BK190/BJ190-1)*100), 1)</f>
        <v>4.5</v>
      </c>
      <c r="BM190" s="779">
        <v>600</v>
      </c>
      <c r="BN190" s="779">
        <v>469</v>
      </c>
      <c r="BO190" s="911">
        <f t="shared" ref="BO190:BO197" si="392">ROUND(((BN190/BM190-1)*100), 1)</f>
        <v>-21.8</v>
      </c>
      <c r="BP190" s="659">
        <f t="shared" si="375"/>
        <v>44</v>
      </c>
      <c r="BQ190" s="819">
        <f t="shared" si="375"/>
        <v>66</v>
      </c>
      <c r="BR190" s="753">
        <f t="shared" ref="BR190:BR198" si="393">ROUND(((BQ190/BP190-1)*100), 1)</f>
        <v>50</v>
      </c>
      <c r="BS190" s="779">
        <v>644</v>
      </c>
      <c r="BT190" s="779">
        <v>535</v>
      </c>
      <c r="BU190" s="911">
        <f t="shared" ref="BU190:BU197" si="394">ROUND(((BT190/BS190-1)*100), 1)</f>
        <v>-16.899999999999999</v>
      </c>
    </row>
    <row r="191" spans="1:73" s="173" customFormat="1">
      <c r="A191" s="325"/>
      <c r="B191" s="43" t="s">
        <v>60</v>
      </c>
      <c r="C191" s="188">
        <v>5281</v>
      </c>
      <c r="D191" s="188">
        <v>2114</v>
      </c>
      <c r="E191" s="188">
        <v>3117</v>
      </c>
      <c r="F191" s="188">
        <v>2237</v>
      </c>
      <c r="G191" s="188">
        <v>2240</v>
      </c>
      <c r="H191" s="188">
        <v>1630</v>
      </c>
      <c r="I191" s="362">
        <v>859</v>
      </c>
      <c r="J191" s="44">
        <v>591</v>
      </c>
      <c r="K191" s="383">
        <v>58</v>
      </c>
      <c r="L191" s="390">
        <v>35</v>
      </c>
      <c r="M191" s="242">
        <f t="shared" si="378"/>
        <v>-39.700000000000003</v>
      </c>
      <c r="N191" s="383">
        <f t="shared" si="343"/>
        <v>21</v>
      </c>
      <c r="O191" s="390">
        <f t="shared" si="344"/>
        <v>23</v>
      </c>
      <c r="P191" s="242">
        <f t="shared" si="379"/>
        <v>9.5</v>
      </c>
      <c r="Q191" s="383">
        <v>79</v>
      </c>
      <c r="R191" s="390">
        <v>58</v>
      </c>
      <c r="S191" s="242">
        <f t="shared" si="380"/>
        <v>-26.6</v>
      </c>
      <c r="T191" s="383">
        <f t="shared" si="347"/>
        <v>36</v>
      </c>
      <c r="U191" s="390">
        <f t="shared" si="348"/>
        <v>67</v>
      </c>
      <c r="V191" s="242">
        <f t="shared" si="381"/>
        <v>86.1</v>
      </c>
      <c r="W191" s="383">
        <v>115</v>
      </c>
      <c r="X191" s="390">
        <v>125</v>
      </c>
      <c r="Y191" s="242">
        <f t="shared" si="382"/>
        <v>8.6999999999999993</v>
      </c>
      <c r="Z191" s="527">
        <f t="shared" si="351"/>
        <v>28</v>
      </c>
      <c r="AA191" s="390">
        <f t="shared" si="352"/>
        <v>76</v>
      </c>
      <c r="AB191" s="242">
        <f t="shared" si="383"/>
        <v>171.4</v>
      </c>
      <c r="AC191" s="527">
        <v>143</v>
      </c>
      <c r="AD191" s="390">
        <v>201</v>
      </c>
      <c r="AE191" s="242">
        <f t="shared" si="384"/>
        <v>40.6</v>
      </c>
      <c r="AF191" s="527">
        <f t="shared" si="355"/>
        <v>39</v>
      </c>
      <c r="AG191" s="390">
        <f t="shared" si="355"/>
        <v>53</v>
      </c>
      <c r="AH191" s="242">
        <f t="shared" si="385"/>
        <v>35.9</v>
      </c>
      <c r="AI191" s="527">
        <v>182</v>
      </c>
      <c r="AJ191" s="390">
        <v>254</v>
      </c>
      <c r="AK191" s="242">
        <f t="shared" si="386"/>
        <v>39.6</v>
      </c>
      <c r="AL191" s="527">
        <f t="shared" si="358"/>
        <v>63</v>
      </c>
      <c r="AM191" s="390">
        <f t="shared" si="359"/>
        <v>45</v>
      </c>
      <c r="AN191" s="242">
        <f t="shared" si="387"/>
        <v>-28.6</v>
      </c>
      <c r="AO191" s="779">
        <v>245</v>
      </c>
      <c r="AP191" s="779">
        <v>299</v>
      </c>
      <c r="AQ191" s="911">
        <f t="shared" si="388"/>
        <v>22</v>
      </c>
      <c r="AR191" s="817">
        <f t="shared" si="362"/>
        <v>68</v>
      </c>
      <c r="AS191" s="819">
        <f t="shared" si="362"/>
        <v>38</v>
      </c>
      <c r="AT191" s="753">
        <f>ROUND(((AS191/AR191-1)*100), 1)</f>
        <v>-44.1</v>
      </c>
      <c r="AU191" s="975">
        <v>313</v>
      </c>
      <c r="AV191" s="975">
        <v>337</v>
      </c>
      <c r="AW191" s="911">
        <f t="shared" si="389"/>
        <v>7.7</v>
      </c>
      <c r="AX191" s="817">
        <f t="shared" si="365"/>
        <v>61</v>
      </c>
      <c r="AY191" s="819">
        <f t="shared" si="366"/>
        <v>41</v>
      </c>
      <c r="AZ191" s="753">
        <f>ROUND(((AY191/AX191-1)*100), 1)</f>
        <v>-32.799999999999997</v>
      </c>
      <c r="BA191" s="779">
        <v>374</v>
      </c>
      <c r="BB191" s="779">
        <v>378</v>
      </c>
      <c r="BC191" s="911">
        <f t="shared" si="390"/>
        <v>1.1000000000000001</v>
      </c>
      <c r="BD191" s="817">
        <f t="shared" si="369"/>
        <v>57</v>
      </c>
      <c r="BE191" s="819">
        <f t="shared" si="369"/>
        <v>39</v>
      </c>
      <c r="BF191" s="753">
        <f>ROUND(((BE191/BD191-1)*100), 1)</f>
        <v>-31.6</v>
      </c>
      <c r="BG191" s="779">
        <v>431</v>
      </c>
      <c r="BH191" s="779">
        <v>417</v>
      </c>
      <c r="BI191" s="911">
        <f t="shared" si="391"/>
        <v>-3.2</v>
      </c>
      <c r="BJ191" s="817">
        <f t="shared" si="372"/>
        <v>54</v>
      </c>
      <c r="BK191" s="819">
        <f t="shared" si="372"/>
        <v>40</v>
      </c>
      <c r="BL191" s="753">
        <f>ROUND(((BK191/BJ191-1)*100), 1)</f>
        <v>-25.9</v>
      </c>
      <c r="BM191" s="779">
        <v>485</v>
      </c>
      <c r="BN191" s="779">
        <v>457</v>
      </c>
      <c r="BO191" s="911">
        <f t="shared" si="392"/>
        <v>-5.8</v>
      </c>
      <c r="BP191" s="659">
        <f t="shared" si="375"/>
        <v>48</v>
      </c>
      <c r="BQ191" s="819">
        <f t="shared" si="375"/>
        <v>43</v>
      </c>
      <c r="BR191" s="753">
        <f t="shared" si="393"/>
        <v>-10.4</v>
      </c>
      <c r="BS191" s="779">
        <v>533</v>
      </c>
      <c r="BT191" s="779">
        <v>500</v>
      </c>
      <c r="BU191" s="911">
        <f t="shared" si="394"/>
        <v>-6.2</v>
      </c>
    </row>
    <row r="192" spans="1:73" s="173" customFormat="1">
      <c r="A192" s="325"/>
      <c r="B192" s="33" t="s">
        <v>55</v>
      </c>
      <c r="C192" s="326">
        <v>834</v>
      </c>
      <c r="D192" s="326">
        <v>962</v>
      </c>
      <c r="E192" s="326">
        <v>816</v>
      </c>
      <c r="F192" s="326">
        <v>402</v>
      </c>
      <c r="G192" s="326">
        <v>277</v>
      </c>
      <c r="H192" s="326">
        <v>189</v>
      </c>
      <c r="I192" s="377">
        <v>228</v>
      </c>
      <c r="J192" s="340">
        <v>153</v>
      </c>
      <c r="K192" s="327">
        <v>26</v>
      </c>
      <c r="L192" s="388">
        <v>1</v>
      </c>
      <c r="M192" s="328">
        <f t="shared" si="378"/>
        <v>-96.2</v>
      </c>
      <c r="N192" s="327">
        <f t="shared" si="343"/>
        <v>0</v>
      </c>
      <c r="O192" s="388">
        <f t="shared" si="344"/>
        <v>18</v>
      </c>
      <c r="P192" s="524">
        <v>0</v>
      </c>
      <c r="Q192" s="327">
        <v>26</v>
      </c>
      <c r="R192" s="388">
        <v>19</v>
      </c>
      <c r="S192" s="328">
        <f t="shared" si="380"/>
        <v>-26.9</v>
      </c>
      <c r="T192" s="327">
        <f t="shared" si="347"/>
        <v>16</v>
      </c>
      <c r="U192" s="388">
        <f t="shared" si="348"/>
        <v>5</v>
      </c>
      <c r="V192" s="328">
        <f t="shared" si="381"/>
        <v>-68.8</v>
      </c>
      <c r="W192" s="327">
        <v>42</v>
      </c>
      <c r="X192" s="388">
        <v>24</v>
      </c>
      <c r="Y192" s="328">
        <f t="shared" si="382"/>
        <v>-42.9</v>
      </c>
      <c r="Z192" s="327">
        <f t="shared" si="351"/>
        <v>16</v>
      </c>
      <c r="AA192" s="388">
        <f t="shared" si="352"/>
        <v>1</v>
      </c>
      <c r="AB192" s="328">
        <f t="shared" si="383"/>
        <v>-93.8</v>
      </c>
      <c r="AC192" s="327">
        <v>58</v>
      </c>
      <c r="AD192" s="388">
        <v>25</v>
      </c>
      <c r="AE192" s="328">
        <f t="shared" si="384"/>
        <v>-56.9</v>
      </c>
      <c r="AF192" s="327">
        <f t="shared" si="355"/>
        <v>7</v>
      </c>
      <c r="AG192" s="388">
        <f t="shared" si="355"/>
        <v>13</v>
      </c>
      <c r="AH192" s="328">
        <f t="shared" si="385"/>
        <v>85.7</v>
      </c>
      <c r="AI192" s="327">
        <v>65</v>
      </c>
      <c r="AJ192" s="388">
        <v>38</v>
      </c>
      <c r="AK192" s="328">
        <f t="shared" si="386"/>
        <v>-41.5</v>
      </c>
      <c r="AL192" s="327">
        <f t="shared" si="358"/>
        <v>0</v>
      </c>
      <c r="AM192" s="388">
        <f t="shared" si="359"/>
        <v>23</v>
      </c>
      <c r="AN192" s="799">
        <v>0</v>
      </c>
      <c r="AO192" s="777">
        <v>65</v>
      </c>
      <c r="AP192" s="779">
        <v>61</v>
      </c>
      <c r="AQ192" s="912">
        <f t="shared" si="388"/>
        <v>-6.2</v>
      </c>
      <c r="AR192" s="659">
        <f t="shared" si="362"/>
        <v>6</v>
      </c>
      <c r="AS192" s="767">
        <f t="shared" si="362"/>
        <v>4</v>
      </c>
      <c r="AT192" s="753">
        <f t="shared" ref="AT192" si="395">ROUND(((AS192/AR192-1)*100), 1)</f>
        <v>-33.299999999999997</v>
      </c>
      <c r="AU192" s="976">
        <v>71</v>
      </c>
      <c r="AV192" s="975">
        <v>65</v>
      </c>
      <c r="AW192" s="912">
        <f t="shared" si="389"/>
        <v>-8.5</v>
      </c>
      <c r="AX192" s="659">
        <f t="shared" si="365"/>
        <v>19</v>
      </c>
      <c r="AY192" s="767">
        <f t="shared" si="366"/>
        <v>1</v>
      </c>
      <c r="AZ192" s="753">
        <f t="shared" ref="AZ192" si="396">ROUND(((AY192/AX192-1)*100), 1)</f>
        <v>-94.7</v>
      </c>
      <c r="BA192" s="777">
        <v>90</v>
      </c>
      <c r="BB192" s="779">
        <v>66</v>
      </c>
      <c r="BC192" s="912">
        <f t="shared" si="390"/>
        <v>-26.7</v>
      </c>
      <c r="BD192" s="659">
        <f t="shared" si="369"/>
        <v>15</v>
      </c>
      <c r="BE192" s="767">
        <f t="shared" si="369"/>
        <v>10</v>
      </c>
      <c r="BF192" s="753">
        <f t="shared" ref="BF192" si="397">ROUND(((BE192/BD192-1)*100), 1)</f>
        <v>-33.299999999999997</v>
      </c>
      <c r="BG192" s="777">
        <v>105</v>
      </c>
      <c r="BH192" s="779">
        <v>76</v>
      </c>
      <c r="BI192" s="912">
        <f t="shared" si="391"/>
        <v>-27.6</v>
      </c>
      <c r="BJ192" s="659">
        <f t="shared" si="372"/>
        <v>6</v>
      </c>
      <c r="BK192" s="767">
        <f t="shared" si="372"/>
        <v>11</v>
      </c>
      <c r="BL192" s="753">
        <f t="shared" ref="BL192" si="398">ROUND(((BK192/BJ192-1)*100), 1)</f>
        <v>83.3</v>
      </c>
      <c r="BM192" s="777">
        <v>111</v>
      </c>
      <c r="BN192" s="779">
        <v>87</v>
      </c>
      <c r="BO192" s="912">
        <f t="shared" si="392"/>
        <v>-21.6</v>
      </c>
      <c r="BP192" s="659">
        <f t="shared" si="375"/>
        <v>24</v>
      </c>
      <c r="BQ192" s="767">
        <f t="shared" si="375"/>
        <v>7</v>
      </c>
      <c r="BR192" s="753">
        <f t="shared" si="393"/>
        <v>-70.8</v>
      </c>
      <c r="BS192" s="777">
        <v>135</v>
      </c>
      <c r="BT192" s="779">
        <v>94</v>
      </c>
      <c r="BU192" s="912">
        <f t="shared" si="394"/>
        <v>-30.4</v>
      </c>
    </row>
    <row r="193" spans="1:73" s="173" customFormat="1">
      <c r="A193" s="325"/>
      <c r="B193" s="33" t="s">
        <v>427</v>
      </c>
      <c r="C193" s="326">
        <v>689</v>
      </c>
      <c r="D193" s="326">
        <v>725</v>
      </c>
      <c r="E193" s="326">
        <v>419</v>
      </c>
      <c r="F193" s="326">
        <v>348</v>
      </c>
      <c r="G193" s="326">
        <v>371</v>
      </c>
      <c r="H193" s="326">
        <v>304</v>
      </c>
      <c r="I193" s="377">
        <v>178</v>
      </c>
      <c r="J193" s="340">
        <v>152</v>
      </c>
      <c r="K193" s="327">
        <v>24</v>
      </c>
      <c r="L193" s="388">
        <v>2</v>
      </c>
      <c r="M193" s="328">
        <f t="shared" si="378"/>
        <v>-91.7</v>
      </c>
      <c r="N193" s="327">
        <f t="shared" si="343"/>
        <v>0</v>
      </c>
      <c r="O193" s="388">
        <f t="shared" si="344"/>
        <v>10</v>
      </c>
      <c r="P193" s="524">
        <v>0</v>
      </c>
      <c r="Q193" s="327">
        <v>24</v>
      </c>
      <c r="R193" s="388">
        <v>12</v>
      </c>
      <c r="S193" s="328">
        <f t="shared" si="380"/>
        <v>-50</v>
      </c>
      <c r="T193" s="327">
        <f t="shared" si="347"/>
        <v>15</v>
      </c>
      <c r="U193" s="388">
        <f t="shared" si="348"/>
        <v>10</v>
      </c>
      <c r="V193" s="328">
        <f t="shared" si="381"/>
        <v>-33.299999999999997</v>
      </c>
      <c r="W193" s="327">
        <v>39</v>
      </c>
      <c r="X193" s="388">
        <v>22</v>
      </c>
      <c r="Y193" s="328">
        <f t="shared" si="382"/>
        <v>-43.6</v>
      </c>
      <c r="Z193" s="327">
        <f t="shared" si="351"/>
        <v>16</v>
      </c>
      <c r="AA193" s="388">
        <f t="shared" si="352"/>
        <v>15</v>
      </c>
      <c r="AB193" s="328">
        <f t="shared" si="383"/>
        <v>-6.3</v>
      </c>
      <c r="AC193" s="327">
        <v>55</v>
      </c>
      <c r="AD193" s="388">
        <v>37</v>
      </c>
      <c r="AE193" s="328">
        <f t="shared" si="384"/>
        <v>-32.700000000000003</v>
      </c>
      <c r="AF193" s="327">
        <f t="shared" si="355"/>
        <v>10</v>
      </c>
      <c r="AG193" s="388">
        <f t="shared" si="355"/>
        <v>0</v>
      </c>
      <c r="AH193" s="328">
        <f t="shared" si="385"/>
        <v>-100</v>
      </c>
      <c r="AI193" s="327">
        <v>65</v>
      </c>
      <c r="AJ193" s="388">
        <v>37</v>
      </c>
      <c r="AK193" s="328">
        <f t="shared" si="386"/>
        <v>-43.1</v>
      </c>
      <c r="AL193" s="327">
        <f t="shared" si="358"/>
        <v>2</v>
      </c>
      <c r="AM193" s="388">
        <f t="shared" si="359"/>
        <v>0</v>
      </c>
      <c r="AN193" s="328">
        <f t="shared" si="387"/>
        <v>-100</v>
      </c>
      <c r="AO193" s="777">
        <v>67</v>
      </c>
      <c r="AP193" s="779">
        <v>37</v>
      </c>
      <c r="AQ193" s="912">
        <f t="shared" si="388"/>
        <v>-44.8</v>
      </c>
      <c r="AR193" s="659">
        <f t="shared" si="362"/>
        <v>3</v>
      </c>
      <c r="AS193" s="767">
        <f t="shared" si="362"/>
        <v>30</v>
      </c>
      <c r="AT193" s="765">
        <f>ROUND(((AS193/AR193-1)*100), 1)</f>
        <v>900</v>
      </c>
      <c r="AU193" s="976">
        <v>70</v>
      </c>
      <c r="AV193" s="975">
        <v>67</v>
      </c>
      <c r="AW193" s="912">
        <f t="shared" si="389"/>
        <v>-4.3</v>
      </c>
      <c r="AX193" s="659">
        <f t="shared" si="365"/>
        <v>13</v>
      </c>
      <c r="AY193" s="767">
        <f t="shared" si="366"/>
        <v>0</v>
      </c>
      <c r="AZ193" s="765">
        <f>ROUND(((AY193/AX193-1)*100), 1)</f>
        <v>-100</v>
      </c>
      <c r="BA193" s="777">
        <v>83</v>
      </c>
      <c r="BB193" s="779">
        <v>67</v>
      </c>
      <c r="BC193" s="912">
        <f t="shared" si="390"/>
        <v>-19.3</v>
      </c>
      <c r="BD193" s="659">
        <f t="shared" si="369"/>
        <v>27</v>
      </c>
      <c r="BE193" s="767">
        <f t="shared" si="369"/>
        <v>6</v>
      </c>
      <c r="BF193" s="765">
        <f>ROUND(((BE193/BD193-1)*100), 1)</f>
        <v>-77.8</v>
      </c>
      <c r="BG193" s="777">
        <v>110</v>
      </c>
      <c r="BH193" s="779">
        <v>73</v>
      </c>
      <c r="BI193" s="912">
        <f t="shared" si="391"/>
        <v>-33.6</v>
      </c>
      <c r="BJ193" s="659">
        <f t="shared" si="372"/>
        <v>9</v>
      </c>
      <c r="BK193" s="767">
        <f t="shared" si="372"/>
        <v>2</v>
      </c>
      <c r="BL193" s="765">
        <f>ROUND(((BK193/BJ193-1)*100), 1)</f>
        <v>-77.8</v>
      </c>
      <c r="BM193" s="777">
        <v>119</v>
      </c>
      <c r="BN193" s="779">
        <v>75</v>
      </c>
      <c r="BO193" s="912">
        <f t="shared" si="392"/>
        <v>-37</v>
      </c>
      <c r="BP193" s="659">
        <f t="shared" si="375"/>
        <v>14</v>
      </c>
      <c r="BQ193" s="767">
        <f t="shared" si="375"/>
        <v>0</v>
      </c>
      <c r="BR193" s="765">
        <f t="shared" si="393"/>
        <v>-100</v>
      </c>
      <c r="BS193" s="777">
        <v>133</v>
      </c>
      <c r="BT193" s="779">
        <v>75</v>
      </c>
      <c r="BU193" s="912">
        <f t="shared" si="394"/>
        <v>-43.6</v>
      </c>
    </row>
    <row r="194" spans="1:73" s="173" customFormat="1">
      <c r="A194" s="325"/>
      <c r="B194" s="33" t="s">
        <v>58</v>
      </c>
      <c r="C194" s="326">
        <v>921</v>
      </c>
      <c r="D194" s="326">
        <v>371</v>
      </c>
      <c r="E194" s="326">
        <v>191</v>
      </c>
      <c r="F194" s="326">
        <v>214</v>
      </c>
      <c r="G194" s="326">
        <v>216</v>
      </c>
      <c r="H194" s="326">
        <v>270</v>
      </c>
      <c r="I194" s="377">
        <v>105</v>
      </c>
      <c r="J194" s="340">
        <v>118</v>
      </c>
      <c r="K194" s="327">
        <v>9</v>
      </c>
      <c r="L194" s="388">
        <v>0</v>
      </c>
      <c r="M194" s="328">
        <f t="shared" si="378"/>
        <v>-100</v>
      </c>
      <c r="N194" s="327">
        <f t="shared" si="343"/>
        <v>6</v>
      </c>
      <c r="O194" s="388">
        <f t="shared" si="344"/>
        <v>7</v>
      </c>
      <c r="P194" s="328">
        <f t="shared" si="379"/>
        <v>16.7</v>
      </c>
      <c r="Q194" s="327">
        <v>15</v>
      </c>
      <c r="R194" s="388">
        <v>7</v>
      </c>
      <c r="S194" s="328">
        <f t="shared" si="380"/>
        <v>-53.3</v>
      </c>
      <c r="T194" s="327">
        <f t="shared" si="347"/>
        <v>17</v>
      </c>
      <c r="U194" s="388">
        <f t="shared" si="348"/>
        <v>15</v>
      </c>
      <c r="V194" s="328">
        <f t="shared" si="381"/>
        <v>-11.8</v>
      </c>
      <c r="W194" s="327">
        <v>32</v>
      </c>
      <c r="X194" s="388">
        <v>22</v>
      </c>
      <c r="Y194" s="328">
        <f t="shared" si="382"/>
        <v>-31.3</v>
      </c>
      <c r="Z194" s="327">
        <f t="shared" si="351"/>
        <v>21</v>
      </c>
      <c r="AA194" s="388">
        <f t="shared" si="352"/>
        <v>0</v>
      </c>
      <c r="AB194" s="328">
        <f t="shared" si="383"/>
        <v>-100</v>
      </c>
      <c r="AC194" s="327">
        <v>53</v>
      </c>
      <c r="AD194" s="388">
        <v>22</v>
      </c>
      <c r="AE194" s="328">
        <f t="shared" si="384"/>
        <v>-58.5</v>
      </c>
      <c r="AF194" s="327">
        <f t="shared" si="355"/>
        <v>7</v>
      </c>
      <c r="AG194" s="388">
        <f t="shared" si="355"/>
        <v>0</v>
      </c>
      <c r="AH194" s="328">
        <f t="shared" si="385"/>
        <v>-100</v>
      </c>
      <c r="AI194" s="327">
        <v>60</v>
      </c>
      <c r="AJ194" s="388">
        <v>22</v>
      </c>
      <c r="AK194" s="328">
        <f t="shared" si="386"/>
        <v>-63.3</v>
      </c>
      <c r="AL194" s="327">
        <f t="shared" si="358"/>
        <v>5</v>
      </c>
      <c r="AM194" s="388">
        <f t="shared" si="359"/>
        <v>5</v>
      </c>
      <c r="AN194" s="328">
        <f t="shared" si="387"/>
        <v>0</v>
      </c>
      <c r="AO194" s="777">
        <v>65</v>
      </c>
      <c r="AP194" s="779">
        <v>27</v>
      </c>
      <c r="AQ194" s="912">
        <f t="shared" si="388"/>
        <v>-58.5</v>
      </c>
      <c r="AR194" s="659">
        <f t="shared" si="362"/>
        <v>8</v>
      </c>
      <c r="AS194" s="767">
        <f t="shared" si="362"/>
        <v>5</v>
      </c>
      <c r="AT194" s="765">
        <f>ROUND(((AS194/AR194-1)*100), 1)</f>
        <v>-37.5</v>
      </c>
      <c r="AU194" s="976">
        <v>73</v>
      </c>
      <c r="AV194" s="975">
        <v>32</v>
      </c>
      <c r="AW194" s="912">
        <f t="shared" si="389"/>
        <v>-56.2</v>
      </c>
      <c r="AX194" s="659">
        <f t="shared" si="365"/>
        <v>17</v>
      </c>
      <c r="AY194" s="767">
        <f t="shared" si="366"/>
        <v>3</v>
      </c>
      <c r="AZ194" s="765">
        <f>ROUND(((AY194/AX194-1)*100), 1)</f>
        <v>-82.4</v>
      </c>
      <c r="BA194" s="777">
        <v>90</v>
      </c>
      <c r="BB194" s="779">
        <v>35</v>
      </c>
      <c r="BC194" s="912">
        <f t="shared" si="390"/>
        <v>-61.1</v>
      </c>
      <c r="BD194" s="659">
        <f t="shared" si="369"/>
        <v>11</v>
      </c>
      <c r="BE194" s="767">
        <f t="shared" si="369"/>
        <v>8</v>
      </c>
      <c r="BF194" s="765">
        <f>ROUND(((BE194/BD194-1)*100), 1)</f>
        <v>-27.3</v>
      </c>
      <c r="BG194" s="777">
        <v>101</v>
      </c>
      <c r="BH194" s="779">
        <v>43</v>
      </c>
      <c r="BI194" s="912">
        <f t="shared" si="391"/>
        <v>-57.4</v>
      </c>
      <c r="BJ194" s="659">
        <f t="shared" si="372"/>
        <v>1</v>
      </c>
      <c r="BK194" s="767">
        <f t="shared" si="372"/>
        <v>4</v>
      </c>
      <c r="BL194" s="765">
        <f>ROUND(((BK194/BJ194-1)*100), 1)</f>
        <v>300</v>
      </c>
      <c r="BM194" s="777">
        <v>102</v>
      </c>
      <c r="BN194" s="779">
        <v>47</v>
      </c>
      <c r="BO194" s="912">
        <f t="shared" si="392"/>
        <v>-53.9</v>
      </c>
      <c r="BP194" s="659">
        <f t="shared" si="375"/>
        <v>16</v>
      </c>
      <c r="BQ194" s="767">
        <f t="shared" si="375"/>
        <v>0</v>
      </c>
      <c r="BR194" s="765">
        <f t="shared" si="393"/>
        <v>-100</v>
      </c>
      <c r="BS194" s="777">
        <v>118</v>
      </c>
      <c r="BT194" s="779">
        <v>47</v>
      </c>
      <c r="BU194" s="912">
        <f t="shared" si="394"/>
        <v>-60.2</v>
      </c>
    </row>
    <row r="195" spans="1:73" s="173" customFormat="1">
      <c r="A195" s="325"/>
      <c r="B195" s="33" t="s">
        <v>59</v>
      </c>
      <c r="C195" s="326">
        <v>86</v>
      </c>
      <c r="D195" s="326">
        <v>154</v>
      </c>
      <c r="E195" s="326">
        <v>174</v>
      </c>
      <c r="F195" s="326">
        <v>58</v>
      </c>
      <c r="G195" s="326">
        <v>79</v>
      </c>
      <c r="H195" s="326">
        <v>20</v>
      </c>
      <c r="I195" s="377">
        <v>58</v>
      </c>
      <c r="J195" s="340">
        <v>85</v>
      </c>
      <c r="K195" s="327">
        <v>3</v>
      </c>
      <c r="L195" s="388">
        <v>15</v>
      </c>
      <c r="M195" s="328">
        <f t="shared" si="378"/>
        <v>400</v>
      </c>
      <c r="N195" s="327">
        <f t="shared" si="343"/>
        <v>3</v>
      </c>
      <c r="O195" s="388">
        <f t="shared" si="344"/>
        <v>5</v>
      </c>
      <c r="P195" s="328">
        <f t="shared" si="379"/>
        <v>66.7</v>
      </c>
      <c r="Q195" s="327">
        <v>6</v>
      </c>
      <c r="R195" s="388">
        <v>20</v>
      </c>
      <c r="S195" s="328">
        <f t="shared" si="380"/>
        <v>233.3</v>
      </c>
      <c r="T195" s="327">
        <f t="shared" si="347"/>
        <v>6</v>
      </c>
      <c r="U195" s="388">
        <f t="shared" si="348"/>
        <v>1</v>
      </c>
      <c r="V195" s="328">
        <f t="shared" si="381"/>
        <v>-83.3</v>
      </c>
      <c r="W195" s="327">
        <v>12</v>
      </c>
      <c r="X195" s="388">
        <v>21</v>
      </c>
      <c r="Y195" s="328">
        <f t="shared" si="382"/>
        <v>75</v>
      </c>
      <c r="Z195" s="327">
        <f t="shared" si="351"/>
        <v>11</v>
      </c>
      <c r="AA195" s="388">
        <f t="shared" si="352"/>
        <v>0</v>
      </c>
      <c r="AB195" s="328">
        <f t="shared" si="383"/>
        <v>-100</v>
      </c>
      <c r="AC195" s="327">
        <v>23</v>
      </c>
      <c r="AD195" s="388">
        <v>21</v>
      </c>
      <c r="AE195" s="328">
        <f t="shared" si="384"/>
        <v>-8.6999999999999993</v>
      </c>
      <c r="AF195" s="327">
        <f t="shared" si="355"/>
        <v>6</v>
      </c>
      <c r="AG195" s="388">
        <f t="shared" si="355"/>
        <v>0</v>
      </c>
      <c r="AH195" s="328">
        <f t="shared" si="385"/>
        <v>-100</v>
      </c>
      <c r="AI195" s="327">
        <v>29</v>
      </c>
      <c r="AJ195" s="388">
        <v>21</v>
      </c>
      <c r="AK195" s="328">
        <f t="shared" si="386"/>
        <v>-27.6</v>
      </c>
      <c r="AL195" s="327">
        <f t="shared" si="358"/>
        <v>8</v>
      </c>
      <c r="AM195" s="388">
        <f t="shared" si="359"/>
        <v>3</v>
      </c>
      <c r="AN195" s="328">
        <f t="shared" si="387"/>
        <v>-62.5</v>
      </c>
      <c r="AO195" s="777">
        <v>37</v>
      </c>
      <c r="AP195" s="779">
        <v>24</v>
      </c>
      <c r="AQ195" s="912">
        <f t="shared" si="388"/>
        <v>-35.1</v>
      </c>
      <c r="AR195" s="659">
        <f t="shared" si="362"/>
        <v>7</v>
      </c>
      <c r="AS195" s="767">
        <f t="shared" si="362"/>
        <v>14</v>
      </c>
      <c r="AT195" s="765">
        <f>ROUND(((AS195/AR195-1)*100), 1)</f>
        <v>100</v>
      </c>
      <c r="AU195" s="976">
        <v>44</v>
      </c>
      <c r="AV195" s="975">
        <v>38</v>
      </c>
      <c r="AW195" s="912">
        <f t="shared" si="389"/>
        <v>-13.6</v>
      </c>
      <c r="AX195" s="659">
        <f t="shared" si="365"/>
        <v>5</v>
      </c>
      <c r="AY195" s="767">
        <f t="shared" si="366"/>
        <v>8</v>
      </c>
      <c r="AZ195" s="765">
        <f>ROUND(((AY195/AX195-1)*100), 1)</f>
        <v>60</v>
      </c>
      <c r="BA195" s="777">
        <v>49</v>
      </c>
      <c r="BB195" s="779">
        <v>46</v>
      </c>
      <c r="BC195" s="912">
        <f t="shared" si="390"/>
        <v>-6.1</v>
      </c>
      <c r="BD195" s="659">
        <f t="shared" si="369"/>
        <v>3</v>
      </c>
      <c r="BE195" s="767">
        <f t="shared" si="369"/>
        <v>9</v>
      </c>
      <c r="BF195" s="765">
        <f>ROUND(((BE195/BD195-1)*100), 1)</f>
        <v>200</v>
      </c>
      <c r="BG195" s="777">
        <v>52</v>
      </c>
      <c r="BH195" s="779">
        <v>55</v>
      </c>
      <c r="BI195" s="912">
        <f t="shared" si="391"/>
        <v>5.8</v>
      </c>
      <c r="BJ195" s="659">
        <f t="shared" si="372"/>
        <v>6</v>
      </c>
      <c r="BK195" s="767">
        <f t="shared" si="372"/>
        <v>5</v>
      </c>
      <c r="BL195" s="765">
        <f>ROUND(((BK195/BJ195-1)*100), 1)</f>
        <v>-16.7</v>
      </c>
      <c r="BM195" s="777">
        <v>58</v>
      </c>
      <c r="BN195" s="779">
        <v>60</v>
      </c>
      <c r="BO195" s="912">
        <f t="shared" si="392"/>
        <v>3.4</v>
      </c>
      <c r="BP195" s="659">
        <f t="shared" si="375"/>
        <v>21</v>
      </c>
      <c r="BQ195" s="767">
        <f t="shared" si="375"/>
        <v>19</v>
      </c>
      <c r="BR195" s="765">
        <f t="shared" si="393"/>
        <v>-9.5</v>
      </c>
      <c r="BS195" s="777">
        <v>79</v>
      </c>
      <c r="BT195" s="779">
        <v>79</v>
      </c>
      <c r="BU195" s="912">
        <f t="shared" si="394"/>
        <v>0</v>
      </c>
    </row>
    <row r="196" spans="1:73" s="173" customFormat="1">
      <c r="A196" s="325"/>
      <c r="B196" s="33" t="s">
        <v>68</v>
      </c>
      <c r="C196" s="326">
        <v>6</v>
      </c>
      <c r="D196" s="326">
        <v>6</v>
      </c>
      <c r="E196" s="326">
        <v>7</v>
      </c>
      <c r="F196" s="326">
        <v>21</v>
      </c>
      <c r="G196" s="326">
        <v>36</v>
      </c>
      <c r="H196" s="326">
        <v>29</v>
      </c>
      <c r="I196" s="377">
        <v>16</v>
      </c>
      <c r="J196" s="340">
        <v>21</v>
      </c>
      <c r="K196" s="327">
        <v>1</v>
      </c>
      <c r="L196" s="388">
        <v>1</v>
      </c>
      <c r="M196" s="242">
        <f t="shared" si="378"/>
        <v>0</v>
      </c>
      <c r="N196" s="327">
        <f t="shared" si="343"/>
        <v>1</v>
      </c>
      <c r="O196" s="388">
        <f t="shared" si="344"/>
        <v>1</v>
      </c>
      <c r="P196" s="242">
        <f t="shared" si="379"/>
        <v>0</v>
      </c>
      <c r="Q196" s="327">
        <v>2</v>
      </c>
      <c r="R196" s="388">
        <v>2</v>
      </c>
      <c r="S196" s="242">
        <f t="shared" si="380"/>
        <v>0</v>
      </c>
      <c r="T196" s="327">
        <f t="shared" si="347"/>
        <v>1</v>
      </c>
      <c r="U196" s="388">
        <f t="shared" si="348"/>
        <v>1</v>
      </c>
      <c r="V196" s="242">
        <f t="shared" si="381"/>
        <v>0</v>
      </c>
      <c r="W196" s="327">
        <v>3</v>
      </c>
      <c r="X196" s="388">
        <v>3</v>
      </c>
      <c r="Y196" s="242">
        <f t="shared" si="382"/>
        <v>0</v>
      </c>
      <c r="Z196" s="327">
        <f t="shared" si="351"/>
        <v>1</v>
      </c>
      <c r="AA196" s="388">
        <f t="shared" si="352"/>
        <v>10</v>
      </c>
      <c r="AB196" s="242">
        <f t="shared" si="383"/>
        <v>900</v>
      </c>
      <c r="AC196" s="327">
        <v>4</v>
      </c>
      <c r="AD196" s="388">
        <v>13</v>
      </c>
      <c r="AE196" s="242">
        <f t="shared" si="384"/>
        <v>225</v>
      </c>
      <c r="AF196" s="327">
        <f t="shared" si="355"/>
        <v>7</v>
      </c>
      <c r="AG196" s="388">
        <f t="shared" si="355"/>
        <v>0</v>
      </c>
      <c r="AH196" s="242">
        <f t="shared" si="385"/>
        <v>-100</v>
      </c>
      <c r="AI196" s="327">
        <v>11</v>
      </c>
      <c r="AJ196" s="388">
        <v>13</v>
      </c>
      <c r="AK196" s="242">
        <f t="shared" si="386"/>
        <v>18.2</v>
      </c>
      <c r="AL196" s="327">
        <f t="shared" si="358"/>
        <v>1</v>
      </c>
      <c r="AM196" s="388">
        <f t="shared" si="359"/>
        <v>1</v>
      </c>
      <c r="AN196" s="242">
        <f t="shared" si="387"/>
        <v>0</v>
      </c>
      <c r="AO196" s="777">
        <v>12</v>
      </c>
      <c r="AP196" s="779">
        <v>14</v>
      </c>
      <c r="AQ196" s="911">
        <f t="shared" si="388"/>
        <v>16.7</v>
      </c>
      <c r="AR196" s="659">
        <f t="shared" si="362"/>
        <v>6</v>
      </c>
      <c r="AS196" s="767">
        <f t="shared" si="362"/>
        <v>10</v>
      </c>
      <c r="AT196" s="753">
        <f>ROUND(((AS196/AR196-1)*100), 1)</f>
        <v>66.7</v>
      </c>
      <c r="AU196" s="976">
        <v>18</v>
      </c>
      <c r="AV196" s="975">
        <v>24</v>
      </c>
      <c r="AW196" s="911">
        <f t="shared" si="389"/>
        <v>33.299999999999997</v>
      </c>
      <c r="AX196" s="659">
        <f t="shared" si="365"/>
        <v>1</v>
      </c>
      <c r="AY196" s="767">
        <f t="shared" si="366"/>
        <v>1</v>
      </c>
      <c r="AZ196" s="753">
        <f>ROUND(((AY196/AX196-1)*100), 1)</f>
        <v>0</v>
      </c>
      <c r="BA196" s="777">
        <v>19</v>
      </c>
      <c r="BB196" s="779">
        <v>25</v>
      </c>
      <c r="BC196" s="911">
        <f t="shared" si="390"/>
        <v>31.6</v>
      </c>
      <c r="BD196" s="659">
        <f t="shared" si="369"/>
        <v>0</v>
      </c>
      <c r="BE196" s="767">
        <f t="shared" si="369"/>
        <v>11</v>
      </c>
      <c r="BF196" s="799">
        <v>0</v>
      </c>
      <c r="BG196" s="777">
        <v>19</v>
      </c>
      <c r="BH196" s="779">
        <v>36</v>
      </c>
      <c r="BI196" s="911">
        <f t="shared" si="391"/>
        <v>89.5</v>
      </c>
      <c r="BJ196" s="659">
        <f t="shared" si="372"/>
        <v>1</v>
      </c>
      <c r="BK196" s="767">
        <f t="shared" si="372"/>
        <v>10</v>
      </c>
      <c r="BL196" s="753">
        <f>ROUND(((BK196/BJ196-1)*100), 1)</f>
        <v>900</v>
      </c>
      <c r="BM196" s="777">
        <v>20</v>
      </c>
      <c r="BN196" s="779">
        <v>46</v>
      </c>
      <c r="BO196" s="911">
        <f t="shared" si="392"/>
        <v>130</v>
      </c>
      <c r="BP196" s="659">
        <f t="shared" si="375"/>
        <v>0</v>
      </c>
      <c r="BQ196" s="767">
        <f t="shared" si="375"/>
        <v>1</v>
      </c>
      <c r="BR196" s="799">
        <v>0</v>
      </c>
      <c r="BS196" s="777">
        <v>20</v>
      </c>
      <c r="BT196" s="779">
        <v>47</v>
      </c>
      <c r="BU196" s="911">
        <f t="shared" si="394"/>
        <v>135</v>
      </c>
    </row>
    <row r="197" spans="1:73" s="173" customFormat="1">
      <c r="A197" s="325"/>
      <c r="B197" s="33" t="s">
        <v>77</v>
      </c>
      <c r="C197" s="326">
        <v>823</v>
      </c>
      <c r="D197" s="326">
        <v>615</v>
      </c>
      <c r="E197" s="326">
        <v>469</v>
      </c>
      <c r="F197" s="326">
        <v>450</v>
      </c>
      <c r="G197" s="326">
        <v>311</v>
      </c>
      <c r="H197" s="326">
        <v>223</v>
      </c>
      <c r="I197" s="377">
        <v>118</v>
      </c>
      <c r="J197" s="340">
        <v>3</v>
      </c>
      <c r="K197" s="327">
        <v>1</v>
      </c>
      <c r="L197" s="388">
        <v>0</v>
      </c>
      <c r="M197" s="328">
        <f t="shared" si="378"/>
        <v>-100</v>
      </c>
      <c r="N197" s="327">
        <f t="shared" si="343"/>
        <v>0</v>
      </c>
      <c r="O197" s="388">
        <f t="shared" si="344"/>
        <v>1</v>
      </c>
      <c r="P197" s="524">
        <v>0</v>
      </c>
      <c r="Q197" s="327">
        <v>1</v>
      </c>
      <c r="R197" s="388">
        <v>1</v>
      </c>
      <c r="S197" s="328">
        <f t="shared" si="380"/>
        <v>0</v>
      </c>
      <c r="T197" s="327">
        <f t="shared" si="347"/>
        <v>0</v>
      </c>
      <c r="U197" s="388">
        <f t="shared" si="348"/>
        <v>0</v>
      </c>
      <c r="V197" s="177">
        <v>0</v>
      </c>
      <c r="W197" s="327">
        <v>1</v>
      </c>
      <c r="X197" s="388">
        <v>1</v>
      </c>
      <c r="Y197" s="328">
        <f t="shared" si="382"/>
        <v>0</v>
      </c>
      <c r="Z197" s="327">
        <f t="shared" si="351"/>
        <v>0</v>
      </c>
      <c r="AA197" s="388">
        <f t="shared" si="352"/>
        <v>0</v>
      </c>
      <c r="AB197" s="521">
        <v>0</v>
      </c>
      <c r="AC197" s="327">
        <v>1</v>
      </c>
      <c r="AD197" s="388">
        <v>1</v>
      </c>
      <c r="AE197" s="328">
        <f t="shared" si="384"/>
        <v>0</v>
      </c>
      <c r="AF197" s="327">
        <f t="shared" si="355"/>
        <v>1</v>
      </c>
      <c r="AG197" s="388">
        <f t="shared" si="355"/>
        <v>0</v>
      </c>
      <c r="AH197" s="242">
        <f t="shared" si="385"/>
        <v>-100</v>
      </c>
      <c r="AI197" s="327">
        <v>2</v>
      </c>
      <c r="AJ197" s="388">
        <v>1</v>
      </c>
      <c r="AK197" s="328">
        <f t="shared" si="386"/>
        <v>-50</v>
      </c>
      <c r="AL197" s="327">
        <f t="shared" si="358"/>
        <v>0</v>
      </c>
      <c r="AM197" s="388">
        <f t="shared" si="359"/>
        <v>0</v>
      </c>
      <c r="AN197" s="799">
        <v>0</v>
      </c>
      <c r="AO197" s="777">
        <v>2</v>
      </c>
      <c r="AP197" s="779">
        <v>1</v>
      </c>
      <c r="AQ197" s="912">
        <f t="shared" si="388"/>
        <v>-50</v>
      </c>
      <c r="AR197" s="659">
        <f t="shared" si="362"/>
        <v>0</v>
      </c>
      <c r="AS197" s="767">
        <f t="shared" si="362"/>
        <v>0</v>
      </c>
      <c r="AT197" s="799">
        <v>0</v>
      </c>
      <c r="AU197" s="976">
        <v>2</v>
      </c>
      <c r="AV197" s="975">
        <v>1</v>
      </c>
      <c r="AW197" s="912">
        <f t="shared" si="389"/>
        <v>-50</v>
      </c>
      <c r="AX197" s="659">
        <f t="shared" si="365"/>
        <v>0</v>
      </c>
      <c r="AY197" s="767">
        <f t="shared" si="366"/>
        <v>0</v>
      </c>
      <c r="AZ197" s="799">
        <v>0</v>
      </c>
      <c r="BA197" s="777">
        <v>2</v>
      </c>
      <c r="BB197" s="779">
        <v>1</v>
      </c>
      <c r="BC197" s="912">
        <f t="shared" si="390"/>
        <v>-50</v>
      </c>
      <c r="BD197" s="659">
        <f t="shared" si="369"/>
        <v>0</v>
      </c>
      <c r="BE197" s="767">
        <f t="shared" si="369"/>
        <v>1</v>
      </c>
      <c r="BF197" s="799">
        <v>0</v>
      </c>
      <c r="BG197" s="777">
        <v>2</v>
      </c>
      <c r="BH197" s="779">
        <v>2</v>
      </c>
      <c r="BI197" s="912">
        <f t="shared" si="391"/>
        <v>0</v>
      </c>
      <c r="BJ197" s="659">
        <f t="shared" si="372"/>
        <v>1</v>
      </c>
      <c r="BK197" s="767">
        <f t="shared" si="372"/>
        <v>0</v>
      </c>
      <c r="BL197" s="753">
        <f>ROUND(((BK197/BJ197-1)*100), 1)</f>
        <v>-100</v>
      </c>
      <c r="BM197" s="777">
        <v>3</v>
      </c>
      <c r="BN197" s="779">
        <v>2</v>
      </c>
      <c r="BO197" s="912">
        <f t="shared" si="392"/>
        <v>-33.299999999999997</v>
      </c>
      <c r="BP197" s="659">
        <f t="shared" si="375"/>
        <v>0</v>
      </c>
      <c r="BQ197" s="767">
        <f t="shared" si="375"/>
        <v>0</v>
      </c>
      <c r="BR197" s="799">
        <v>0</v>
      </c>
      <c r="BS197" s="777">
        <v>3</v>
      </c>
      <c r="BT197" s="779">
        <v>2</v>
      </c>
      <c r="BU197" s="912">
        <f t="shared" si="394"/>
        <v>-33.299999999999997</v>
      </c>
    </row>
    <row r="198" spans="1:73" s="173" customFormat="1">
      <c r="A198" s="325"/>
      <c r="B198" s="33" t="s">
        <v>414</v>
      </c>
      <c r="C198" s="326">
        <v>6</v>
      </c>
      <c r="D198" s="326">
        <v>7</v>
      </c>
      <c r="E198" s="326">
        <v>5</v>
      </c>
      <c r="F198" s="326">
        <v>1</v>
      </c>
      <c r="G198" s="326">
        <v>4</v>
      </c>
      <c r="H198" s="326">
        <v>1</v>
      </c>
      <c r="I198" s="377">
        <v>5</v>
      </c>
      <c r="J198" s="340">
        <v>3</v>
      </c>
      <c r="K198" s="327">
        <v>0</v>
      </c>
      <c r="L198" s="388">
        <v>1</v>
      </c>
      <c r="M198" s="177">
        <v>0</v>
      </c>
      <c r="N198" s="327">
        <f t="shared" si="343"/>
        <v>0</v>
      </c>
      <c r="O198" s="388">
        <f t="shared" si="344"/>
        <v>0</v>
      </c>
      <c r="P198" s="177">
        <v>0</v>
      </c>
      <c r="Q198" s="327">
        <v>0</v>
      </c>
      <c r="R198" s="388">
        <v>1</v>
      </c>
      <c r="S198" s="177">
        <v>0</v>
      </c>
      <c r="T198" s="327">
        <f t="shared" si="347"/>
        <v>0</v>
      </c>
      <c r="U198" s="388">
        <f t="shared" si="348"/>
        <v>1</v>
      </c>
      <c r="V198" s="177">
        <v>0</v>
      </c>
      <c r="W198" s="327">
        <v>0</v>
      </c>
      <c r="X198" s="388">
        <v>2</v>
      </c>
      <c r="Y198" s="177">
        <v>0</v>
      </c>
      <c r="Z198" s="327">
        <f t="shared" si="351"/>
        <v>0</v>
      </c>
      <c r="AA198" s="388">
        <f t="shared" si="352"/>
        <v>0</v>
      </c>
      <c r="AB198" s="521">
        <v>0</v>
      </c>
      <c r="AC198" s="327">
        <v>0</v>
      </c>
      <c r="AD198" s="388">
        <v>2</v>
      </c>
      <c r="AE198" s="521">
        <v>0</v>
      </c>
      <c r="AF198" s="327">
        <f t="shared" si="355"/>
        <v>0</v>
      </c>
      <c r="AG198" s="388">
        <f t="shared" si="355"/>
        <v>0</v>
      </c>
      <c r="AH198" s="521">
        <v>0</v>
      </c>
      <c r="AI198" s="327">
        <v>0</v>
      </c>
      <c r="AJ198" s="388">
        <v>2</v>
      </c>
      <c r="AK198" s="521">
        <v>0</v>
      </c>
      <c r="AL198" s="327">
        <f t="shared" si="358"/>
        <v>0</v>
      </c>
      <c r="AM198" s="388">
        <f t="shared" si="359"/>
        <v>1</v>
      </c>
      <c r="AN198" s="521">
        <v>0</v>
      </c>
      <c r="AO198" s="777">
        <v>0</v>
      </c>
      <c r="AP198" s="779">
        <v>3</v>
      </c>
      <c r="AQ198" s="809">
        <v>0</v>
      </c>
      <c r="AR198" s="659">
        <f t="shared" si="362"/>
        <v>0</v>
      </c>
      <c r="AS198" s="767">
        <f t="shared" si="362"/>
        <v>0</v>
      </c>
      <c r="AT198" s="799">
        <v>0</v>
      </c>
      <c r="AU198" s="976">
        <v>0</v>
      </c>
      <c r="AV198" s="975">
        <v>3</v>
      </c>
      <c r="AW198" s="809">
        <v>0</v>
      </c>
      <c r="AX198" s="659">
        <f t="shared" si="365"/>
        <v>1</v>
      </c>
      <c r="AY198" s="767">
        <f t="shared" si="366"/>
        <v>1</v>
      </c>
      <c r="AZ198" s="765">
        <f>ROUND(((AY198/AX198-1)*100), 1)</f>
        <v>0</v>
      </c>
      <c r="BA198" s="777">
        <v>1</v>
      </c>
      <c r="BB198" s="779">
        <v>4</v>
      </c>
      <c r="BC198" s="809">
        <v>0</v>
      </c>
      <c r="BD198" s="659">
        <f t="shared" si="369"/>
        <v>0</v>
      </c>
      <c r="BE198" s="767">
        <f t="shared" si="369"/>
        <v>0</v>
      </c>
      <c r="BF198" s="799">
        <v>0</v>
      </c>
      <c r="BG198" s="777">
        <v>1</v>
      </c>
      <c r="BH198" s="779">
        <v>4</v>
      </c>
      <c r="BI198" s="753">
        <f>ROUND(((BH198/BG198-1)*100), 1)</f>
        <v>300</v>
      </c>
      <c r="BJ198" s="659">
        <f t="shared" si="372"/>
        <v>0</v>
      </c>
      <c r="BK198" s="767">
        <f t="shared" si="372"/>
        <v>0</v>
      </c>
      <c r="BL198" s="799">
        <v>0</v>
      </c>
      <c r="BM198" s="777">
        <v>1</v>
      </c>
      <c r="BN198" s="779">
        <v>4</v>
      </c>
      <c r="BO198" s="753">
        <f>ROUND(((BN198/BM198-1)*100), 1)</f>
        <v>300</v>
      </c>
      <c r="BP198" s="659">
        <f t="shared" si="375"/>
        <v>1</v>
      </c>
      <c r="BQ198" s="767">
        <f t="shared" si="375"/>
        <v>0</v>
      </c>
      <c r="BR198" s="753">
        <f t="shared" si="393"/>
        <v>-100</v>
      </c>
      <c r="BS198" s="777">
        <v>2</v>
      </c>
      <c r="BT198" s="779">
        <v>4</v>
      </c>
      <c r="BU198" s="753">
        <f>ROUND(((BT198/BS198-1)*100), 1)</f>
        <v>100</v>
      </c>
    </row>
    <row r="199" spans="1:73" s="173" customFormat="1">
      <c r="A199" s="325"/>
      <c r="B199" s="33" t="s">
        <v>71</v>
      </c>
      <c r="C199" s="326">
        <v>5</v>
      </c>
      <c r="D199" s="326">
        <v>5</v>
      </c>
      <c r="E199" s="326">
        <v>7</v>
      </c>
      <c r="F199" s="326">
        <v>3</v>
      </c>
      <c r="G199" s="326">
        <v>2</v>
      </c>
      <c r="H199" s="326">
        <v>4</v>
      </c>
      <c r="I199" s="377">
        <v>5</v>
      </c>
      <c r="J199" s="340">
        <v>2</v>
      </c>
      <c r="K199" s="327">
        <v>0</v>
      </c>
      <c r="L199" s="388">
        <v>1</v>
      </c>
      <c r="M199" s="177">
        <v>0</v>
      </c>
      <c r="N199" s="327">
        <f t="shared" si="343"/>
        <v>0</v>
      </c>
      <c r="O199" s="388">
        <f t="shared" si="344"/>
        <v>0</v>
      </c>
      <c r="P199" s="177">
        <v>0</v>
      </c>
      <c r="Q199" s="327">
        <v>0</v>
      </c>
      <c r="R199" s="388">
        <v>1</v>
      </c>
      <c r="S199" s="177">
        <v>0</v>
      </c>
      <c r="T199" s="327">
        <f t="shared" si="347"/>
        <v>0</v>
      </c>
      <c r="U199" s="388">
        <f t="shared" si="348"/>
        <v>0</v>
      </c>
      <c r="V199" s="177">
        <v>0</v>
      </c>
      <c r="W199" s="327">
        <v>0</v>
      </c>
      <c r="X199" s="388">
        <v>1</v>
      </c>
      <c r="Y199" s="177">
        <v>0</v>
      </c>
      <c r="Z199" s="327">
        <f t="shared" si="351"/>
        <v>0</v>
      </c>
      <c r="AA199" s="388">
        <f t="shared" si="352"/>
        <v>0</v>
      </c>
      <c r="AB199" s="521">
        <v>0</v>
      </c>
      <c r="AC199" s="327">
        <v>0</v>
      </c>
      <c r="AD199" s="388">
        <v>1</v>
      </c>
      <c r="AE199" s="521">
        <v>0</v>
      </c>
      <c r="AF199" s="327">
        <f t="shared" si="355"/>
        <v>1</v>
      </c>
      <c r="AG199" s="388">
        <f t="shared" si="355"/>
        <v>0</v>
      </c>
      <c r="AH199" s="242">
        <f t="shared" ref="AH199" si="399">ROUND(((AG199/AF199-1)*100), 1)</f>
        <v>-100</v>
      </c>
      <c r="AI199" s="327">
        <v>1</v>
      </c>
      <c r="AJ199" s="388">
        <v>1</v>
      </c>
      <c r="AK199" s="242">
        <f t="shared" ref="AK199" si="400">ROUND(((AJ199/AI199-1)*100), 1)</f>
        <v>0</v>
      </c>
      <c r="AL199" s="327">
        <f t="shared" si="358"/>
        <v>0</v>
      </c>
      <c r="AM199" s="388">
        <f t="shared" si="359"/>
        <v>0</v>
      </c>
      <c r="AN199" s="799">
        <v>0</v>
      </c>
      <c r="AO199" s="777">
        <v>1</v>
      </c>
      <c r="AP199" s="779">
        <v>1</v>
      </c>
      <c r="AQ199" s="911">
        <f t="shared" ref="AQ199" si="401">ROUND(((AP199/AO199-1)*100), 1)</f>
        <v>0</v>
      </c>
      <c r="AR199" s="659">
        <f t="shared" si="362"/>
        <v>0</v>
      </c>
      <c r="AS199" s="767">
        <f t="shared" si="362"/>
        <v>0</v>
      </c>
      <c r="AT199" s="799">
        <v>0</v>
      </c>
      <c r="AU199" s="976">
        <v>1</v>
      </c>
      <c r="AV199" s="975">
        <v>1</v>
      </c>
      <c r="AW199" s="911">
        <f>ROUND(((AV199/AU199-1)*100), 1)</f>
        <v>0</v>
      </c>
      <c r="AX199" s="659">
        <f t="shared" si="365"/>
        <v>0</v>
      </c>
      <c r="AY199" s="767">
        <f t="shared" si="366"/>
        <v>0</v>
      </c>
      <c r="AZ199" s="799">
        <v>0</v>
      </c>
      <c r="BA199" s="777">
        <v>1</v>
      </c>
      <c r="BB199" s="779">
        <v>1</v>
      </c>
      <c r="BC199" s="911">
        <f>ROUND(((BB199/BA199-1)*100), 1)</f>
        <v>0</v>
      </c>
      <c r="BD199" s="659">
        <f t="shared" si="369"/>
        <v>1</v>
      </c>
      <c r="BE199" s="767">
        <f t="shared" si="369"/>
        <v>0</v>
      </c>
      <c r="BF199" s="753">
        <f>ROUND(((BE199/BD199-1)*100), 1)</f>
        <v>-100</v>
      </c>
      <c r="BG199" s="777">
        <v>2</v>
      </c>
      <c r="BH199" s="779">
        <v>1</v>
      </c>
      <c r="BI199" s="911">
        <f>ROUND(((BH199/BG199-1)*100), 1)</f>
        <v>-50</v>
      </c>
      <c r="BJ199" s="659">
        <f t="shared" si="372"/>
        <v>0</v>
      </c>
      <c r="BK199" s="767">
        <f t="shared" si="372"/>
        <v>0</v>
      </c>
      <c r="BL199" s="799">
        <v>0</v>
      </c>
      <c r="BM199" s="777">
        <v>2</v>
      </c>
      <c r="BN199" s="779">
        <v>1</v>
      </c>
      <c r="BO199" s="911">
        <f>ROUND(((BN199/BM199-1)*100), 1)</f>
        <v>-50</v>
      </c>
      <c r="BP199" s="659">
        <f t="shared" si="375"/>
        <v>0</v>
      </c>
      <c r="BQ199" s="767">
        <f t="shared" si="375"/>
        <v>0</v>
      </c>
      <c r="BR199" s="799">
        <v>0</v>
      </c>
      <c r="BS199" s="777">
        <v>2</v>
      </c>
      <c r="BT199" s="779">
        <v>1</v>
      </c>
      <c r="BU199" s="911">
        <f>ROUND(((BT199/BS199-1)*100), 1)</f>
        <v>-50</v>
      </c>
    </row>
    <row r="200" spans="1:73" s="173" customFormat="1">
      <c r="A200" s="325"/>
      <c r="B200" s="33" t="s">
        <v>75</v>
      </c>
      <c r="C200" s="326">
        <v>590</v>
      </c>
      <c r="D200" s="326">
        <v>703</v>
      </c>
      <c r="E200" s="326">
        <v>549</v>
      </c>
      <c r="F200" s="326">
        <v>668</v>
      </c>
      <c r="G200" s="326">
        <v>753</v>
      </c>
      <c r="H200" s="326">
        <v>503</v>
      </c>
      <c r="I200" s="377">
        <v>99</v>
      </c>
      <c r="J200" s="340">
        <v>0</v>
      </c>
      <c r="K200" s="327">
        <v>0</v>
      </c>
      <c r="L200" s="388">
        <v>0</v>
      </c>
      <c r="M200" s="177">
        <v>0</v>
      </c>
      <c r="N200" s="327">
        <f t="shared" si="343"/>
        <v>0</v>
      </c>
      <c r="O200" s="388">
        <f t="shared" si="344"/>
        <v>0</v>
      </c>
      <c r="P200" s="177">
        <v>0</v>
      </c>
      <c r="Q200" s="327">
        <v>0</v>
      </c>
      <c r="R200" s="388">
        <v>0</v>
      </c>
      <c r="S200" s="177">
        <v>0</v>
      </c>
      <c r="T200" s="327">
        <f t="shared" si="347"/>
        <v>0</v>
      </c>
      <c r="U200" s="388">
        <f t="shared" si="348"/>
        <v>0</v>
      </c>
      <c r="V200" s="177">
        <v>0</v>
      </c>
      <c r="W200" s="327">
        <v>0</v>
      </c>
      <c r="X200" s="388">
        <v>0</v>
      </c>
      <c r="Y200" s="177">
        <v>0</v>
      </c>
      <c r="Z200" s="327">
        <f t="shared" si="351"/>
        <v>0</v>
      </c>
      <c r="AA200" s="388">
        <f t="shared" si="352"/>
        <v>0</v>
      </c>
      <c r="AB200" s="521">
        <v>0</v>
      </c>
      <c r="AC200" s="327">
        <v>0</v>
      </c>
      <c r="AD200" s="388">
        <v>0</v>
      </c>
      <c r="AE200" s="521">
        <v>0</v>
      </c>
      <c r="AF200" s="327">
        <f t="shared" si="355"/>
        <v>0</v>
      </c>
      <c r="AG200" s="388">
        <f t="shared" si="355"/>
        <v>0</v>
      </c>
      <c r="AH200" s="521">
        <v>0</v>
      </c>
      <c r="AI200" s="327">
        <v>0</v>
      </c>
      <c r="AJ200" s="388">
        <v>0</v>
      </c>
      <c r="AK200" s="521">
        <v>0</v>
      </c>
      <c r="AL200" s="327">
        <f t="shared" si="358"/>
        <v>0</v>
      </c>
      <c r="AM200" s="388">
        <f t="shared" si="359"/>
        <v>0</v>
      </c>
      <c r="AN200" s="521">
        <v>0</v>
      </c>
      <c r="AO200" s="659">
        <v>0</v>
      </c>
      <c r="AP200" s="819">
        <v>0</v>
      </c>
      <c r="AQ200" s="521">
        <v>0</v>
      </c>
      <c r="AR200" s="659">
        <f t="shared" si="362"/>
        <v>0</v>
      </c>
      <c r="AS200" s="767">
        <f t="shared" si="362"/>
        <v>1</v>
      </c>
      <c r="AT200" s="799">
        <v>0</v>
      </c>
      <c r="AU200" s="977">
        <v>0</v>
      </c>
      <c r="AV200" s="970">
        <v>1</v>
      </c>
      <c r="AW200" s="799">
        <v>0</v>
      </c>
      <c r="AX200" s="659">
        <f t="shared" si="365"/>
        <v>0</v>
      </c>
      <c r="AY200" s="767">
        <f t="shared" si="366"/>
        <v>0</v>
      </c>
      <c r="AZ200" s="799">
        <v>0</v>
      </c>
      <c r="BA200" s="659">
        <v>0</v>
      </c>
      <c r="BB200" s="819">
        <v>1</v>
      </c>
      <c r="BC200" s="799">
        <v>0</v>
      </c>
      <c r="BD200" s="659">
        <f t="shared" si="369"/>
        <v>0</v>
      </c>
      <c r="BE200" s="767">
        <f t="shared" si="369"/>
        <v>0</v>
      </c>
      <c r="BF200" s="799">
        <v>0</v>
      </c>
      <c r="BG200" s="659">
        <v>0</v>
      </c>
      <c r="BH200" s="819">
        <v>1</v>
      </c>
      <c r="BI200" s="799">
        <v>0</v>
      </c>
      <c r="BJ200" s="659">
        <f t="shared" si="372"/>
        <v>0</v>
      </c>
      <c r="BK200" s="767">
        <f t="shared" si="372"/>
        <v>0</v>
      </c>
      <c r="BL200" s="799">
        <v>0</v>
      </c>
      <c r="BM200" s="659">
        <v>0</v>
      </c>
      <c r="BN200" s="819">
        <v>1</v>
      </c>
      <c r="BO200" s="799">
        <v>0</v>
      </c>
      <c r="BP200" s="659">
        <f t="shared" si="375"/>
        <v>0</v>
      </c>
      <c r="BQ200" s="767">
        <f t="shared" si="375"/>
        <v>0</v>
      </c>
      <c r="BR200" s="799">
        <v>0</v>
      </c>
      <c r="BS200" s="659">
        <v>0</v>
      </c>
      <c r="BT200" s="819">
        <v>1</v>
      </c>
      <c r="BU200" s="799">
        <v>0</v>
      </c>
    </row>
    <row r="201" spans="1:73" s="173" customFormat="1">
      <c r="A201" s="325"/>
      <c r="B201" s="33" t="s">
        <v>24</v>
      </c>
      <c r="C201" s="326">
        <f t="shared" ref="C201:L201" si="402">C202-SUM(C181:C200)</f>
        <v>181</v>
      </c>
      <c r="D201" s="326">
        <f t="shared" si="402"/>
        <v>175</v>
      </c>
      <c r="E201" s="326">
        <f t="shared" si="402"/>
        <v>149</v>
      </c>
      <c r="F201" s="326">
        <f t="shared" si="402"/>
        <v>175</v>
      </c>
      <c r="G201" s="326">
        <f t="shared" si="402"/>
        <v>25</v>
      </c>
      <c r="H201" s="326">
        <f t="shared" si="402"/>
        <v>32</v>
      </c>
      <c r="I201" s="377">
        <f t="shared" si="402"/>
        <v>29</v>
      </c>
      <c r="J201" s="340">
        <f t="shared" si="402"/>
        <v>15</v>
      </c>
      <c r="K201" s="327">
        <f t="shared" si="402"/>
        <v>0</v>
      </c>
      <c r="L201" s="388">
        <f t="shared" si="402"/>
        <v>66</v>
      </c>
      <c r="M201" s="178">
        <v>0</v>
      </c>
      <c r="N201" s="327">
        <f>N202-SUM(N181:N200)</f>
        <v>1</v>
      </c>
      <c r="O201" s="388">
        <f>O202-SUM(O181:O200)</f>
        <v>5</v>
      </c>
      <c r="P201" s="242">
        <f>ROUND(((O201/N201-1)*100), 1)</f>
        <v>400</v>
      </c>
      <c r="Q201" s="327">
        <f>Q202-SUM(Q181:Q200)</f>
        <v>1</v>
      </c>
      <c r="R201" s="388">
        <f>R202-SUM(R181:R200)</f>
        <v>71</v>
      </c>
      <c r="S201" s="242">
        <f>ROUND(((R201/Q201-1)*100), 1)</f>
        <v>7000</v>
      </c>
      <c r="T201" s="327">
        <f>T202-SUM(T181:T200)</f>
        <v>2</v>
      </c>
      <c r="U201" s="388">
        <f>U202-SUM(U181:U200)</f>
        <v>18</v>
      </c>
      <c r="V201" s="242">
        <f>ROUND(((U201/T201-1)*100), 1)</f>
        <v>800</v>
      </c>
      <c r="W201" s="327">
        <f>W202-SUM(W181:W200)</f>
        <v>3</v>
      </c>
      <c r="X201" s="388">
        <f>X202-SUM(X181:X200)</f>
        <v>89</v>
      </c>
      <c r="Y201" s="242">
        <f>ROUND(((X201/W201-1)*100), 1)</f>
        <v>2866.7</v>
      </c>
      <c r="Z201" s="327">
        <f>Z202-SUM(Z181:Z200)</f>
        <v>9</v>
      </c>
      <c r="AA201" s="388">
        <f>AA202-SUM(AA181:AA200)</f>
        <v>14</v>
      </c>
      <c r="AB201" s="242">
        <f>ROUND(((AA201/Z201-1)*100), 1)</f>
        <v>55.6</v>
      </c>
      <c r="AC201" s="327">
        <f>AC202-SUM(AC181:AC200)</f>
        <v>12</v>
      </c>
      <c r="AD201" s="388">
        <f>AD202-SUM(AD181:AD200)</f>
        <v>103</v>
      </c>
      <c r="AE201" s="242">
        <f>ROUND(((AD201/AC201-1)*100), 1)</f>
        <v>758.3</v>
      </c>
      <c r="AF201" s="327">
        <f>AF202-SUM(AF181:AF200)</f>
        <v>0</v>
      </c>
      <c r="AG201" s="388">
        <f>AG202-SUM(AG181:AG200)</f>
        <v>2</v>
      </c>
      <c r="AH201" s="522">
        <v>0</v>
      </c>
      <c r="AI201" s="327">
        <f>AI202-SUM(AI181:AI200)</f>
        <v>12</v>
      </c>
      <c r="AJ201" s="388">
        <f>AJ202-SUM(AJ181:AJ200)</f>
        <v>105</v>
      </c>
      <c r="AK201" s="242">
        <f>ROUND(((AJ201/AI201-1)*100), 1)</f>
        <v>775</v>
      </c>
      <c r="AL201" s="327">
        <f>AL202-SUM(AL181:AL200)</f>
        <v>2</v>
      </c>
      <c r="AM201" s="388">
        <f>AM202-SUM(AM181:AM200)</f>
        <v>5</v>
      </c>
      <c r="AN201" s="765">
        <f t="shared" ref="AN201" si="403">ROUND(((AM201/AL201-1)*100), 1)</f>
        <v>150</v>
      </c>
      <c r="AO201" s="659">
        <f>AO202-SUM(AO181:AO200)</f>
        <v>14</v>
      </c>
      <c r="AP201" s="767">
        <f>AP202-SUM(AP181:AP200)</f>
        <v>110</v>
      </c>
      <c r="AQ201" s="242">
        <f>ROUND(((AP201/AO201-1)*100), 1)</f>
        <v>685.7</v>
      </c>
      <c r="AR201" s="659">
        <f>AR202-SUM(AR181:AR200)</f>
        <v>0</v>
      </c>
      <c r="AS201" s="767">
        <f>AS202-SUM(AS181:AS200)</f>
        <v>1</v>
      </c>
      <c r="AT201" s="800">
        <v>0</v>
      </c>
      <c r="AU201" s="977">
        <f>AU202-SUM(AU181:AU200)</f>
        <v>14</v>
      </c>
      <c r="AV201" s="978">
        <f>AV202-SUM(AV181:AV200)</f>
        <v>111</v>
      </c>
      <c r="AW201" s="753">
        <f>ROUND(((AV201/AU201-1)*100), 1)</f>
        <v>692.9</v>
      </c>
      <c r="AX201" s="659">
        <f>AX202-SUM(AX181:AX200)</f>
        <v>0</v>
      </c>
      <c r="AY201" s="767">
        <f>AY202-SUM(AY181:AY200)</f>
        <v>0</v>
      </c>
      <c r="AZ201" s="800">
        <v>0</v>
      </c>
      <c r="BA201" s="659">
        <f>BA202-SUM(BA181:BA200)</f>
        <v>14</v>
      </c>
      <c r="BB201" s="767">
        <f>BB202-SUM(BB181:BB200)</f>
        <v>111</v>
      </c>
      <c r="BC201" s="753">
        <f>ROUND(((BB201/BA201-1)*100), 1)</f>
        <v>692.9</v>
      </c>
      <c r="BD201" s="659">
        <f>BD202-SUM(BD181:BD200)</f>
        <v>0</v>
      </c>
      <c r="BE201" s="767">
        <f>BE202-SUM(BE181:BE200)</f>
        <v>1</v>
      </c>
      <c r="BF201" s="800">
        <v>0</v>
      </c>
      <c r="BG201" s="659">
        <f>BG202-SUM(BG181:BG200)</f>
        <v>14</v>
      </c>
      <c r="BH201" s="767">
        <f>BH202-SUM(BH181:BH200)</f>
        <v>112</v>
      </c>
      <c r="BI201" s="753">
        <f>ROUND(((BH201/BG201-1)*100), 1)</f>
        <v>700</v>
      </c>
      <c r="BJ201" s="659">
        <f>BJ202-SUM(BJ181:BJ200)</f>
        <v>1</v>
      </c>
      <c r="BK201" s="767">
        <f>BK202-SUM(BK181:BK200)</f>
        <v>5</v>
      </c>
      <c r="BL201" s="753">
        <f>ROUND(((BK201/BJ201-1)*100), 1)</f>
        <v>400</v>
      </c>
      <c r="BM201" s="659">
        <f>BM202-SUM(BM181:BM200)</f>
        <v>15</v>
      </c>
      <c r="BN201" s="767">
        <f>BN202-SUM(BN181:BN200)</f>
        <v>117</v>
      </c>
      <c r="BO201" s="753">
        <f>ROUND(((BN201/BM201-1)*100), 1)</f>
        <v>680</v>
      </c>
      <c r="BP201" s="659">
        <f>BP202-SUM(BP181:BP200)</f>
        <v>0</v>
      </c>
      <c r="BQ201" s="767">
        <f>BQ202-SUM(BQ181:BQ200)</f>
        <v>5</v>
      </c>
      <c r="BR201" s="800">
        <v>0</v>
      </c>
      <c r="BS201" s="659">
        <f>BS202-SUM(BS181:BS200)</f>
        <v>15</v>
      </c>
      <c r="BT201" s="767">
        <f>BT202-SUM(BT181:BT200)</f>
        <v>122</v>
      </c>
      <c r="BU201" s="753">
        <f>ROUND(((BT201/BS201-1)*100), 1)</f>
        <v>713.3</v>
      </c>
    </row>
    <row r="202" spans="1:73" s="173" customFormat="1">
      <c r="A202" s="325"/>
      <c r="B202" s="329" t="s">
        <v>108</v>
      </c>
      <c r="C202" s="379">
        <v>34306</v>
      </c>
      <c r="D202" s="379">
        <v>24639</v>
      </c>
      <c r="E202" s="379">
        <v>26784</v>
      </c>
      <c r="F202" s="379">
        <v>28141</v>
      </c>
      <c r="G202" s="379">
        <v>29624</v>
      </c>
      <c r="H202" s="379">
        <v>32581</v>
      </c>
      <c r="I202" s="378">
        <v>34731</v>
      </c>
      <c r="J202" s="462">
        <v>34761</v>
      </c>
      <c r="K202" s="404">
        <v>3028</v>
      </c>
      <c r="L202" s="247">
        <v>2265</v>
      </c>
      <c r="M202" s="330">
        <f t="shared" ref="M202:M211" si="404">ROUND(((L202/K202-1)*100), 1)</f>
        <v>-25.2</v>
      </c>
      <c r="N202" s="404">
        <f t="shared" ref="N202:N215" si="405">Q202-K202</f>
        <v>2586</v>
      </c>
      <c r="O202" s="247">
        <f t="shared" ref="O202:O215" si="406">R202-L202</f>
        <v>2410</v>
      </c>
      <c r="P202" s="330">
        <f t="shared" ref="P202:P211" si="407">ROUND(((O202/N202-1)*100), 1)</f>
        <v>-6.8</v>
      </c>
      <c r="Q202" s="404">
        <v>5614</v>
      </c>
      <c r="R202" s="247">
        <v>4675</v>
      </c>
      <c r="S202" s="330">
        <f t="shared" ref="S202:S211" si="408">ROUND(((R202/Q202-1)*100), 1)</f>
        <v>-16.7</v>
      </c>
      <c r="T202" s="404">
        <f t="shared" ref="T202:T215" si="409">W202-Q202</f>
        <v>2823</v>
      </c>
      <c r="U202" s="247">
        <f t="shared" ref="U202:U215" si="410">X202-R202</f>
        <v>3373</v>
      </c>
      <c r="V202" s="330">
        <f t="shared" ref="V202:V211" si="411">ROUND(((U202/T202-1)*100), 1)</f>
        <v>19.5</v>
      </c>
      <c r="W202" s="404">
        <v>8437</v>
      </c>
      <c r="X202" s="247">
        <v>8048</v>
      </c>
      <c r="Y202" s="330">
        <f t="shared" ref="Y202:Y211" si="412">ROUND(((X202/W202-1)*100), 1)</f>
        <v>-4.5999999999999996</v>
      </c>
      <c r="Z202" s="404">
        <f t="shared" ref="Z202:Z215" si="413">AC202-W202</f>
        <v>3176</v>
      </c>
      <c r="AA202" s="247">
        <f t="shared" ref="AA202:AA215" si="414">AD202-X202</f>
        <v>3199</v>
      </c>
      <c r="AB202" s="330">
        <f t="shared" ref="AB202:AB208" si="415">ROUND(((AA202/Z202-1)*100), 1)</f>
        <v>0.7</v>
      </c>
      <c r="AC202" s="404">
        <v>11613</v>
      </c>
      <c r="AD202" s="247">
        <v>11247</v>
      </c>
      <c r="AE202" s="330">
        <f t="shared" ref="AE202:AE211" si="416">ROUND(((AD202/AC202-1)*100), 1)</f>
        <v>-3.2</v>
      </c>
      <c r="AF202" s="404">
        <f t="shared" ref="AF202:AG215" si="417">AI202-AC202</f>
        <v>3209</v>
      </c>
      <c r="AG202" s="247">
        <f t="shared" si="417"/>
        <v>2721</v>
      </c>
      <c r="AH202" s="330">
        <f t="shared" ref="AH202:AH208" si="418">ROUND(((AG202/AF202-1)*100), 1)</f>
        <v>-15.2</v>
      </c>
      <c r="AI202" s="404">
        <v>14822</v>
      </c>
      <c r="AJ202" s="247">
        <v>13968</v>
      </c>
      <c r="AK202" s="330">
        <f t="shared" ref="AK202:AK211" si="419">ROUND(((AJ202/AI202-1)*100), 1)</f>
        <v>-5.8</v>
      </c>
      <c r="AL202" s="404">
        <f t="shared" ref="AL202:AL215" si="420">AO202-AI202</f>
        <v>2637</v>
      </c>
      <c r="AM202" s="247">
        <f t="shared" ref="AM202:AM215" si="421">AP202-AJ202</f>
        <v>3073</v>
      </c>
      <c r="AN202" s="330">
        <f t="shared" ref="AN202:AN208" si="422">ROUND(((AM202/AL202-1)*100), 1)</f>
        <v>16.5</v>
      </c>
      <c r="AO202" s="665">
        <v>17459</v>
      </c>
      <c r="AP202" s="247">
        <v>17041</v>
      </c>
      <c r="AQ202" s="330">
        <f t="shared" ref="AQ202:AQ212" si="423">ROUND(((AP202/AO202-1)*100), 1)</f>
        <v>-2.4</v>
      </c>
      <c r="AR202" s="665">
        <f t="shared" ref="AR202:AS215" si="424">AU202-AO202</f>
        <v>3143</v>
      </c>
      <c r="AS202" s="247">
        <f t="shared" si="424"/>
        <v>3586</v>
      </c>
      <c r="AT202" s="330">
        <f t="shared" ref="AT202:AT217" si="425">ROUND(((AS202/AR202-1)*100), 1)</f>
        <v>14.1</v>
      </c>
      <c r="AU202" s="979">
        <v>20602</v>
      </c>
      <c r="AV202" s="980">
        <v>20627</v>
      </c>
      <c r="AW202" s="330">
        <f t="shared" ref="AW202:AW212" si="426">ROUND(((AV202/AU202-1)*100), 1)</f>
        <v>0.1</v>
      </c>
      <c r="AX202" s="665">
        <f t="shared" ref="AX202:AX215" si="427">BA202-AU202</f>
        <v>3092</v>
      </c>
      <c r="AY202" s="247">
        <f t="shared" ref="AY202:AY215" si="428">BB202-AV202</f>
        <v>3676</v>
      </c>
      <c r="AZ202" s="330">
        <f t="shared" ref="AZ202:AZ212" si="429">ROUND(((AY202/AX202-1)*100), 1)</f>
        <v>18.899999999999999</v>
      </c>
      <c r="BA202" s="665">
        <v>23694</v>
      </c>
      <c r="BB202" s="247">
        <v>24303</v>
      </c>
      <c r="BC202" s="330">
        <f t="shared" ref="BC202:BC212" si="430">ROUND(((BB202/BA202-1)*100), 1)</f>
        <v>2.6</v>
      </c>
      <c r="BD202" s="665">
        <f t="shared" ref="BD202:BE215" si="431">BG202-BA202</f>
        <v>3029</v>
      </c>
      <c r="BE202" s="247">
        <f t="shared" si="431"/>
        <v>4229</v>
      </c>
      <c r="BF202" s="330">
        <f t="shared" ref="BF202:BF217" si="432">ROUND(((BE202/BD202-1)*100), 1)</f>
        <v>39.6</v>
      </c>
      <c r="BG202" s="665">
        <v>26723</v>
      </c>
      <c r="BH202" s="247">
        <v>28532</v>
      </c>
      <c r="BI202" s="330">
        <f t="shared" ref="BI202:BI212" si="433">ROUND(((BH202/BG202-1)*100), 1)</f>
        <v>6.8</v>
      </c>
      <c r="BJ202" s="665">
        <f t="shared" ref="BJ202:BK215" si="434">BM202-BG202</f>
        <v>2852</v>
      </c>
      <c r="BK202" s="247">
        <f t="shared" si="434"/>
        <v>4047</v>
      </c>
      <c r="BL202" s="330">
        <f t="shared" ref="BL202:BL211" si="435">ROUND(((BK202/BJ202-1)*100), 1)</f>
        <v>41.9</v>
      </c>
      <c r="BM202" s="665">
        <v>29575</v>
      </c>
      <c r="BN202" s="247">
        <v>32579</v>
      </c>
      <c r="BO202" s="330">
        <f t="shared" ref="BO202:BO212" si="436">ROUND(((BN202/BM202-1)*100), 1)</f>
        <v>10.199999999999999</v>
      </c>
      <c r="BP202" s="665">
        <f t="shared" ref="BP202:BQ215" si="437">BS202-BM202</f>
        <v>2858</v>
      </c>
      <c r="BQ202" s="247">
        <f t="shared" si="437"/>
        <v>4176</v>
      </c>
      <c r="BR202" s="330">
        <f t="shared" ref="BR202:BR212" si="438">ROUND(((BQ202/BP202-1)*100), 1)</f>
        <v>46.1</v>
      </c>
      <c r="BS202" s="665">
        <v>32433</v>
      </c>
      <c r="BT202" s="247">
        <v>36755</v>
      </c>
      <c r="BU202" s="330">
        <f t="shared" ref="BU202:BU212" si="439">ROUND(((BT202/BS202-1)*100), 1)</f>
        <v>13.3</v>
      </c>
    </row>
    <row r="203" spans="1:73" s="173" customFormat="1">
      <c r="A203" s="331"/>
      <c r="B203" s="332" t="s">
        <v>50</v>
      </c>
      <c r="C203" s="333">
        <v>30981</v>
      </c>
      <c r="D203" s="333">
        <v>29789</v>
      </c>
      <c r="E203" s="333">
        <v>30868</v>
      </c>
      <c r="F203" s="333">
        <v>32951</v>
      </c>
      <c r="G203" s="333">
        <v>39348</v>
      </c>
      <c r="H203" s="333">
        <v>37916</v>
      </c>
      <c r="I203" s="374">
        <v>39751</v>
      </c>
      <c r="J203" s="463">
        <v>41282</v>
      </c>
      <c r="K203" s="334">
        <v>4368</v>
      </c>
      <c r="L203" s="335">
        <v>3705</v>
      </c>
      <c r="M203" s="336">
        <f t="shared" si="404"/>
        <v>-15.2</v>
      </c>
      <c r="N203" s="334">
        <f t="shared" si="405"/>
        <v>3085</v>
      </c>
      <c r="O203" s="335">
        <f t="shared" si="406"/>
        <v>2056</v>
      </c>
      <c r="P203" s="336">
        <f t="shared" si="407"/>
        <v>-33.4</v>
      </c>
      <c r="Q203" s="334">
        <v>7453</v>
      </c>
      <c r="R203" s="335">
        <v>5761</v>
      </c>
      <c r="S203" s="336">
        <f t="shared" si="408"/>
        <v>-22.7</v>
      </c>
      <c r="T203" s="334">
        <f t="shared" si="409"/>
        <v>4112</v>
      </c>
      <c r="U203" s="335">
        <f t="shared" si="410"/>
        <v>5110</v>
      </c>
      <c r="V203" s="336">
        <f t="shared" si="411"/>
        <v>24.3</v>
      </c>
      <c r="W203" s="334">
        <v>11565</v>
      </c>
      <c r="X203" s="335">
        <v>10871</v>
      </c>
      <c r="Y203" s="336">
        <f t="shared" si="412"/>
        <v>-6</v>
      </c>
      <c r="Z203" s="334">
        <f t="shared" si="413"/>
        <v>4067</v>
      </c>
      <c r="AA203" s="335">
        <f t="shared" si="414"/>
        <v>3627</v>
      </c>
      <c r="AB203" s="336">
        <f t="shared" si="415"/>
        <v>-10.8</v>
      </c>
      <c r="AC203" s="334">
        <v>15632</v>
      </c>
      <c r="AD203" s="335">
        <v>14498</v>
      </c>
      <c r="AE203" s="336">
        <f t="shared" si="416"/>
        <v>-7.3</v>
      </c>
      <c r="AF203" s="334">
        <f t="shared" si="417"/>
        <v>3136</v>
      </c>
      <c r="AG203" s="335">
        <f t="shared" si="417"/>
        <v>1858</v>
      </c>
      <c r="AH203" s="336">
        <f t="shared" si="418"/>
        <v>-40.799999999999997</v>
      </c>
      <c r="AI203" s="334">
        <v>18768</v>
      </c>
      <c r="AJ203" s="335">
        <v>16356</v>
      </c>
      <c r="AK203" s="336">
        <f t="shared" si="419"/>
        <v>-12.9</v>
      </c>
      <c r="AL203" s="334">
        <f t="shared" si="420"/>
        <v>3258</v>
      </c>
      <c r="AM203" s="335">
        <f t="shared" si="421"/>
        <v>2597</v>
      </c>
      <c r="AN203" s="336">
        <f t="shared" si="422"/>
        <v>-20.3</v>
      </c>
      <c r="AO203" s="334">
        <v>22026</v>
      </c>
      <c r="AP203" s="335">
        <v>18953</v>
      </c>
      <c r="AQ203" s="336">
        <f t="shared" si="423"/>
        <v>-14</v>
      </c>
      <c r="AR203" s="334">
        <f t="shared" si="424"/>
        <v>3258</v>
      </c>
      <c r="AS203" s="335">
        <f t="shared" si="424"/>
        <v>3567</v>
      </c>
      <c r="AT203" s="336">
        <f t="shared" si="425"/>
        <v>9.5</v>
      </c>
      <c r="AU203" s="981">
        <v>25284</v>
      </c>
      <c r="AV203" s="982">
        <v>22520</v>
      </c>
      <c r="AW203" s="336">
        <f t="shared" si="426"/>
        <v>-10.9</v>
      </c>
      <c r="AX203" s="334">
        <f t="shared" si="427"/>
        <v>3164</v>
      </c>
      <c r="AY203" s="335">
        <f t="shared" si="428"/>
        <v>3528</v>
      </c>
      <c r="AZ203" s="336">
        <f t="shared" si="429"/>
        <v>11.5</v>
      </c>
      <c r="BA203" s="334">
        <v>28448</v>
      </c>
      <c r="BB203" s="335">
        <v>26048</v>
      </c>
      <c r="BC203" s="336">
        <f t="shared" si="430"/>
        <v>-8.4</v>
      </c>
      <c r="BD203" s="334">
        <f t="shared" si="431"/>
        <v>2941</v>
      </c>
      <c r="BE203" s="335">
        <f t="shared" si="431"/>
        <v>3698</v>
      </c>
      <c r="BF203" s="336">
        <f t="shared" si="432"/>
        <v>25.7</v>
      </c>
      <c r="BG203" s="334">
        <v>31389</v>
      </c>
      <c r="BH203" s="335">
        <v>29746</v>
      </c>
      <c r="BI203" s="336">
        <f t="shared" si="433"/>
        <v>-5.2</v>
      </c>
      <c r="BJ203" s="334">
        <f t="shared" si="434"/>
        <v>3140</v>
      </c>
      <c r="BK203" s="335">
        <f t="shared" si="434"/>
        <v>3966</v>
      </c>
      <c r="BL203" s="336">
        <f t="shared" si="435"/>
        <v>26.3</v>
      </c>
      <c r="BM203" s="334">
        <v>34529</v>
      </c>
      <c r="BN203" s="335">
        <v>33712</v>
      </c>
      <c r="BO203" s="336">
        <f t="shared" si="436"/>
        <v>-2.4</v>
      </c>
      <c r="BP203" s="334">
        <f t="shared" si="437"/>
        <v>3267</v>
      </c>
      <c r="BQ203" s="335">
        <f t="shared" si="437"/>
        <v>4116</v>
      </c>
      <c r="BR203" s="336">
        <f t="shared" si="438"/>
        <v>26</v>
      </c>
      <c r="BS203" s="334">
        <v>37796</v>
      </c>
      <c r="BT203" s="335">
        <v>37828</v>
      </c>
      <c r="BU203" s="336">
        <f t="shared" si="439"/>
        <v>0.1</v>
      </c>
    </row>
    <row r="204" spans="1:73">
      <c r="A204" s="4" t="s">
        <v>110</v>
      </c>
      <c r="B204" s="43" t="s">
        <v>57</v>
      </c>
      <c r="C204" s="188">
        <v>7233</v>
      </c>
      <c r="D204" s="188">
        <v>12079</v>
      </c>
      <c r="E204" s="188">
        <v>15750</v>
      </c>
      <c r="F204" s="188">
        <v>13340</v>
      </c>
      <c r="G204" s="188">
        <v>15422</v>
      </c>
      <c r="H204" s="188">
        <v>16510</v>
      </c>
      <c r="I204" s="362">
        <v>15433</v>
      </c>
      <c r="J204" s="44">
        <v>12503</v>
      </c>
      <c r="K204" s="383">
        <v>1457</v>
      </c>
      <c r="L204" s="390">
        <v>951</v>
      </c>
      <c r="M204" s="232">
        <f t="shared" si="404"/>
        <v>-34.700000000000003</v>
      </c>
      <c r="N204" s="383">
        <f t="shared" si="405"/>
        <v>925</v>
      </c>
      <c r="O204" s="390">
        <f t="shared" si="406"/>
        <v>1018</v>
      </c>
      <c r="P204" s="242">
        <f t="shared" si="407"/>
        <v>10.1</v>
      </c>
      <c r="Q204" s="383">
        <v>2382</v>
      </c>
      <c r="R204" s="390">
        <v>1969</v>
      </c>
      <c r="S204" s="242">
        <f t="shared" si="408"/>
        <v>-17.3</v>
      </c>
      <c r="T204" s="383">
        <f t="shared" si="409"/>
        <v>1054</v>
      </c>
      <c r="U204" s="390">
        <f t="shared" si="410"/>
        <v>1040</v>
      </c>
      <c r="V204" s="242">
        <f t="shared" si="411"/>
        <v>-1.3</v>
      </c>
      <c r="W204" s="383">
        <v>3436</v>
      </c>
      <c r="X204" s="390">
        <v>3009</v>
      </c>
      <c r="Y204" s="242">
        <f t="shared" si="412"/>
        <v>-12.4</v>
      </c>
      <c r="Z204" s="527">
        <f t="shared" si="413"/>
        <v>1096</v>
      </c>
      <c r="AA204" s="390">
        <f t="shared" si="414"/>
        <v>1044</v>
      </c>
      <c r="AB204" s="242">
        <f t="shared" si="415"/>
        <v>-4.7</v>
      </c>
      <c r="AC204" s="527">
        <v>4532</v>
      </c>
      <c r="AD204" s="390">
        <v>4053</v>
      </c>
      <c r="AE204" s="242">
        <f t="shared" si="416"/>
        <v>-10.6</v>
      </c>
      <c r="AF204" s="527">
        <f t="shared" si="417"/>
        <v>1228</v>
      </c>
      <c r="AG204" s="390">
        <f t="shared" si="417"/>
        <v>687</v>
      </c>
      <c r="AH204" s="242">
        <f t="shared" si="418"/>
        <v>-44.1</v>
      </c>
      <c r="AI204" s="527">
        <v>5760</v>
      </c>
      <c r="AJ204" s="390">
        <v>4740</v>
      </c>
      <c r="AK204" s="242">
        <f t="shared" si="419"/>
        <v>-17.7</v>
      </c>
      <c r="AL204" s="527">
        <f t="shared" si="420"/>
        <v>1006</v>
      </c>
      <c r="AM204" s="390">
        <f t="shared" si="421"/>
        <v>1081</v>
      </c>
      <c r="AN204" s="242">
        <f t="shared" si="422"/>
        <v>7.5</v>
      </c>
      <c r="AO204" s="817">
        <v>6766</v>
      </c>
      <c r="AP204" s="819">
        <v>5821</v>
      </c>
      <c r="AQ204" s="242">
        <f t="shared" si="423"/>
        <v>-14</v>
      </c>
      <c r="AR204" s="817">
        <f t="shared" si="424"/>
        <v>877</v>
      </c>
      <c r="AS204" s="819">
        <f t="shared" si="424"/>
        <v>956</v>
      </c>
      <c r="AT204" s="753">
        <f t="shared" si="425"/>
        <v>9</v>
      </c>
      <c r="AU204" s="969">
        <v>7643</v>
      </c>
      <c r="AV204" s="970">
        <v>6777</v>
      </c>
      <c r="AW204" s="753">
        <f t="shared" si="426"/>
        <v>-11.3</v>
      </c>
      <c r="AX204" s="817">
        <f t="shared" si="427"/>
        <v>995</v>
      </c>
      <c r="AY204" s="819">
        <f t="shared" si="428"/>
        <v>1012</v>
      </c>
      <c r="AZ204" s="753">
        <f t="shared" si="429"/>
        <v>1.7</v>
      </c>
      <c r="BA204" s="817">
        <v>8638</v>
      </c>
      <c r="BB204" s="819">
        <v>7789</v>
      </c>
      <c r="BC204" s="753">
        <f t="shared" si="430"/>
        <v>-9.8000000000000007</v>
      </c>
      <c r="BD204" s="817">
        <f t="shared" si="431"/>
        <v>1049</v>
      </c>
      <c r="BE204" s="819">
        <f t="shared" si="431"/>
        <v>826</v>
      </c>
      <c r="BF204" s="753">
        <f t="shared" si="432"/>
        <v>-21.3</v>
      </c>
      <c r="BG204" s="817">
        <v>9687</v>
      </c>
      <c r="BH204" s="819">
        <v>8615</v>
      </c>
      <c r="BI204" s="753">
        <f t="shared" si="433"/>
        <v>-11.1</v>
      </c>
      <c r="BJ204" s="817">
        <f t="shared" si="434"/>
        <v>991</v>
      </c>
      <c r="BK204" s="819">
        <f t="shared" si="434"/>
        <v>896</v>
      </c>
      <c r="BL204" s="753">
        <f t="shared" si="435"/>
        <v>-9.6</v>
      </c>
      <c r="BM204" s="817">
        <v>10678</v>
      </c>
      <c r="BN204" s="819">
        <v>9511</v>
      </c>
      <c r="BO204" s="753">
        <f t="shared" si="436"/>
        <v>-10.9</v>
      </c>
      <c r="BP204" s="817">
        <f t="shared" si="437"/>
        <v>857</v>
      </c>
      <c r="BQ204" s="819">
        <f t="shared" si="437"/>
        <v>1066</v>
      </c>
      <c r="BR204" s="753">
        <f t="shared" si="438"/>
        <v>24.4</v>
      </c>
      <c r="BS204" s="817">
        <v>11535</v>
      </c>
      <c r="BT204" s="819">
        <v>10577</v>
      </c>
      <c r="BU204" s="753">
        <f t="shared" si="439"/>
        <v>-8.3000000000000007</v>
      </c>
    </row>
    <row r="205" spans="1:73">
      <c r="A205" s="4"/>
      <c r="B205" s="43" t="s">
        <v>54</v>
      </c>
      <c r="C205" s="188">
        <v>6615</v>
      </c>
      <c r="D205" s="188">
        <v>6543</v>
      </c>
      <c r="E205" s="188">
        <v>6083</v>
      </c>
      <c r="F205" s="188">
        <v>5648</v>
      </c>
      <c r="G205" s="188">
        <v>5900</v>
      </c>
      <c r="H205" s="188">
        <v>6624</v>
      </c>
      <c r="I205" s="362">
        <v>6203</v>
      </c>
      <c r="J205" s="44">
        <v>5898</v>
      </c>
      <c r="K205" s="383">
        <v>470</v>
      </c>
      <c r="L205" s="390">
        <v>387</v>
      </c>
      <c r="M205" s="232">
        <f t="shared" si="404"/>
        <v>-17.7</v>
      </c>
      <c r="N205" s="383">
        <f t="shared" si="405"/>
        <v>433</v>
      </c>
      <c r="O205" s="390">
        <f t="shared" si="406"/>
        <v>450</v>
      </c>
      <c r="P205" s="242">
        <f t="shared" si="407"/>
        <v>3.9</v>
      </c>
      <c r="Q205" s="383">
        <v>903</v>
      </c>
      <c r="R205" s="390">
        <v>837</v>
      </c>
      <c r="S205" s="242">
        <f t="shared" si="408"/>
        <v>-7.3</v>
      </c>
      <c r="T205" s="383">
        <f t="shared" si="409"/>
        <v>462</v>
      </c>
      <c r="U205" s="390">
        <f t="shared" si="410"/>
        <v>579</v>
      </c>
      <c r="V205" s="242">
        <f t="shared" si="411"/>
        <v>25.3</v>
      </c>
      <c r="W205" s="383">
        <v>1365</v>
      </c>
      <c r="X205" s="390">
        <v>1416</v>
      </c>
      <c r="Y205" s="242">
        <f t="shared" si="412"/>
        <v>3.7</v>
      </c>
      <c r="Z205" s="527">
        <f t="shared" si="413"/>
        <v>567</v>
      </c>
      <c r="AA205" s="390">
        <f t="shared" si="414"/>
        <v>629</v>
      </c>
      <c r="AB205" s="242">
        <f t="shared" si="415"/>
        <v>10.9</v>
      </c>
      <c r="AC205" s="527">
        <v>1932</v>
      </c>
      <c r="AD205" s="390">
        <v>2045</v>
      </c>
      <c r="AE205" s="242">
        <f t="shared" si="416"/>
        <v>5.8</v>
      </c>
      <c r="AF205" s="527">
        <f t="shared" si="417"/>
        <v>427</v>
      </c>
      <c r="AG205" s="390">
        <f t="shared" si="417"/>
        <v>507</v>
      </c>
      <c r="AH205" s="242">
        <f t="shared" si="418"/>
        <v>18.7</v>
      </c>
      <c r="AI205" s="527">
        <v>2359</v>
      </c>
      <c r="AJ205" s="390">
        <v>2552</v>
      </c>
      <c r="AK205" s="242">
        <f t="shared" si="419"/>
        <v>8.1999999999999993</v>
      </c>
      <c r="AL205" s="527">
        <f t="shared" si="420"/>
        <v>522</v>
      </c>
      <c r="AM205" s="390">
        <f t="shared" si="421"/>
        <v>561</v>
      </c>
      <c r="AN205" s="242">
        <f t="shared" si="422"/>
        <v>7.5</v>
      </c>
      <c r="AO205" s="817">
        <v>2881</v>
      </c>
      <c r="AP205" s="819">
        <v>3113</v>
      </c>
      <c r="AQ205" s="242">
        <f t="shared" si="423"/>
        <v>8.1</v>
      </c>
      <c r="AR205" s="817">
        <f t="shared" si="424"/>
        <v>588</v>
      </c>
      <c r="AS205" s="819">
        <f t="shared" si="424"/>
        <v>539</v>
      </c>
      <c r="AT205" s="753">
        <f t="shared" si="425"/>
        <v>-8.3000000000000007</v>
      </c>
      <c r="AU205" s="969">
        <v>3469</v>
      </c>
      <c r="AV205" s="970">
        <v>3652</v>
      </c>
      <c r="AW205" s="753">
        <f t="shared" si="426"/>
        <v>5.3</v>
      </c>
      <c r="AX205" s="817">
        <f t="shared" si="427"/>
        <v>569</v>
      </c>
      <c r="AY205" s="819">
        <f t="shared" si="428"/>
        <v>472</v>
      </c>
      <c r="AZ205" s="753">
        <f t="shared" si="429"/>
        <v>-17</v>
      </c>
      <c r="BA205" s="817">
        <v>4038</v>
      </c>
      <c r="BB205" s="819">
        <v>4124</v>
      </c>
      <c r="BC205" s="753">
        <f t="shared" si="430"/>
        <v>2.1</v>
      </c>
      <c r="BD205" s="817">
        <f t="shared" si="431"/>
        <v>521</v>
      </c>
      <c r="BE205" s="819">
        <f t="shared" si="431"/>
        <v>574</v>
      </c>
      <c r="BF205" s="753">
        <f t="shared" si="432"/>
        <v>10.199999999999999</v>
      </c>
      <c r="BG205" s="817">
        <v>4559</v>
      </c>
      <c r="BH205" s="819">
        <v>4698</v>
      </c>
      <c r="BI205" s="753">
        <f t="shared" si="433"/>
        <v>3</v>
      </c>
      <c r="BJ205" s="817">
        <f t="shared" si="434"/>
        <v>484</v>
      </c>
      <c r="BK205" s="819">
        <f t="shared" si="434"/>
        <v>563</v>
      </c>
      <c r="BL205" s="753">
        <f t="shared" si="435"/>
        <v>16.3</v>
      </c>
      <c r="BM205" s="817">
        <v>5043</v>
      </c>
      <c r="BN205" s="819">
        <v>5261</v>
      </c>
      <c r="BO205" s="753">
        <f t="shared" si="436"/>
        <v>4.3</v>
      </c>
      <c r="BP205" s="817">
        <f t="shared" si="437"/>
        <v>432</v>
      </c>
      <c r="BQ205" s="819">
        <f t="shared" si="437"/>
        <v>557</v>
      </c>
      <c r="BR205" s="753">
        <f t="shared" si="438"/>
        <v>28.9</v>
      </c>
      <c r="BS205" s="817">
        <v>5475</v>
      </c>
      <c r="BT205" s="819">
        <v>5818</v>
      </c>
      <c r="BU205" s="753">
        <f t="shared" si="439"/>
        <v>6.3</v>
      </c>
    </row>
    <row r="206" spans="1:73">
      <c r="A206" s="4"/>
      <c r="B206" s="43" t="s">
        <v>56</v>
      </c>
      <c r="C206" s="188">
        <v>697</v>
      </c>
      <c r="D206" s="188">
        <v>1456</v>
      </c>
      <c r="E206" s="188">
        <v>1294</v>
      </c>
      <c r="F206" s="188">
        <v>1391</v>
      </c>
      <c r="G206" s="188">
        <v>1239</v>
      </c>
      <c r="H206" s="188">
        <v>1872</v>
      </c>
      <c r="I206" s="362">
        <v>1769</v>
      </c>
      <c r="J206" s="44">
        <v>3560</v>
      </c>
      <c r="K206" s="383">
        <v>171</v>
      </c>
      <c r="L206" s="390">
        <v>576</v>
      </c>
      <c r="M206" s="232">
        <f t="shared" si="404"/>
        <v>236.8</v>
      </c>
      <c r="N206" s="383">
        <f t="shared" si="405"/>
        <v>167</v>
      </c>
      <c r="O206" s="390">
        <f t="shared" si="406"/>
        <v>281</v>
      </c>
      <c r="P206" s="242">
        <f t="shared" si="407"/>
        <v>68.3</v>
      </c>
      <c r="Q206" s="383">
        <v>338</v>
      </c>
      <c r="R206" s="390">
        <v>857</v>
      </c>
      <c r="S206" s="242">
        <f t="shared" si="408"/>
        <v>153.6</v>
      </c>
      <c r="T206" s="383">
        <f t="shared" si="409"/>
        <v>191</v>
      </c>
      <c r="U206" s="390">
        <f t="shared" si="410"/>
        <v>570</v>
      </c>
      <c r="V206" s="242">
        <f t="shared" si="411"/>
        <v>198.4</v>
      </c>
      <c r="W206" s="383">
        <v>529</v>
      </c>
      <c r="X206" s="390">
        <v>1427</v>
      </c>
      <c r="Y206" s="242">
        <f t="shared" si="412"/>
        <v>169.8</v>
      </c>
      <c r="Z206" s="527">
        <f t="shared" si="413"/>
        <v>170</v>
      </c>
      <c r="AA206" s="390">
        <f t="shared" si="414"/>
        <v>479</v>
      </c>
      <c r="AB206" s="242">
        <f t="shared" si="415"/>
        <v>181.8</v>
      </c>
      <c r="AC206" s="527">
        <v>699</v>
      </c>
      <c r="AD206" s="390">
        <v>1906</v>
      </c>
      <c r="AE206" s="242">
        <f t="shared" si="416"/>
        <v>172.7</v>
      </c>
      <c r="AF206" s="527">
        <f t="shared" si="417"/>
        <v>275</v>
      </c>
      <c r="AG206" s="390">
        <f t="shared" si="417"/>
        <v>445</v>
      </c>
      <c r="AH206" s="242">
        <f t="shared" si="418"/>
        <v>61.8</v>
      </c>
      <c r="AI206" s="527">
        <v>974</v>
      </c>
      <c r="AJ206" s="390">
        <v>2351</v>
      </c>
      <c r="AK206" s="242">
        <f t="shared" si="419"/>
        <v>141.4</v>
      </c>
      <c r="AL206" s="527">
        <f t="shared" si="420"/>
        <v>185</v>
      </c>
      <c r="AM206" s="390">
        <f t="shared" si="421"/>
        <v>423</v>
      </c>
      <c r="AN206" s="242">
        <f t="shared" si="422"/>
        <v>128.6</v>
      </c>
      <c r="AO206" s="817">
        <v>1159</v>
      </c>
      <c r="AP206" s="819">
        <v>2774</v>
      </c>
      <c r="AQ206" s="242">
        <f t="shared" si="423"/>
        <v>139.30000000000001</v>
      </c>
      <c r="AR206" s="817">
        <f t="shared" si="424"/>
        <v>391</v>
      </c>
      <c r="AS206" s="819">
        <f t="shared" si="424"/>
        <v>349</v>
      </c>
      <c r="AT206" s="753">
        <f t="shared" si="425"/>
        <v>-10.7</v>
      </c>
      <c r="AU206" s="969">
        <v>1550</v>
      </c>
      <c r="AV206" s="970">
        <v>3123</v>
      </c>
      <c r="AW206" s="753">
        <f t="shared" si="426"/>
        <v>101.5</v>
      </c>
      <c r="AX206" s="817">
        <f t="shared" si="427"/>
        <v>212</v>
      </c>
      <c r="AY206" s="819">
        <f t="shared" si="428"/>
        <v>396</v>
      </c>
      <c r="AZ206" s="753">
        <f t="shared" si="429"/>
        <v>86.8</v>
      </c>
      <c r="BA206" s="817">
        <v>1762</v>
      </c>
      <c r="BB206" s="819">
        <v>3519</v>
      </c>
      <c r="BC206" s="753">
        <f t="shared" si="430"/>
        <v>99.7</v>
      </c>
      <c r="BD206" s="817">
        <f t="shared" si="431"/>
        <v>214</v>
      </c>
      <c r="BE206" s="819">
        <f t="shared" si="431"/>
        <v>620</v>
      </c>
      <c r="BF206" s="753">
        <f t="shared" si="432"/>
        <v>189.7</v>
      </c>
      <c r="BG206" s="817">
        <v>1976</v>
      </c>
      <c r="BH206" s="819">
        <v>4139</v>
      </c>
      <c r="BI206" s="753">
        <f t="shared" si="433"/>
        <v>109.5</v>
      </c>
      <c r="BJ206" s="817">
        <f t="shared" si="434"/>
        <v>498</v>
      </c>
      <c r="BK206" s="819">
        <f t="shared" si="434"/>
        <v>615</v>
      </c>
      <c r="BL206" s="753">
        <f t="shared" si="435"/>
        <v>23.5</v>
      </c>
      <c r="BM206" s="817">
        <v>2474</v>
      </c>
      <c r="BN206" s="819">
        <v>4754</v>
      </c>
      <c r="BO206" s="753">
        <f t="shared" si="436"/>
        <v>92.2</v>
      </c>
      <c r="BP206" s="817">
        <f t="shared" si="437"/>
        <v>602</v>
      </c>
      <c r="BQ206" s="819">
        <f t="shared" si="437"/>
        <v>647</v>
      </c>
      <c r="BR206" s="753">
        <f t="shared" si="438"/>
        <v>7.5</v>
      </c>
      <c r="BS206" s="817">
        <v>3076</v>
      </c>
      <c r="BT206" s="819">
        <v>5401</v>
      </c>
      <c r="BU206" s="753">
        <f t="shared" si="439"/>
        <v>75.599999999999994</v>
      </c>
    </row>
    <row r="207" spans="1:73">
      <c r="A207" s="4"/>
      <c r="B207" s="43" t="s">
        <v>428</v>
      </c>
      <c r="C207" s="188">
        <v>249</v>
      </c>
      <c r="D207" s="188">
        <v>397</v>
      </c>
      <c r="E207" s="188">
        <v>477</v>
      </c>
      <c r="F207" s="188">
        <v>761</v>
      </c>
      <c r="G207" s="188">
        <v>1419</v>
      </c>
      <c r="H207" s="188">
        <v>1460</v>
      </c>
      <c r="I207" s="362">
        <v>1598</v>
      </c>
      <c r="J207" s="44">
        <v>1228</v>
      </c>
      <c r="K207" s="383">
        <v>129</v>
      </c>
      <c r="L207" s="390">
        <v>147</v>
      </c>
      <c r="M207" s="232">
        <f t="shared" si="404"/>
        <v>14</v>
      </c>
      <c r="N207" s="383">
        <f t="shared" si="405"/>
        <v>69</v>
      </c>
      <c r="O207" s="390">
        <f t="shared" si="406"/>
        <v>87</v>
      </c>
      <c r="P207" s="242">
        <f t="shared" si="407"/>
        <v>26.1</v>
      </c>
      <c r="Q207" s="383">
        <v>198</v>
      </c>
      <c r="R207" s="390">
        <v>234</v>
      </c>
      <c r="S207" s="242">
        <f t="shared" si="408"/>
        <v>18.2</v>
      </c>
      <c r="T207" s="383">
        <f t="shared" si="409"/>
        <v>99</v>
      </c>
      <c r="U207" s="390">
        <f t="shared" si="410"/>
        <v>129</v>
      </c>
      <c r="V207" s="242">
        <f t="shared" si="411"/>
        <v>30.3</v>
      </c>
      <c r="W207" s="383">
        <v>297</v>
      </c>
      <c r="X207" s="390">
        <v>363</v>
      </c>
      <c r="Y207" s="242">
        <f t="shared" si="412"/>
        <v>22.2</v>
      </c>
      <c r="Z207" s="527">
        <f t="shared" si="413"/>
        <v>78</v>
      </c>
      <c r="AA207" s="390">
        <f t="shared" si="414"/>
        <v>91</v>
      </c>
      <c r="AB207" s="242">
        <f t="shared" si="415"/>
        <v>16.7</v>
      </c>
      <c r="AC207" s="527">
        <v>375</v>
      </c>
      <c r="AD207" s="390">
        <v>454</v>
      </c>
      <c r="AE207" s="242">
        <f t="shared" si="416"/>
        <v>21.1</v>
      </c>
      <c r="AF207" s="527">
        <f t="shared" si="417"/>
        <v>88</v>
      </c>
      <c r="AG207" s="390">
        <f t="shared" si="417"/>
        <v>106</v>
      </c>
      <c r="AH207" s="242">
        <f t="shared" si="418"/>
        <v>20.5</v>
      </c>
      <c r="AI207" s="527">
        <v>463</v>
      </c>
      <c r="AJ207" s="390">
        <v>560</v>
      </c>
      <c r="AK207" s="242">
        <f t="shared" si="419"/>
        <v>21</v>
      </c>
      <c r="AL207" s="527">
        <f t="shared" si="420"/>
        <v>92</v>
      </c>
      <c r="AM207" s="390">
        <f t="shared" si="421"/>
        <v>85</v>
      </c>
      <c r="AN207" s="242">
        <f t="shared" si="422"/>
        <v>-7.6</v>
      </c>
      <c r="AO207" s="817">
        <v>555</v>
      </c>
      <c r="AP207" s="819">
        <v>645</v>
      </c>
      <c r="AQ207" s="242">
        <f t="shared" si="423"/>
        <v>16.2</v>
      </c>
      <c r="AR207" s="817">
        <f t="shared" si="424"/>
        <v>119</v>
      </c>
      <c r="AS207" s="819">
        <f t="shared" si="424"/>
        <v>131</v>
      </c>
      <c r="AT207" s="753">
        <f t="shared" si="425"/>
        <v>10.1</v>
      </c>
      <c r="AU207" s="969">
        <v>674</v>
      </c>
      <c r="AV207" s="970">
        <v>776</v>
      </c>
      <c r="AW207" s="753">
        <f t="shared" si="426"/>
        <v>15.1</v>
      </c>
      <c r="AX207" s="817">
        <f t="shared" si="427"/>
        <v>135</v>
      </c>
      <c r="AY207" s="819">
        <f t="shared" si="428"/>
        <v>101</v>
      </c>
      <c r="AZ207" s="753">
        <f t="shared" si="429"/>
        <v>-25.2</v>
      </c>
      <c r="BA207" s="817">
        <v>809</v>
      </c>
      <c r="BB207" s="819">
        <v>877</v>
      </c>
      <c r="BC207" s="753">
        <f t="shared" si="430"/>
        <v>8.4</v>
      </c>
      <c r="BD207" s="817">
        <f t="shared" si="431"/>
        <v>77</v>
      </c>
      <c r="BE207" s="819">
        <f t="shared" si="431"/>
        <v>124</v>
      </c>
      <c r="BF207" s="753">
        <f t="shared" si="432"/>
        <v>61</v>
      </c>
      <c r="BG207" s="817">
        <v>886</v>
      </c>
      <c r="BH207" s="819">
        <v>1001</v>
      </c>
      <c r="BI207" s="753">
        <f t="shared" si="433"/>
        <v>13</v>
      </c>
      <c r="BJ207" s="817">
        <f t="shared" si="434"/>
        <v>70</v>
      </c>
      <c r="BK207" s="819">
        <f t="shared" si="434"/>
        <v>127</v>
      </c>
      <c r="BL207" s="753">
        <f t="shared" si="435"/>
        <v>81.400000000000006</v>
      </c>
      <c r="BM207" s="817">
        <v>956</v>
      </c>
      <c r="BN207" s="819">
        <v>1128</v>
      </c>
      <c r="BO207" s="753">
        <f t="shared" si="436"/>
        <v>18</v>
      </c>
      <c r="BP207" s="817">
        <f t="shared" si="437"/>
        <v>128</v>
      </c>
      <c r="BQ207" s="819">
        <f t="shared" si="437"/>
        <v>55</v>
      </c>
      <c r="BR207" s="753">
        <f t="shared" si="438"/>
        <v>-57</v>
      </c>
      <c r="BS207" s="817">
        <v>1084</v>
      </c>
      <c r="BT207" s="819">
        <v>1183</v>
      </c>
      <c r="BU207" s="753">
        <f t="shared" si="439"/>
        <v>9.1</v>
      </c>
    </row>
    <row r="208" spans="1:73">
      <c r="A208" s="4"/>
      <c r="B208" s="43" t="s">
        <v>429</v>
      </c>
      <c r="C208" s="188">
        <v>40</v>
      </c>
      <c r="D208" s="188">
        <v>46</v>
      </c>
      <c r="E208" s="188">
        <v>14</v>
      </c>
      <c r="F208" s="188">
        <v>17</v>
      </c>
      <c r="G208" s="188">
        <v>250</v>
      </c>
      <c r="H208" s="188">
        <v>1158</v>
      </c>
      <c r="I208" s="362">
        <v>970</v>
      </c>
      <c r="J208" s="44">
        <v>1173</v>
      </c>
      <c r="K208" s="383">
        <v>66</v>
      </c>
      <c r="L208" s="390">
        <v>151</v>
      </c>
      <c r="M208" s="232">
        <f t="shared" si="404"/>
        <v>128.80000000000001</v>
      </c>
      <c r="N208" s="383">
        <f t="shared" si="405"/>
        <v>134</v>
      </c>
      <c r="O208" s="390">
        <f t="shared" si="406"/>
        <v>189</v>
      </c>
      <c r="P208" s="242">
        <f t="shared" si="407"/>
        <v>41</v>
      </c>
      <c r="Q208" s="383">
        <v>200</v>
      </c>
      <c r="R208" s="390">
        <v>340</v>
      </c>
      <c r="S208" s="242">
        <f t="shared" si="408"/>
        <v>70</v>
      </c>
      <c r="T208" s="383">
        <f t="shared" si="409"/>
        <v>64</v>
      </c>
      <c r="U208" s="390">
        <f t="shared" si="410"/>
        <v>298</v>
      </c>
      <c r="V208" s="242">
        <f t="shared" si="411"/>
        <v>365.6</v>
      </c>
      <c r="W208" s="383">
        <v>264</v>
      </c>
      <c r="X208" s="390">
        <v>638</v>
      </c>
      <c r="Y208" s="242">
        <f t="shared" si="412"/>
        <v>141.69999999999999</v>
      </c>
      <c r="Z208" s="527">
        <f t="shared" si="413"/>
        <v>111</v>
      </c>
      <c r="AA208" s="390">
        <f t="shared" si="414"/>
        <v>258</v>
      </c>
      <c r="AB208" s="242">
        <f t="shared" si="415"/>
        <v>132.4</v>
      </c>
      <c r="AC208" s="527">
        <v>375</v>
      </c>
      <c r="AD208" s="390">
        <v>896</v>
      </c>
      <c r="AE208" s="242">
        <f t="shared" si="416"/>
        <v>138.9</v>
      </c>
      <c r="AF208" s="527">
        <f t="shared" si="417"/>
        <v>133</v>
      </c>
      <c r="AG208" s="390">
        <f t="shared" si="417"/>
        <v>252</v>
      </c>
      <c r="AH208" s="242">
        <f t="shared" si="418"/>
        <v>89.5</v>
      </c>
      <c r="AI208" s="527">
        <v>508</v>
      </c>
      <c r="AJ208" s="390">
        <v>1148</v>
      </c>
      <c r="AK208" s="242">
        <f t="shared" si="419"/>
        <v>126</v>
      </c>
      <c r="AL208" s="527">
        <f t="shared" si="420"/>
        <v>101</v>
      </c>
      <c r="AM208" s="390">
        <f t="shared" si="421"/>
        <v>20</v>
      </c>
      <c r="AN208" s="242">
        <f t="shared" si="422"/>
        <v>-80.2</v>
      </c>
      <c r="AO208" s="817">
        <v>609</v>
      </c>
      <c r="AP208" s="819">
        <v>1168</v>
      </c>
      <c r="AQ208" s="242">
        <f t="shared" si="423"/>
        <v>91.8</v>
      </c>
      <c r="AR208" s="817">
        <f t="shared" si="424"/>
        <v>89</v>
      </c>
      <c r="AS208" s="819">
        <f t="shared" si="424"/>
        <v>125</v>
      </c>
      <c r="AT208" s="753">
        <f t="shared" si="425"/>
        <v>40.4</v>
      </c>
      <c r="AU208" s="969">
        <v>698</v>
      </c>
      <c r="AV208" s="970">
        <v>1293</v>
      </c>
      <c r="AW208" s="753">
        <f t="shared" si="426"/>
        <v>85.2</v>
      </c>
      <c r="AX208" s="817">
        <f t="shared" si="427"/>
        <v>96</v>
      </c>
      <c r="AY208" s="819">
        <f t="shared" si="428"/>
        <v>56</v>
      </c>
      <c r="AZ208" s="753">
        <f t="shared" si="429"/>
        <v>-41.7</v>
      </c>
      <c r="BA208" s="817">
        <v>794</v>
      </c>
      <c r="BB208" s="819">
        <v>1349</v>
      </c>
      <c r="BC208" s="753">
        <f t="shared" si="430"/>
        <v>69.900000000000006</v>
      </c>
      <c r="BD208" s="817">
        <f t="shared" si="431"/>
        <v>85</v>
      </c>
      <c r="BE208" s="819">
        <f t="shared" si="431"/>
        <v>57</v>
      </c>
      <c r="BF208" s="753">
        <f t="shared" si="432"/>
        <v>-32.9</v>
      </c>
      <c r="BG208" s="817">
        <v>879</v>
      </c>
      <c r="BH208" s="819">
        <v>1406</v>
      </c>
      <c r="BI208" s="753">
        <f t="shared" si="433"/>
        <v>60</v>
      </c>
      <c r="BJ208" s="817">
        <f t="shared" si="434"/>
        <v>101</v>
      </c>
      <c r="BK208" s="819">
        <f t="shared" si="434"/>
        <v>109</v>
      </c>
      <c r="BL208" s="753">
        <f t="shared" si="435"/>
        <v>7.9</v>
      </c>
      <c r="BM208" s="817">
        <v>980</v>
      </c>
      <c r="BN208" s="819">
        <v>1515</v>
      </c>
      <c r="BO208" s="753">
        <f t="shared" si="436"/>
        <v>54.6</v>
      </c>
      <c r="BP208" s="817">
        <f t="shared" si="437"/>
        <v>82</v>
      </c>
      <c r="BQ208" s="819">
        <f t="shared" si="437"/>
        <v>136</v>
      </c>
      <c r="BR208" s="753">
        <f t="shared" si="438"/>
        <v>65.900000000000006</v>
      </c>
      <c r="BS208" s="817">
        <v>1062</v>
      </c>
      <c r="BT208" s="819">
        <v>1651</v>
      </c>
      <c r="BU208" s="753">
        <f t="shared" si="439"/>
        <v>55.5</v>
      </c>
    </row>
    <row r="209" spans="1:73">
      <c r="A209" s="4"/>
      <c r="B209" s="43" t="s">
        <v>69</v>
      </c>
      <c r="C209" s="188">
        <v>246</v>
      </c>
      <c r="D209" s="188">
        <v>245</v>
      </c>
      <c r="E209" s="188">
        <v>635</v>
      </c>
      <c r="F209" s="188">
        <v>559</v>
      </c>
      <c r="G209" s="188">
        <v>516</v>
      </c>
      <c r="H209" s="188">
        <v>485</v>
      </c>
      <c r="I209" s="362">
        <v>88</v>
      </c>
      <c r="J209" s="44">
        <v>233</v>
      </c>
      <c r="K209" s="383">
        <v>23</v>
      </c>
      <c r="L209" s="390">
        <v>0</v>
      </c>
      <c r="M209" s="232">
        <f t="shared" si="404"/>
        <v>-100</v>
      </c>
      <c r="N209" s="383">
        <f t="shared" si="405"/>
        <v>0</v>
      </c>
      <c r="O209" s="390">
        <f t="shared" si="406"/>
        <v>0</v>
      </c>
      <c r="P209" s="524">
        <v>0</v>
      </c>
      <c r="Q209" s="383">
        <v>23</v>
      </c>
      <c r="R209" s="390">
        <v>0</v>
      </c>
      <c r="S209" s="242">
        <f t="shared" si="408"/>
        <v>-100</v>
      </c>
      <c r="T209" s="383">
        <f t="shared" si="409"/>
        <v>0</v>
      </c>
      <c r="U209" s="390">
        <f t="shared" si="410"/>
        <v>18</v>
      </c>
      <c r="V209" s="177">
        <v>0</v>
      </c>
      <c r="W209" s="383">
        <v>23</v>
      </c>
      <c r="X209" s="390">
        <v>18</v>
      </c>
      <c r="Y209" s="242">
        <f t="shared" si="412"/>
        <v>-21.7</v>
      </c>
      <c r="Z209" s="527">
        <f t="shared" si="413"/>
        <v>5</v>
      </c>
      <c r="AA209" s="390">
        <f t="shared" si="414"/>
        <v>9</v>
      </c>
      <c r="AB209" s="242">
        <f>ROUND(((AA209/Z209-1)*100), 1)</f>
        <v>80</v>
      </c>
      <c r="AC209" s="527">
        <v>28</v>
      </c>
      <c r="AD209" s="390">
        <v>27</v>
      </c>
      <c r="AE209" s="242">
        <f t="shared" si="416"/>
        <v>-3.6</v>
      </c>
      <c r="AF209" s="527">
        <f t="shared" si="417"/>
        <v>41</v>
      </c>
      <c r="AG209" s="390">
        <f t="shared" si="417"/>
        <v>0</v>
      </c>
      <c r="AH209" s="242">
        <f>ROUND(((AG209/AF209-1)*100), 1)</f>
        <v>-100</v>
      </c>
      <c r="AI209" s="527">
        <v>69</v>
      </c>
      <c r="AJ209" s="390">
        <v>27</v>
      </c>
      <c r="AK209" s="242">
        <f t="shared" si="419"/>
        <v>-60.9</v>
      </c>
      <c r="AL209" s="527">
        <f t="shared" si="420"/>
        <v>57</v>
      </c>
      <c r="AM209" s="390">
        <f t="shared" si="421"/>
        <v>21</v>
      </c>
      <c r="AN209" s="242">
        <f>ROUND(((AM209/AL209-1)*100), 1)</f>
        <v>-63.2</v>
      </c>
      <c r="AO209" s="817">
        <v>126</v>
      </c>
      <c r="AP209" s="819">
        <v>48</v>
      </c>
      <c r="AQ209" s="242">
        <f t="shared" si="423"/>
        <v>-61.9</v>
      </c>
      <c r="AR209" s="817">
        <f t="shared" si="424"/>
        <v>0</v>
      </c>
      <c r="AS209" s="819">
        <f t="shared" si="424"/>
        <v>0</v>
      </c>
      <c r="AT209" s="799">
        <v>0</v>
      </c>
      <c r="AU209" s="969">
        <v>126</v>
      </c>
      <c r="AV209" s="970">
        <v>48</v>
      </c>
      <c r="AW209" s="753">
        <f t="shared" si="426"/>
        <v>-61.9</v>
      </c>
      <c r="AX209" s="817">
        <f t="shared" si="427"/>
        <v>30</v>
      </c>
      <c r="AY209" s="819">
        <f t="shared" si="428"/>
        <v>0</v>
      </c>
      <c r="AZ209" s="753">
        <f t="shared" si="429"/>
        <v>-100</v>
      </c>
      <c r="BA209" s="817">
        <v>156</v>
      </c>
      <c r="BB209" s="819">
        <v>48</v>
      </c>
      <c r="BC209" s="753">
        <f t="shared" si="430"/>
        <v>-69.2</v>
      </c>
      <c r="BD209" s="817">
        <f t="shared" si="431"/>
        <v>8</v>
      </c>
      <c r="BE209" s="819">
        <f t="shared" si="431"/>
        <v>0</v>
      </c>
      <c r="BF209" s="753">
        <f t="shared" si="432"/>
        <v>-100</v>
      </c>
      <c r="BG209" s="817">
        <v>164</v>
      </c>
      <c r="BH209" s="819">
        <v>48</v>
      </c>
      <c r="BI209" s="753">
        <f t="shared" si="433"/>
        <v>-70.7</v>
      </c>
      <c r="BJ209" s="817">
        <f t="shared" si="434"/>
        <v>34</v>
      </c>
      <c r="BK209" s="819">
        <f t="shared" si="434"/>
        <v>0</v>
      </c>
      <c r="BL209" s="753">
        <f t="shared" si="435"/>
        <v>-100</v>
      </c>
      <c r="BM209" s="817">
        <v>198</v>
      </c>
      <c r="BN209" s="819">
        <v>48</v>
      </c>
      <c r="BO209" s="753">
        <f t="shared" si="436"/>
        <v>-75.8</v>
      </c>
      <c r="BP209" s="817">
        <f t="shared" si="437"/>
        <v>6</v>
      </c>
      <c r="BQ209" s="819">
        <f t="shared" si="437"/>
        <v>19</v>
      </c>
      <c r="BR209" s="753">
        <f t="shared" si="438"/>
        <v>216.7</v>
      </c>
      <c r="BS209" s="817">
        <v>204</v>
      </c>
      <c r="BT209" s="819">
        <v>67</v>
      </c>
      <c r="BU209" s="753">
        <f t="shared" si="439"/>
        <v>-67.2</v>
      </c>
    </row>
    <row r="210" spans="1:73">
      <c r="A210" s="4"/>
      <c r="B210" s="43" t="s">
        <v>59</v>
      </c>
      <c r="C210" s="188">
        <v>228</v>
      </c>
      <c r="D210" s="188">
        <v>545</v>
      </c>
      <c r="E210" s="188">
        <v>403</v>
      </c>
      <c r="F210" s="188">
        <v>233</v>
      </c>
      <c r="G210" s="188">
        <v>209</v>
      </c>
      <c r="H210" s="188">
        <v>539</v>
      </c>
      <c r="I210" s="362">
        <v>344</v>
      </c>
      <c r="J210" s="44">
        <v>221</v>
      </c>
      <c r="K210" s="383">
        <v>10</v>
      </c>
      <c r="L210" s="390">
        <v>16</v>
      </c>
      <c r="M210" s="232">
        <f t="shared" si="404"/>
        <v>60</v>
      </c>
      <c r="N210" s="383">
        <f t="shared" si="405"/>
        <v>2</v>
      </c>
      <c r="O210" s="390">
        <f t="shared" si="406"/>
        <v>14</v>
      </c>
      <c r="P210" s="242">
        <f t="shared" si="407"/>
        <v>600</v>
      </c>
      <c r="Q210" s="383">
        <v>12</v>
      </c>
      <c r="R210" s="390">
        <v>30</v>
      </c>
      <c r="S210" s="242">
        <f t="shared" si="408"/>
        <v>150</v>
      </c>
      <c r="T210" s="383">
        <f t="shared" si="409"/>
        <v>9</v>
      </c>
      <c r="U210" s="390">
        <f t="shared" si="410"/>
        <v>30</v>
      </c>
      <c r="V210" s="242">
        <f t="shared" si="411"/>
        <v>233.3</v>
      </c>
      <c r="W210" s="383">
        <v>21</v>
      </c>
      <c r="X210" s="390">
        <v>60</v>
      </c>
      <c r="Y210" s="242">
        <f t="shared" si="412"/>
        <v>185.7</v>
      </c>
      <c r="Z210" s="527">
        <f t="shared" si="413"/>
        <v>6</v>
      </c>
      <c r="AA210" s="390">
        <f t="shared" si="414"/>
        <v>53</v>
      </c>
      <c r="AB210" s="242">
        <f t="shared" ref="AB210:AB211" si="440">ROUND(((AA210/Z210-1)*100), 1)</f>
        <v>783.3</v>
      </c>
      <c r="AC210" s="527">
        <v>27</v>
      </c>
      <c r="AD210" s="390">
        <v>113</v>
      </c>
      <c r="AE210" s="242">
        <f t="shared" si="416"/>
        <v>318.5</v>
      </c>
      <c r="AF210" s="527">
        <f t="shared" si="417"/>
        <v>58</v>
      </c>
      <c r="AG210" s="390">
        <f t="shared" si="417"/>
        <v>53</v>
      </c>
      <c r="AH210" s="242">
        <f t="shared" ref="AH210:AH211" si="441">ROUND(((AG210/AF210-1)*100), 1)</f>
        <v>-8.6</v>
      </c>
      <c r="AI210" s="527">
        <v>85</v>
      </c>
      <c r="AJ210" s="390">
        <v>166</v>
      </c>
      <c r="AK210" s="242">
        <f t="shared" si="419"/>
        <v>95.3</v>
      </c>
      <c r="AL210" s="527">
        <f t="shared" si="420"/>
        <v>18</v>
      </c>
      <c r="AM210" s="390">
        <f t="shared" si="421"/>
        <v>45</v>
      </c>
      <c r="AN210" s="242">
        <f t="shared" ref="AN210:AN212" si="442">ROUND(((AM210/AL210-1)*100), 1)</f>
        <v>150</v>
      </c>
      <c r="AO210" s="817">
        <v>103</v>
      </c>
      <c r="AP210" s="819">
        <v>211</v>
      </c>
      <c r="AQ210" s="242">
        <f t="shared" si="423"/>
        <v>104.9</v>
      </c>
      <c r="AR210" s="817">
        <f t="shared" si="424"/>
        <v>43</v>
      </c>
      <c r="AS210" s="819">
        <f t="shared" si="424"/>
        <v>74</v>
      </c>
      <c r="AT210" s="753">
        <f t="shared" si="425"/>
        <v>72.099999999999994</v>
      </c>
      <c r="AU210" s="969">
        <v>146</v>
      </c>
      <c r="AV210" s="970">
        <v>285</v>
      </c>
      <c r="AW210" s="753">
        <f t="shared" si="426"/>
        <v>95.2</v>
      </c>
      <c r="AX210" s="817">
        <f t="shared" si="427"/>
        <v>30</v>
      </c>
      <c r="AY210" s="819">
        <f t="shared" si="428"/>
        <v>45</v>
      </c>
      <c r="AZ210" s="753">
        <f t="shared" ref="AZ210:AZ211" si="443">ROUND(((AY210/AX210-1)*100), 1)</f>
        <v>50</v>
      </c>
      <c r="BA210" s="817">
        <v>176</v>
      </c>
      <c r="BB210" s="819">
        <v>330</v>
      </c>
      <c r="BC210" s="753">
        <f t="shared" si="430"/>
        <v>87.5</v>
      </c>
      <c r="BD210" s="817">
        <f t="shared" si="431"/>
        <v>27</v>
      </c>
      <c r="BE210" s="819">
        <f t="shared" si="431"/>
        <v>33</v>
      </c>
      <c r="BF210" s="753">
        <f t="shared" si="432"/>
        <v>22.2</v>
      </c>
      <c r="BG210" s="817">
        <v>203</v>
      </c>
      <c r="BH210" s="819">
        <v>363</v>
      </c>
      <c r="BI210" s="753">
        <f t="shared" si="433"/>
        <v>78.8</v>
      </c>
      <c r="BJ210" s="817">
        <f t="shared" si="434"/>
        <v>3</v>
      </c>
      <c r="BK210" s="819">
        <f t="shared" si="434"/>
        <v>43</v>
      </c>
      <c r="BL210" s="753">
        <f t="shared" si="435"/>
        <v>1333.3</v>
      </c>
      <c r="BM210" s="817">
        <v>206</v>
      </c>
      <c r="BN210" s="819">
        <v>406</v>
      </c>
      <c r="BO210" s="753">
        <f t="shared" si="436"/>
        <v>97.1</v>
      </c>
      <c r="BP210" s="817">
        <f t="shared" si="437"/>
        <v>6</v>
      </c>
      <c r="BQ210" s="819">
        <f t="shared" si="437"/>
        <v>51</v>
      </c>
      <c r="BR210" s="753">
        <f t="shared" si="438"/>
        <v>750</v>
      </c>
      <c r="BS210" s="817">
        <v>212</v>
      </c>
      <c r="BT210" s="819">
        <v>457</v>
      </c>
      <c r="BU210" s="753">
        <f t="shared" si="439"/>
        <v>115.6</v>
      </c>
    </row>
    <row r="211" spans="1:73">
      <c r="A211" s="4"/>
      <c r="B211" s="43" t="s">
        <v>53</v>
      </c>
      <c r="C211" s="188">
        <v>306</v>
      </c>
      <c r="D211" s="188">
        <v>252</v>
      </c>
      <c r="E211" s="188">
        <v>201</v>
      </c>
      <c r="F211" s="188">
        <v>152</v>
      </c>
      <c r="G211" s="188">
        <v>144</v>
      </c>
      <c r="H211" s="188">
        <v>187</v>
      </c>
      <c r="I211" s="362">
        <v>233</v>
      </c>
      <c r="J211" s="44">
        <v>174</v>
      </c>
      <c r="K211" s="383">
        <v>13</v>
      </c>
      <c r="L211" s="390">
        <v>4</v>
      </c>
      <c r="M211" s="232">
        <f t="shared" si="404"/>
        <v>-69.2</v>
      </c>
      <c r="N211" s="383">
        <f t="shared" si="405"/>
        <v>14</v>
      </c>
      <c r="O211" s="390">
        <f t="shared" si="406"/>
        <v>10</v>
      </c>
      <c r="P211" s="242">
        <f t="shared" si="407"/>
        <v>-28.6</v>
      </c>
      <c r="Q211" s="383">
        <v>27</v>
      </c>
      <c r="R211" s="390">
        <v>14</v>
      </c>
      <c r="S211" s="242">
        <f t="shared" si="408"/>
        <v>-48.1</v>
      </c>
      <c r="T211" s="383">
        <f t="shared" si="409"/>
        <v>19</v>
      </c>
      <c r="U211" s="390">
        <f t="shared" si="410"/>
        <v>16</v>
      </c>
      <c r="V211" s="242">
        <f t="shared" si="411"/>
        <v>-15.8</v>
      </c>
      <c r="W211" s="383">
        <v>46</v>
      </c>
      <c r="X211" s="390">
        <v>30</v>
      </c>
      <c r="Y211" s="242">
        <f t="shared" si="412"/>
        <v>-34.799999999999997</v>
      </c>
      <c r="Z211" s="527">
        <f t="shared" si="413"/>
        <v>14</v>
      </c>
      <c r="AA211" s="390">
        <f t="shared" si="414"/>
        <v>11</v>
      </c>
      <c r="AB211" s="242">
        <f t="shared" si="440"/>
        <v>-21.4</v>
      </c>
      <c r="AC211" s="527">
        <v>60</v>
      </c>
      <c r="AD211" s="390">
        <v>41</v>
      </c>
      <c r="AE211" s="242">
        <f t="shared" si="416"/>
        <v>-31.7</v>
      </c>
      <c r="AF211" s="527">
        <f t="shared" si="417"/>
        <v>19</v>
      </c>
      <c r="AG211" s="390">
        <f t="shared" si="417"/>
        <v>10</v>
      </c>
      <c r="AH211" s="242">
        <f t="shared" si="441"/>
        <v>-47.4</v>
      </c>
      <c r="AI211" s="527">
        <v>79</v>
      </c>
      <c r="AJ211" s="390">
        <v>51</v>
      </c>
      <c r="AK211" s="242">
        <f t="shared" si="419"/>
        <v>-35.4</v>
      </c>
      <c r="AL211" s="527">
        <f t="shared" si="420"/>
        <v>16</v>
      </c>
      <c r="AM211" s="390">
        <f t="shared" si="421"/>
        <v>11</v>
      </c>
      <c r="AN211" s="242">
        <f t="shared" si="442"/>
        <v>-31.3</v>
      </c>
      <c r="AO211" s="817">
        <v>95</v>
      </c>
      <c r="AP211" s="819">
        <v>62</v>
      </c>
      <c r="AQ211" s="242">
        <f t="shared" si="423"/>
        <v>-34.700000000000003</v>
      </c>
      <c r="AR211" s="817">
        <f t="shared" si="424"/>
        <v>15</v>
      </c>
      <c r="AS211" s="819">
        <f t="shared" si="424"/>
        <v>38</v>
      </c>
      <c r="AT211" s="753">
        <f t="shared" si="425"/>
        <v>153.30000000000001</v>
      </c>
      <c r="AU211" s="969">
        <v>110</v>
      </c>
      <c r="AV211" s="970">
        <v>100</v>
      </c>
      <c r="AW211" s="753">
        <f t="shared" si="426"/>
        <v>-9.1</v>
      </c>
      <c r="AX211" s="817">
        <f t="shared" si="427"/>
        <v>13</v>
      </c>
      <c r="AY211" s="819">
        <f t="shared" si="428"/>
        <v>6</v>
      </c>
      <c r="AZ211" s="753">
        <f t="shared" si="443"/>
        <v>-53.8</v>
      </c>
      <c r="BA211" s="817">
        <v>123</v>
      </c>
      <c r="BB211" s="819">
        <v>106</v>
      </c>
      <c r="BC211" s="753">
        <f t="shared" si="430"/>
        <v>-13.8</v>
      </c>
      <c r="BD211" s="817">
        <f t="shared" si="431"/>
        <v>9</v>
      </c>
      <c r="BE211" s="819">
        <f t="shared" si="431"/>
        <v>6</v>
      </c>
      <c r="BF211" s="753">
        <f t="shared" si="432"/>
        <v>-33.299999999999997</v>
      </c>
      <c r="BG211" s="817">
        <v>132</v>
      </c>
      <c r="BH211" s="819">
        <v>112</v>
      </c>
      <c r="BI211" s="753">
        <f t="shared" si="433"/>
        <v>-15.2</v>
      </c>
      <c r="BJ211" s="817">
        <f t="shared" si="434"/>
        <v>12</v>
      </c>
      <c r="BK211" s="819">
        <f t="shared" si="434"/>
        <v>10</v>
      </c>
      <c r="BL211" s="753">
        <f t="shared" si="435"/>
        <v>-16.7</v>
      </c>
      <c r="BM211" s="817">
        <v>144</v>
      </c>
      <c r="BN211" s="819">
        <v>122</v>
      </c>
      <c r="BO211" s="753">
        <f t="shared" si="436"/>
        <v>-15.3</v>
      </c>
      <c r="BP211" s="817">
        <f t="shared" si="437"/>
        <v>13</v>
      </c>
      <c r="BQ211" s="819">
        <f t="shared" si="437"/>
        <v>16</v>
      </c>
      <c r="BR211" s="753">
        <f t="shared" si="438"/>
        <v>23.1</v>
      </c>
      <c r="BS211" s="817">
        <v>157</v>
      </c>
      <c r="BT211" s="819">
        <v>138</v>
      </c>
      <c r="BU211" s="753">
        <f t="shared" si="439"/>
        <v>-12.1</v>
      </c>
    </row>
    <row r="212" spans="1:73" s="291" customFormat="1">
      <c r="A212" s="433"/>
      <c r="B212" s="43" t="s">
        <v>466</v>
      </c>
      <c r="C212" s="188">
        <v>0</v>
      </c>
      <c r="D212" s="188">
        <v>0</v>
      </c>
      <c r="E212" s="188">
        <v>0</v>
      </c>
      <c r="F212" s="188">
        <v>0</v>
      </c>
      <c r="G212" s="188">
        <v>0</v>
      </c>
      <c r="H212" s="188">
        <v>0</v>
      </c>
      <c r="I212" s="188">
        <v>0</v>
      </c>
      <c r="J212" s="44">
        <v>165</v>
      </c>
      <c r="K212" s="383">
        <v>0</v>
      </c>
      <c r="L212" s="390">
        <v>82</v>
      </c>
      <c r="M212" s="177">
        <v>0</v>
      </c>
      <c r="N212" s="383">
        <f t="shared" si="405"/>
        <v>0</v>
      </c>
      <c r="O212" s="390">
        <f t="shared" si="406"/>
        <v>13</v>
      </c>
      <c r="P212" s="177">
        <v>0</v>
      </c>
      <c r="Q212" s="383">
        <v>0</v>
      </c>
      <c r="R212" s="390">
        <v>95</v>
      </c>
      <c r="S212" s="177">
        <v>0</v>
      </c>
      <c r="T212" s="383">
        <f t="shared" si="409"/>
        <v>0</v>
      </c>
      <c r="U212" s="390">
        <f t="shared" si="410"/>
        <v>14</v>
      </c>
      <c r="V212" s="177">
        <v>0</v>
      </c>
      <c r="W212" s="383">
        <v>0</v>
      </c>
      <c r="X212" s="390">
        <v>109</v>
      </c>
      <c r="Y212" s="177">
        <v>0</v>
      </c>
      <c r="Z212" s="527">
        <f t="shared" si="413"/>
        <v>0</v>
      </c>
      <c r="AA212" s="390">
        <f t="shared" si="414"/>
        <v>0</v>
      </c>
      <c r="AB212" s="521">
        <v>0</v>
      </c>
      <c r="AC212" s="527">
        <v>0</v>
      </c>
      <c r="AD212" s="390">
        <v>109</v>
      </c>
      <c r="AE212" s="521">
        <v>0</v>
      </c>
      <c r="AF212" s="527">
        <f t="shared" si="417"/>
        <v>0</v>
      </c>
      <c r="AG212" s="390">
        <f t="shared" si="417"/>
        <v>0</v>
      </c>
      <c r="AH212" s="521">
        <v>0</v>
      </c>
      <c r="AI212" s="527">
        <v>0</v>
      </c>
      <c r="AJ212" s="390">
        <v>109</v>
      </c>
      <c r="AK212" s="521">
        <v>0</v>
      </c>
      <c r="AL212" s="527">
        <f t="shared" si="420"/>
        <v>74</v>
      </c>
      <c r="AM212" s="390">
        <f t="shared" si="421"/>
        <v>0</v>
      </c>
      <c r="AN212" s="753">
        <f t="shared" si="442"/>
        <v>-100</v>
      </c>
      <c r="AO212" s="817">
        <v>74</v>
      </c>
      <c r="AP212" s="819">
        <v>109</v>
      </c>
      <c r="AQ212" s="753">
        <f t="shared" si="423"/>
        <v>47.3</v>
      </c>
      <c r="AR212" s="817">
        <f t="shared" si="424"/>
        <v>0</v>
      </c>
      <c r="AS212" s="819">
        <f t="shared" si="424"/>
        <v>0</v>
      </c>
      <c r="AT212" s="799">
        <v>0</v>
      </c>
      <c r="AU212" s="969">
        <v>74</v>
      </c>
      <c r="AV212" s="970">
        <v>109</v>
      </c>
      <c r="AW212" s="753">
        <f t="shared" si="426"/>
        <v>47.3</v>
      </c>
      <c r="AX212" s="817">
        <f t="shared" si="427"/>
        <v>15</v>
      </c>
      <c r="AY212" s="819">
        <f t="shared" si="428"/>
        <v>0</v>
      </c>
      <c r="AZ212" s="753">
        <f t="shared" si="429"/>
        <v>-100</v>
      </c>
      <c r="BA212" s="817">
        <v>89</v>
      </c>
      <c r="BB212" s="819">
        <v>109</v>
      </c>
      <c r="BC212" s="753">
        <f t="shared" si="430"/>
        <v>22.5</v>
      </c>
      <c r="BD212" s="817">
        <f t="shared" si="431"/>
        <v>0</v>
      </c>
      <c r="BE212" s="819">
        <f t="shared" si="431"/>
        <v>8</v>
      </c>
      <c r="BF212" s="799">
        <v>0</v>
      </c>
      <c r="BG212" s="817">
        <v>89</v>
      </c>
      <c r="BH212" s="819">
        <v>117</v>
      </c>
      <c r="BI212" s="753">
        <f t="shared" si="433"/>
        <v>31.5</v>
      </c>
      <c r="BJ212" s="817">
        <f t="shared" si="434"/>
        <v>0</v>
      </c>
      <c r="BK212" s="819">
        <f t="shared" si="434"/>
        <v>25</v>
      </c>
      <c r="BL212" s="799">
        <v>0</v>
      </c>
      <c r="BM212" s="817">
        <v>89</v>
      </c>
      <c r="BN212" s="819">
        <v>142</v>
      </c>
      <c r="BO212" s="753">
        <f t="shared" si="436"/>
        <v>59.6</v>
      </c>
      <c r="BP212" s="817">
        <f t="shared" si="437"/>
        <v>12</v>
      </c>
      <c r="BQ212" s="819">
        <f t="shared" si="437"/>
        <v>0</v>
      </c>
      <c r="BR212" s="753">
        <f t="shared" si="438"/>
        <v>-100</v>
      </c>
      <c r="BS212" s="817">
        <v>101</v>
      </c>
      <c r="BT212" s="819">
        <v>142</v>
      </c>
      <c r="BU212" s="753">
        <f t="shared" si="439"/>
        <v>40.6</v>
      </c>
    </row>
    <row r="213" spans="1:73">
      <c r="A213" s="4"/>
      <c r="B213" s="43" t="s">
        <v>414</v>
      </c>
      <c r="C213" s="188">
        <v>140</v>
      </c>
      <c r="D213" s="188">
        <v>213</v>
      </c>
      <c r="E213" s="188">
        <v>260</v>
      </c>
      <c r="F213" s="188">
        <v>247</v>
      </c>
      <c r="G213" s="188">
        <v>357</v>
      </c>
      <c r="H213" s="188">
        <v>483</v>
      </c>
      <c r="I213" s="362">
        <v>310</v>
      </c>
      <c r="J213" s="44">
        <v>93</v>
      </c>
      <c r="K213" s="383">
        <v>5</v>
      </c>
      <c r="L213" s="390">
        <v>7</v>
      </c>
      <c r="M213" s="232">
        <f>ROUND(((L213/K213-1)*100), 1)</f>
        <v>40</v>
      </c>
      <c r="N213" s="383">
        <f t="shared" si="405"/>
        <v>4</v>
      </c>
      <c r="O213" s="390">
        <f t="shared" si="406"/>
        <v>6</v>
      </c>
      <c r="P213" s="242">
        <f>ROUND(((O213/N213-1)*100), 1)</f>
        <v>50</v>
      </c>
      <c r="Q213" s="383">
        <v>9</v>
      </c>
      <c r="R213" s="390">
        <v>13</v>
      </c>
      <c r="S213" s="242">
        <f>ROUND(((R213/Q213-1)*100), 1)</f>
        <v>44.4</v>
      </c>
      <c r="T213" s="383">
        <f t="shared" si="409"/>
        <v>4</v>
      </c>
      <c r="U213" s="390">
        <f t="shared" si="410"/>
        <v>13</v>
      </c>
      <c r="V213" s="242">
        <f>ROUND(((U213/T213-1)*100), 1)</f>
        <v>225</v>
      </c>
      <c r="W213" s="383">
        <v>13</v>
      </c>
      <c r="X213" s="390">
        <v>26</v>
      </c>
      <c r="Y213" s="242">
        <f>ROUND(((X213/W213-1)*100), 1)</f>
        <v>100</v>
      </c>
      <c r="Z213" s="527">
        <f t="shared" si="413"/>
        <v>9</v>
      </c>
      <c r="AA213" s="390">
        <f t="shared" si="414"/>
        <v>18</v>
      </c>
      <c r="AB213" s="242">
        <f>ROUND(((AA213/Z213-1)*100), 1)</f>
        <v>100</v>
      </c>
      <c r="AC213" s="527">
        <v>22</v>
      </c>
      <c r="AD213" s="390">
        <v>44</v>
      </c>
      <c r="AE213" s="242">
        <f>ROUND(((AD213/AC213-1)*100), 1)</f>
        <v>100</v>
      </c>
      <c r="AF213" s="527">
        <f t="shared" si="417"/>
        <v>10</v>
      </c>
      <c r="AG213" s="390">
        <f t="shared" si="417"/>
        <v>64</v>
      </c>
      <c r="AH213" s="242">
        <f>ROUND(((AG213/AF213-1)*100), 1)</f>
        <v>540</v>
      </c>
      <c r="AI213" s="527">
        <v>32</v>
      </c>
      <c r="AJ213" s="390">
        <v>108</v>
      </c>
      <c r="AK213" s="242">
        <f>ROUND(((AJ213/AI213-1)*100), 1)</f>
        <v>237.5</v>
      </c>
      <c r="AL213" s="527">
        <f t="shared" si="420"/>
        <v>11</v>
      </c>
      <c r="AM213" s="390">
        <f t="shared" si="421"/>
        <v>33</v>
      </c>
      <c r="AN213" s="242">
        <f>ROUND(((AM213/AL213-1)*100), 1)</f>
        <v>200</v>
      </c>
      <c r="AO213" s="817">
        <v>43</v>
      </c>
      <c r="AP213" s="819">
        <v>141</v>
      </c>
      <c r="AQ213" s="242">
        <f>ROUND(((AP213/AO213-1)*100), 1)</f>
        <v>227.9</v>
      </c>
      <c r="AR213" s="817">
        <f t="shared" si="424"/>
        <v>11</v>
      </c>
      <c r="AS213" s="819">
        <f t="shared" si="424"/>
        <v>25</v>
      </c>
      <c r="AT213" s="753">
        <f t="shared" si="425"/>
        <v>127.3</v>
      </c>
      <c r="AU213" s="969">
        <v>54</v>
      </c>
      <c r="AV213" s="970">
        <v>166</v>
      </c>
      <c r="AW213" s="753">
        <f>ROUND(((AV213/AU213-1)*100), 1)</f>
        <v>207.4</v>
      </c>
      <c r="AX213" s="817">
        <f t="shared" si="427"/>
        <v>17</v>
      </c>
      <c r="AY213" s="819">
        <f t="shared" si="428"/>
        <v>15</v>
      </c>
      <c r="AZ213" s="753">
        <f t="shared" ref="AZ213:AZ217" si="444">ROUND(((AY213/AX213-1)*100), 1)</f>
        <v>-11.8</v>
      </c>
      <c r="BA213" s="817">
        <v>71</v>
      </c>
      <c r="BB213" s="819">
        <v>181</v>
      </c>
      <c r="BC213" s="753">
        <f>ROUND(((BB213/BA213-1)*100), 1)</f>
        <v>154.9</v>
      </c>
      <c r="BD213" s="817">
        <f t="shared" si="431"/>
        <v>3</v>
      </c>
      <c r="BE213" s="819">
        <f t="shared" si="431"/>
        <v>18</v>
      </c>
      <c r="BF213" s="753">
        <f t="shared" si="432"/>
        <v>500</v>
      </c>
      <c r="BG213" s="817">
        <v>74</v>
      </c>
      <c r="BH213" s="819">
        <v>199</v>
      </c>
      <c r="BI213" s="753">
        <f>ROUND(((BH213/BG213-1)*100), 1)</f>
        <v>168.9</v>
      </c>
      <c r="BJ213" s="817">
        <f t="shared" si="434"/>
        <v>6</v>
      </c>
      <c r="BK213" s="819">
        <f t="shared" si="434"/>
        <v>10</v>
      </c>
      <c r="BL213" s="753">
        <f t="shared" ref="BL213:BL215" si="445">ROUND(((BK213/BJ213-1)*100), 1)</f>
        <v>66.7</v>
      </c>
      <c r="BM213" s="817">
        <v>80</v>
      </c>
      <c r="BN213" s="819">
        <v>209</v>
      </c>
      <c r="BO213" s="753">
        <f>ROUND(((BN213/BM213-1)*100), 1)</f>
        <v>161.30000000000001</v>
      </c>
      <c r="BP213" s="817">
        <f t="shared" si="437"/>
        <v>11</v>
      </c>
      <c r="BQ213" s="819">
        <f t="shared" si="437"/>
        <v>28</v>
      </c>
      <c r="BR213" s="753">
        <f>ROUND(((BQ213/BP213-1)*100), 1)</f>
        <v>154.5</v>
      </c>
      <c r="BS213" s="817">
        <v>91</v>
      </c>
      <c r="BT213" s="819">
        <v>237</v>
      </c>
      <c r="BU213" s="753">
        <f>ROUND(((BT213/BS213-1)*100), 1)</f>
        <v>160.4</v>
      </c>
    </row>
    <row r="214" spans="1:73">
      <c r="A214" s="4"/>
      <c r="B214" s="43" t="s">
        <v>430</v>
      </c>
      <c r="C214" s="188">
        <v>549</v>
      </c>
      <c r="D214" s="188">
        <v>379</v>
      </c>
      <c r="E214" s="188">
        <v>828</v>
      </c>
      <c r="F214" s="188">
        <v>239</v>
      </c>
      <c r="G214" s="188">
        <v>121</v>
      </c>
      <c r="H214" s="188">
        <v>209</v>
      </c>
      <c r="I214" s="362">
        <v>175</v>
      </c>
      <c r="J214" s="44">
        <v>90</v>
      </c>
      <c r="K214" s="383">
        <v>1</v>
      </c>
      <c r="L214" s="390">
        <v>13</v>
      </c>
      <c r="M214" s="232">
        <f>ROUND(((L214/K214-1)*100), 1)</f>
        <v>1200</v>
      </c>
      <c r="N214" s="383">
        <f t="shared" si="405"/>
        <v>4</v>
      </c>
      <c r="O214" s="390">
        <f t="shared" si="406"/>
        <v>1</v>
      </c>
      <c r="P214" s="242">
        <f>ROUND(((O214/N214-1)*100), 1)</f>
        <v>-75</v>
      </c>
      <c r="Q214" s="383">
        <v>5</v>
      </c>
      <c r="R214" s="390">
        <v>14</v>
      </c>
      <c r="S214" s="242">
        <f>ROUND(((R214/Q214-1)*100), 1)</f>
        <v>180</v>
      </c>
      <c r="T214" s="383">
        <f t="shared" si="409"/>
        <v>1</v>
      </c>
      <c r="U214" s="390">
        <f t="shared" si="410"/>
        <v>7</v>
      </c>
      <c r="V214" s="242">
        <f>ROUND(((U214/T214-1)*100), 1)</f>
        <v>600</v>
      </c>
      <c r="W214" s="383">
        <v>6</v>
      </c>
      <c r="X214" s="390">
        <v>21</v>
      </c>
      <c r="Y214" s="242">
        <f>ROUND(((X214/W214-1)*100), 1)</f>
        <v>250</v>
      </c>
      <c r="Z214" s="527">
        <f t="shared" si="413"/>
        <v>12</v>
      </c>
      <c r="AA214" s="390">
        <f t="shared" si="414"/>
        <v>1</v>
      </c>
      <c r="AB214" s="242">
        <f>ROUND(((AA214/Z214-1)*100), 1)</f>
        <v>-91.7</v>
      </c>
      <c r="AC214" s="527">
        <v>18</v>
      </c>
      <c r="AD214" s="390">
        <v>22</v>
      </c>
      <c r="AE214" s="242">
        <f>ROUND(((AD214/AC214-1)*100), 1)</f>
        <v>22.2</v>
      </c>
      <c r="AF214" s="527">
        <f t="shared" si="417"/>
        <v>1</v>
      </c>
      <c r="AG214" s="390">
        <f t="shared" si="417"/>
        <v>27</v>
      </c>
      <c r="AH214" s="242">
        <f>ROUND(((AG214/AF214-1)*100), 1)</f>
        <v>2600</v>
      </c>
      <c r="AI214" s="527">
        <v>19</v>
      </c>
      <c r="AJ214" s="390">
        <v>49</v>
      </c>
      <c r="AK214" s="242">
        <f>ROUND(((AJ214/AI214-1)*100), 1)</f>
        <v>157.9</v>
      </c>
      <c r="AL214" s="527">
        <f t="shared" si="420"/>
        <v>5</v>
      </c>
      <c r="AM214" s="390">
        <f t="shared" si="421"/>
        <v>21</v>
      </c>
      <c r="AN214" s="242">
        <f>ROUND(((AM214/AL214-1)*100), 1)</f>
        <v>320</v>
      </c>
      <c r="AO214" s="817">
        <v>24</v>
      </c>
      <c r="AP214" s="819">
        <v>70</v>
      </c>
      <c r="AQ214" s="242">
        <f>ROUND(((AP214/AO214-1)*100), 1)</f>
        <v>191.7</v>
      </c>
      <c r="AR214" s="817">
        <f t="shared" si="424"/>
        <v>10</v>
      </c>
      <c r="AS214" s="819">
        <f t="shared" si="424"/>
        <v>11</v>
      </c>
      <c r="AT214" s="753">
        <f t="shared" si="425"/>
        <v>10</v>
      </c>
      <c r="AU214" s="969">
        <v>34</v>
      </c>
      <c r="AV214" s="970">
        <v>81</v>
      </c>
      <c r="AW214" s="753">
        <f>ROUND(((AV214/AU214-1)*100), 1)</f>
        <v>138.19999999999999</v>
      </c>
      <c r="AX214" s="817">
        <f t="shared" si="427"/>
        <v>19</v>
      </c>
      <c r="AY214" s="819">
        <f t="shared" si="428"/>
        <v>12</v>
      </c>
      <c r="AZ214" s="753">
        <f t="shared" si="444"/>
        <v>-36.799999999999997</v>
      </c>
      <c r="BA214" s="817">
        <v>53</v>
      </c>
      <c r="BB214" s="819">
        <v>93</v>
      </c>
      <c r="BC214" s="753">
        <f>ROUND(((BB214/BA214-1)*100), 1)</f>
        <v>75.5</v>
      </c>
      <c r="BD214" s="817">
        <f t="shared" si="431"/>
        <v>15</v>
      </c>
      <c r="BE214" s="819">
        <f t="shared" si="431"/>
        <v>1</v>
      </c>
      <c r="BF214" s="753">
        <f t="shared" si="432"/>
        <v>-93.3</v>
      </c>
      <c r="BG214" s="817">
        <v>68</v>
      </c>
      <c r="BH214" s="819">
        <v>94</v>
      </c>
      <c r="BI214" s="753">
        <f>ROUND(((BH214/BG214-1)*100), 1)</f>
        <v>38.200000000000003</v>
      </c>
      <c r="BJ214" s="817">
        <f t="shared" si="434"/>
        <v>8</v>
      </c>
      <c r="BK214" s="819">
        <f t="shared" si="434"/>
        <v>3</v>
      </c>
      <c r="BL214" s="753">
        <f t="shared" si="445"/>
        <v>-62.5</v>
      </c>
      <c r="BM214" s="817">
        <v>76</v>
      </c>
      <c r="BN214" s="819">
        <v>97</v>
      </c>
      <c r="BO214" s="753">
        <f>ROUND(((BN214/BM214-1)*100), 1)</f>
        <v>27.6</v>
      </c>
      <c r="BP214" s="817">
        <f t="shared" si="437"/>
        <v>2</v>
      </c>
      <c r="BQ214" s="819">
        <f t="shared" si="437"/>
        <v>0</v>
      </c>
      <c r="BR214" s="753">
        <f>ROUND(((BQ214/BP214-1)*100), 1)</f>
        <v>-100</v>
      </c>
      <c r="BS214" s="817">
        <v>78</v>
      </c>
      <c r="BT214" s="819">
        <v>97</v>
      </c>
      <c r="BU214" s="753">
        <f>ROUND(((BT214/BS214-1)*100), 1)</f>
        <v>24.4</v>
      </c>
    </row>
    <row r="215" spans="1:73">
      <c r="A215" s="4"/>
      <c r="B215" s="43" t="s">
        <v>60</v>
      </c>
      <c r="C215" s="188">
        <v>207</v>
      </c>
      <c r="D215" s="188">
        <v>122</v>
      </c>
      <c r="E215" s="188">
        <v>141</v>
      </c>
      <c r="F215" s="188">
        <v>491</v>
      </c>
      <c r="G215" s="188">
        <v>122</v>
      </c>
      <c r="H215" s="188">
        <v>203</v>
      </c>
      <c r="I215" s="362">
        <v>103</v>
      </c>
      <c r="J215" s="44">
        <v>67</v>
      </c>
      <c r="K215" s="383">
        <v>17</v>
      </c>
      <c r="L215" s="390">
        <v>3</v>
      </c>
      <c r="M215" s="232">
        <f>ROUND(((L215/K215-1)*100), 1)</f>
        <v>-82.4</v>
      </c>
      <c r="N215" s="383">
        <f t="shared" si="405"/>
        <v>21</v>
      </c>
      <c r="O215" s="390">
        <f t="shared" si="406"/>
        <v>4</v>
      </c>
      <c r="P215" s="242">
        <f>ROUND(((O215/N215-1)*100), 1)</f>
        <v>-81</v>
      </c>
      <c r="Q215" s="383">
        <v>38</v>
      </c>
      <c r="R215" s="390">
        <v>7</v>
      </c>
      <c r="S215" s="242">
        <f>ROUND(((R215/Q215-1)*100), 1)</f>
        <v>-81.599999999999994</v>
      </c>
      <c r="T215" s="383">
        <f t="shared" si="409"/>
        <v>0</v>
      </c>
      <c r="U215" s="390">
        <f t="shared" si="410"/>
        <v>2</v>
      </c>
      <c r="V215" s="177">
        <v>0</v>
      </c>
      <c r="W215" s="383">
        <v>38</v>
      </c>
      <c r="X215" s="390">
        <v>9</v>
      </c>
      <c r="Y215" s="242">
        <f>ROUND(((X215/W215-1)*100), 1)</f>
        <v>-76.3</v>
      </c>
      <c r="Z215" s="527">
        <f t="shared" si="413"/>
        <v>1</v>
      </c>
      <c r="AA215" s="390">
        <f t="shared" si="414"/>
        <v>0</v>
      </c>
      <c r="AB215" s="242">
        <f>ROUND(((AA215/Z215-1)*100), 1)</f>
        <v>-100</v>
      </c>
      <c r="AC215" s="527">
        <v>39</v>
      </c>
      <c r="AD215" s="390">
        <v>9</v>
      </c>
      <c r="AE215" s="242">
        <f>ROUND(((AD215/AC215-1)*100), 1)</f>
        <v>-76.900000000000006</v>
      </c>
      <c r="AF215" s="527">
        <f t="shared" si="417"/>
        <v>0</v>
      </c>
      <c r="AG215" s="390">
        <f t="shared" si="417"/>
        <v>0</v>
      </c>
      <c r="AH215" s="521">
        <v>0</v>
      </c>
      <c r="AI215" s="527">
        <v>39</v>
      </c>
      <c r="AJ215" s="390">
        <v>9</v>
      </c>
      <c r="AK215" s="242">
        <f>ROUND(((AJ215/AI215-1)*100), 1)</f>
        <v>-76.900000000000006</v>
      </c>
      <c r="AL215" s="527">
        <f t="shared" si="420"/>
        <v>3</v>
      </c>
      <c r="AM215" s="390">
        <f t="shared" si="421"/>
        <v>1</v>
      </c>
      <c r="AN215" s="753">
        <f t="shared" ref="AN215" si="446">ROUND(((AM215/AL215-1)*100), 1)</f>
        <v>-66.7</v>
      </c>
      <c r="AO215" s="817">
        <v>42</v>
      </c>
      <c r="AP215" s="819">
        <v>10</v>
      </c>
      <c r="AQ215" s="242">
        <f>ROUND(((AP215/AO215-1)*100), 1)</f>
        <v>-76.2</v>
      </c>
      <c r="AR215" s="817">
        <f t="shared" si="424"/>
        <v>1</v>
      </c>
      <c r="AS215" s="819">
        <f t="shared" si="424"/>
        <v>4</v>
      </c>
      <c r="AT215" s="753">
        <f t="shared" si="425"/>
        <v>300</v>
      </c>
      <c r="AU215" s="969">
        <v>43</v>
      </c>
      <c r="AV215" s="970">
        <v>14</v>
      </c>
      <c r="AW215" s="753">
        <f>ROUND(((AV215/AU215-1)*100), 1)</f>
        <v>-67.400000000000006</v>
      </c>
      <c r="AX215" s="817">
        <f t="shared" si="427"/>
        <v>5</v>
      </c>
      <c r="AY215" s="819">
        <f t="shared" si="428"/>
        <v>2</v>
      </c>
      <c r="AZ215" s="753">
        <f t="shared" si="444"/>
        <v>-60</v>
      </c>
      <c r="BA215" s="817">
        <v>48</v>
      </c>
      <c r="BB215" s="819">
        <v>16</v>
      </c>
      <c r="BC215" s="753">
        <f>ROUND(((BB215/BA215-1)*100), 1)</f>
        <v>-66.7</v>
      </c>
      <c r="BD215" s="817">
        <f t="shared" si="431"/>
        <v>4</v>
      </c>
      <c r="BE215" s="819">
        <f t="shared" si="431"/>
        <v>3</v>
      </c>
      <c r="BF215" s="753">
        <f t="shared" si="432"/>
        <v>-25</v>
      </c>
      <c r="BG215" s="817">
        <v>52</v>
      </c>
      <c r="BH215" s="819">
        <v>19</v>
      </c>
      <c r="BI215" s="753">
        <f>ROUND(((BH215/BG215-1)*100), 1)</f>
        <v>-63.5</v>
      </c>
      <c r="BJ215" s="817">
        <f t="shared" si="434"/>
        <v>4</v>
      </c>
      <c r="BK215" s="819">
        <f t="shared" si="434"/>
        <v>0</v>
      </c>
      <c r="BL215" s="753">
        <f t="shared" si="445"/>
        <v>-100</v>
      </c>
      <c r="BM215" s="817">
        <v>56</v>
      </c>
      <c r="BN215" s="819">
        <v>19</v>
      </c>
      <c r="BO215" s="753">
        <f>ROUND(((BN215/BM215-1)*100), 1)</f>
        <v>-66.099999999999994</v>
      </c>
      <c r="BP215" s="817">
        <f t="shared" si="437"/>
        <v>7</v>
      </c>
      <c r="BQ215" s="819">
        <f t="shared" si="437"/>
        <v>0</v>
      </c>
      <c r="BR215" s="753">
        <f>ROUND(((BQ215/BP215-1)*100), 1)</f>
        <v>-100</v>
      </c>
      <c r="BS215" s="817">
        <v>63</v>
      </c>
      <c r="BT215" s="819">
        <v>19</v>
      </c>
      <c r="BU215" s="753">
        <f>ROUND(((BT215/BS215-1)*100), 1)</f>
        <v>-69.8</v>
      </c>
    </row>
    <row r="216" spans="1:73">
      <c r="A216" s="4"/>
      <c r="B216" s="43" t="s">
        <v>24</v>
      </c>
      <c r="C216" s="188">
        <f t="shared" ref="C216:N216" si="447">C217-SUM(C203:C215)</f>
        <v>231</v>
      </c>
      <c r="D216" s="188">
        <f t="shared" si="447"/>
        <v>224</v>
      </c>
      <c r="E216" s="188">
        <f t="shared" si="447"/>
        <v>85</v>
      </c>
      <c r="F216" s="188">
        <f t="shared" si="447"/>
        <v>31</v>
      </c>
      <c r="G216" s="188">
        <f t="shared" si="447"/>
        <v>39</v>
      </c>
      <c r="H216" s="188">
        <f t="shared" si="447"/>
        <v>117</v>
      </c>
      <c r="I216" s="362">
        <f t="shared" si="447"/>
        <v>145</v>
      </c>
      <c r="J216" s="44">
        <f>J217-SUM(J203:J215)</f>
        <v>133</v>
      </c>
      <c r="K216" s="488">
        <f t="shared" si="447"/>
        <v>5</v>
      </c>
      <c r="L216" s="383">
        <f t="shared" si="447"/>
        <v>24</v>
      </c>
      <c r="M216" s="232">
        <f>ROUND(((L216/K216-1)*100), 1)</f>
        <v>380</v>
      </c>
      <c r="N216" s="488">
        <f t="shared" si="447"/>
        <v>2</v>
      </c>
      <c r="O216" s="383">
        <f>O217-SUM(O203:O215)</f>
        <v>1</v>
      </c>
      <c r="P216" s="242">
        <f>ROUND(((O216/N216-1)*100), 1)</f>
        <v>-50</v>
      </c>
      <c r="Q216" s="488">
        <f>Q217-SUM(Q203:Q215)</f>
        <v>7</v>
      </c>
      <c r="R216" s="383">
        <f>R217-SUM(R203:R215)</f>
        <v>25</v>
      </c>
      <c r="S216" s="242">
        <f>ROUND(((R216/Q216-1)*100), 1)</f>
        <v>257.10000000000002</v>
      </c>
      <c r="T216" s="488">
        <f t="shared" ref="T216" si="448">T217-SUM(T203:T215)</f>
        <v>0</v>
      </c>
      <c r="U216" s="383">
        <f>U217-SUM(U203:U215)</f>
        <v>2</v>
      </c>
      <c r="V216" s="178">
        <v>0</v>
      </c>
      <c r="W216" s="488">
        <f>W217-SUM(W203:W215)</f>
        <v>7</v>
      </c>
      <c r="X216" s="383">
        <f>X217-SUM(X203:X215)</f>
        <v>27</v>
      </c>
      <c r="Y216" s="242">
        <f>ROUND(((X216/W216-1)*100), 1)</f>
        <v>285.7</v>
      </c>
      <c r="Z216" s="488">
        <f t="shared" ref="Z216" si="449">Z217-SUM(Z203:Z215)</f>
        <v>2</v>
      </c>
      <c r="AA216" s="527">
        <f>AA217-SUM(AA203:AA215)</f>
        <v>8</v>
      </c>
      <c r="AB216" s="242">
        <f>ROUND(((AA216/Z216-1)*100), 1)</f>
        <v>300</v>
      </c>
      <c r="AC216" s="488">
        <f>AC217-SUM(AC203:AC215)</f>
        <v>9</v>
      </c>
      <c r="AD216" s="527">
        <f>AD217-SUM(AD203:AD215)</f>
        <v>35</v>
      </c>
      <c r="AE216" s="242">
        <f>ROUND(((AD216/AC216-1)*100), 1)</f>
        <v>288.89999999999998</v>
      </c>
      <c r="AF216" s="488">
        <f t="shared" ref="AF216" si="450">AF217-SUM(AF203:AF215)</f>
        <v>14</v>
      </c>
      <c r="AG216" s="527">
        <f>AG217-SUM(AG203:AG215)</f>
        <v>15</v>
      </c>
      <c r="AH216" s="242">
        <f>ROUND(((AG216/AF216-1)*100), 1)</f>
        <v>7.1</v>
      </c>
      <c r="AI216" s="488">
        <f>AI217-SUM(AI203:AI215)</f>
        <v>23</v>
      </c>
      <c r="AJ216" s="527">
        <f>AJ217-SUM(AJ203:AJ215)</f>
        <v>50</v>
      </c>
      <c r="AK216" s="242">
        <f>ROUND(((AJ216/AI216-1)*100), 1)</f>
        <v>117.4</v>
      </c>
      <c r="AL216" s="488">
        <f t="shared" ref="AL216" si="451">AL217-SUM(AL203:AL215)</f>
        <v>19</v>
      </c>
      <c r="AM216" s="527">
        <f>AM217-SUM(AM203:AM215)</f>
        <v>6</v>
      </c>
      <c r="AN216" s="242">
        <f>ROUND(((AM216/AL216-1)*100), 1)</f>
        <v>-68.400000000000006</v>
      </c>
      <c r="AO216" s="488">
        <f>AO217-SUM(AO203:AO215)</f>
        <v>42</v>
      </c>
      <c r="AP216" s="817">
        <f>AP217-SUM(AP203:AP215)</f>
        <v>56</v>
      </c>
      <c r="AQ216" s="242">
        <f>ROUND(((AP216/AO216-1)*100), 1)</f>
        <v>33.299999999999997</v>
      </c>
      <c r="AR216" s="488">
        <f>AR217-SUM(AR203:AR215)</f>
        <v>9</v>
      </c>
      <c r="AS216" s="817">
        <f>AS217-SUM(AS203:AS215)</f>
        <v>2</v>
      </c>
      <c r="AT216" s="753">
        <f t="shared" si="425"/>
        <v>-77.8</v>
      </c>
      <c r="AU216" s="983">
        <f>AU217-SUM(AU203:AU215)</f>
        <v>51</v>
      </c>
      <c r="AV216" s="969">
        <f>AV217-SUM(AV203:AV215)</f>
        <v>58</v>
      </c>
      <c r="AW216" s="753">
        <f>ROUND(((AV216/AU216-1)*100), 1)</f>
        <v>13.7</v>
      </c>
      <c r="AX216" s="488">
        <f>AX217-SUM(AX203:AX215)</f>
        <v>1</v>
      </c>
      <c r="AY216" s="817">
        <f>AY217-SUM(AY203:AY215)</f>
        <v>6</v>
      </c>
      <c r="AZ216" s="753">
        <f t="shared" si="444"/>
        <v>500</v>
      </c>
      <c r="BA216" s="488">
        <f>BA217-SUM(BA203:BA215)</f>
        <v>52</v>
      </c>
      <c r="BB216" s="817">
        <f>BB217-SUM(BB203:BB215)</f>
        <v>64</v>
      </c>
      <c r="BC216" s="753">
        <f>ROUND(((BB216/BA216-1)*100), 1)</f>
        <v>23.1</v>
      </c>
      <c r="BD216" s="488">
        <f>BD217-SUM(BD203:BD215)</f>
        <v>0</v>
      </c>
      <c r="BE216" s="817">
        <f>BE217-SUM(BE203:BE215)</f>
        <v>7</v>
      </c>
      <c r="BF216" s="800">
        <v>0</v>
      </c>
      <c r="BG216" s="488">
        <f>BG217-SUM(BG203:BG215)</f>
        <v>52</v>
      </c>
      <c r="BH216" s="817">
        <f>BH217-SUM(BH203:BH215)</f>
        <v>71</v>
      </c>
      <c r="BI216" s="753">
        <f>ROUND(((BH216/BG216-1)*100), 1)</f>
        <v>36.5</v>
      </c>
      <c r="BJ216" s="488">
        <f>BJ217-SUM(BJ203:BJ215)</f>
        <v>73</v>
      </c>
      <c r="BK216" s="817">
        <f>BK217-SUM(BK203:BK215)</f>
        <v>2</v>
      </c>
      <c r="BL216" s="753">
        <f>ROUND(((BK216/BJ216-1)*100), 1)</f>
        <v>-97.3</v>
      </c>
      <c r="BM216" s="488">
        <f>BM217-SUM(BM203:BM215)</f>
        <v>125</v>
      </c>
      <c r="BN216" s="817">
        <f>BN217-SUM(BN203:BN215)</f>
        <v>73</v>
      </c>
      <c r="BO216" s="753">
        <f>ROUND(((BN216/BM216-1)*100), 1)</f>
        <v>-41.6</v>
      </c>
      <c r="BP216" s="488">
        <f>BP217-SUM(BP203:BP215)</f>
        <v>5</v>
      </c>
      <c r="BQ216" s="817">
        <f>BQ217-SUM(BQ203:BQ215)</f>
        <v>19</v>
      </c>
      <c r="BR216" s="753">
        <f>ROUND(((BQ216/BP216-1)*100), 1)</f>
        <v>280</v>
      </c>
      <c r="BS216" s="488">
        <f>BS217-SUM(BS203:BS215)</f>
        <v>130</v>
      </c>
      <c r="BT216" s="817">
        <f>BT217-SUM(BT203:BT215)</f>
        <v>92</v>
      </c>
      <c r="BU216" s="753">
        <f>ROUND(((BT216/BS216-1)*100), 1)</f>
        <v>-29.2</v>
      </c>
    </row>
    <row r="217" spans="1:73">
      <c r="A217" s="9"/>
      <c r="B217" s="67" t="s">
        <v>108</v>
      </c>
      <c r="C217" s="324">
        <v>47722</v>
      </c>
      <c r="D217" s="324">
        <v>52290</v>
      </c>
      <c r="E217" s="324">
        <v>57039</v>
      </c>
      <c r="F217" s="324">
        <v>56060</v>
      </c>
      <c r="G217" s="324">
        <v>65086</v>
      </c>
      <c r="H217" s="324">
        <v>67763</v>
      </c>
      <c r="I217" s="375">
        <v>67122</v>
      </c>
      <c r="J217" s="46">
        <v>66820</v>
      </c>
      <c r="K217" s="403">
        <v>6735</v>
      </c>
      <c r="L217" s="295">
        <v>6066</v>
      </c>
      <c r="M217" s="233">
        <f>ROUND(((L217/K217-1)*100), 1)</f>
        <v>-9.9</v>
      </c>
      <c r="N217" s="403">
        <f>Q217-K217</f>
        <v>4860</v>
      </c>
      <c r="O217" s="295">
        <f>R217-L217</f>
        <v>4130</v>
      </c>
      <c r="P217" s="243">
        <f>ROUND(((O217/N217-1)*100), 1)</f>
        <v>-15</v>
      </c>
      <c r="Q217" s="403">
        <v>11595</v>
      </c>
      <c r="R217" s="295">
        <v>10196</v>
      </c>
      <c r="S217" s="243">
        <f>ROUND(((R217/Q217-1)*100), 1)</f>
        <v>-12.1</v>
      </c>
      <c r="T217" s="403">
        <f>W217-Q217</f>
        <v>6015</v>
      </c>
      <c r="U217" s="295">
        <f>X217-R217</f>
        <v>7828</v>
      </c>
      <c r="V217" s="243">
        <f>ROUND(((U217/T217-1)*100), 1)</f>
        <v>30.1</v>
      </c>
      <c r="W217" s="403">
        <v>17610</v>
      </c>
      <c r="X217" s="295">
        <v>18024</v>
      </c>
      <c r="Y217" s="243">
        <f>ROUND(((X217/W217-1)*100), 1)</f>
        <v>2.4</v>
      </c>
      <c r="Z217" s="403">
        <f>AC217-W217</f>
        <v>6138</v>
      </c>
      <c r="AA217" s="295">
        <f>AD217-X217</f>
        <v>6228</v>
      </c>
      <c r="AB217" s="243">
        <f>ROUND(((AA217/Z217-1)*100), 1)</f>
        <v>1.5</v>
      </c>
      <c r="AC217" s="403">
        <v>23748</v>
      </c>
      <c r="AD217" s="295">
        <v>24252</v>
      </c>
      <c r="AE217" s="243">
        <f>ROUND(((AD217/AC217-1)*100), 1)</f>
        <v>2.1</v>
      </c>
      <c r="AF217" s="403">
        <f>AI217-AC217</f>
        <v>5430</v>
      </c>
      <c r="AG217" s="295">
        <f>AJ217-AD217</f>
        <v>4024</v>
      </c>
      <c r="AH217" s="243">
        <f>ROUND(((AG217/AF217-1)*100), 1)</f>
        <v>-25.9</v>
      </c>
      <c r="AI217" s="403">
        <v>29178</v>
      </c>
      <c r="AJ217" s="295">
        <v>28276</v>
      </c>
      <c r="AK217" s="243">
        <f>ROUND(((AJ217/AI217-1)*100), 1)</f>
        <v>-3.1</v>
      </c>
      <c r="AL217" s="403">
        <f>AO217-AI217</f>
        <v>5367</v>
      </c>
      <c r="AM217" s="295">
        <f>AP217-AJ217</f>
        <v>4905</v>
      </c>
      <c r="AN217" s="243">
        <f>ROUND(((AM217/AL217-1)*100), 1)</f>
        <v>-8.6</v>
      </c>
      <c r="AO217" s="814">
        <v>34545</v>
      </c>
      <c r="AP217" s="808">
        <v>33181</v>
      </c>
      <c r="AQ217" s="243">
        <f>ROUND(((AP217/AO217-1)*100), 1)</f>
        <v>-3.9</v>
      </c>
      <c r="AR217" s="814">
        <f>AU217-AO217</f>
        <v>5411</v>
      </c>
      <c r="AS217" s="808">
        <f>AV217-AP217</f>
        <v>5821</v>
      </c>
      <c r="AT217" s="754">
        <f t="shared" si="425"/>
        <v>7.6</v>
      </c>
      <c r="AU217" s="971">
        <v>39956</v>
      </c>
      <c r="AV217" s="972">
        <v>39002</v>
      </c>
      <c r="AW217" s="754">
        <f>ROUND(((AV217/AU217-1)*100), 1)</f>
        <v>-2.4</v>
      </c>
      <c r="AX217" s="814">
        <f>BA217-AU217</f>
        <v>5301</v>
      </c>
      <c r="AY217" s="808">
        <f>BB217-AV217</f>
        <v>5651</v>
      </c>
      <c r="AZ217" s="754">
        <f t="shared" si="444"/>
        <v>6.6</v>
      </c>
      <c r="BA217" s="814">
        <v>45257</v>
      </c>
      <c r="BB217" s="808">
        <v>44653</v>
      </c>
      <c r="BC217" s="754">
        <f>ROUND(((BB217/BA217-1)*100), 1)</f>
        <v>-1.3</v>
      </c>
      <c r="BD217" s="814">
        <f>BG217-BA217</f>
        <v>4953</v>
      </c>
      <c r="BE217" s="808">
        <f>BH217-BB217</f>
        <v>5975</v>
      </c>
      <c r="BF217" s="754">
        <f t="shared" si="432"/>
        <v>20.6</v>
      </c>
      <c r="BG217" s="814">
        <v>50210</v>
      </c>
      <c r="BH217" s="808">
        <v>50628</v>
      </c>
      <c r="BI217" s="754">
        <f>ROUND(((BH217/BG217-1)*100), 1)</f>
        <v>0.8</v>
      </c>
      <c r="BJ217" s="814">
        <f>BM217-BG217</f>
        <v>5424</v>
      </c>
      <c r="BK217" s="808">
        <f>BN217-BH217</f>
        <v>6369</v>
      </c>
      <c r="BL217" s="754">
        <f t="shared" ref="BL217" si="452">ROUND(((BK217/BJ217-1)*100), 1)</f>
        <v>17.399999999999999</v>
      </c>
      <c r="BM217" s="814">
        <v>55634</v>
      </c>
      <c r="BN217" s="808">
        <v>56997</v>
      </c>
      <c r="BO217" s="754">
        <f>ROUND(((BN217/BM217-1)*100), 1)</f>
        <v>2.4</v>
      </c>
      <c r="BP217" s="814">
        <f>BS217-BM217</f>
        <v>5430</v>
      </c>
      <c r="BQ217" s="808">
        <f>BT217-BN217</f>
        <v>6710</v>
      </c>
      <c r="BR217" s="754">
        <f>ROUND(((BQ217/BP217-1)*100), 1)</f>
        <v>23.6</v>
      </c>
      <c r="BS217" s="814">
        <v>61064</v>
      </c>
      <c r="BT217" s="808">
        <v>63707</v>
      </c>
      <c r="BU217" s="754">
        <f>ROUND(((BT217/BS217-1)*100), 1)</f>
        <v>4.3</v>
      </c>
    </row>
    <row r="218" spans="1:73">
      <c r="A218" s="68" t="s">
        <v>118</v>
      </c>
      <c r="B218" s="292"/>
      <c r="M218" s="227"/>
    </row>
    <row r="219" spans="1:73">
      <c r="A219" s="55"/>
      <c r="B219" s="292"/>
      <c r="M219" s="227"/>
    </row>
    <row r="220" spans="1:73">
      <c r="A220" s="81" t="s">
        <v>143</v>
      </c>
      <c r="B220" s="249"/>
      <c r="C220" s="62"/>
      <c r="D220" s="62"/>
      <c r="E220" s="62"/>
      <c r="F220" s="62"/>
      <c r="G220" s="62"/>
      <c r="J220" s="62" t="s">
        <v>144</v>
      </c>
      <c r="K220" s="280"/>
      <c r="L220" s="280"/>
      <c r="M220" s="239"/>
      <c r="N220" s="280"/>
      <c r="O220" s="280"/>
      <c r="P220" s="239"/>
      <c r="Q220" s="280"/>
      <c r="R220" s="280"/>
      <c r="S220" s="239"/>
      <c r="T220" s="280"/>
      <c r="U220" s="280"/>
      <c r="V220" s="239"/>
      <c r="W220" s="280"/>
      <c r="X220" s="280"/>
      <c r="Y220" s="239"/>
      <c r="Z220" s="280"/>
      <c r="AA220" s="280"/>
      <c r="AB220" s="239"/>
      <c r="AC220" s="280"/>
      <c r="AD220" s="280"/>
      <c r="AE220" s="239"/>
      <c r="AF220" s="280"/>
      <c r="AG220" s="280"/>
      <c r="AH220" s="239"/>
      <c r="AI220" s="280"/>
      <c r="AJ220" s="280"/>
      <c r="AK220" s="239"/>
      <c r="AL220" s="280"/>
      <c r="AM220" s="280"/>
      <c r="AN220" s="239"/>
      <c r="AO220" s="747"/>
      <c r="AP220" s="747"/>
      <c r="AQ220" s="239"/>
      <c r="AR220" s="747"/>
      <c r="AS220" s="747"/>
      <c r="AT220" s="239"/>
      <c r="AU220" s="962"/>
      <c r="AV220" s="962"/>
      <c r="AW220" s="239"/>
      <c r="AX220" s="747"/>
      <c r="AY220" s="747"/>
      <c r="AZ220" s="239"/>
      <c r="BA220" s="747"/>
      <c r="BB220" s="747"/>
      <c r="BC220" s="239"/>
      <c r="BD220" s="747"/>
      <c r="BE220" s="747"/>
      <c r="BF220" s="239"/>
      <c r="BG220" s="747"/>
      <c r="BH220" s="747"/>
      <c r="BI220" s="239"/>
      <c r="BJ220" s="747"/>
      <c r="BK220" s="747"/>
      <c r="BL220" s="239"/>
      <c r="BM220" s="747"/>
      <c r="BN220" s="747"/>
      <c r="BO220" s="239"/>
      <c r="BP220" s="747"/>
      <c r="BQ220" s="747"/>
      <c r="BR220" s="239"/>
      <c r="BS220" s="747"/>
      <c r="BT220" s="747"/>
      <c r="BU220" s="239"/>
    </row>
    <row r="221" spans="1:73">
      <c r="A221" s="64"/>
      <c r="B221" s="30"/>
      <c r="C221" s="65"/>
      <c r="D221" s="65"/>
      <c r="E221" s="65"/>
      <c r="F221" s="65"/>
      <c r="G221" s="65"/>
      <c r="H221" s="65"/>
      <c r="I221" s="229"/>
      <c r="J221" s="229"/>
      <c r="K221" s="229"/>
      <c r="L221" s="229"/>
      <c r="M221" s="235" t="s">
        <v>94</v>
      </c>
      <c r="N221" s="229"/>
      <c r="O221" s="229"/>
      <c r="P221" s="244"/>
      <c r="Q221" s="229"/>
      <c r="R221" s="229"/>
      <c r="S221" s="244" t="s">
        <v>94</v>
      </c>
      <c r="T221" s="229"/>
      <c r="U221" s="229"/>
      <c r="V221" s="244"/>
      <c r="W221" s="229"/>
      <c r="X221" s="229"/>
      <c r="Y221" s="244" t="s">
        <v>94</v>
      </c>
      <c r="Z221" s="229"/>
      <c r="AA221" s="229"/>
      <c r="AB221" s="244"/>
      <c r="AC221" s="229"/>
      <c r="AD221" s="229"/>
      <c r="AE221" s="244" t="s">
        <v>94</v>
      </c>
      <c r="AF221" s="229"/>
      <c r="AG221" s="229"/>
      <c r="AH221" s="244"/>
      <c r="AI221" s="229"/>
      <c r="AJ221" s="229"/>
      <c r="AK221" s="244" t="s">
        <v>94</v>
      </c>
      <c r="AL221" s="229"/>
      <c r="AM221" s="229"/>
      <c r="AN221" s="244"/>
      <c r="AO221" s="229"/>
      <c r="AP221" s="229"/>
      <c r="AQ221" s="244" t="s">
        <v>94</v>
      </c>
      <c r="AR221" s="229"/>
      <c r="AS221" s="229"/>
      <c r="AT221" s="654"/>
      <c r="AU221" s="948"/>
      <c r="AV221" s="948"/>
      <c r="AW221" s="654" t="s">
        <v>94</v>
      </c>
      <c r="AX221" s="229"/>
      <c r="AY221" s="229"/>
      <c r="AZ221" s="654"/>
      <c r="BA221" s="229"/>
      <c r="BB221" s="229"/>
      <c r="BC221" s="654" t="s">
        <v>94</v>
      </c>
      <c r="BD221" s="229"/>
      <c r="BE221" s="229"/>
      <c r="BF221" s="654"/>
      <c r="BG221" s="229"/>
      <c r="BH221" s="229"/>
      <c r="BI221" s="654" t="s">
        <v>94</v>
      </c>
      <c r="BJ221" s="229"/>
      <c r="BK221" s="229"/>
      <c r="BL221" s="654"/>
      <c r="BM221" s="229"/>
      <c r="BN221" s="229"/>
      <c r="BO221" s="654" t="s">
        <v>94</v>
      </c>
      <c r="BP221" s="229"/>
      <c r="BQ221" s="229"/>
      <c r="BR221" s="654"/>
      <c r="BS221" s="229"/>
      <c r="BT221" s="229"/>
      <c r="BU221" s="654" t="s">
        <v>94</v>
      </c>
    </row>
    <row r="222" spans="1:73">
      <c r="A222" s="1157" t="s">
        <v>95</v>
      </c>
      <c r="B222" s="1157"/>
      <c r="C222" s="1156" t="s">
        <v>3</v>
      </c>
      <c r="D222" s="1156" t="s">
        <v>4</v>
      </c>
      <c r="E222" s="1156" t="s">
        <v>5</v>
      </c>
      <c r="F222" s="1156" t="s">
        <v>6</v>
      </c>
      <c r="G222" s="1156" t="s">
        <v>7</v>
      </c>
      <c r="H222" s="1156" t="s">
        <v>8</v>
      </c>
      <c r="I222" s="1155" t="s">
        <v>83</v>
      </c>
      <c r="J222" s="1156" t="s">
        <v>315</v>
      </c>
      <c r="K222" s="1155" t="s">
        <v>40</v>
      </c>
      <c r="L222" s="1156"/>
      <c r="M222" s="1157"/>
      <c r="N222" s="1155" t="s">
        <v>505</v>
      </c>
      <c r="O222" s="1156"/>
      <c r="P222" s="1157"/>
      <c r="Q222" s="1155" t="s">
        <v>506</v>
      </c>
      <c r="R222" s="1156"/>
      <c r="S222" s="1157"/>
      <c r="T222" s="1155" t="s">
        <v>513</v>
      </c>
      <c r="U222" s="1156"/>
      <c r="V222" s="1157"/>
      <c r="W222" s="1155" t="s">
        <v>514</v>
      </c>
      <c r="X222" s="1156"/>
      <c r="Y222" s="1157"/>
      <c r="Z222" s="1155" t="s">
        <v>531</v>
      </c>
      <c r="AA222" s="1156"/>
      <c r="AB222" s="1157"/>
      <c r="AC222" s="1155" t="s">
        <v>533</v>
      </c>
      <c r="AD222" s="1156"/>
      <c r="AE222" s="1157"/>
      <c r="AF222" s="1155" t="s">
        <v>575</v>
      </c>
      <c r="AG222" s="1156"/>
      <c r="AH222" s="1157"/>
      <c r="AI222" s="1155" t="s">
        <v>576</v>
      </c>
      <c r="AJ222" s="1156"/>
      <c r="AK222" s="1157"/>
      <c r="AL222" s="1155" t="s">
        <v>583</v>
      </c>
      <c r="AM222" s="1156"/>
      <c r="AN222" s="1157"/>
      <c r="AO222" s="1155" t="s">
        <v>584</v>
      </c>
      <c r="AP222" s="1156"/>
      <c r="AQ222" s="1157"/>
      <c r="AR222" s="1155" t="s">
        <v>621</v>
      </c>
      <c r="AS222" s="1156"/>
      <c r="AT222" s="1157"/>
      <c r="AU222" s="1155" t="s">
        <v>622</v>
      </c>
      <c r="AV222" s="1156"/>
      <c r="AW222" s="1157"/>
      <c r="AX222" s="1155" t="s">
        <v>626</v>
      </c>
      <c r="AY222" s="1156"/>
      <c r="AZ222" s="1157"/>
      <c r="BA222" s="1155" t="s">
        <v>628</v>
      </c>
      <c r="BB222" s="1156"/>
      <c r="BC222" s="1157"/>
      <c r="BD222" s="1155" t="s">
        <v>650</v>
      </c>
      <c r="BE222" s="1156"/>
      <c r="BF222" s="1157"/>
      <c r="BG222" s="1155" t="s">
        <v>651</v>
      </c>
      <c r="BH222" s="1156"/>
      <c r="BI222" s="1157"/>
      <c r="BJ222" s="1155" t="s">
        <v>674</v>
      </c>
      <c r="BK222" s="1156"/>
      <c r="BL222" s="1157"/>
      <c r="BM222" s="1155" t="s">
        <v>675</v>
      </c>
      <c r="BN222" s="1156"/>
      <c r="BO222" s="1157"/>
      <c r="BP222" s="1155" t="s">
        <v>712</v>
      </c>
      <c r="BQ222" s="1156"/>
      <c r="BR222" s="1157"/>
      <c r="BS222" s="1155" t="s">
        <v>741</v>
      </c>
      <c r="BT222" s="1156"/>
      <c r="BU222" s="1157"/>
    </row>
    <row r="223" spans="1:73">
      <c r="A223" s="1157"/>
      <c r="B223" s="1157"/>
      <c r="C223" s="1156"/>
      <c r="D223" s="1156"/>
      <c r="E223" s="1156"/>
      <c r="F223" s="1156"/>
      <c r="G223" s="1156"/>
      <c r="H223" s="1156"/>
      <c r="I223" s="1155"/>
      <c r="J223" s="1156"/>
      <c r="K223" s="413" t="s">
        <v>445</v>
      </c>
      <c r="L223" s="294" t="s">
        <v>446</v>
      </c>
      <c r="M223" s="236" t="s">
        <v>10</v>
      </c>
      <c r="N223" s="413" t="s">
        <v>445</v>
      </c>
      <c r="O223" s="294" t="s">
        <v>446</v>
      </c>
      <c r="P223" s="250" t="s">
        <v>10</v>
      </c>
      <c r="Q223" s="413" t="s">
        <v>445</v>
      </c>
      <c r="R223" s="294" t="s">
        <v>446</v>
      </c>
      <c r="S223" s="250" t="s">
        <v>10</v>
      </c>
      <c r="T223" s="413" t="s">
        <v>445</v>
      </c>
      <c r="U223" s="294" t="s">
        <v>446</v>
      </c>
      <c r="V223" s="250" t="s">
        <v>10</v>
      </c>
      <c r="W223" s="413" t="s">
        <v>445</v>
      </c>
      <c r="X223" s="294" t="s">
        <v>446</v>
      </c>
      <c r="Y223" s="250" t="s">
        <v>10</v>
      </c>
      <c r="Z223" s="413" t="s">
        <v>445</v>
      </c>
      <c r="AA223" s="294" t="s">
        <v>446</v>
      </c>
      <c r="AB223" s="250" t="s">
        <v>10</v>
      </c>
      <c r="AC223" s="413" t="s">
        <v>445</v>
      </c>
      <c r="AD223" s="294" t="s">
        <v>446</v>
      </c>
      <c r="AE223" s="250" t="s">
        <v>10</v>
      </c>
      <c r="AF223" s="413" t="s">
        <v>577</v>
      </c>
      <c r="AG223" s="294" t="s">
        <v>578</v>
      </c>
      <c r="AH223" s="250" t="s">
        <v>10</v>
      </c>
      <c r="AI223" s="413" t="s">
        <v>577</v>
      </c>
      <c r="AJ223" s="294" t="s">
        <v>578</v>
      </c>
      <c r="AK223" s="250" t="s">
        <v>10</v>
      </c>
      <c r="AL223" s="413" t="s">
        <v>445</v>
      </c>
      <c r="AM223" s="294" t="s">
        <v>446</v>
      </c>
      <c r="AN223" s="250" t="s">
        <v>10</v>
      </c>
      <c r="AO223" s="685" t="s">
        <v>445</v>
      </c>
      <c r="AP223" s="680" t="s">
        <v>446</v>
      </c>
      <c r="AQ223" s="250" t="s">
        <v>10</v>
      </c>
      <c r="AR223" s="685" t="s">
        <v>445</v>
      </c>
      <c r="AS223" s="680" t="s">
        <v>446</v>
      </c>
      <c r="AT223" s="674" t="s">
        <v>10</v>
      </c>
      <c r="AU223" s="949" t="s">
        <v>445</v>
      </c>
      <c r="AV223" s="950" t="s">
        <v>446</v>
      </c>
      <c r="AW223" s="674" t="s">
        <v>10</v>
      </c>
      <c r="AX223" s="685" t="s">
        <v>445</v>
      </c>
      <c r="AY223" s="680" t="s">
        <v>446</v>
      </c>
      <c r="AZ223" s="674" t="s">
        <v>10</v>
      </c>
      <c r="BA223" s="685" t="s">
        <v>445</v>
      </c>
      <c r="BB223" s="680" t="s">
        <v>446</v>
      </c>
      <c r="BC223" s="674" t="s">
        <v>10</v>
      </c>
      <c r="BD223" s="685" t="s">
        <v>670</v>
      </c>
      <c r="BE223" s="680" t="s">
        <v>673</v>
      </c>
      <c r="BF223" s="674" t="s">
        <v>10</v>
      </c>
      <c r="BG223" s="685" t="s">
        <v>670</v>
      </c>
      <c r="BH223" s="680" t="s">
        <v>673</v>
      </c>
      <c r="BI223" s="674" t="s">
        <v>10</v>
      </c>
      <c r="BJ223" s="685" t="s">
        <v>698</v>
      </c>
      <c r="BK223" s="680" t="s">
        <v>699</v>
      </c>
      <c r="BL223" s="674" t="s">
        <v>10</v>
      </c>
      <c r="BM223" s="685" t="s">
        <v>698</v>
      </c>
      <c r="BN223" s="680" t="s">
        <v>699</v>
      </c>
      <c r="BO223" s="674" t="s">
        <v>10</v>
      </c>
      <c r="BP223" s="685" t="s">
        <v>445</v>
      </c>
      <c r="BQ223" s="680" t="s">
        <v>446</v>
      </c>
      <c r="BR223" s="674" t="s">
        <v>10</v>
      </c>
      <c r="BS223" s="685" t="s">
        <v>445</v>
      </c>
      <c r="BT223" s="680" t="s">
        <v>446</v>
      </c>
      <c r="BU223" s="674" t="s">
        <v>10</v>
      </c>
    </row>
    <row r="224" spans="1:73">
      <c r="A224" s="8"/>
      <c r="B224" s="85" t="s">
        <v>53</v>
      </c>
      <c r="C224" s="189">
        <v>11982</v>
      </c>
      <c r="D224" s="189">
        <v>16879</v>
      </c>
      <c r="E224" s="189">
        <v>19869</v>
      </c>
      <c r="F224" s="189">
        <v>16914</v>
      </c>
      <c r="G224" s="189">
        <v>13017</v>
      </c>
      <c r="H224" s="189">
        <v>13264</v>
      </c>
      <c r="I224" s="380">
        <v>12068</v>
      </c>
      <c r="J224" s="66">
        <v>11217</v>
      </c>
      <c r="K224" s="384">
        <v>1003</v>
      </c>
      <c r="L224" s="389">
        <v>756</v>
      </c>
      <c r="M224" s="232">
        <f t="shared" ref="M224:M238" si="453">ROUND(((L224/K224-1)*100), 1)</f>
        <v>-24.6</v>
      </c>
      <c r="N224" s="384">
        <f t="shared" ref="N224:N248" si="454">Q224-K224</f>
        <v>1094</v>
      </c>
      <c r="O224" s="389">
        <f t="shared" ref="O224:O248" si="455">R224-L224</f>
        <v>711</v>
      </c>
      <c r="P224" s="242">
        <f t="shared" ref="P224:P238" si="456">ROUND(((O224/N224-1)*100), 1)</f>
        <v>-35</v>
      </c>
      <c r="Q224" s="384">
        <v>2097</v>
      </c>
      <c r="R224" s="389">
        <v>1467</v>
      </c>
      <c r="S224" s="242">
        <f t="shared" ref="S224:S238" si="457">ROUND(((R224/Q224-1)*100), 1)</f>
        <v>-30</v>
      </c>
      <c r="T224" s="384">
        <f t="shared" ref="T224:T248" si="458">W224-Q224</f>
        <v>1140</v>
      </c>
      <c r="U224" s="389">
        <f t="shared" ref="U224:U248" si="459">X224-R224</f>
        <v>996</v>
      </c>
      <c r="V224" s="242">
        <f t="shared" ref="V224:V238" si="460">ROUND(((U224/T224-1)*100), 1)</f>
        <v>-12.6</v>
      </c>
      <c r="W224" s="384">
        <v>3237</v>
      </c>
      <c r="X224" s="389">
        <v>2463</v>
      </c>
      <c r="Y224" s="242">
        <f t="shared" ref="Y224:Y238" si="461">ROUND(((X224/W224-1)*100), 1)</f>
        <v>-23.9</v>
      </c>
      <c r="Z224" s="528">
        <f t="shared" ref="Z224:Z248" si="462">AC224-W224</f>
        <v>1011</v>
      </c>
      <c r="AA224" s="389">
        <f t="shared" ref="AA224:AA248" si="463">AD224-X224</f>
        <v>938</v>
      </c>
      <c r="AB224" s="242">
        <f t="shared" ref="AB224:AB238" si="464">ROUND(((AA224/Z224-1)*100), 1)</f>
        <v>-7.2</v>
      </c>
      <c r="AC224" s="528">
        <v>4248</v>
      </c>
      <c r="AD224" s="389">
        <v>3401</v>
      </c>
      <c r="AE224" s="242">
        <f t="shared" ref="AE224:AE238" si="465">ROUND(((AD224/AC224-1)*100), 1)</f>
        <v>-19.899999999999999</v>
      </c>
      <c r="AF224" s="528">
        <f t="shared" ref="AF224:AG248" si="466">AI224-AC224</f>
        <v>1096</v>
      </c>
      <c r="AG224" s="389">
        <f t="shared" si="466"/>
        <v>843</v>
      </c>
      <c r="AH224" s="242">
        <f t="shared" ref="AH224:AH238" si="467">ROUND(((AG224/AF224-1)*100), 1)</f>
        <v>-23.1</v>
      </c>
      <c r="AI224" s="528">
        <v>5344</v>
      </c>
      <c r="AJ224" s="389">
        <v>4244</v>
      </c>
      <c r="AK224" s="242">
        <f t="shared" ref="AK224:AK238" si="468">ROUND(((AJ224/AI224-1)*100), 1)</f>
        <v>-20.6</v>
      </c>
      <c r="AL224" s="528">
        <f t="shared" ref="AL224:AL247" si="469">AO224-AI224</f>
        <v>977</v>
      </c>
      <c r="AM224" s="389">
        <f t="shared" ref="AM224:AM247" si="470">AP224-AJ224</f>
        <v>842</v>
      </c>
      <c r="AN224" s="242">
        <f t="shared" ref="AN224:AN237" si="471">ROUND(((AM224/AL224-1)*100), 1)</f>
        <v>-13.8</v>
      </c>
      <c r="AO224" s="818">
        <v>6321</v>
      </c>
      <c r="AP224" s="812">
        <v>5086</v>
      </c>
      <c r="AQ224" s="242">
        <f t="shared" ref="AQ224:AQ238" si="472">ROUND(((AP224/AO224-1)*100), 1)</f>
        <v>-19.5</v>
      </c>
      <c r="AR224" s="818">
        <f t="shared" ref="AR224:AS248" si="473">AU224-AO224</f>
        <v>1086</v>
      </c>
      <c r="AS224" s="812">
        <f t="shared" si="473"/>
        <v>1126</v>
      </c>
      <c r="AT224" s="753">
        <f t="shared" ref="AT224:AT247" si="474">ROUND(((AS224/AR224-1)*100), 1)</f>
        <v>3.7</v>
      </c>
      <c r="AU224" s="973">
        <v>7407</v>
      </c>
      <c r="AV224" s="974">
        <v>6212</v>
      </c>
      <c r="AW224" s="753">
        <f t="shared" ref="AW224:AW238" si="475">ROUND(((AV224/AU224-1)*100), 1)</f>
        <v>-16.100000000000001</v>
      </c>
      <c r="AX224" s="818">
        <f t="shared" ref="AX224:AX248" si="476">BA224-AU224</f>
        <v>730</v>
      </c>
      <c r="AY224" s="812">
        <f t="shared" ref="AY224:AY248" si="477">BB224-AV224</f>
        <v>623</v>
      </c>
      <c r="AZ224" s="753">
        <f t="shared" ref="AZ224:AZ248" si="478">ROUND(((AY224/AX224-1)*100), 1)</f>
        <v>-14.7</v>
      </c>
      <c r="BA224" s="818">
        <v>8137</v>
      </c>
      <c r="BB224" s="812">
        <v>6835</v>
      </c>
      <c r="BC224" s="753">
        <f t="shared" ref="BC224:BC238" si="479">ROUND(((BB224/BA224-1)*100), 1)</f>
        <v>-16</v>
      </c>
      <c r="BD224" s="818">
        <f t="shared" ref="BD224:BE248" si="480">BG224-BA224</f>
        <v>891</v>
      </c>
      <c r="BE224" s="812">
        <f t="shared" si="480"/>
        <v>1398</v>
      </c>
      <c r="BF224" s="753">
        <f t="shared" ref="BF224:BF246" si="481">ROUND(((BE224/BD224-1)*100), 1)</f>
        <v>56.9</v>
      </c>
      <c r="BG224" s="818">
        <v>9028</v>
      </c>
      <c r="BH224" s="812">
        <v>8233</v>
      </c>
      <c r="BI224" s="753">
        <f t="shared" ref="BI224:BI238" si="482">ROUND(((BH224/BG224-1)*100), 1)</f>
        <v>-8.8000000000000007</v>
      </c>
      <c r="BJ224" s="818">
        <f t="shared" ref="BJ224:BK248" si="483">BM224-BG224</f>
        <v>919</v>
      </c>
      <c r="BK224" s="812">
        <f t="shared" si="483"/>
        <v>1220</v>
      </c>
      <c r="BL224" s="753">
        <f t="shared" ref="BL224:BL246" si="484">ROUND(((BK224/BJ224-1)*100), 1)</f>
        <v>32.799999999999997</v>
      </c>
      <c r="BM224" s="818">
        <v>9947</v>
      </c>
      <c r="BN224" s="812">
        <v>9453</v>
      </c>
      <c r="BO224" s="753">
        <f t="shared" ref="BO224:BO238" si="485">ROUND(((BN224/BM224-1)*100), 1)</f>
        <v>-5</v>
      </c>
      <c r="BP224" s="818">
        <f t="shared" ref="BP224:BQ248" si="486">BS224-BM224</f>
        <v>656</v>
      </c>
      <c r="BQ224" s="812">
        <f t="shared" si="486"/>
        <v>1361</v>
      </c>
      <c r="BR224" s="753">
        <f t="shared" ref="BR224:BR246" si="487">ROUND(((BQ224/BP224-1)*100), 1)</f>
        <v>107.5</v>
      </c>
      <c r="BS224" s="818">
        <v>10603</v>
      </c>
      <c r="BT224" s="812">
        <v>10814</v>
      </c>
      <c r="BU224" s="753">
        <f t="shared" ref="BU224:BU238" si="488">ROUND(((BT224/BS224-1)*100), 1)</f>
        <v>2</v>
      </c>
    </row>
    <row r="225" spans="1:73">
      <c r="A225" s="4" t="s">
        <v>121</v>
      </c>
      <c r="B225" s="43" t="s">
        <v>61</v>
      </c>
      <c r="C225" s="188">
        <v>3134</v>
      </c>
      <c r="D225" s="188">
        <v>3697</v>
      </c>
      <c r="E225" s="188">
        <v>5842</v>
      </c>
      <c r="F225" s="188">
        <v>7618</v>
      </c>
      <c r="G225" s="188">
        <v>6399</v>
      </c>
      <c r="H225" s="188">
        <v>6695</v>
      </c>
      <c r="I225" s="362">
        <v>5514</v>
      </c>
      <c r="J225" s="44">
        <v>5895</v>
      </c>
      <c r="K225" s="383">
        <v>578</v>
      </c>
      <c r="L225" s="390">
        <v>324</v>
      </c>
      <c r="M225" s="232">
        <f t="shared" si="453"/>
        <v>-43.9</v>
      </c>
      <c r="N225" s="383">
        <f t="shared" si="454"/>
        <v>330</v>
      </c>
      <c r="O225" s="390">
        <f t="shared" si="455"/>
        <v>248</v>
      </c>
      <c r="P225" s="242">
        <f t="shared" si="456"/>
        <v>-24.8</v>
      </c>
      <c r="Q225" s="383">
        <v>908</v>
      </c>
      <c r="R225" s="390">
        <v>572</v>
      </c>
      <c r="S225" s="242">
        <f t="shared" si="457"/>
        <v>-37</v>
      </c>
      <c r="T225" s="383">
        <f t="shared" si="458"/>
        <v>438</v>
      </c>
      <c r="U225" s="390">
        <f t="shared" si="459"/>
        <v>485</v>
      </c>
      <c r="V225" s="242">
        <f t="shared" si="460"/>
        <v>10.7</v>
      </c>
      <c r="W225" s="383">
        <v>1346</v>
      </c>
      <c r="X225" s="390">
        <v>1057</v>
      </c>
      <c r="Y225" s="242">
        <f t="shared" si="461"/>
        <v>-21.5</v>
      </c>
      <c r="Z225" s="527">
        <f t="shared" si="462"/>
        <v>474</v>
      </c>
      <c r="AA225" s="390">
        <f t="shared" si="463"/>
        <v>362</v>
      </c>
      <c r="AB225" s="242">
        <f t="shared" si="464"/>
        <v>-23.6</v>
      </c>
      <c r="AC225" s="527">
        <v>1820</v>
      </c>
      <c r="AD225" s="390">
        <v>1419</v>
      </c>
      <c r="AE225" s="242">
        <f t="shared" si="465"/>
        <v>-22</v>
      </c>
      <c r="AF225" s="527">
        <f t="shared" si="466"/>
        <v>550</v>
      </c>
      <c r="AG225" s="390">
        <f t="shared" si="466"/>
        <v>322</v>
      </c>
      <c r="AH225" s="242">
        <f t="shared" si="467"/>
        <v>-41.5</v>
      </c>
      <c r="AI225" s="527">
        <v>2370</v>
      </c>
      <c r="AJ225" s="390">
        <v>1741</v>
      </c>
      <c r="AK225" s="242">
        <f t="shared" si="468"/>
        <v>-26.5</v>
      </c>
      <c r="AL225" s="527">
        <f t="shared" si="469"/>
        <v>544</v>
      </c>
      <c r="AM225" s="390">
        <f t="shared" si="470"/>
        <v>355</v>
      </c>
      <c r="AN225" s="242">
        <f t="shared" si="471"/>
        <v>-34.700000000000003</v>
      </c>
      <c r="AO225" s="817">
        <v>2914</v>
      </c>
      <c r="AP225" s="819">
        <v>2096</v>
      </c>
      <c r="AQ225" s="242">
        <f t="shared" si="472"/>
        <v>-28.1</v>
      </c>
      <c r="AR225" s="817">
        <f t="shared" si="473"/>
        <v>495</v>
      </c>
      <c r="AS225" s="819">
        <f t="shared" si="473"/>
        <v>436</v>
      </c>
      <c r="AT225" s="753">
        <f t="shared" si="474"/>
        <v>-11.9</v>
      </c>
      <c r="AU225" s="969">
        <v>3409</v>
      </c>
      <c r="AV225" s="970">
        <v>2532</v>
      </c>
      <c r="AW225" s="753">
        <f t="shared" si="475"/>
        <v>-25.7</v>
      </c>
      <c r="AX225" s="817">
        <f t="shared" si="476"/>
        <v>351</v>
      </c>
      <c r="AY225" s="819">
        <f t="shared" si="477"/>
        <v>279</v>
      </c>
      <c r="AZ225" s="753">
        <f t="shared" si="478"/>
        <v>-20.5</v>
      </c>
      <c r="BA225" s="817">
        <v>3760</v>
      </c>
      <c r="BB225" s="819">
        <v>2811</v>
      </c>
      <c r="BC225" s="753">
        <f t="shared" si="479"/>
        <v>-25.2</v>
      </c>
      <c r="BD225" s="817">
        <f t="shared" si="480"/>
        <v>671</v>
      </c>
      <c r="BE225" s="819">
        <f t="shared" si="480"/>
        <v>283</v>
      </c>
      <c r="BF225" s="753">
        <f t="shared" si="481"/>
        <v>-57.8</v>
      </c>
      <c r="BG225" s="817">
        <v>4431</v>
      </c>
      <c r="BH225" s="819">
        <v>3094</v>
      </c>
      <c r="BI225" s="753">
        <f t="shared" si="482"/>
        <v>-30.2</v>
      </c>
      <c r="BJ225" s="817">
        <f t="shared" si="483"/>
        <v>488</v>
      </c>
      <c r="BK225" s="819">
        <f t="shared" si="483"/>
        <v>514</v>
      </c>
      <c r="BL225" s="753">
        <f t="shared" si="484"/>
        <v>5.3</v>
      </c>
      <c r="BM225" s="817">
        <v>4919</v>
      </c>
      <c r="BN225" s="819">
        <v>3608</v>
      </c>
      <c r="BO225" s="753">
        <f t="shared" si="485"/>
        <v>-26.7</v>
      </c>
      <c r="BP225" s="817">
        <f t="shared" si="486"/>
        <v>306</v>
      </c>
      <c r="BQ225" s="819">
        <f t="shared" si="486"/>
        <v>298</v>
      </c>
      <c r="BR225" s="753">
        <f t="shared" si="487"/>
        <v>-2.6</v>
      </c>
      <c r="BS225" s="817">
        <v>5225</v>
      </c>
      <c r="BT225" s="819">
        <v>3906</v>
      </c>
      <c r="BU225" s="753">
        <f t="shared" si="488"/>
        <v>-25.2</v>
      </c>
    </row>
    <row r="226" spans="1:73">
      <c r="A226" s="4"/>
      <c r="B226" s="43" t="s">
        <v>50</v>
      </c>
      <c r="C226" s="188">
        <v>5193</v>
      </c>
      <c r="D226" s="188">
        <v>4143</v>
      </c>
      <c r="E226" s="188">
        <v>4175</v>
      </c>
      <c r="F226" s="188">
        <v>3419</v>
      </c>
      <c r="G226" s="188">
        <v>3201</v>
      </c>
      <c r="H226" s="188">
        <v>2734</v>
      </c>
      <c r="I226" s="362">
        <v>3583</v>
      </c>
      <c r="J226" s="44">
        <v>2906</v>
      </c>
      <c r="K226" s="383">
        <v>247</v>
      </c>
      <c r="L226" s="390">
        <v>128</v>
      </c>
      <c r="M226" s="232">
        <f t="shared" si="453"/>
        <v>-48.2</v>
      </c>
      <c r="N226" s="383">
        <f t="shared" si="454"/>
        <v>233</v>
      </c>
      <c r="O226" s="390">
        <f t="shared" si="455"/>
        <v>245</v>
      </c>
      <c r="P226" s="242">
        <f t="shared" si="456"/>
        <v>5.2</v>
      </c>
      <c r="Q226" s="383">
        <v>480</v>
      </c>
      <c r="R226" s="390">
        <v>373</v>
      </c>
      <c r="S226" s="242">
        <f t="shared" si="457"/>
        <v>-22.3</v>
      </c>
      <c r="T226" s="383">
        <f t="shared" si="458"/>
        <v>243</v>
      </c>
      <c r="U226" s="390">
        <f t="shared" si="459"/>
        <v>142</v>
      </c>
      <c r="V226" s="242">
        <f t="shared" si="460"/>
        <v>-41.6</v>
      </c>
      <c r="W226" s="383">
        <v>723</v>
      </c>
      <c r="X226" s="390">
        <v>515</v>
      </c>
      <c r="Y226" s="242">
        <f t="shared" si="461"/>
        <v>-28.8</v>
      </c>
      <c r="Z226" s="527">
        <f t="shared" si="462"/>
        <v>279</v>
      </c>
      <c r="AA226" s="390">
        <f t="shared" si="463"/>
        <v>196</v>
      </c>
      <c r="AB226" s="242">
        <f t="shared" si="464"/>
        <v>-29.7</v>
      </c>
      <c r="AC226" s="527">
        <v>1002</v>
      </c>
      <c r="AD226" s="390">
        <v>711</v>
      </c>
      <c r="AE226" s="242">
        <f t="shared" si="465"/>
        <v>-29</v>
      </c>
      <c r="AF226" s="527">
        <f t="shared" si="466"/>
        <v>301</v>
      </c>
      <c r="AG226" s="390">
        <f t="shared" si="466"/>
        <v>161</v>
      </c>
      <c r="AH226" s="242">
        <f t="shared" si="467"/>
        <v>-46.5</v>
      </c>
      <c r="AI226" s="527">
        <v>1303</v>
      </c>
      <c r="AJ226" s="390">
        <v>872</v>
      </c>
      <c r="AK226" s="242">
        <f t="shared" si="468"/>
        <v>-33.1</v>
      </c>
      <c r="AL226" s="527">
        <f t="shared" si="469"/>
        <v>322</v>
      </c>
      <c r="AM226" s="390">
        <f t="shared" si="470"/>
        <v>117</v>
      </c>
      <c r="AN226" s="242">
        <f t="shared" si="471"/>
        <v>-63.7</v>
      </c>
      <c r="AO226" s="817">
        <v>1625</v>
      </c>
      <c r="AP226" s="819">
        <v>989</v>
      </c>
      <c r="AQ226" s="242">
        <f t="shared" si="472"/>
        <v>-39.1</v>
      </c>
      <c r="AR226" s="817">
        <f t="shared" si="473"/>
        <v>174</v>
      </c>
      <c r="AS226" s="819">
        <f t="shared" si="473"/>
        <v>154</v>
      </c>
      <c r="AT226" s="753">
        <f t="shared" si="474"/>
        <v>-11.5</v>
      </c>
      <c r="AU226" s="969">
        <v>1799</v>
      </c>
      <c r="AV226" s="970">
        <v>1143</v>
      </c>
      <c r="AW226" s="753">
        <f t="shared" si="475"/>
        <v>-36.5</v>
      </c>
      <c r="AX226" s="817">
        <f t="shared" si="476"/>
        <v>200</v>
      </c>
      <c r="AY226" s="819">
        <f t="shared" si="477"/>
        <v>111</v>
      </c>
      <c r="AZ226" s="753">
        <f t="shared" si="478"/>
        <v>-44.5</v>
      </c>
      <c r="BA226" s="817">
        <v>1999</v>
      </c>
      <c r="BB226" s="819">
        <v>1254</v>
      </c>
      <c r="BC226" s="753">
        <f t="shared" si="479"/>
        <v>-37.299999999999997</v>
      </c>
      <c r="BD226" s="817">
        <f t="shared" si="480"/>
        <v>173</v>
      </c>
      <c r="BE226" s="819">
        <f t="shared" si="480"/>
        <v>161</v>
      </c>
      <c r="BF226" s="753">
        <f t="shared" si="481"/>
        <v>-6.9</v>
      </c>
      <c r="BG226" s="817">
        <v>2172</v>
      </c>
      <c r="BH226" s="819">
        <v>1415</v>
      </c>
      <c r="BI226" s="753">
        <f t="shared" si="482"/>
        <v>-34.9</v>
      </c>
      <c r="BJ226" s="817">
        <f t="shared" si="483"/>
        <v>322</v>
      </c>
      <c r="BK226" s="819">
        <f t="shared" si="483"/>
        <v>142</v>
      </c>
      <c r="BL226" s="753">
        <f t="shared" si="484"/>
        <v>-55.9</v>
      </c>
      <c r="BM226" s="817">
        <v>2494</v>
      </c>
      <c r="BN226" s="819">
        <v>1557</v>
      </c>
      <c r="BO226" s="753">
        <f t="shared" si="485"/>
        <v>-37.6</v>
      </c>
      <c r="BP226" s="817">
        <f t="shared" si="486"/>
        <v>207</v>
      </c>
      <c r="BQ226" s="819">
        <f t="shared" si="486"/>
        <v>52</v>
      </c>
      <c r="BR226" s="753">
        <f t="shared" si="487"/>
        <v>-74.900000000000006</v>
      </c>
      <c r="BS226" s="817">
        <v>2701</v>
      </c>
      <c r="BT226" s="819">
        <v>1609</v>
      </c>
      <c r="BU226" s="753">
        <f t="shared" si="488"/>
        <v>-40.4</v>
      </c>
    </row>
    <row r="227" spans="1:73">
      <c r="A227" s="4"/>
      <c r="B227" s="43" t="s">
        <v>431</v>
      </c>
      <c r="C227" s="188">
        <v>1953</v>
      </c>
      <c r="D227" s="188">
        <v>2589</v>
      </c>
      <c r="E227" s="188">
        <v>3174</v>
      </c>
      <c r="F227" s="188">
        <v>3417</v>
      </c>
      <c r="G227" s="188">
        <v>2801</v>
      </c>
      <c r="H227" s="188">
        <v>2080</v>
      </c>
      <c r="I227" s="362">
        <v>2312</v>
      </c>
      <c r="J227" s="44">
        <v>2549</v>
      </c>
      <c r="K227" s="383">
        <v>273</v>
      </c>
      <c r="L227" s="390">
        <v>262</v>
      </c>
      <c r="M227" s="232">
        <f t="shared" si="453"/>
        <v>-4</v>
      </c>
      <c r="N227" s="383">
        <f t="shared" si="454"/>
        <v>185</v>
      </c>
      <c r="O227" s="390">
        <f t="shared" si="455"/>
        <v>191</v>
      </c>
      <c r="P227" s="242">
        <f t="shared" si="456"/>
        <v>3.2</v>
      </c>
      <c r="Q227" s="383">
        <v>458</v>
      </c>
      <c r="R227" s="390">
        <v>453</v>
      </c>
      <c r="S227" s="242">
        <f t="shared" si="457"/>
        <v>-1.1000000000000001</v>
      </c>
      <c r="T227" s="383">
        <f t="shared" si="458"/>
        <v>215</v>
      </c>
      <c r="U227" s="390">
        <f t="shared" si="459"/>
        <v>206</v>
      </c>
      <c r="V227" s="242">
        <f t="shared" si="460"/>
        <v>-4.2</v>
      </c>
      <c r="W227" s="383">
        <v>673</v>
      </c>
      <c r="X227" s="390">
        <v>659</v>
      </c>
      <c r="Y227" s="242">
        <f t="shared" si="461"/>
        <v>-2.1</v>
      </c>
      <c r="Z227" s="527">
        <f t="shared" si="462"/>
        <v>246</v>
      </c>
      <c r="AA227" s="390">
        <f t="shared" si="463"/>
        <v>286</v>
      </c>
      <c r="AB227" s="242">
        <f t="shared" si="464"/>
        <v>16.3</v>
      </c>
      <c r="AC227" s="527">
        <v>919</v>
      </c>
      <c r="AD227" s="390">
        <v>945</v>
      </c>
      <c r="AE227" s="242">
        <f t="shared" si="465"/>
        <v>2.8</v>
      </c>
      <c r="AF227" s="527">
        <f t="shared" si="466"/>
        <v>255</v>
      </c>
      <c r="AG227" s="390">
        <f t="shared" si="466"/>
        <v>134</v>
      </c>
      <c r="AH227" s="242">
        <f t="shared" si="467"/>
        <v>-47.5</v>
      </c>
      <c r="AI227" s="527">
        <v>1174</v>
      </c>
      <c r="AJ227" s="390">
        <v>1079</v>
      </c>
      <c r="AK227" s="242">
        <f t="shared" si="468"/>
        <v>-8.1</v>
      </c>
      <c r="AL227" s="527">
        <f t="shared" si="469"/>
        <v>263</v>
      </c>
      <c r="AM227" s="390">
        <f t="shared" si="470"/>
        <v>104</v>
      </c>
      <c r="AN227" s="242">
        <f t="shared" si="471"/>
        <v>-60.5</v>
      </c>
      <c r="AO227" s="817">
        <v>1437</v>
      </c>
      <c r="AP227" s="819">
        <v>1183</v>
      </c>
      <c r="AQ227" s="242">
        <f t="shared" si="472"/>
        <v>-17.7</v>
      </c>
      <c r="AR227" s="817">
        <f t="shared" si="473"/>
        <v>261</v>
      </c>
      <c r="AS227" s="819">
        <f t="shared" si="473"/>
        <v>362</v>
      </c>
      <c r="AT227" s="753">
        <f t="shared" si="474"/>
        <v>38.700000000000003</v>
      </c>
      <c r="AU227" s="969">
        <v>1698</v>
      </c>
      <c r="AV227" s="970">
        <v>1545</v>
      </c>
      <c r="AW227" s="753">
        <f t="shared" si="475"/>
        <v>-9</v>
      </c>
      <c r="AX227" s="817">
        <f t="shared" si="476"/>
        <v>171</v>
      </c>
      <c r="AY227" s="819">
        <f t="shared" si="477"/>
        <v>151</v>
      </c>
      <c r="AZ227" s="753">
        <f t="shared" si="478"/>
        <v>-11.7</v>
      </c>
      <c r="BA227" s="817">
        <v>1869</v>
      </c>
      <c r="BB227" s="819">
        <v>1696</v>
      </c>
      <c r="BC227" s="753">
        <f t="shared" si="479"/>
        <v>-9.3000000000000007</v>
      </c>
      <c r="BD227" s="817">
        <f t="shared" si="480"/>
        <v>142</v>
      </c>
      <c r="BE227" s="819">
        <f t="shared" si="480"/>
        <v>277</v>
      </c>
      <c r="BF227" s="753">
        <f t="shared" si="481"/>
        <v>95.1</v>
      </c>
      <c r="BG227" s="817">
        <v>2011</v>
      </c>
      <c r="BH227" s="819">
        <v>1973</v>
      </c>
      <c r="BI227" s="753">
        <f t="shared" si="482"/>
        <v>-1.9</v>
      </c>
      <c r="BJ227" s="817">
        <f t="shared" si="483"/>
        <v>166</v>
      </c>
      <c r="BK227" s="819">
        <f t="shared" si="483"/>
        <v>186</v>
      </c>
      <c r="BL227" s="753">
        <f t="shared" si="484"/>
        <v>12</v>
      </c>
      <c r="BM227" s="817">
        <v>2177</v>
      </c>
      <c r="BN227" s="819">
        <v>2159</v>
      </c>
      <c r="BO227" s="753">
        <f t="shared" si="485"/>
        <v>-0.8</v>
      </c>
      <c r="BP227" s="817">
        <f t="shared" si="486"/>
        <v>138</v>
      </c>
      <c r="BQ227" s="819">
        <f t="shared" si="486"/>
        <v>218</v>
      </c>
      <c r="BR227" s="753">
        <f t="shared" si="487"/>
        <v>58</v>
      </c>
      <c r="BS227" s="817">
        <v>2315</v>
      </c>
      <c r="BT227" s="819">
        <v>2377</v>
      </c>
      <c r="BU227" s="753">
        <f t="shared" si="488"/>
        <v>2.7</v>
      </c>
    </row>
    <row r="228" spans="1:73">
      <c r="A228" s="4"/>
      <c r="B228" s="43" t="s">
        <v>64</v>
      </c>
      <c r="C228" s="188">
        <v>1114</v>
      </c>
      <c r="D228" s="188">
        <v>1574</v>
      </c>
      <c r="E228" s="188">
        <v>3785</v>
      </c>
      <c r="F228" s="188">
        <v>2682</v>
      </c>
      <c r="G228" s="188">
        <v>1931</v>
      </c>
      <c r="H228" s="188">
        <v>1800</v>
      </c>
      <c r="I228" s="362">
        <v>1964</v>
      </c>
      <c r="J228" s="44">
        <v>2194</v>
      </c>
      <c r="K228" s="383">
        <v>177</v>
      </c>
      <c r="L228" s="390">
        <v>105</v>
      </c>
      <c r="M228" s="232">
        <f t="shared" si="453"/>
        <v>-40.700000000000003</v>
      </c>
      <c r="N228" s="383">
        <f t="shared" si="454"/>
        <v>167</v>
      </c>
      <c r="O228" s="390">
        <f t="shared" si="455"/>
        <v>185</v>
      </c>
      <c r="P228" s="242">
        <f t="shared" si="456"/>
        <v>10.8</v>
      </c>
      <c r="Q228" s="383">
        <v>344</v>
      </c>
      <c r="R228" s="390">
        <v>290</v>
      </c>
      <c r="S228" s="242">
        <f t="shared" si="457"/>
        <v>-15.7</v>
      </c>
      <c r="T228" s="383">
        <f t="shared" si="458"/>
        <v>223</v>
      </c>
      <c r="U228" s="390">
        <f t="shared" si="459"/>
        <v>279</v>
      </c>
      <c r="V228" s="242">
        <f t="shared" si="460"/>
        <v>25.1</v>
      </c>
      <c r="W228" s="383">
        <v>567</v>
      </c>
      <c r="X228" s="390">
        <v>569</v>
      </c>
      <c r="Y228" s="242">
        <f t="shared" si="461"/>
        <v>0.4</v>
      </c>
      <c r="Z228" s="527">
        <f t="shared" si="462"/>
        <v>198</v>
      </c>
      <c r="AA228" s="390">
        <f t="shared" si="463"/>
        <v>252</v>
      </c>
      <c r="AB228" s="242">
        <f t="shared" si="464"/>
        <v>27.3</v>
      </c>
      <c r="AC228" s="527">
        <v>765</v>
      </c>
      <c r="AD228" s="390">
        <v>821</v>
      </c>
      <c r="AE228" s="242">
        <f t="shared" si="465"/>
        <v>7.3</v>
      </c>
      <c r="AF228" s="527">
        <f t="shared" si="466"/>
        <v>216</v>
      </c>
      <c r="AG228" s="390">
        <f t="shared" si="466"/>
        <v>132</v>
      </c>
      <c r="AH228" s="242">
        <f t="shared" si="467"/>
        <v>-38.9</v>
      </c>
      <c r="AI228" s="527">
        <v>981</v>
      </c>
      <c r="AJ228" s="390">
        <v>953</v>
      </c>
      <c r="AK228" s="242">
        <f t="shared" si="468"/>
        <v>-2.9</v>
      </c>
      <c r="AL228" s="527">
        <f t="shared" si="469"/>
        <v>128</v>
      </c>
      <c r="AM228" s="390">
        <f t="shared" si="470"/>
        <v>156</v>
      </c>
      <c r="AN228" s="242">
        <f t="shared" si="471"/>
        <v>21.9</v>
      </c>
      <c r="AO228" s="817">
        <v>1109</v>
      </c>
      <c r="AP228" s="819">
        <v>1109</v>
      </c>
      <c r="AQ228" s="242">
        <f t="shared" si="472"/>
        <v>0</v>
      </c>
      <c r="AR228" s="817">
        <f t="shared" si="473"/>
        <v>150</v>
      </c>
      <c r="AS228" s="819">
        <f t="shared" si="473"/>
        <v>140</v>
      </c>
      <c r="AT228" s="753">
        <f t="shared" si="474"/>
        <v>-6.7</v>
      </c>
      <c r="AU228" s="969">
        <v>1259</v>
      </c>
      <c r="AV228" s="970">
        <v>1249</v>
      </c>
      <c r="AW228" s="753">
        <f t="shared" si="475"/>
        <v>-0.8</v>
      </c>
      <c r="AX228" s="817">
        <f t="shared" si="476"/>
        <v>210</v>
      </c>
      <c r="AY228" s="819">
        <f t="shared" si="477"/>
        <v>11</v>
      </c>
      <c r="AZ228" s="753">
        <f t="shared" si="478"/>
        <v>-94.8</v>
      </c>
      <c r="BA228" s="817">
        <v>1469</v>
      </c>
      <c r="BB228" s="819">
        <v>1260</v>
      </c>
      <c r="BC228" s="753">
        <f t="shared" si="479"/>
        <v>-14.2</v>
      </c>
      <c r="BD228" s="817">
        <f t="shared" si="480"/>
        <v>166</v>
      </c>
      <c r="BE228" s="819">
        <f t="shared" si="480"/>
        <v>161</v>
      </c>
      <c r="BF228" s="753">
        <f t="shared" si="481"/>
        <v>-3</v>
      </c>
      <c r="BG228" s="817">
        <v>1635</v>
      </c>
      <c r="BH228" s="819">
        <v>1421</v>
      </c>
      <c r="BI228" s="753">
        <f t="shared" si="482"/>
        <v>-13.1</v>
      </c>
      <c r="BJ228" s="817">
        <f t="shared" si="483"/>
        <v>238</v>
      </c>
      <c r="BK228" s="819">
        <f t="shared" si="483"/>
        <v>155</v>
      </c>
      <c r="BL228" s="753">
        <f t="shared" si="484"/>
        <v>-34.9</v>
      </c>
      <c r="BM228" s="817">
        <v>1873</v>
      </c>
      <c r="BN228" s="819">
        <v>1576</v>
      </c>
      <c r="BO228" s="753">
        <f t="shared" si="485"/>
        <v>-15.9</v>
      </c>
      <c r="BP228" s="817">
        <f t="shared" si="486"/>
        <v>180</v>
      </c>
      <c r="BQ228" s="819">
        <f t="shared" si="486"/>
        <v>234</v>
      </c>
      <c r="BR228" s="753">
        <f t="shared" si="487"/>
        <v>30</v>
      </c>
      <c r="BS228" s="817">
        <v>2053</v>
      </c>
      <c r="BT228" s="819">
        <v>1810</v>
      </c>
      <c r="BU228" s="753">
        <f t="shared" si="488"/>
        <v>-11.8</v>
      </c>
    </row>
    <row r="229" spans="1:73">
      <c r="A229" s="4"/>
      <c r="B229" s="43" t="s">
        <v>55</v>
      </c>
      <c r="C229" s="188">
        <v>5491</v>
      </c>
      <c r="D229" s="188">
        <v>4687</v>
      </c>
      <c r="E229" s="188">
        <v>3052</v>
      </c>
      <c r="F229" s="188">
        <v>2753</v>
      </c>
      <c r="G229" s="188">
        <v>2867</v>
      </c>
      <c r="H229" s="188">
        <v>3329</v>
      </c>
      <c r="I229" s="362">
        <v>1959</v>
      </c>
      <c r="J229" s="44">
        <v>1880</v>
      </c>
      <c r="K229" s="383">
        <v>143</v>
      </c>
      <c r="L229" s="390">
        <v>256</v>
      </c>
      <c r="M229" s="232">
        <f t="shared" si="453"/>
        <v>79</v>
      </c>
      <c r="N229" s="383">
        <f t="shared" si="454"/>
        <v>112</v>
      </c>
      <c r="O229" s="390">
        <f t="shared" si="455"/>
        <v>236</v>
      </c>
      <c r="P229" s="242">
        <f t="shared" si="456"/>
        <v>110.7</v>
      </c>
      <c r="Q229" s="383">
        <v>255</v>
      </c>
      <c r="R229" s="390">
        <v>492</v>
      </c>
      <c r="S229" s="242">
        <f t="shared" si="457"/>
        <v>92.9</v>
      </c>
      <c r="T229" s="383">
        <f t="shared" si="458"/>
        <v>42</v>
      </c>
      <c r="U229" s="390">
        <f t="shared" si="459"/>
        <v>155</v>
      </c>
      <c r="V229" s="242">
        <f t="shared" si="460"/>
        <v>269</v>
      </c>
      <c r="W229" s="383">
        <v>297</v>
      </c>
      <c r="X229" s="390">
        <v>647</v>
      </c>
      <c r="Y229" s="242">
        <f t="shared" si="461"/>
        <v>117.8</v>
      </c>
      <c r="Z229" s="527">
        <f t="shared" si="462"/>
        <v>158</v>
      </c>
      <c r="AA229" s="390">
        <f t="shared" si="463"/>
        <v>180</v>
      </c>
      <c r="AB229" s="242">
        <f t="shared" si="464"/>
        <v>13.9</v>
      </c>
      <c r="AC229" s="527">
        <v>455</v>
      </c>
      <c r="AD229" s="390">
        <v>827</v>
      </c>
      <c r="AE229" s="242">
        <f t="shared" si="465"/>
        <v>81.8</v>
      </c>
      <c r="AF229" s="527">
        <f t="shared" si="466"/>
        <v>131</v>
      </c>
      <c r="AG229" s="390">
        <f t="shared" si="466"/>
        <v>110</v>
      </c>
      <c r="AH229" s="242">
        <f t="shared" si="467"/>
        <v>-16</v>
      </c>
      <c r="AI229" s="527">
        <v>586</v>
      </c>
      <c r="AJ229" s="390">
        <v>937</v>
      </c>
      <c r="AK229" s="242">
        <f t="shared" si="468"/>
        <v>59.9</v>
      </c>
      <c r="AL229" s="527">
        <f t="shared" si="469"/>
        <v>136</v>
      </c>
      <c r="AM229" s="390">
        <f t="shared" si="470"/>
        <v>138</v>
      </c>
      <c r="AN229" s="242">
        <f t="shared" si="471"/>
        <v>1.5</v>
      </c>
      <c r="AO229" s="817">
        <v>722</v>
      </c>
      <c r="AP229" s="819">
        <v>1075</v>
      </c>
      <c r="AQ229" s="242">
        <f t="shared" si="472"/>
        <v>48.9</v>
      </c>
      <c r="AR229" s="817">
        <f t="shared" si="473"/>
        <v>145</v>
      </c>
      <c r="AS229" s="819">
        <f t="shared" si="473"/>
        <v>178</v>
      </c>
      <c r="AT229" s="753">
        <f t="shared" si="474"/>
        <v>22.8</v>
      </c>
      <c r="AU229" s="969">
        <v>867</v>
      </c>
      <c r="AV229" s="970">
        <v>1253</v>
      </c>
      <c r="AW229" s="753">
        <f t="shared" si="475"/>
        <v>44.5</v>
      </c>
      <c r="AX229" s="817">
        <f t="shared" si="476"/>
        <v>162</v>
      </c>
      <c r="AY229" s="819">
        <f t="shared" si="477"/>
        <v>106</v>
      </c>
      <c r="AZ229" s="753">
        <f t="shared" si="478"/>
        <v>-34.6</v>
      </c>
      <c r="BA229" s="817">
        <v>1029</v>
      </c>
      <c r="BB229" s="819">
        <v>1359</v>
      </c>
      <c r="BC229" s="753">
        <f t="shared" si="479"/>
        <v>32.1</v>
      </c>
      <c r="BD229" s="817">
        <f t="shared" si="480"/>
        <v>172</v>
      </c>
      <c r="BE229" s="819">
        <f t="shared" si="480"/>
        <v>154</v>
      </c>
      <c r="BF229" s="753">
        <f t="shared" si="481"/>
        <v>-10.5</v>
      </c>
      <c r="BG229" s="817">
        <v>1201</v>
      </c>
      <c r="BH229" s="819">
        <v>1513</v>
      </c>
      <c r="BI229" s="753">
        <f t="shared" si="482"/>
        <v>26</v>
      </c>
      <c r="BJ229" s="817">
        <f t="shared" si="483"/>
        <v>170</v>
      </c>
      <c r="BK229" s="819">
        <f t="shared" si="483"/>
        <v>124</v>
      </c>
      <c r="BL229" s="753">
        <f t="shared" si="484"/>
        <v>-27.1</v>
      </c>
      <c r="BM229" s="817">
        <v>1371</v>
      </c>
      <c r="BN229" s="819">
        <v>1637</v>
      </c>
      <c r="BO229" s="753">
        <f t="shared" si="485"/>
        <v>19.399999999999999</v>
      </c>
      <c r="BP229" s="817">
        <f t="shared" si="486"/>
        <v>257</v>
      </c>
      <c r="BQ229" s="819">
        <f t="shared" si="486"/>
        <v>257</v>
      </c>
      <c r="BR229" s="753">
        <f t="shared" si="487"/>
        <v>0</v>
      </c>
      <c r="BS229" s="817">
        <v>1628</v>
      </c>
      <c r="BT229" s="819">
        <v>1894</v>
      </c>
      <c r="BU229" s="753">
        <f t="shared" si="488"/>
        <v>16.3</v>
      </c>
    </row>
    <row r="230" spans="1:73">
      <c r="A230" s="4"/>
      <c r="B230" s="43" t="s">
        <v>432</v>
      </c>
      <c r="C230" s="188">
        <v>1385</v>
      </c>
      <c r="D230" s="188">
        <v>560</v>
      </c>
      <c r="E230" s="188">
        <v>1596</v>
      </c>
      <c r="F230" s="188">
        <v>3769</v>
      </c>
      <c r="G230" s="188">
        <v>1185</v>
      </c>
      <c r="H230" s="188">
        <v>1455</v>
      </c>
      <c r="I230" s="362">
        <v>1753</v>
      </c>
      <c r="J230" s="44">
        <v>1875</v>
      </c>
      <c r="K230" s="383">
        <v>63</v>
      </c>
      <c r="L230" s="390">
        <v>64</v>
      </c>
      <c r="M230" s="232">
        <f t="shared" si="453"/>
        <v>1.6</v>
      </c>
      <c r="N230" s="383">
        <f t="shared" si="454"/>
        <v>22</v>
      </c>
      <c r="O230" s="390">
        <f t="shared" si="455"/>
        <v>253</v>
      </c>
      <c r="P230" s="242">
        <f t="shared" si="456"/>
        <v>1050</v>
      </c>
      <c r="Q230" s="383">
        <v>85</v>
      </c>
      <c r="R230" s="390">
        <v>317</v>
      </c>
      <c r="S230" s="242">
        <f t="shared" si="457"/>
        <v>272.89999999999998</v>
      </c>
      <c r="T230" s="383">
        <f t="shared" si="458"/>
        <v>134</v>
      </c>
      <c r="U230" s="390">
        <f t="shared" si="459"/>
        <v>160</v>
      </c>
      <c r="V230" s="242">
        <f t="shared" si="460"/>
        <v>19.399999999999999</v>
      </c>
      <c r="W230" s="383">
        <v>219</v>
      </c>
      <c r="X230" s="390">
        <v>477</v>
      </c>
      <c r="Y230" s="242">
        <f t="shared" si="461"/>
        <v>117.8</v>
      </c>
      <c r="Z230" s="527">
        <f t="shared" si="462"/>
        <v>205</v>
      </c>
      <c r="AA230" s="390">
        <f t="shared" si="463"/>
        <v>131</v>
      </c>
      <c r="AB230" s="242">
        <f t="shared" si="464"/>
        <v>-36.1</v>
      </c>
      <c r="AC230" s="527">
        <v>424</v>
      </c>
      <c r="AD230" s="390">
        <v>608</v>
      </c>
      <c r="AE230" s="242">
        <f t="shared" si="465"/>
        <v>43.4</v>
      </c>
      <c r="AF230" s="527">
        <f t="shared" si="466"/>
        <v>221</v>
      </c>
      <c r="AG230" s="390">
        <f t="shared" si="466"/>
        <v>30</v>
      </c>
      <c r="AH230" s="242">
        <f t="shared" si="467"/>
        <v>-86.4</v>
      </c>
      <c r="AI230" s="527">
        <v>645</v>
      </c>
      <c r="AJ230" s="390">
        <v>638</v>
      </c>
      <c r="AK230" s="242">
        <f t="shared" si="468"/>
        <v>-1.1000000000000001</v>
      </c>
      <c r="AL230" s="527">
        <f t="shared" si="469"/>
        <v>254</v>
      </c>
      <c r="AM230" s="390">
        <f t="shared" si="470"/>
        <v>177</v>
      </c>
      <c r="AN230" s="242">
        <f t="shared" si="471"/>
        <v>-30.3</v>
      </c>
      <c r="AO230" s="817">
        <v>899</v>
      </c>
      <c r="AP230" s="819">
        <v>815</v>
      </c>
      <c r="AQ230" s="242">
        <f t="shared" si="472"/>
        <v>-9.3000000000000007</v>
      </c>
      <c r="AR230" s="817">
        <f t="shared" si="473"/>
        <v>132</v>
      </c>
      <c r="AS230" s="819">
        <f t="shared" si="473"/>
        <v>148</v>
      </c>
      <c r="AT230" s="753">
        <f t="shared" si="474"/>
        <v>12.1</v>
      </c>
      <c r="AU230" s="969">
        <v>1031</v>
      </c>
      <c r="AV230" s="970">
        <v>963</v>
      </c>
      <c r="AW230" s="753">
        <f t="shared" si="475"/>
        <v>-6.6</v>
      </c>
      <c r="AX230" s="817">
        <f t="shared" si="476"/>
        <v>209</v>
      </c>
      <c r="AY230" s="819">
        <f t="shared" si="477"/>
        <v>230</v>
      </c>
      <c r="AZ230" s="753">
        <f t="shared" si="478"/>
        <v>10</v>
      </c>
      <c r="BA230" s="817">
        <v>1240</v>
      </c>
      <c r="BB230" s="819">
        <v>1193</v>
      </c>
      <c r="BC230" s="753">
        <f t="shared" si="479"/>
        <v>-3.8</v>
      </c>
      <c r="BD230" s="817">
        <f t="shared" si="480"/>
        <v>122</v>
      </c>
      <c r="BE230" s="819">
        <f t="shared" si="480"/>
        <v>133</v>
      </c>
      <c r="BF230" s="753">
        <f t="shared" si="481"/>
        <v>9</v>
      </c>
      <c r="BG230" s="817">
        <v>1362</v>
      </c>
      <c r="BH230" s="819">
        <v>1326</v>
      </c>
      <c r="BI230" s="753">
        <f t="shared" si="482"/>
        <v>-2.6</v>
      </c>
      <c r="BJ230" s="817">
        <f t="shared" si="483"/>
        <v>246</v>
      </c>
      <c r="BK230" s="819">
        <f t="shared" si="483"/>
        <v>80</v>
      </c>
      <c r="BL230" s="753">
        <f t="shared" si="484"/>
        <v>-67.5</v>
      </c>
      <c r="BM230" s="817">
        <v>1608</v>
      </c>
      <c r="BN230" s="819">
        <v>1406</v>
      </c>
      <c r="BO230" s="753">
        <f t="shared" si="485"/>
        <v>-12.6</v>
      </c>
      <c r="BP230" s="817">
        <f t="shared" si="486"/>
        <v>91</v>
      </c>
      <c r="BQ230" s="819">
        <f t="shared" si="486"/>
        <v>124</v>
      </c>
      <c r="BR230" s="753">
        <f t="shared" si="487"/>
        <v>36.299999999999997</v>
      </c>
      <c r="BS230" s="817">
        <v>1699</v>
      </c>
      <c r="BT230" s="819">
        <v>1530</v>
      </c>
      <c r="BU230" s="753">
        <f t="shared" si="488"/>
        <v>-9.9</v>
      </c>
    </row>
    <row r="231" spans="1:73">
      <c r="A231" s="4"/>
      <c r="B231" s="43" t="s">
        <v>52</v>
      </c>
      <c r="C231" s="188">
        <v>1153</v>
      </c>
      <c r="D231" s="188">
        <v>1584</v>
      </c>
      <c r="E231" s="188">
        <v>1850</v>
      </c>
      <c r="F231" s="188">
        <v>2357</v>
      </c>
      <c r="G231" s="188">
        <v>3694</v>
      </c>
      <c r="H231" s="188">
        <v>4688</v>
      </c>
      <c r="I231" s="362">
        <v>3727</v>
      </c>
      <c r="J231" s="44">
        <v>1856</v>
      </c>
      <c r="K231" s="383">
        <v>300</v>
      </c>
      <c r="L231" s="390">
        <v>237</v>
      </c>
      <c r="M231" s="232">
        <f t="shared" si="453"/>
        <v>-21</v>
      </c>
      <c r="N231" s="383">
        <f t="shared" si="454"/>
        <v>193</v>
      </c>
      <c r="O231" s="390">
        <f t="shared" si="455"/>
        <v>200</v>
      </c>
      <c r="P231" s="242">
        <f t="shared" si="456"/>
        <v>3.6</v>
      </c>
      <c r="Q231" s="383">
        <v>493</v>
      </c>
      <c r="R231" s="390">
        <v>437</v>
      </c>
      <c r="S231" s="242">
        <f t="shared" si="457"/>
        <v>-11.4</v>
      </c>
      <c r="T231" s="383">
        <f t="shared" si="458"/>
        <v>133</v>
      </c>
      <c r="U231" s="390">
        <f t="shared" si="459"/>
        <v>199</v>
      </c>
      <c r="V231" s="242">
        <f t="shared" si="460"/>
        <v>49.6</v>
      </c>
      <c r="W231" s="383">
        <v>626</v>
      </c>
      <c r="X231" s="390">
        <v>636</v>
      </c>
      <c r="Y231" s="242">
        <f t="shared" si="461"/>
        <v>1.6</v>
      </c>
      <c r="Z231" s="527">
        <f t="shared" si="462"/>
        <v>162</v>
      </c>
      <c r="AA231" s="390">
        <f t="shared" si="463"/>
        <v>40</v>
      </c>
      <c r="AB231" s="242">
        <f t="shared" si="464"/>
        <v>-75.3</v>
      </c>
      <c r="AC231" s="527">
        <v>788</v>
      </c>
      <c r="AD231" s="390">
        <v>676</v>
      </c>
      <c r="AE231" s="242">
        <f t="shared" si="465"/>
        <v>-14.2</v>
      </c>
      <c r="AF231" s="527">
        <f t="shared" si="466"/>
        <v>87</v>
      </c>
      <c r="AG231" s="390">
        <f t="shared" si="466"/>
        <v>0</v>
      </c>
      <c r="AH231" s="242">
        <f t="shared" si="467"/>
        <v>-100</v>
      </c>
      <c r="AI231" s="527">
        <v>875</v>
      </c>
      <c r="AJ231" s="390">
        <v>676</v>
      </c>
      <c r="AK231" s="242">
        <f t="shared" si="468"/>
        <v>-22.7</v>
      </c>
      <c r="AL231" s="527">
        <f t="shared" si="469"/>
        <v>128</v>
      </c>
      <c r="AM231" s="390">
        <f t="shared" si="470"/>
        <v>22</v>
      </c>
      <c r="AN231" s="242">
        <f t="shared" si="471"/>
        <v>-82.8</v>
      </c>
      <c r="AO231" s="817">
        <v>1003</v>
      </c>
      <c r="AP231" s="819">
        <v>698</v>
      </c>
      <c r="AQ231" s="242">
        <f t="shared" si="472"/>
        <v>-30.4</v>
      </c>
      <c r="AR231" s="817">
        <f t="shared" si="473"/>
        <v>88</v>
      </c>
      <c r="AS231" s="819">
        <f t="shared" si="473"/>
        <v>112</v>
      </c>
      <c r="AT231" s="753">
        <f t="shared" si="474"/>
        <v>27.3</v>
      </c>
      <c r="AU231" s="969">
        <v>1091</v>
      </c>
      <c r="AV231" s="970">
        <v>810</v>
      </c>
      <c r="AW231" s="753">
        <f t="shared" si="475"/>
        <v>-25.8</v>
      </c>
      <c r="AX231" s="817">
        <f t="shared" si="476"/>
        <v>53</v>
      </c>
      <c r="AY231" s="819">
        <f t="shared" si="477"/>
        <v>47</v>
      </c>
      <c r="AZ231" s="753">
        <f t="shared" si="478"/>
        <v>-11.3</v>
      </c>
      <c r="BA231" s="817">
        <v>1144</v>
      </c>
      <c r="BB231" s="819">
        <v>857</v>
      </c>
      <c r="BC231" s="753">
        <f t="shared" si="479"/>
        <v>-25.1</v>
      </c>
      <c r="BD231" s="817">
        <f t="shared" si="480"/>
        <v>97</v>
      </c>
      <c r="BE231" s="819">
        <f t="shared" si="480"/>
        <v>101</v>
      </c>
      <c r="BF231" s="753">
        <f t="shared" si="481"/>
        <v>4.0999999999999996</v>
      </c>
      <c r="BG231" s="817">
        <v>1241</v>
      </c>
      <c r="BH231" s="819">
        <v>958</v>
      </c>
      <c r="BI231" s="753">
        <f t="shared" si="482"/>
        <v>-22.8</v>
      </c>
      <c r="BJ231" s="817">
        <f t="shared" si="483"/>
        <v>88</v>
      </c>
      <c r="BK231" s="819">
        <f t="shared" si="483"/>
        <v>112</v>
      </c>
      <c r="BL231" s="753">
        <f t="shared" si="484"/>
        <v>27.3</v>
      </c>
      <c r="BM231" s="817">
        <v>1329</v>
      </c>
      <c r="BN231" s="819">
        <v>1070</v>
      </c>
      <c r="BO231" s="753">
        <f t="shared" si="485"/>
        <v>-19.5</v>
      </c>
      <c r="BP231" s="817">
        <f t="shared" si="486"/>
        <v>225</v>
      </c>
      <c r="BQ231" s="819">
        <f t="shared" si="486"/>
        <v>148</v>
      </c>
      <c r="BR231" s="753">
        <f t="shared" si="487"/>
        <v>-34.200000000000003</v>
      </c>
      <c r="BS231" s="817">
        <v>1554</v>
      </c>
      <c r="BT231" s="819">
        <v>1218</v>
      </c>
      <c r="BU231" s="753">
        <f t="shared" si="488"/>
        <v>-21.6</v>
      </c>
    </row>
    <row r="232" spans="1:73">
      <c r="A232" s="4"/>
      <c r="B232" s="43" t="s">
        <v>434</v>
      </c>
      <c r="C232" s="188">
        <v>22</v>
      </c>
      <c r="D232" s="188">
        <v>26</v>
      </c>
      <c r="E232" s="188">
        <v>80</v>
      </c>
      <c r="F232" s="188">
        <v>543</v>
      </c>
      <c r="G232" s="188">
        <v>766</v>
      </c>
      <c r="H232" s="188">
        <v>1226</v>
      </c>
      <c r="I232" s="362">
        <v>1218</v>
      </c>
      <c r="J232" s="44">
        <v>1653</v>
      </c>
      <c r="K232" s="383">
        <v>84</v>
      </c>
      <c r="L232" s="390">
        <v>107</v>
      </c>
      <c r="M232" s="232">
        <f t="shared" si="453"/>
        <v>27.4</v>
      </c>
      <c r="N232" s="383">
        <f t="shared" si="454"/>
        <v>94</v>
      </c>
      <c r="O232" s="390">
        <f t="shared" si="455"/>
        <v>139</v>
      </c>
      <c r="P232" s="242">
        <f t="shared" si="456"/>
        <v>47.9</v>
      </c>
      <c r="Q232" s="383">
        <v>178</v>
      </c>
      <c r="R232" s="390">
        <v>246</v>
      </c>
      <c r="S232" s="242">
        <f t="shared" si="457"/>
        <v>38.200000000000003</v>
      </c>
      <c r="T232" s="383">
        <f t="shared" si="458"/>
        <v>185</v>
      </c>
      <c r="U232" s="390">
        <f t="shared" si="459"/>
        <v>105</v>
      </c>
      <c r="V232" s="242">
        <f t="shared" si="460"/>
        <v>-43.2</v>
      </c>
      <c r="W232" s="383">
        <v>363</v>
      </c>
      <c r="X232" s="390">
        <v>351</v>
      </c>
      <c r="Y232" s="242">
        <f t="shared" si="461"/>
        <v>-3.3</v>
      </c>
      <c r="Z232" s="527">
        <f t="shared" si="462"/>
        <v>252</v>
      </c>
      <c r="AA232" s="390">
        <f t="shared" si="463"/>
        <v>62</v>
      </c>
      <c r="AB232" s="242">
        <f t="shared" si="464"/>
        <v>-75.400000000000006</v>
      </c>
      <c r="AC232" s="527">
        <v>615</v>
      </c>
      <c r="AD232" s="390">
        <v>413</v>
      </c>
      <c r="AE232" s="242">
        <f t="shared" si="465"/>
        <v>-32.799999999999997</v>
      </c>
      <c r="AF232" s="527">
        <f t="shared" si="466"/>
        <v>273</v>
      </c>
      <c r="AG232" s="390">
        <f t="shared" si="466"/>
        <v>60</v>
      </c>
      <c r="AH232" s="242">
        <f t="shared" si="467"/>
        <v>-78</v>
      </c>
      <c r="AI232" s="527">
        <v>888</v>
      </c>
      <c r="AJ232" s="390">
        <v>473</v>
      </c>
      <c r="AK232" s="242">
        <f t="shared" si="468"/>
        <v>-46.7</v>
      </c>
      <c r="AL232" s="527">
        <f t="shared" si="469"/>
        <v>153</v>
      </c>
      <c r="AM232" s="390">
        <f t="shared" si="470"/>
        <v>127</v>
      </c>
      <c r="AN232" s="242">
        <f t="shared" si="471"/>
        <v>-17</v>
      </c>
      <c r="AO232" s="817">
        <v>1041</v>
      </c>
      <c r="AP232" s="819">
        <v>600</v>
      </c>
      <c r="AQ232" s="242">
        <f t="shared" si="472"/>
        <v>-42.4</v>
      </c>
      <c r="AR232" s="817">
        <f t="shared" si="473"/>
        <v>57</v>
      </c>
      <c r="AS232" s="819">
        <f t="shared" si="473"/>
        <v>147</v>
      </c>
      <c r="AT232" s="753">
        <f t="shared" si="474"/>
        <v>157.9</v>
      </c>
      <c r="AU232" s="969">
        <v>1098</v>
      </c>
      <c r="AV232" s="970">
        <v>747</v>
      </c>
      <c r="AW232" s="753">
        <f t="shared" si="475"/>
        <v>-32</v>
      </c>
      <c r="AX232" s="817">
        <f t="shared" si="476"/>
        <v>144</v>
      </c>
      <c r="AY232" s="819">
        <f t="shared" si="477"/>
        <v>124</v>
      </c>
      <c r="AZ232" s="753">
        <f t="shared" si="478"/>
        <v>-13.9</v>
      </c>
      <c r="BA232" s="817">
        <v>1242</v>
      </c>
      <c r="BB232" s="819">
        <v>871</v>
      </c>
      <c r="BC232" s="753">
        <f t="shared" si="479"/>
        <v>-29.9</v>
      </c>
      <c r="BD232" s="817">
        <f t="shared" si="480"/>
        <v>73</v>
      </c>
      <c r="BE232" s="819">
        <f t="shared" si="480"/>
        <v>88</v>
      </c>
      <c r="BF232" s="753">
        <f t="shared" si="481"/>
        <v>20.5</v>
      </c>
      <c r="BG232" s="817">
        <v>1315</v>
      </c>
      <c r="BH232" s="819">
        <v>959</v>
      </c>
      <c r="BI232" s="753">
        <f t="shared" si="482"/>
        <v>-27.1</v>
      </c>
      <c r="BJ232" s="817">
        <f t="shared" si="483"/>
        <v>137</v>
      </c>
      <c r="BK232" s="819">
        <f t="shared" si="483"/>
        <v>60</v>
      </c>
      <c r="BL232" s="753">
        <f t="shared" si="484"/>
        <v>-56.2</v>
      </c>
      <c r="BM232" s="817">
        <v>1452</v>
      </c>
      <c r="BN232" s="819">
        <v>1019</v>
      </c>
      <c r="BO232" s="753">
        <f t="shared" si="485"/>
        <v>-29.8</v>
      </c>
      <c r="BP232" s="817">
        <f t="shared" si="486"/>
        <v>106</v>
      </c>
      <c r="BQ232" s="819">
        <f t="shared" si="486"/>
        <v>18</v>
      </c>
      <c r="BR232" s="753">
        <f t="shared" si="487"/>
        <v>-83</v>
      </c>
      <c r="BS232" s="817">
        <v>1558</v>
      </c>
      <c r="BT232" s="819">
        <v>1037</v>
      </c>
      <c r="BU232" s="753">
        <f t="shared" si="488"/>
        <v>-33.4</v>
      </c>
    </row>
    <row r="233" spans="1:73">
      <c r="A233" s="4"/>
      <c r="B233" s="43" t="s">
        <v>54</v>
      </c>
      <c r="C233" s="188">
        <v>5027</v>
      </c>
      <c r="D233" s="188">
        <v>5048</v>
      </c>
      <c r="E233" s="188">
        <v>3578</v>
      </c>
      <c r="F233" s="188">
        <v>1851</v>
      </c>
      <c r="G233" s="188">
        <v>1755</v>
      </c>
      <c r="H233" s="188">
        <v>1935</v>
      </c>
      <c r="I233" s="362">
        <v>1837</v>
      </c>
      <c r="J233" s="44">
        <v>1499</v>
      </c>
      <c r="K233" s="383">
        <v>145</v>
      </c>
      <c r="L233" s="390">
        <v>98</v>
      </c>
      <c r="M233" s="232">
        <f t="shared" si="453"/>
        <v>-32.4</v>
      </c>
      <c r="N233" s="383">
        <f t="shared" si="454"/>
        <v>124</v>
      </c>
      <c r="O233" s="390">
        <f t="shared" si="455"/>
        <v>78</v>
      </c>
      <c r="P233" s="242">
        <f t="shared" si="456"/>
        <v>-37.1</v>
      </c>
      <c r="Q233" s="383">
        <v>269</v>
      </c>
      <c r="R233" s="390">
        <v>176</v>
      </c>
      <c r="S233" s="242">
        <f t="shared" si="457"/>
        <v>-34.6</v>
      </c>
      <c r="T233" s="383">
        <f t="shared" si="458"/>
        <v>93</v>
      </c>
      <c r="U233" s="390">
        <f t="shared" si="459"/>
        <v>103</v>
      </c>
      <c r="V233" s="242">
        <f t="shared" si="460"/>
        <v>10.8</v>
      </c>
      <c r="W233" s="383">
        <v>362</v>
      </c>
      <c r="X233" s="390">
        <v>279</v>
      </c>
      <c r="Y233" s="242">
        <f t="shared" si="461"/>
        <v>-22.9</v>
      </c>
      <c r="Z233" s="527">
        <f t="shared" si="462"/>
        <v>108</v>
      </c>
      <c r="AA233" s="390">
        <f t="shared" si="463"/>
        <v>73</v>
      </c>
      <c r="AB233" s="242">
        <f t="shared" si="464"/>
        <v>-32.4</v>
      </c>
      <c r="AC233" s="527">
        <v>470</v>
      </c>
      <c r="AD233" s="390">
        <v>352</v>
      </c>
      <c r="AE233" s="242">
        <f t="shared" si="465"/>
        <v>-25.1</v>
      </c>
      <c r="AF233" s="527">
        <f t="shared" si="466"/>
        <v>195</v>
      </c>
      <c r="AG233" s="390">
        <f t="shared" si="466"/>
        <v>139</v>
      </c>
      <c r="AH233" s="242">
        <f t="shared" si="467"/>
        <v>-28.7</v>
      </c>
      <c r="AI233" s="527">
        <v>665</v>
      </c>
      <c r="AJ233" s="390">
        <v>491</v>
      </c>
      <c r="AK233" s="242">
        <f t="shared" si="468"/>
        <v>-26.2</v>
      </c>
      <c r="AL233" s="527">
        <f t="shared" si="469"/>
        <v>118</v>
      </c>
      <c r="AM233" s="390">
        <f t="shared" si="470"/>
        <v>104</v>
      </c>
      <c r="AN233" s="242">
        <f t="shared" si="471"/>
        <v>-11.9</v>
      </c>
      <c r="AO233" s="817">
        <v>783</v>
      </c>
      <c r="AP233" s="819">
        <v>595</v>
      </c>
      <c r="AQ233" s="242">
        <f t="shared" si="472"/>
        <v>-24</v>
      </c>
      <c r="AR233" s="817">
        <f t="shared" si="473"/>
        <v>158</v>
      </c>
      <c r="AS233" s="819">
        <f t="shared" si="473"/>
        <v>82</v>
      </c>
      <c r="AT233" s="753">
        <f t="shared" si="474"/>
        <v>-48.1</v>
      </c>
      <c r="AU233" s="969">
        <v>941</v>
      </c>
      <c r="AV233" s="970">
        <v>677</v>
      </c>
      <c r="AW233" s="753">
        <f t="shared" si="475"/>
        <v>-28.1</v>
      </c>
      <c r="AX233" s="817">
        <f t="shared" si="476"/>
        <v>107</v>
      </c>
      <c r="AY233" s="819">
        <f t="shared" si="477"/>
        <v>66</v>
      </c>
      <c r="AZ233" s="753">
        <f t="shared" si="478"/>
        <v>-38.299999999999997</v>
      </c>
      <c r="BA233" s="817">
        <v>1048</v>
      </c>
      <c r="BB233" s="819">
        <v>743</v>
      </c>
      <c r="BC233" s="753">
        <f t="shared" si="479"/>
        <v>-29.1</v>
      </c>
      <c r="BD233" s="817">
        <f t="shared" si="480"/>
        <v>114</v>
      </c>
      <c r="BE233" s="819">
        <f t="shared" si="480"/>
        <v>104</v>
      </c>
      <c r="BF233" s="753">
        <f t="shared" si="481"/>
        <v>-8.8000000000000007</v>
      </c>
      <c r="BG233" s="817">
        <v>1162</v>
      </c>
      <c r="BH233" s="819">
        <v>847</v>
      </c>
      <c r="BI233" s="753">
        <f t="shared" si="482"/>
        <v>-27.1</v>
      </c>
      <c r="BJ233" s="817">
        <f t="shared" si="483"/>
        <v>146</v>
      </c>
      <c r="BK233" s="819">
        <f t="shared" si="483"/>
        <v>74</v>
      </c>
      <c r="BL233" s="753">
        <f t="shared" si="484"/>
        <v>-49.3</v>
      </c>
      <c r="BM233" s="817">
        <v>1308</v>
      </c>
      <c r="BN233" s="819">
        <v>921</v>
      </c>
      <c r="BO233" s="753">
        <f t="shared" si="485"/>
        <v>-29.6</v>
      </c>
      <c r="BP233" s="817">
        <f t="shared" si="486"/>
        <v>118</v>
      </c>
      <c r="BQ233" s="819">
        <f t="shared" si="486"/>
        <v>89</v>
      </c>
      <c r="BR233" s="753">
        <f t="shared" si="487"/>
        <v>-24.6</v>
      </c>
      <c r="BS233" s="817">
        <v>1426</v>
      </c>
      <c r="BT233" s="819">
        <v>1010</v>
      </c>
      <c r="BU233" s="753">
        <f t="shared" si="488"/>
        <v>-29.2</v>
      </c>
    </row>
    <row r="234" spans="1:73">
      <c r="A234" s="4"/>
      <c r="B234" s="43" t="s">
        <v>433</v>
      </c>
      <c r="C234" s="188">
        <v>348</v>
      </c>
      <c r="D234" s="188">
        <v>283</v>
      </c>
      <c r="E234" s="188">
        <v>503</v>
      </c>
      <c r="F234" s="188">
        <v>1019</v>
      </c>
      <c r="G234" s="188">
        <v>1304</v>
      </c>
      <c r="H234" s="188">
        <v>1608</v>
      </c>
      <c r="I234" s="362">
        <v>1519</v>
      </c>
      <c r="J234" s="44">
        <v>1490</v>
      </c>
      <c r="K234" s="383">
        <v>49</v>
      </c>
      <c r="L234" s="390">
        <v>105</v>
      </c>
      <c r="M234" s="232">
        <f t="shared" si="453"/>
        <v>114.3</v>
      </c>
      <c r="N234" s="383">
        <f t="shared" si="454"/>
        <v>139</v>
      </c>
      <c r="O234" s="390">
        <f t="shared" si="455"/>
        <v>121</v>
      </c>
      <c r="P234" s="242">
        <f t="shared" si="456"/>
        <v>-12.9</v>
      </c>
      <c r="Q234" s="383">
        <v>188</v>
      </c>
      <c r="R234" s="390">
        <v>226</v>
      </c>
      <c r="S234" s="242">
        <f t="shared" si="457"/>
        <v>20.2</v>
      </c>
      <c r="T234" s="383">
        <f t="shared" si="458"/>
        <v>93</v>
      </c>
      <c r="U234" s="390">
        <f t="shared" si="459"/>
        <v>75</v>
      </c>
      <c r="V234" s="242">
        <f t="shared" si="460"/>
        <v>-19.399999999999999</v>
      </c>
      <c r="W234" s="383">
        <v>281</v>
      </c>
      <c r="X234" s="390">
        <v>301</v>
      </c>
      <c r="Y234" s="242">
        <f t="shared" si="461"/>
        <v>7.1</v>
      </c>
      <c r="Z234" s="527">
        <f t="shared" si="462"/>
        <v>225</v>
      </c>
      <c r="AA234" s="390">
        <f t="shared" si="463"/>
        <v>117</v>
      </c>
      <c r="AB234" s="242">
        <f t="shared" si="464"/>
        <v>-48</v>
      </c>
      <c r="AC234" s="527">
        <v>506</v>
      </c>
      <c r="AD234" s="390">
        <v>418</v>
      </c>
      <c r="AE234" s="242">
        <f t="shared" si="465"/>
        <v>-17.399999999999999</v>
      </c>
      <c r="AF234" s="527">
        <f t="shared" si="466"/>
        <v>60</v>
      </c>
      <c r="AG234" s="390">
        <f t="shared" si="466"/>
        <v>130</v>
      </c>
      <c r="AH234" s="242">
        <f t="shared" si="467"/>
        <v>116.7</v>
      </c>
      <c r="AI234" s="527">
        <v>566</v>
      </c>
      <c r="AJ234" s="390">
        <v>548</v>
      </c>
      <c r="AK234" s="242">
        <f t="shared" si="468"/>
        <v>-3.2</v>
      </c>
      <c r="AL234" s="527">
        <f t="shared" si="469"/>
        <v>137</v>
      </c>
      <c r="AM234" s="390">
        <f t="shared" si="470"/>
        <v>112</v>
      </c>
      <c r="AN234" s="242">
        <f t="shared" si="471"/>
        <v>-18.2</v>
      </c>
      <c r="AO234" s="817">
        <v>703</v>
      </c>
      <c r="AP234" s="819">
        <v>660</v>
      </c>
      <c r="AQ234" s="242">
        <f t="shared" si="472"/>
        <v>-6.1</v>
      </c>
      <c r="AR234" s="817">
        <f t="shared" si="473"/>
        <v>148</v>
      </c>
      <c r="AS234" s="819">
        <f t="shared" si="473"/>
        <v>113</v>
      </c>
      <c r="AT234" s="753">
        <f t="shared" si="474"/>
        <v>-23.6</v>
      </c>
      <c r="AU234" s="969">
        <v>851</v>
      </c>
      <c r="AV234" s="970">
        <v>773</v>
      </c>
      <c r="AW234" s="753">
        <f t="shared" si="475"/>
        <v>-9.1999999999999993</v>
      </c>
      <c r="AX234" s="817">
        <f t="shared" si="476"/>
        <v>88</v>
      </c>
      <c r="AY234" s="819">
        <f t="shared" si="477"/>
        <v>58</v>
      </c>
      <c r="AZ234" s="753">
        <f t="shared" si="478"/>
        <v>-34.1</v>
      </c>
      <c r="BA234" s="817">
        <v>939</v>
      </c>
      <c r="BB234" s="819">
        <v>831</v>
      </c>
      <c r="BC234" s="753">
        <f t="shared" si="479"/>
        <v>-11.5</v>
      </c>
      <c r="BD234" s="817">
        <f t="shared" si="480"/>
        <v>126</v>
      </c>
      <c r="BE234" s="819">
        <f t="shared" si="480"/>
        <v>67</v>
      </c>
      <c r="BF234" s="753">
        <f t="shared" si="481"/>
        <v>-46.8</v>
      </c>
      <c r="BG234" s="817">
        <v>1065</v>
      </c>
      <c r="BH234" s="819">
        <v>898</v>
      </c>
      <c r="BI234" s="753">
        <f t="shared" si="482"/>
        <v>-15.7</v>
      </c>
      <c r="BJ234" s="817">
        <f t="shared" si="483"/>
        <v>236</v>
      </c>
      <c r="BK234" s="819">
        <f t="shared" si="483"/>
        <v>138</v>
      </c>
      <c r="BL234" s="753">
        <f t="shared" si="484"/>
        <v>-41.5</v>
      </c>
      <c r="BM234" s="817">
        <v>1301</v>
      </c>
      <c r="BN234" s="819">
        <v>1036</v>
      </c>
      <c r="BO234" s="753">
        <f t="shared" si="485"/>
        <v>-20.399999999999999</v>
      </c>
      <c r="BP234" s="817">
        <f t="shared" si="486"/>
        <v>109</v>
      </c>
      <c r="BQ234" s="819">
        <f t="shared" si="486"/>
        <v>71</v>
      </c>
      <c r="BR234" s="753">
        <f t="shared" si="487"/>
        <v>-34.9</v>
      </c>
      <c r="BS234" s="817">
        <v>1410</v>
      </c>
      <c r="BT234" s="819">
        <v>1107</v>
      </c>
      <c r="BU234" s="753">
        <f t="shared" si="488"/>
        <v>-21.5</v>
      </c>
    </row>
    <row r="235" spans="1:73">
      <c r="A235" s="4"/>
      <c r="B235" s="43" t="s">
        <v>58</v>
      </c>
      <c r="C235" s="188">
        <v>1757</v>
      </c>
      <c r="D235" s="188">
        <v>1529</v>
      </c>
      <c r="E235" s="188">
        <v>1169</v>
      </c>
      <c r="F235" s="188">
        <v>1484</v>
      </c>
      <c r="G235" s="188">
        <v>1545</v>
      </c>
      <c r="H235" s="188">
        <v>1449</v>
      </c>
      <c r="I235" s="362">
        <v>906</v>
      </c>
      <c r="J235" s="44">
        <v>810</v>
      </c>
      <c r="K235" s="383">
        <v>66</v>
      </c>
      <c r="L235" s="390">
        <v>63</v>
      </c>
      <c r="M235" s="232">
        <f t="shared" si="453"/>
        <v>-4.5</v>
      </c>
      <c r="N235" s="383">
        <f t="shared" si="454"/>
        <v>39</v>
      </c>
      <c r="O235" s="390">
        <f t="shared" si="455"/>
        <v>82</v>
      </c>
      <c r="P235" s="242">
        <f t="shared" si="456"/>
        <v>110.3</v>
      </c>
      <c r="Q235" s="383">
        <v>105</v>
      </c>
      <c r="R235" s="390">
        <v>145</v>
      </c>
      <c r="S235" s="242">
        <f t="shared" si="457"/>
        <v>38.1</v>
      </c>
      <c r="T235" s="383">
        <f t="shared" si="458"/>
        <v>58</v>
      </c>
      <c r="U235" s="390">
        <f t="shared" si="459"/>
        <v>90</v>
      </c>
      <c r="V235" s="242">
        <f t="shared" si="460"/>
        <v>55.2</v>
      </c>
      <c r="W235" s="383">
        <v>163</v>
      </c>
      <c r="X235" s="390">
        <v>235</v>
      </c>
      <c r="Y235" s="242">
        <f t="shared" si="461"/>
        <v>44.2</v>
      </c>
      <c r="Z235" s="527">
        <f t="shared" si="462"/>
        <v>56</v>
      </c>
      <c r="AA235" s="390">
        <f t="shared" si="463"/>
        <v>71</v>
      </c>
      <c r="AB235" s="242">
        <f t="shared" si="464"/>
        <v>26.8</v>
      </c>
      <c r="AC235" s="527">
        <v>219</v>
      </c>
      <c r="AD235" s="390">
        <v>306</v>
      </c>
      <c r="AE235" s="242">
        <f t="shared" si="465"/>
        <v>39.700000000000003</v>
      </c>
      <c r="AF235" s="527">
        <f t="shared" si="466"/>
        <v>64</v>
      </c>
      <c r="AG235" s="390">
        <f t="shared" si="466"/>
        <v>15</v>
      </c>
      <c r="AH235" s="242">
        <f t="shared" si="467"/>
        <v>-76.599999999999994</v>
      </c>
      <c r="AI235" s="527">
        <v>283</v>
      </c>
      <c r="AJ235" s="390">
        <v>321</v>
      </c>
      <c r="AK235" s="242">
        <f t="shared" si="468"/>
        <v>13.4</v>
      </c>
      <c r="AL235" s="527">
        <f t="shared" si="469"/>
        <v>73</v>
      </c>
      <c r="AM235" s="390">
        <f t="shared" si="470"/>
        <v>28</v>
      </c>
      <c r="AN235" s="242">
        <f t="shared" si="471"/>
        <v>-61.6</v>
      </c>
      <c r="AO235" s="817">
        <v>356</v>
      </c>
      <c r="AP235" s="819">
        <v>349</v>
      </c>
      <c r="AQ235" s="242">
        <f t="shared" si="472"/>
        <v>-2</v>
      </c>
      <c r="AR235" s="817">
        <f t="shared" si="473"/>
        <v>50</v>
      </c>
      <c r="AS235" s="819">
        <f t="shared" si="473"/>
        <v>35</v>
      </c>
      <c r="AT235" s="753">
        <f t="shared" si="474"/>
        <v>-30</v>
      </c>
      <c r="AU235" s="969">
        <v>406</v>
      </c>
      <c r="AV235" s="970">
        <v>384</v>
      </c>
      <c r="AW235" s="753">
        <f t="shared" si="475"/>
        <v>-5.4</v>
      </c>
      <c r="AX235" s="817">
        <f t="shared" si="476"/>
        <v>49</v>
      </c>
      <c r="AY235" s="819">
        <f t="shared" si="477"/>
        <v>31</v>
      </c>
      <c r="AZ235" s="753">
        <f t="shared" si="478"/>
        <v>-36.700000000000003</v>
      </c>
      <c r="BA235" s="817">
        <v>455</v>
      </c>
      <c r="BB235" s="819">
        <v>415</v>
      </c>
      <c r="BC235" s="753">
        <f t="shared" si="479"/>
        <v>-8.8000000000000007</v>
      </c>
      <c r="BD235" s="817">
        <f t="shared" si="480"/>
        <v>99</v>
      </c>
      <c r="BE235" s="819">
        <f t="shared" si="480"/>
        <v>82</v>
      </c>
      <c r="BF235" s="753">
        <f t="shared" si="481"/>
        <v>-17.2</v>
      </c>
      <c r="BG235" s="817">
        <v>554</v>
      </c>
      <c r="BH235" s="819">
        <v>497</v>
      </c>
      <c r="BI235" s="753">
        <f t="shared" si="482"/>
        <v>-10.3</v>
      </c>
      <c r="BJ235" s="817">
        <f t="shared" si="483"/>
        <v>90</v>
      </c>
      <c r="BK235" s="819">
        <f t="shared" si="483"/>
        <v>49</v>
      </c>
      <c r="BL235" s="753">
        <f t="shared" si="484"/>
        <v>-45.6</v>
      </c>
      <c r="BM235" s="817">
        <v>644</v>
      </c>
      <c r="BN235" s="819">
        <v>546</v>
      </c>
      <c r="BO235" s="753">
        <f t="shared" si="485"/>
        <v>-15.2</v>
      </c>
      <c r="BP235" s="817">
        <f t="shared" si="486"/>
        <v>75</v>
      </c>
      <c r="BQ235" s="819">
        <f t="shared" si="486"/>
        <v>21</v>
      </c>
      <c r="BR235" s="753">
        <f t="shared" si="487"/>
        <v>-72</v>
      </c>
      <c r="BS235" s="817">
        <v>719</v>
      </c>
      <c r="BT235" s="819">
        <v>567</v>
      </c>
      <c r="BU235" s="753">
        <f t="shared" si="488"/>
        <v>-21.1</v>
      </c>
    </row>
    <row r="236" spans="1:73">
      <c r="A236" s="4"/>
      <c r="B236" s="43" t="s">
        <v>147</v>
      </c>
      <c r="C236" s="188">
        <v>200</v>
      </c>
      <c r="D236" s="188">
        <v>108</v>
      </c>
      <c r="E236" s="188">
        <v>332</v>
      </c>
      <c r="F236" s="188">
        <v>336</v>
      </c>
      <c r="G236" s="188">
        <v>708</v>
      </c>
      <c r="H236" s="188">
        <v>241</v>
      </c>
      <c r="I236" s="362">
        <v>637</v>
      </c>
      <c r="J236" s="44">
        <v>741</v>
      </c>
      <c r="K236" s="383">
        <v>59</v>
      </c>
      <c r="L236" s="390">
        <v>41</v>
      </c>
      <c r="M236" s="232">
        <f t="shared" si="453"/>
        <v>-30.5</v>
      </c>
      <c r="N236" s="383">
        <f t="shared" si="454"/>
        <v>31</v>
      </c>
      <c r="O236" s="390">
        <f t="shared" si="455"/>
        <v>117</v>
      </c>
      <c r="P236" s="242">
        <f t="shared" si="456"/>
        <v>277.39999999999998</v>
      </c>
      <c r="Q236" s="383">
        <v>90</v>
      </c>
      <c r="R236" s="390">
        <v>158</v>
      </c>
      <c r="S236" s="242">
        <f t="shared" si="457"/>
        <v>75.599999999999994</v>
      </c>
      <c r="T236" s="383">
        <f t="shared" si="458"/>
        <v>74</v>
      </c>
      <c r="U236" s="390">
        <f t="shared" si="459"/>
        <v>119</v>
      </c>
      <c r="V236" s="242">
        <f t="shared" si="460"/>
        <v>60.8</v>
      </c>
      <c r="W236" s="383">
        <v>164</v>
      </c>
      <c r="X236" s="390">
        <v>277</v>
      </c>
      <c r="Y236" s="242">
        <f t="shared" si="461"/>
        <v>68.900000000000006</v>
      </c>
      <c r="Z236" s="527">
        <f t="shared" si="462"/>
        <v>89</v>
      </c>
      <c r="AA236" s="390">
        <f t="shared" si="463"/>
        <v>30</v>
      </c>
      <c r="AB236" s="242">
        <f t="shared" si="464"/>
        <v>-66.3</v>
      </c>
      <c r="AC236" s="527">
        <v>253</v>
      </c>
      <c r="AD236" s="390">
        <v>307</v>
      </c>
      <c r="AE236" s="242">
        <f t="shared" si="465"/>
        <v>21.3</v>
      </c>
      <c r="AF236" s="527">
        <f t="shared" si="466"/>
        <v>91</v>
      </c>
      <c r="AG236" s="390">
        <f t="shared" si="466"/>
        <v>84</v>
      </c>
      <c r="AH236" s="242">
        <f t="shared" si="467"/>
        <v>-7.7</v>
      </c>
      <c r="AI236" s="527">
        <v>344</v>
      </c>
      <c r="AJ236" s="390">
        <v>391</v>
      </c>
      <c r="AK236" s="242">
        <f t="shared" si="468"/>
        <v>13.7</v>
      </c>
      <c r="AL236" s="527">
        <f t="shared" si="469"/>
        <v>93</v>
      </c>
      <c r="AM236" s="390">
        <f t="shared" si="470"/>
        <v>25</v>
      </c>
      <c r="AN236" s="242">
        <f t="shared" si="471"/>
        <v>-73.099999999999994</v>
      </c>
      <c r="AO236" s="817">
        <v>437</v>
      </c>
      <c r="AP236" s="819">
        <v>416</v>
      </c>
      <c r="AQ236" s="242">
        <f t="shared" si="472"/>
        <v>-4.8</v>
      </c>
      <c r="AR236" s="817">
        <f t="shared" si="473"/>
        <v>74</v>
      </c>
      <c r="AS236" s="819">
        <f t="shared" si="473"/>
        <v>54</v>
      </c>
      <c r="AT236" s="753">
        <f t="shared" si="474"/>
        <v>-27</v>
      </c>
      <c r="AU236" s="969">
        <v>511</v>
      </c>
      <c r="AV236" s="970">
        <v>470</v>
      </c>
      <c r="AW236" s="753">
        <f t="shared" si="475"/>
        <v>-8</v>
      </c>
      <c r="AX236" s="817">
        <f t="shared" si="476"/>
        <v>19</v>
      </c>
      <c r="AY236" s="819">
        <f t="shared" si="477"/>
        <v>0</v>
      </c>
      <c r="AZ236" s="753">
        <f t="shared" si="478"/>
        <v>-100</v>
      </c>
      <c r="BA236" s="817">
        <v>530</v>
      </c>
      <c r="BB236" s="819">
        <v>470</v>
      </c>
      <c r="BC236" s="753">
        <f t="shared" si="479"/>
        <v>-11.3</v>
      </c>
      <c r="BD236" s="817">
        <f t="shared" si="480"/>
        <v>70</v>
      </c>
      <c r="BE236" s="819">
        <f t="shared" si="480"/>
        <v>64</v>
      </c>
      <c r="BF236" s="753">
        <f t="shared" si="481"/>
        <v>-8.6</v>
      </c>
      <c r="BG236" s="817">
        <v>600</v>
      </c>
      <c r="BH236" s="819">
        <v>534</v>
      </c>
      <c r="BI236" s="753">
        <f t="shared" si="482"/>
        <v>-11</v>
      </c>
      <c r="BJ236" s="817">
        <f t="shared" si="483"/>
        <v>25</v>
      </c>
      <c r="BK236" s="819">
        <f t="shared" si="483"/>
        <v>74</v>
      </c>
      <c r="BL236" s="753">
        <f t="shared" si="484"/>
        <v>196</v>
      </c>
      <c r="BM236" s="817">
        <v>625</v>
      </c>
      <c r="BN236" s="819">
        <v>608</v>
      </c>
      <c r="BO236" s="753">
        <f t="shared" si="485"/>
        <v>-2.7</v>
      </c>
      <c r="BP236" s="817">
        <f t="shared" si="486"/>
        <v>59</v>
      </c>
      <c r="BQ236" s="819">
        <f t="shared" si="486"/>
        <v>37</v>
      </c>
      <c r="BR236" s="753">
        <f t="shared" si="487"/>
        <v>-37.299999999999997</v>
      </c>
      <c r="BS236" s="817">
        <v>684</v>
      </c>
      <c r="BT236" s="819">
        <v>645</v>
      </c>
      <c r="BU236" s="753">
        <f t="shared" si="488"/>
        <v>-5.7</v>
      </c>
    </row>
    <row r="237" spans="1:73">
      <c r="A237" s="4"/>
      <c r="B237" s="43" t="s">
        <v>59</v>
      </c>
      <c r="C237" s="188">
        <v>365</v>
      </c>
      <c r="D237" s="188">
        <v>411</v>
      </c>
      <c r="E237" s="188">
        <v>485</v>
      </c>
      <c r="F237" s="188">
        <v>479</v>
      </c>
      <c r="G237" s="188">
        <v>587</v>
      </c>
      <c r="H237" s="188">
        <v>596</v>
      </c>
      <c r="I237" s="362">
        <v>490</v>
      </c>
      <c r="J237" s="44">
        <v>540</v>
      </c>
      <c r="K237" s="383">
        <v>93</v>
      </c>
      <c r="L237" s="390">
        <v>11</v>
      </c>
      <c r="M237" s="232">
        <f t="shared" si="453"/>
        <v>-88.2</v>
      </c>
      <c r="N237" s="383">
        <f t="shared" si="454"/>
        <v>23</v>
      </c>
      <c r="O237" s="390">
        <f t="shared" si="455"/>
        <v>33</v>
      </c>
      <c r="P237" s="242">
        <f t="shared" si="456"/>
        <v>43.5</v>
      </c>
      <c r="Q237" s="383">
        <v>116</v>
      </c>
      <c r="R237" s="390">
        <v>44</v>
      </c>
      <c r="S237" s="242">
        <f t="shared" si="457"/>
        <v>-62.1</v>
      </c>
      <c r="T237" s="383">
        <f t="shared" si="458"/>
        <v>27</v>
      </c>
      <c r="U237" s="390">
        <f t="shared" si="459"/>
        <v>14</v>
      </c>
      <c r="V237" s="242">
        <f t="shared" si="460"/>
        <v>-48.1</v>
      </c>
      <c r="W237" s="383">
        <v>143</v>
      </c>
      <c r="X237" s="390">
        <v>58</v>
      </c>
      <c r="Y237" s="242">
        <f t="shared" si="461"/>
        <v>-59.4</v>
      </c>
      <c r="Z237" s="527">
        <f t="shared" si="462"/>
        <v>94</v>
      </c>
      <c r="AA237" s="390">
        <f t="shared" si="463"/>
        <v>21</v>
      </c>
      <c r="AB237" s="242">
        <f t="shared" si="464"/>
        <v>-77.7</v>
      </c>
      <c r="AC237" s="527">
        <v>237</v>
      </c>
      <c r="AD237" s="390">
        <v>79</v>
      </c>
      <c r="AE237" s="242">
        <f t="shared" si="465"/>
        <v>-66.7</v>
      </c>
      <c r="AF237" s="527">
        <f t="shared" si="466"/>
        <v>8</v>
      </c>
      <c r="AG237" s="390">
        <f t="shared" si="466"/>
        <v>5</v>
      </c>
      <c r="AH237" s="242">
        <f t="shared" si="467"/>
        <v>-37.5</v>
      </c>
      <c r="AI237" s="527">
        <v>245</v>
      </c>
      <c r="AJ237" s="390">
        <v>84</v>
      </c>
      <c r="AK237" s="242">
        <f t="shared" si="468"/>
        <v>-65.7</v>
      </c>
      <c r="AL237" s="527">
        <f t="shared" si="469"/>
        <v>64</v>
      </c>
      <c r="AM237" s="390">
        <f t="shared" si="470"/>
        <v>42</v>
      </c>
      <c r="AN237" s="242">
        <f t="shared" si="471"/>
        <v>-34.4</v>
      </c>
      <c r="AO237" s="817">
        <v>309</v>
      </c>
      <c r="AP237" s="819">
        <v>126</v>
      </c>
      <c r="AQ237" s="242">
        <f t="shared" si="472"/>
        <v>-59.2</v>
      </c>
      <c r="AR237" s="817">
        <f t="shared" si="473"/>
        <v>64</v>
      </c>
      <c r="AS237" s="819">
        <f t="shared" si="473"/>
        <v>42</v>
      </c>
      <c r="AT237" s="753">
        <f t="shared" si="474"/>
        <v>-34.4</v>
      </c>
      <c r="AU237" s="969">
        <v>373</v>
      </c>
      <c r="AV237" s="970">
        <v>168</v>
      </c>
      <c r="AW237" s="753">
        <f t="shared" si="475"/>
        <v>-55</v>
      </c>
      <c r="AX237" s="817">
        <f t="shared" si="476"/>
        <v>8</v>
      </c>
      <c r="AY237" s="819">
        <f t="shared" si="477"/>
        <v>6</v>
      </c>
      <c r="AZ237" s="753">
        <f t="shared" si="478"/>
        <v>-25</v>
      </c>
      <c r="BA237" s="817">
        <v>381</v>
      </c>
      <c r="BB237" s="819">
        <v>174</v>
      </c>
      <c r="BC237" s="753">
        <f t="shared" si="479"/>
        <v>-54.3</v>
      </c>
      <c r="BD237" s="817">
        <f t="shared" si="480"/>
        <v>68</v>
      </c>
      <c r="BE237" s="819">
        <f t="shared" si="480"/>
        <v>1</v>
      </c>
      <c r="BF237" s="753">
        <f t="shared" si="481"/>
        <v>-98.5</v>
      </c>
      <c r="BG237" s="817">
        <v>449</v>
      </c>
      <c r="BH237" s="819">
        <v>175</v>
      </c>
      <c r="BI237" s="753">
        <f t="shared" si="482"/>
        <v>-61</v>
      </c>
      <c r="BJ237" s="817">
        <f t="shared" si="483"/>
        <v>35</v>
      </c>
      <c r="BK237" s="819">
        <f t="shared" si="483"/>
        <v>1</v>
      </c>
      <c r="BL237" s="753">
        <f t="shared" si="484"/>
        <v>-97.1</v>
      </c>
      <c r="BM237" s="817">
        <v>484</v>
      </c>
      <c r="BN237" s="819">
        <v>176</v>
      </c>
      <c r="BO237" s="753">
        <f t="shared" si="485"/>
        <v>-63.6</v>
      </c>
      <c r="BP237" s="817">
        <f t="shared" si="486"/>
        <v>29</v>
      </c>
      <c r="BQ237" s="819">
        <f t="shared" si="486"/>
        <v>7</v>
      </c>
      <c r="BR237" s="753">
        <f t="shared" si="487"/>
        <v>-75.900000000000006</v>
      </c>
      <c r="BS237" s="817">
        <v>513</v>
      </c>
      <c r="BT237" s="819">
        <v>183</v>
      </c>
      <c r="BU237" s="753">
        <f t="shared" si="488"/>
        <v>-64.3</v>
      </c>
    </row>
    <row r="238" spans="1:73">
      <c r="A238" s="4"/>
      <c r="B238" s="43" t="s">
        <v>437</v>
      </c>
      <c r="C238" s="188">
        <v>122</v>
      </c>
      <c r="D238" s="188">
        <v>837</v>
      </c>
      <c r="E238" s="188">
        <v>142</v>
      </c>
      <c r="F238" s="188">
        <v>233</v>
      </c>
      <c r="G238" s="188">
        <v>283</v>
      </c>
      <c r="H238" s="188">
        <v>224</v>
      </c>
      <c r="I238" s="362">
        <v>311</v>
      </c>
      <c r="J238" s="44">
        <v>517</v>
      </c>
      <c r="K238" s="383">
        <v>27</v>
      </c>
      <c r="L238" s="390">
        <v>36</v>
      </c>
      <c r="M238" s="232">
        <f t="shared" si="453"/>
        <v>33.299999999999997</v>
      </c>
      <c r="N238" s="383">
        <f t="shared" si="454"/>
        <v>63</v>
      </c>
      <c r="O238" s="390">
        <f t="shared" si="455"/>
        <v>36</v>
      </c>
      <c r="P238" s="242">
        <f t="shared" si="456"/>
        <v>-42.9</v>
      </c>
      <c r="Q238" s="383">
        <v>90</v>
      </c>
      <c r="R238" s="390">
        <v>72</v>
      </c>
      <c r="S238" s="242">
        <f t="shared" si="457"/>
        <v>-20</v>
      </c>
      <c r="T238" s="383">
        <f t="shared" si="458"/>
        <v>114</v>
      </c>
      <c r="U238" s="390">
        <f t="shared" si="459"/>
        <v>80</v>
      </c>
      <c r="V238" s="242">
        <f t="shared" si="460"/>
        <v>-29.8</v>
      </c>
      <c r="W238" s="383">
        <v>204</v>
      </c>
      <c r="X238" s="390">
        <v>152</v>
      </c>
      <c r="Y238" s="242">
        <f t="shared" si="461"/>
        <v>-25.5</v>
      </c>
      <c r="Z238" s="527">
        <f t="shared" si="462"/>
        <v>9</v>
      </c>
      <c r="AA238" s="390">
        <f t="shared" si="463"/>
        <v>126</v>
      </c>
      <c r="AB238" s="242">
        <f t="shared" si="464"/>
        <v>1300</v>
      </c>
      <c r="AC238" s="527">
        <v>213</v>
      </c>
      <c r="AD238" s="390">
        <v>278</v>
      </c>
      <c r="AE238" s="242">
        <f t="shared" si="465"/>
        <v>30.5</v>
      </c>
      <c r="AF238" s="527">
        <f t="shared" si="466"/>
        <v>21</v>
      </c>
      <c r="AG238" s="390">
        <f t="shared" si="466"/>
        <v>17</v>
      </c>
      <c r="AH238" s="242">
        <f t="shared" si="467"/>
        <v>-19</v>
      </c>
      <c r="AI238" s="527">
        <v>234</v>
      </c>
      <c r="AJ238" s="390">
        <v>295</v>
      </c>
      <c r="AK238" s="242">
        <f t="shared" si="468"/>
        <v>26.1</v>
      </c>
      <c r="AL238" s="527">
        <f t="shared" si="469"/>
        <v>0</v>
      </c>
      <c r="AM238" s="390">
        <f t="shared" si="470"/>
        <v>38</v>
      </c>
      <c r="AN238" s="799">
        <v>0</v>
      </c>
      <c r="AO238" s="817">
        <v>234</v>
      </c>
      <c r="AP238" s="819">
        <v>333</v>
      </c>
      <c r="AQ238" s="242">
        <f t="shared" si="472"/>
        <v>42.3</v>
      </c>
      <c r="AR238" s="817">
        <f t="shared" si="473"/>
        <v>30</v>
      </c>
      <c r="AS238" s="819">
        <f t="shared" si="473"/>
        <v>103</v>
      </c>
      <c r="AT238" s="753">
        <f t="shared" si="474"/>
        <v>243.3</v>
      </c>
      <c r="AU238" s="969">
        <v>264</v>
      </c>
      <c r="AV238" s="970">
        <v>436</v>
      </c>
      <c r="AW238" s="753">
        <f t="shared" si="475"/>
        <v>65.2</v>
      </c>
      <c r="AX238" s="817">
        <f t="shared" si="476"/>
        <v>21</v>
      </c>
      <c r="AY238" s="819">
        <f t="shared" si="477"/>
        <v>22</v>
      </c>
      <c r="AZ238" s="753">
        <f t="shared" si="478"/>
        <v>4.8</v>
      </c>
      <c r="BA238" s="817">
        <v>285</v>
      </c>
      <c r="BB238" s="819">
        <v>458</v>
      </c>
      <c r="BC238" s="753">
        <f t="shared" si="479"/>
        <v>60.7</v>
      </c>
      <c r="BD238" s="817">
        <f t="shared" si="480"/>
        <v>52</v>
      </c>
      <c r="BE238" s="819">
        <f t="shared" si="480"/>
        <v>0</v>
      </c>
      <c r="BF238" s="753">
        <f t="shared" si="481"/>
        <v>-100</v>
      </c>
      <c r="BG238" s="817">
        <v>337</v>
      </c>
      <c r="BH238" s="819">
        <v>458</v>
      </c>
      <c r="BI238" s="753">
        <f t="shared" si="482"/>
        <v>35.9</v>
      </c>
      <c r="BJ238" s="817">
        <f t="shared" si="483"/>
        <v>80</v>
      </c>
      <c r="BK238" s="819">
        <f t="shared" si="483"/>
        <v>33</v>
      </c>
      <c r="BL238" s="753">
        <f t="shared" si="484"/>
        <v>-58.8</v>
      </c>
      <c r="BM238" s="817">
        <v>417</v>
      </c>
      <c r="BN238" s="819">
        <v>491</v>
      </c>
      <c r="BO238" s="753">
        <f t="shared" si="485"/>
        <v>17.7</v>
      </c>
      <c r="BP238" s="817">
        <f t="shared" si="486"/>
        <v>55</v>
      </c>
      <c r="BQ238" s="819">
        <f t="shared" si="486"/>
        <v>1</v>
      </c>
      <c r="BR238" s="753">
        <f t="shared" si="487"/>
        <v>-98.2</v>
      </c>
      <c r="BS238" s="817">
        <v>472</v>
      </c>
      <c r="BT238" s="819">
        <v>492</v>
      </c>
      <c r="BU238" s="753">
        <f t="shared" si="488"/>
        <v>4.2</v>
      </c>
    </row>
    <row r="239" spans="1:73">
      <c r="A239" s="4"/>
      <c r="B239" s="43" t="s">
        <v>57</v>
      </c>
      <c r="C239" s="188">
        <v>1267</v>
      </c>
      <c r="D239" s="188">
        <v>937</v>
      </c>
      <c r="E239" s="188">
        <v>608</v>
      </c>
      <c r="F239" s="188">
        <v>478</v>
      </c>
      <c r="G239" s="188">
        <v>387</v>
      </c>
      <c r="H239" s="188">
        <v>355</v>
      </c>
      <c r="I239" s="362">
        <v>395</v>
      </c>
      <c r="J239" s="44">
        <v>469</v>
      </c>
      <c r="K239" s="383">
        <v>0</v>
      </c>
      <c r="L239" s="390">
        <v>25</v>
      </c>
      <c r="M239" s="177">
        <v>0</v>
      </c>
      <c r="N239" s="383">
        <f t="shared" si="454"/>
        <v>28</v>
      </c>
      <c r="O239" s="390">
        <f t="shared" si="455"/>
        <v>142</v>
      </c>
      <c r="P239" s="242">
        <f>ROUND(((O239/N239-1)*100), 1)</f>
        <v>407.1</v>
      </c>
      <c r="Q239" s="383">
        <v>28</v>
      </c>
      <c r="R239" s="390">
        <v>167</v>
      </c>
      <c r="S239" s="242">
        <f>ROUND(((R239/Q239-1)*100), 1)</f>
        <v>496.4</v>
      </c>
      <c r="T239" s="383">
        <f t="shared" si="458"/>
        <v>23</v>
      </c>
      <c r="U239" s="390">
        <f t="shared" si="459"/>
        <v>158</v>
      </c>
      <c r="V239" s="242">
        <f>ROUND(((U239/T239-1)*100), 1)</f>
        <v>587</v>
      </c>
      <c r="W239" s="383">
        <v>51</v>
      </c>
      <c r="X239" s="390">
        <v>325</v>
      </c>
      <c r="Y239" s="242">
        <f>ROUND(((X239/W239-1)*100), 1)</f>
        <v>537.29999999999995</v>
      </c>
      <c r="Z239" s="527">
        <f t="shared" si="462"/>
        <v>14</v>
      </c>
      <c r="AA239" s="390">
        <f t="shared" si="463"/>
        <v>23</v>
      </c>
      <c r="AB239" s="242">
        <f>ROUND(((AA239/Z239-1)*100), 1)</f>
        <v>64.3</v>
      </c>
      <c r="AC239" s="527">
        <v>65</v>
      </c>
      <c r="AD239" s="390">
        <v>348</v>
      </c>
      <c r="AE239" s="242">
        <f>ROUND(((AD239/AC239-1)*100), 1)</f>
        <v>435.4</v>
      </c>
      <c r="AF239" s="527">
        <f t="shared" si="466"/>
        <v>38</v>
      </c>
      <c r="AG239" s="390">
        <f t="shared" si="466"/>
        <v>42</v>
      </c>
      <c r="AH239" s="242">
        <f>ROUND(((AG239/AF239-1)*100), 1)</f>
        <v>10.5</v>
      </c>
      <c r="AI239" s="527">
        <v>103</v>
      </c>
      <c r="AJ239" s="390">
        <v>390</v>
      </c>
      <c r="AK239" s="242">
        <f>ROUND(((AJ239/AI239-1)*100), 1)</f>
        <v>278.60000000000002</v>
      </c>
      <c r="AL239" s="527">
        <f t="shared" si="469"/>
        <v>48</v>
      </c>
      <c r="AM239" s="390">
        <f t="shared" si="470"/>
        <v>33</v>
      </c>
      <c r="AN239" s="242">
        <f>ROUND(((AM239/AL239-1)*100), 1)</f>
        <v>-31.3</v>
      </c>
      <c r="AO239" s="817">
        <v>151</v>
      </c>
      <c r="AP239" s="819">
        <v>423</v>
      </c>
      <c r="AQ239" s="242">
        <f>ROUND(((AP239/AO239-1)*100), 1)</f>
        <v>180.1</v>
      </c>
      <c r="AR239" s="817">
        <f t="shared" si="473"/>
        <v>29</v>
      </c>
      <c r="AS239" s="819">
        <f t="shared" si="473"/>
        <v>54</v>
      </c>
      <c r="AT239" s="753">
        <f t="shared" si="474"/>
        <v>86.2</v>
      </c>
      <c r="AU239" s="969">
        <v>180</v>
      </c>
      <c r="AV239" s="970">
        <v>477</v>
      </c>
      <c r="AW239" s="753">
        <f>ROUND(((AV239/AU239-1)*100), 1)</f>
        <v>165</v>
      </c>
      <c r="AX239" s="817">
        <f t="shared" si="476"/>
        <v>40</v>
      </c>
      <c r="AY239" s="819">
        <f t="shared" si="477"/>
        <v>47</v>
      </c>
      <c r="AZ239" s="753">
        <f t="shared" si="478"/>
        <v>17.5</v>
      </c>
      <c r="BA239" s="817">
        <v>220</v>
      </c>
      <c r="BB239" s="819">
        <v>524</v>
      </c>
      <c r="BC239" s="753">
        <f>ROUND(((BB239/BA239-1)*100), 1)</f>
        <v>138.19999999999999</v>
      </c>
      <c r="BD239" s="817">
        <f t="shared" si="480"/>
        <v>24</v>
      </c>
      <c r="BE239" s="819">
        <f t="shared" si="480"/>
        <v>20</v>
      </c>
      <c r="BF239" s="753">
        <f t="shared" si="481"/>
        <v>-16.7</v>
      </c>
      <c r="BG239" s="817">
        <v>244</v>
      </c>
      <c r="BH239" s="819">
        <v>544</v>
      </c>
      <c r="BI239" s="753">
        <f>ROUND(((BH239/BG239-1)*100), 1)</f>
        <v>123</v>
      </c>
      <c r="BJ239" s="817">
        <f t="shared" si="483"/>
        <v>115</v>
      </c>
      <c r="BK239" s="819">
        <f t="shared" si="483"/>
        <v>42</v>
      </c>
      <c r="BL239" s="753">
        <f t="shared" si="484"/>
        <v>-63.5</v>
      </c>
      <c r="BM239" s="817">
        <v>359</v>
      </c>
      <c r="BN239" s="819">
        <v>586</v>
      </c>
      <c r="BO239" s="753">
        <f>ROUND(((BN239/BM239-1)*100), 1)</f>
        <v>63.2</v>
      </c>
      <c r="BP239" s="817">
        <f t="shared" si="486"/>
        <v>80</v>
      </c>
      <c r="BQ239" s="819">
        <f t="shared" si="486"/>
        <v>23</v>
      </c>
      <c r="BR239" s="753">
        <f t="shared" si="487"/>
        <v>-71.3</v>
      </c>
      <c r="BS239" s="817">
        <v>439</v>
      </c>
      <c r="BT239" s="819">
        <v>609</v>
      </c>
      <c r="BU239" s="753">
        <f>ROUND(((BT239/BS239-1)*100), 1)</f>
        <v>38.700000000000003</v>
      </c>
    </row>
    <row r="240" spans="1:73">
      <c r="A240" s="4"/>
      <c r="B240" s="43" t="s">
        <v>51</v>
      </c>
      <c r="C240" s="188">
        <v>138</v>
      </c>
      <c r="D240" s="188">
        <v>143</v>
      </c>
      <c r="E240" s="188">
        <v>205</v>
      </c>
      <c r="F240" s="188">
        <v>475</v>
      </c>
      <c r="G240" s="188">
        <v>563</v>
      </c>
      <c r="H240" s="188">
        <v>565</v>
      </c>
      <c r="I240" s="362">
        <v>507</v>
      </c>
      <c r="J240" s="44">
        <v>432</v>
      </c>
      <c r="K240" s="383">
        <v>17</v>
      </c>
      <c r="L240" s="390">
        <v>67</v>
      </c>
      <c r="M240" s="232">
        <f t="shared" ref="M240:M245" si="489">ROUND(((L240/K240-1)*100), 1)</f>
        <v>294.10000000000002</v>
      </c>
      <c r="N240" s="383">
        <f t="shared" si="454"/>
        <v>62</v>
      </c>
      <c r="O240" s="390">
        <f t="shared" si="455"/>
        <v>64</v>
      </c>
      <c r="P240" s="242">
        <f t="shared" ref="P240:P245" si="490">ROUND(((O240/N240-1)*100), 1)</f>
        <v>3.2</v>
      </c>
      <c r="Q240" s="383">
        <v>79</v>
      </c>
      <c r="R240" s="390">
        <v>131</v>
      </c>
      <c r="S240" s="242">
        <f t="shared" ref="S240:S245" si="491">ROUND(((R240/Q240-1)*100), 1)</f>
        <v>65.8</v>
      </c>
      <c r="T240" s="383">
        <f t="shared" si="458"/>
        <v>8</v>
      </c>
      <c r="U240" s="390">
        <f t="shared" si="459"/>
        <v>78</v>
      </c>
      <c r="V240" s="242">
        <f t="shared" ref="V240:V244" si="492">ROUND(((U240/T240-1)*100), 1)</f>
        <v>875</v>
      </c>
      <c r="W240" s="383">
        <v>87</v>
      </c>
      <c r="X240" s="390">
        <v>209</v>
      </c>
      <c r="Y240" s="242">
        <f t="shared" ref="Y240:Y245" si="493">ROUND(((X240/W240-1)*100), 1)</f>
        <v>140.19999999999999</v>
      </c>
      <c r="Z240" s="527">
        <f t="shared" si="462"/>
        <v>33</v>
      </c>
      <c r="AA240" s="390">
        <f t="shared" si="463"/>
        <v>52</v>
      </c>
      <c r="AB240" s="242">
        <f t="shared" ref="AB240:AB243" si="494">ROUND(((AA240/Z240-1)*100), 1)</f>
        <v>57.6</v>
      </c>
      <c r="AC240" s="527">
        <v>120</v>
      </c>
      <c r="AD240" s="390">
        <v>261</v>
      </c>
      <c r="AE240" s="242">
        <f t="shared" ref="AE240:AE245" si="495">ROUND(((AD240/AC240-1)*100), 1)</f>
        <v>117.5</v>
      </c>
      <c r="AF240" s="527">
        <f t="shared" si="466"/>
        <v>12</v>
      </c>
      <c r="AG240" s="390">
        <f t="shared" si="466"/>
        <v>32</v>
      </c>
      <c r="AH240" s="242">
        <f t="shared" ref="AH240:AH244" si="496">ROUND(((AG240/AF240-1)*100), 1)</f>
        <v>166.7</v>
      </c>
      <c r="AI240" s="527">
        <v>132</v>
      </c>
      <c r="AJ240" s="390">
        <v>293</v>
      </c>
      <c r="AK240" s="242">
        <f t="shared" ref="AK240:AK245" si="497">ROUND(((AJ240/AI240-1)*100), 1)</f>
        <v>122</v>
      </c>
      <c r="AL240" s="527">
        <f t="shared" si="469"/>
        <v>16</v>
      </c>
      <c r="AM240" s="390">
        <f t="shared" si="470"/>
        <v>64</v>
      </c>
      <c r="AN240" s="242">
        <f t="shared" ref="AN240:AN244" si="498">ROUND(((AM240/AL240-1)*100), 1)</f>
        <v>300</v>
      </c>
      <c r="AO240" s="817">
        <v>148</v>
      </c>
      <c r="AP240" s="819">
        <v>357</v>
      </c>
      <c r="AQ240" s="242">
        <f t="shared" ref="AQ240:AQ245" si="499">ROUND(((AP240/AO240-1)*100), 1)</f>
        <v>141.19999999999999</v>
      </c>
      <c r="AR240" s="817">
        <f t="shared" si="473"/>
        <v>60</v>
      </c>
      <c r="AS240" s="819">
        <f t="shared" si="473"/>
        <v>94</v>
      </c>
      <c r="AT240" s="753">
        <f t="shared" si="474"/>
        <v>56.7</v>
      </c>
      <c r="AU240" s="969">
        <v>208</v>
      </c>
      <c r="AV240" s="970">
        <v>451</v>
      </c>
      <c r="AW240" s="753">
        <f t="shared" ref="AW240:AW245" si="500">ROUND(((AV240/AU240-1)*100), 1)</f>
        <v>116.8</v>
      </c>
      <c r="AX240" s="817">
        <f t="shared" si="476"/>
        <v>11</v>
      </c>
      <c r="AY240" s="819">
        <f t="shared" si="477"/>
        <v>36</v>
      </c>
      <c r="AZ240" s="753">
        <f t="shared" si="478"/>
        <v>227.3</v>
      </c>
      <c r="BA240" s="817">
        <v>219</v>
      </c>
      <c r="BB240" s="819">
        <v>487</v>
      </c>
      <c r="BC240" s="753">
        <f t="shared" ref="BC240:BC245" si="501">ROUND(((BB240/BA240-1)*100), 1)</f>
        <v>122.4</v>
      </c>
      <c r="BD240" s="817">
        <f t="shared" si="480"/>
        <v>44</v>
      </c>
      <c r="BE240" s="819">
        <f t="shared" si="480"/>
        <v>47</v>
      </c>
      <c r="BF240" s="753">
        <f t="shared" si="481"/>
        <v>6.8</v>
      </c>
      <c r="BG240" s="817">
        <v>263</v>
      </c>
      <c r="BH240" s="819">
        <v>534</v>
      </c>
      <c r="BI240" s="753">
        <f t="shared" ref="BI240:BI245" si="502">ROUND(((BH240/BG240-1)*100), 1)</f>
        <v>103</v>
      </c>
      <c r="BJ240" s="817">
        <f t="shared" si="483"/>
        <v>65</v>
      </c>
      <c r="BK240" s="819">
        <f t="shared" si="483"/>
        <v>10</v>
      </c>
      <c r="BL240" s="753">
        <f t="shared" si="484"/>
        <v>-84.6</v>
      </c>
      <c r="BM240" s="817">
        <v>328</v>
      </c>
      <c r="BN240" s="819">
        <v>544</v>
      </c>
      <c r="BO240" s="753">
        <f t="shared" ref="BO240:BO245" si="503">ROUND(((BN240/BM240-1)*100), 1)</f>
        <v>65.900000000000006</v>
      </c>
      <c r="BP240" s="817">
        <f t="shared" si="486"/>
        <v>48</v>
      </c>
      <c r="BQ240" s="819">
        <f t="shared" si="486"/>
        <v>50</v>
      </c>
      <c r="BR240" s="753">
        <f t="shared" si="487"/>
        <v>4.2</v>
      </c>
      <c r="BS240" s="817">
        <v>376</v>
      </c>
      <c r="BT240" s="819">
        <v>594</v>
      </c>
      <c r="BU240" s="753">
        <f t="shared" ref="BU240:BU245" si="504">ROUND(((BT240/BS240-1)*100), 1)</f>
        <v>58</v>
      </c>
    </row>
    <row r="241" spans="1:73">
      <c r="A241" s="4"/>
      <c r="B241" s="43" t="s">
        <v>436</v>
      </c>
      <c r="C241" s="188">
        <v>218</v>
      </c>
      <c r="D241" s="188">
        <v>1943</v>
      </c>
      <c r="E241" s="188">
        <v>423</v>
      </c>
      <c r="F241" s="188">
        <v>245</v>
      </c>
      <c r="G241" s="188">
        <v>421</v>
      </c>
      <c r="H241" s="188">
        <v>331</v>
      </c>
      <c r="I241" s="362">
        <v>497</v>
      </c>
      <c r="J241" s="44">
        <v>420</v>
      </c>
      <c r="K241" s="383">
        <v>31</v>
      </c>
      <c r="L241" s="390">
        <v>18</v>
      </c>
      <c r="M241" s="232">
        <f t="shared" si="489"/>
        <v>-41.9</v>
      </c>
      <c r="N241" s="383">
        <f t="shared" si="454"/>
        <v>46</v>
      </c>
      <c r="O241" s="390">
        <f t="shared" si="455"/>
        <v>24</v>
      </c>
      <c r="P241" s="242">
        <f t="shared" si="490"/>
        <v>-47.8</v>
      </c>
      <c r="Q241" s="383">
        <v>77</v>
      </c>
      <c r="R241" s="390">
        <v>42</v>
      </c>
      <c r="S241" s="242">
        <f t="shared" si="491"/>
        <v>-45.5</v>
      </c>
      <c r="T241" s="383">
        <f t="shared" si="458"/>
        <v>39</v>
      </c>
      <c r="U241" s="390">
        <f t="shared" si="459"/>
        <v>55</v>
      </c>
      <c r="V241" s="242">
        <f t="shared" si="492"/>
        <v>41</v>
      </c>
      <c r="W241" s="383">
        <v>116</v>
      </c>
      <c r="X241" s="390">
        <v>97</v>
      </c>
      <c r="Y241" s="242">
        <f t="shared" si="493"/>
        <v>-16.399999999999999</v>
      </c>
      <c r="Z241" s="527">
        <f t="shared" si="462"/>
        <v>63</v>
      </c>
      <c r="AA241" s="390">
        <f t="shared" si="463"/>
        <v>36</v>
      </c>
      <c r="AB241" s="242">
        <f t="shared" si="494"/>
        <v>-42.9</v>
      </c>
      <c r="AC241" s="527">
        <v>179</v>
      </c>
      <c r="AD241" s="390">
        <v>133</v>
      </c>
      <c r="AE241" s="242">
        <f t="shared" si="495"/>
        <v>-25.7</v>
      </c>
      <c r="AF241" s="527">
        <f t="shared" si="466"/>
        <v>8</v>
      </c>
      <c r="AG241" s="390">
        <f t="shared" si="466"/>
        <v>41</v>
      </c>
      <c r="AH241" s="242">
        <f t="shared" si="496"/>
        <v>412.5</v>
      </c>
      <c r="AI241" s="527">
        <v>187</v>
      </c>
      <c r="AJ241" s="390">
        <v>174</v>
      </c>
      <c r="AK241" s="242">
        <f t="shared" si="497"/>
        <v>-7</v>
      </c>
      <c r="AL241" s="527">
        <f t="shared" si="469"/>
        <v>41</v>
      </c>
      <c r="AM241" s="390">
        <f t="shared" si="470"/>
        <v>45</v>
      </c>
      <c r="AN241" s="242">
        <f t="shared" si="498"/>
        <v>9.8000000000000007</v>
      </c>
      <c r="AO241" s="817">
        <v>228</v>
      </c>
      <c r="AP241" s="819">
        <v>219</v>
      </c>
      <c r="AQ241" s="242">
        <f t="shared" si="499"/>
        <v>-3.9</v>
      </c>
      <c r="AR241" s="817">
        <f t="shared" si="473"/>
        <v>18</v>
      </c>
      <c r="AS241" s="819">
        <f t="shared" si="473"/>
        <v>33</v>
      </c>
      <c r="AT241" s="753">
        <f t="shared" si="474"/>
        <v>83.3</v>
      </c>
      <c r="AU241" s="969">
        <v>246</v>
      </c>
      <c r="AV241" s="970">
        <v>252</v>
      </c>
      <c r="AW241" s="753">
        <f t="shared" si="500"/>
        <v>2.4</v>
      </c>
      <c r="AX241" s="817">
        <f t="shared" si="476"/>
        <v>72</v>
      </c>
      <c r="AY241" s="819">
        <f t="shared" si="477"/>
        <v>11</v>
      </c>
      <c r="AZ241" s="753">
        <f t="shared" si="478"/>
        <v>-84.7</v>
      </c>
      <c r="BA241" s="817">
        <v>318</v>
      </c>
      <c r="BB241" s="819">
        <v>263</v>
      </c>
      <c r="BC241" s="753">
        <f t="shared" si="501"/>
        <v>-17.3</v>
      </c>
      <c r="BD241" s="817">
        <f t="shared" si="480"/>
        <v>4</v>
      </c>
      <c r="BE241" s="819">
        <f t="shared" si="480"/>
        <v>23</v>
      </c>
      <c r="BF241" s="753">
        <f t="shared" si="481"/>
        <v>475</v>
      </c>
      <c r="BG241" s="817">
        <v>322</v>
      </c>
      <c r="BH241" s="819">
        <v>286</v>
      </c>
      <c r="BI241" s="753">
        <f t="shared" si="502"/>
        <v>-11.2</v>
      </c>
      <c r="BJ241" s="817">
        <f t="shared" si="483"/>
        <v>48</v>
      </c>
      <c r="BK241" s="819">
        <f t="shared" si="483"/>
        <v>20</v>
      </c>
      <c r="BL241" s="753">
        <f t="shared" si="484"/>
        <v>-58.3</v>
      </c>
      <c r="BM241" s="817">
        <v>370</v>
      </c>
      <c r="BN241" s="819">
        <v>306</v>
      </c>
      <c r="BO241" s="753">
        <f t="shared" si="503"/>
        <v>-17.3</v>
      </c>
      <c r="BP241" s="817">
        <f t="shared" si="486"/>
        <v>0</v>
      </c>
      <c r="BQ241" s="819">
        <f t="shared" si="486"/>
        <v>28</v>
      </c>
      <c r="BR241" s="799">
        <v>0</v>
      </c>
      <c r="BS241" s="817">
        <v>370</v>
      </c>
      <c r="BT241" s="819">
        <v>334</v>
      </c>
      <c r="BU241" s="753">
        <f t="shared" si="504"/>
        <v>-9.6999999999999993</v>
      </c>
    </row>
    <row r="242" spans="1:73">
      <c r="A242" s="4"/>
      <c r="B242" s="43" t="s">
        <v>56</v>
      </c>
      <c r="C242" s="188">
        <v>1062</v>
      </c>
      <c r="D242" s="188">
        <v>666</v>
      </c>
      <c r="E242" s="188">
        <v>523</v>
      </c>
      <c r="F242" s="188">
        <v>635</v>
      </c>
      <c r="G242" s="188">
        <v>651</v>
      </c>
      <c r="H242" s="188">
        <v>496</v>
      </c>
      <c r="I242" s="362">
        <v>448</v>
      </c>
      <c r="J242" s="44">
        <v>416</v>
      </c>
      <c r="K242" s="383">
        <v>18</v>
      </c>
      <c r="L242" s="390">
        <v>14</v>
      </c>
      <c r="M242" s="232">
        <f t="shared" si="489"/>
        <v>-22.2</v>
      </c>
      <c r="N242" s="383">
        <f t="shared" si="454"/>
        <v>51</v>
      </c>
      <c r="O242" s="390">
        <f t="shared" si="455"/>
        <v>109</v>
      </c>
      <c r="P242" s="242">
        <f t="shared" si="490"/>
        <v>113.7</v>
      </c>
      <c r="Q242" s="383">
        <v>69</v>
      </c>
      <c r="R242" s="390">
        <v>123</v>
      </c>
      <c r="S242" s="242">
        <f t="shared" si="491"/>
        <v>78.3</v>
      </c>
      <c r="T242" s="383">
        <f t="shared" si="458"/>
        <v>9</v>
      </c>
      <c r="U242" s="390">
        <f t="shared" si="459"/>
        <v>95</v>
      </c>
      <c r="V242" s="242">
        <f t="shared" si="492"/>
        <v>955.6</v>
      </c>
      <c r="W242" s="383">
        <v>78</v>
      </c>
      <c r="X242" s="390">
        <v>218</v>
      </c>
      <c r="Y242" s="242">
        <f t="shared" si="493"/>
        <v>179.5</v>
      </c>
      <c r="Z242" s="527">
        <f t="shared" si="462"/>
        <v>74</v>
      </c>
      <c r="AA242" s="390">
        <f t="shared" si="463"/>
        <v>10</v>
      </c>
      <c r="AB242" s="242">
        <f t="shared" si="494"/>
        <v>-86.5</v>
      </c>
      <c r="AC242" s="527">
        <v>152</v>
      </c>
      <c r="AD242" s="390">
        <v>228</v>
      </c>
      <c r="AE242" s="242">
        <f t="shared" si="495"/>
        <v>50</v>
      </c>
      <c r="AF242" s="527">
        <f t="shared" si="466"/>
        <v>24</v>
      </c>
      <c r="AG242" s="390">
        <f t="shared" si="466"/>
        <v>49</v>
      </c>
      <c r="AH242" s="242">
        <f t="shared" si="496"/>
        <v>104.2</v>
      </c>
      <c r="AI242" s="527">
        <v>176</v>
      </c>
      <c r="AJ242" s="390">
        <v>277</v>
      </c>
      <c r="AK242" s="242">
        <f t="shared" si="497"/>
        <v>57.4</v>
      </c>
      <c r="AL242" s="527">
        <f t="shared" si="469"/>
        <v>41</v>
      </c>
      <c r="AM242" s="390">
        <f t="shared" si="470"/>
        <v>21</v>
      </c>
      <c r="AN242" s="242">
        <f t="shared" si="498"/>
        <v>-48.8</v>
      </c>
      <c r="AO242" s="817">
        <v>217</v>
      </c>
      <c r="AP242" s="819">
        <v>298</v>
      </c>
      <c r="AQ242" s="242">
        <f t="shared" si="499"/>
        <v>37.299999999999997</v>
      </c>
      <c r="AR242" s="817">
        <f t="shared" si="473"/>
        <v>10</v>
      </c>
      <c r="AS242" s="819">
        <f t="shared" si="473"/>
        <v>30</v>
      </c>
      <c r="AT242" s="753">
        <f t="shared" si="474"/>
        <v>200</v>
      </c>
      <c r="AU242" s="969">
        <v>227</v>
      </c>
      <c r="AV242" s="970">
        <v>328</v>
      </c>
      <c r="AW242" s="753">
        <f t="shared" si="500"/>
        <v>44.5</v>
      </c>
      <c r="AX242" s="817">
        <f t="shared" si="476"/>
        <v>50</v>
      </c>
      <c r="AY242" s="819">
        <f t="shared" si="477"/>
        <v>1</v>
      </c>
      <c r="AZ242" s="753">
        <f t="shared" si="478"/>
        <v>-98</v>
      </c>
      <c r="BA242" s="817">
        <v>277</v>
      </c>
      <c r="BB242" s="819">
        <v>329</v>
      </c>
      <c r="BC242" s="753">
        <f t="shared" si="501"/>
        <v>18.8</v>
      </c>
      <c r="BD242" s="817">
        <f t="shared" si="480"/>
        <v>35</v>
      </c>
      <c r="BE242" s="819">
        <f t="shared" si="480"/>
        <v>11</v>
      </c>
      <c r="BF242" s="753">
        <f t="shared" si="481"/>
        <v>-68.599999999999994</v>
      </c>
      <c r="BG242" s="817">
        <v>312</v>
      </c>
      <c r="BH242" s="819">
        <v>340</v>
      </c>
      <c r="BI242" s="753">
        <f t="shared" si="502"/>
        <v>9</v>
      </c>
      <c r="BJ242" s="817">
        <f t="shared" si="483"/>
        <v>56</v>
      </c>
      <c r="BK242" s="819">
        <f t="shared" si="483"/>
        <v>23</v>
      </c>
      <c r="BL242" s="753">
        <f t="shared" si="484"/>
        <v>-58.9</v>
      </c>
      <c r="BM242" s="817">
        <v>368</v>
      </c>
      <c r="BN242" s="819">
        <v>363</v>
      </c>
      <c r="BO242" s="753">
        <f t="shared" si="503"/>
        <v>-1.4</v>
      </c>
      <c r="BP242" s="817">
        <f t="shared" si="486"/>
        <v>29</v>
      </c>
      <c r="BQ242" s="819">
        <f t="shared" si="486"/>
        <v>47</v>
      </c>
      <c r="BR242" s="753">
        <f t="shared" si="487"/>
        <v>62.1</v>
      </c>
      <c r="BS242" s="817">
        <v>397</v>
      </c>
      <c r="BT242" s="819">
        <v>410</v>
      </c>
      <c r="BU242" s="753">
        <f t="shared" si="504"/>
        <v>3.3</v>
      </c>
    </row>
    <row r="243" spans="1:73">
      <c r="A243" s="4"/>
      <c r="B243" s="43" t="s">
        <v>435</v>
      </c>
      <c r="C243" s="188">
        <v>765</v>
      </c>
      <c r="D243" s="188">
        <v>1070</v>
      </c>
      <c r="E243" s="188">
        <v>947</v>
      </c>
      <c r="F243" s="188">
        <v>1140</v>
      </c>
      <c r="G243" s="188">
        <v>1241</v>
      </c>
      <c r="H243" s="188">
        <v>546</v>
      </c>
      <c r="I243" s="362">
        <v>588</v>
      </c>
      <c r="J243" s="44">
        <v>400</v>
      </c>
      <c r="K243" s="383">
        <v>41</v>
      </c>
      <c r="L243" s="390">
        <v>20</v>
      </c>
      <c r="M243" s="232">
        <f t="shared" si="489"/>
        <v>-51.2</v>
      </c>
      <c r="N243" s="383">
        <f t="shared" si="454"/>
        <v>35</v>
      </c>
      <c r="O243" s="390">
        <f t="shared" si="455"/>
        <v>48</v>
      </c>
      <c r="P243" s="242">
        <f t="shared" si="490"/>
        <v>37.1</v>
      </c>
      <c r="Q243" s="383">
        <v>76</v>
      </c>
      <c r="R243" s="390">
        <v>68</v>
      </c>
      <c r="S243" s="242">
        <f t="shared" si="491"/>
        <v>-10.5</v>
      </c>
      <c r="T243" s="383">
        <f t="shared" si="458"/>
        <v>4</v>
      </c>
      <c r="U243" s="390">
        <f t="shared" si="459"/>
        <v>19</v>
      </c>
      <c r="V243" s="242">
        <f t="shared" si="492"/>
        <v>375</v>
      </c>
      <c r="W243" s="383">
        <v>80</v>
      </c>
      <c r="X243" s="390">
        <v>87</v>
      </c>
      <c r="Y243" s="242">
        <f t="shared" si="493"/>
        <v>8.6999999999999993</v>
      </c>
      <c r="Z243" s="527">
        <f t="shared" si="462"/>
        <v>80</v>
      </c>
      <c r="AA243" s="390">
        <f t="shared" si="463"/>
        <v>24</v>
      </c>
      <c r="AB243" s="242">
        <f t="shared" si="494"/>
        <v>-70</v>
      </c>
      <c r="AC243" s="527">
        <v>160</v>
      </c>
      <c r="AD243" s="390">
        <v>111</v>
      </c>
      <c r="AE243" s="242">
        <f t="shared" si="495"/>
        <v>-30.6</v>
      </c>
      <c r="AF243" s="527">
        <f t="shared" si="466"/>
        <v>12</v>
      </c>
      <c r="AG243" s="390">
        <f t="shared" si="466"/>
        <v>54</v>
      </c>
      <c r="AH243" s="242">
        <f t="shared" si="496"/>
        <v>350</v>
      </c>
      <c r="AI243" s="527">
        <v>172</v>
      </c>
      <c r="AJ243" s="390">
        <v>165</v>
      </c>
      <c r="AK243" s="242">
        <f t="shared" si="497"/>
        <v>-4.0999999999999996</v>
      </c>
      <c r="AL243" s="527">
        <f t="shared" si="469"/>
        <v>22</v>
      </c>
      <c r="AM243" s="390">
        <f t="shared" si="470"/>
        <v>47</v>
      </c>
      <c r="AN243" s="242">
        <f t="shared" si="498"/>
        <v>113.6</v>
      </c>
      <c r="AO243" s="817">
        <v>194</v>
      </c>
      <c r="AP243" s="819">
        <v>212</v>
      </c>
      <c r="AQ243" s="242">
        <f t="shared" si="499"/>
        <v>9.3000000000000007</v>
      </c>
      <c r="AR243" s="817">
        <f t="shared" si="473"/>
        <v>49</v>
      </c>
      <c r="AS243" s="819">
        <f t="shared" si="473"/>
        <v>33</v>
      </c>
      <c r="AT243" s="753">
        <f t="shared" si="474"/>
        <v>-32.700000000000003</v>
      </c>
      <c r="AU243" s="969">
        <v>243</v>
      </c>
      <c r="AV243" s="970">
        <v>245</v>
      </c>
      <c r="AW243" s="753">
        <f t="shared" si="500"/>
        <v>0.8</v>
      </c>
      <c r="AX243" s="817">
        <f t="shared" si="476"/>
        <v>6</v>
      </c>
      <c r="AY243" s="819">
        <f t="shared" si="477"/>
        <v>27</v>
      </c>
      <c r="AZ243" s="753">
        <f t="shared" si="478"/>
        <v>350</v>
      </c>
      <c r="BA243" s="817">
        <v>249</v>
      </c>
      <c r="BB243" s="819">
        <v>272</v>
      </c>
      <c r="BC243" s="753">
        <f t="shared" si="501"/>
        <v>9.1999999999999993</v>
      </c>
      <c r="BD243" s="817">
        <f t="shared" si="480"/>
        <v>36</v>
      </c>
      <c r="BE243" s="819">
        <f t="shared" si="480"/>
        <v>34</v>
      </c>
      <c r="BF243" s="753">
        <f t="shared" si="481"/>
        <v>-5.6</v>
      </c>
      <c r="BG243" s="817">
        <v>285</v>
      </c>
      <c r="BH243" s="819">
        <v>306</v>
      </c>
      <c r="BI243" s="753">
        <f t="shared" si="502"/>
        <v>7.4</v>
      </c>
      <c r="BJ243" s="817">
        <f t="shared" si="483"/>
        <v>68</v>
      </c>
      <c r="BK243" s="819">
        <f t="shared" si="483"/>
        <v>14</v>
      </c>
      <c r="BL243" s="753">
        <f t="shared" si="484"/>
        <v>-79.400000000000006</v>
      </c>
      <c r="BM243" s="817">
        <v>353</v>
      </c>
      <c r="BN243" s="819">
        <v>320</v>
      </c>
      <c r="BO243" s="753">
        <f t="shared" si="503"/>
        <v>-9.3000000000000007</v>
      </c>
      <c r="BP243" s="817">
        <f t="shared" si="486"/>
        <v>17</v>
      </c>
      <c r="BQ243" s="819">
        <f t="shared" si="486"/>
        <v>40</v>
      </c>
      <c r="BR243" s="753">
        <f t="shared" si="487"/>
        <v>135.30000000000001</v>
      </c>
      <c r="BS243" s="817">
        <v>370</v>
      </c>
      <c r="BT243" s="819">
        <v>360</v>
      </c>
      <c r="BU243" s="753">
        <f t="shared" si="504"/>
        <v>-2.7</v>
      </c>
    </row>
    <row r="244" spans="1:73">
      <c r="A244" s="4"/>
      <c r="B244" s="43" t="s">
        <v>72</v>
      </c>
      <c r="C244" s="188">
        <v>3930</v>
      </c>
      <c r="D244" s="188">
        <v>3360</v>
      </c>
      <c r="E244" s="188">
        <v>246</v>
      </c>
      <c r="F244" s="188">
        <v>350</v>
      </c>
      <c r="G244" s="188">
        <v>284</v>
      </c>
      <c r="H244" s="188">
        <v>197</v>
      </c>
      <c r="I244" s="362">
        <v>220</v>
      </c>
      <c r="J244" s="44">
        <v>341</v>
      </c>
      <c r="K244" s="383">
        <v>1</v>
      </c>
      <c r="L244" s="390">
        <v>5</v>
      </c>
      <c r="M244" s="232">
        <f t="shared" si="489"/>
        <v>400</v>
      </c>
      <c r="N244" s="383">
        <f t="shared" si="454"/>
        <v>113</v>
      </c>
      <c r="O244" s="390">
        <f t="shared" si="455"/>
        <v>0</v>
      </c>
      <c r="P244" s="242">
        <f t="shared" si="490"/>
        <v>-100</v>
      </c>
      <c r="Q244" s="383">
        <v>114</v>
      </c>
      <c r="R244" s="390">
        <v>5</v>
      </c>
      <c r="S244" s="242">
        <f t="shared" si="491"/>
        <v>-95.6</v>
      </c>
      <c r="T244" s="383">
        <f t="shared" si="458"/>
        <v>46</v>
      </c>
      <c r="U244" s="390">
        <f t="shared" si="459"/>
        <v>67</v>
      </c>
      <c r="V244" s="242">
        <f t="shared" si="492"/>
        <v>45.7</v>
      </c>
      <c r="W244" s="383">
        <v>160</v>
      </c>
      <c r="X244" s="390">
        <v>72</v>
      </c>
      <c r="Y244" s="242">
        <f t="shared" si="493"/>
        <v>-55</v>
      </c>
      <c r="Z244" s="527">
        <f t="shared" si="462"/>
        <v>0</v>
      </c>
      <c r="AA244" s="390">
        <f t="shared" si="463"/>
        <v>17</v>
      </c>
      <c r="AB244" s="521">
        <v>0</v>
      </c>
      <c r="AC244" s="527">
        <v>160</v>
      </c>
      <c r="AD244" s="390">
        <v>89</v>
      </c>
      <c r="AE244" s="242">
        <f t="shared" si="495"/>
        <v>-44.4</v>
      </c>
      <c r="AF244" s="527">
        <f t="shared" si="466"/>
        <v>27</v>
      </c>
      <c r="AG244" s="390">
        <f t="shared" si="466"/>
        <v>43</v>
      </c>
      <c r="AH244" s="242">
        <f t="shared" si="496"/>
        <v>59.3</v>
      </c>
      <c r="AI244" s="527">
        <v>187</v>
      </c>
      <c r="AJ244" s="390">
        <v>132</v>
      </c>
      <c r="AK244" s="242">
        <f t="shared" si="497"/>
        <v>-29.4</v>
      </c>
      <c r="AL244" s="527">
        <f t="shared" si="469"/>
        <v>1</v>
      </c>
      <c r="AM244" s="390">
        <f t="shared" si="470"/>
        <v>41</v>
      </c>
      <c r="AN244" s="242">
        <f t="shared" si="498"/>
        <v>4000</v>
      </c>
      <c r="AO244" s="817">
        <v>188</v>
      </c>
      <c r="AP244" s="819">
        <v>173</v>
      </c>
      <c r="AQ244" s="242">
        <f t="shared" si="499"/>
        <v>-8</v>
      </c>
      <c r="AR244" s="817">
        <f t="shared" si="473"/>
        <v>31</v>
      </c>
      <c r="AS244" s="819">
        <f t="shared" si="473"/>
        <v>39</v>
      </c>
      <c r="AT244" s="753">
        <f t="shared" si="474"/>
        <v>25.8</v>
      </c>
      <c r="AU244" s="969">
        <v>219</v>
      </c>
      <c r="AV244" s="970">
        <v>212</v>
      </c>
      <c r="AW244" s="753">
        <f t="shared" si="500"/>
        <v>-3.2</v>
      </c>
      <c r="AX244" s="817">
        <f t="shared" si="476"/>
        <v>8</v>
      </c>
      <c r="AY244" s="819">
        <f t="shared" si="477"/>
        <v>7</v>
      </c>
      <c r="AZ244" s="753">
        <f t="shared" si="478"/>
        <v>-12.5</v>
      </c>
      <c r="BA244" s="817">
        <v>227</v>
      </c>
      <c r="BB244" s="819">
        <v>219</v>
      </c>
      <c r="BC244" s="753">
        <f t="shared" si="501"/>
        <v>-3.5</v>
      </c>
      <c r="BD244" s="817">
        <f t="shared" si="480"/>
        <v>9</v>
      </c>
      <c r="BE244" s="819">
        <f t="shared" si="480"/>
        <v>18</v>
      </c>
      <c r="BF244" s="753">
        <f t="shared" si="481"/>
        <v>100</v>
      </c>
      <c r="BG244" s="817">
        <v>236</v>
      </c>
      <c r="BH244" s="819">
        <v>237</v>
      </c>
      <c r="BI244" s="753">
        <f t="shared" si="502"/>
        <v>0.4</v>
      </c>
      <c r="BJ244" s="817">
        <f t="shared" si="483"/>
        <v>34</v>
      </c>
      <c r="BK244" s="819">
        <f t="shared" si="483"/>
        <v>5</v>
      </c>
      <c r="BL244" s="753">
        <f t="shared" si="484"/>
        <v>-85.3</v>
      </c>
      <c r="BM244" s="817">
        <v>270</v>
      </c>
      <c r="BN244" s="819">
        <v>242</v>
      </c>
      <c r="BO244" s="753">
        <f t="shared" si="503"/>
        <v>-10.4</v>
      </c>
      <c r="BP244" s="817">
        <f t="shared" si="486"/>
        <v>40</v>
      </c>
      <c r="BQ244" s="819">
        <f t="shared" si="486"/>
        <v>11</v>
      </c>
      <c r="BR244" s="753">
        <f t="shared" si="487"/>
        <v>-72.5</v>
      </c>
      <c r="BS244" s="817">
        <v>310</v>
      </c>
      <c r="BT244" s="819">
        <v>253</v>
      </c>
      <c r="BU244" s="753">
        <f t="shared" si="504"/>
        <v>-18.399999999999999</v>
      </c>
    </row>
    <row r="245" spans="1:73">
      <c r="A245" s="4"/>
      <c r="B245" s="43" t="s">
        <v>412</v>
      </c>
      <c r="C245" s="188">
        <v>189</v>
      </c>
      <c r="D245" s="188">
        <v>201</v>
      </c>
      <c r="E245" s="188">
        <v>151</v>
      </c>
      <c r="F245" s="188">
        <v>248</v>
      </c>
      <c r="G245" s="188">
        <v>315</v>
      </c>
      <c r="H245" s="188">
        <v>432</v>
      </c>
      <c r="I245" s="362">
        <v>327</v>
      </c>
      <c r="J245" s="44">
        <v>289</v>
      </c>
      <c r="K245" s="383">
        <v>54</v>
      </c>
      <c r="L245" s="390">
        <v>51</v>
      </c>
      <c r="M245" s="232">
        <f t="shared" si="489"/>
        <v>-5.6</v>
      </c>
      <c r="N245" s="383">
        <f t="shared" si="454"/>
        <v>21</v>
      </c>
      <c r="O245" s="390">
        <f t="shared" si="455"/>
        <v>11</v>
      </c>
      <c r="P245" s="242">
        <f t="shared" si="490"/>
        <v>-47.6</v>
      </c>
      <c r="Q245" s="383">
        <v>75</v>
      </c>
      <c r="R245" s="390">
        <v>62</v>
      </c>
      <c r="S245" s="242">
        <f t="shared" si="491"/>
        <v>-17.3</v>
      </c>
      <c r="T245" s="383">
        <f t="shared" si="458"/>
        <v>0</v>
      </c>
      <c r="U245" s="390">
        <f t="shared" si="459"/>
        <v>0</v>
      </c>
      <c r="V245" s="177">
        <v>0</v>
      </c>
      <c r="W245" s="383">
        <v>75</v>
      </c>
      <c r="X245" s="390">
        <v>62</v>
      </c>
      <c r="Y245" s="242">
        <f t="shared" si="493"/>
        <v>-17.3</v>
      </c>
      <c r="Z245" s="527">
        <f t="shared" si="462"/>
        <v>15</v>
      </c>
      <c r="AA245" s="390">
        <f t="shared" si="463"/>
        <v>0</v>
      </c>
      <c r="AB245" s="242">
        <f>ROUND(((AA245/Z245-1)*100), 1)</f>
        <v>-100</v>
      </c>
      <c r="AC245" s="527">
        <v>90</v>
      </c>
      <c r="AD245" s="390">
        <v>62</v>
      </c>
      <c r="AE245" s="242">
        <f t="shared" si="495"/>
        <v>-31.1</v>
      </c>
      <c r="AF245" s="527">
        <f t="shared" si="466"/>
        <v>12</v>
      </c>
      <c r="AG245" s="390">
        <f t="shared" si="466"/>
        <v>24</v>
      </c>
      <c r="AH245" s="242">
        <f>ROUND(((AG245/AF245-1)*100), 1)</f>
        <v>100</v>
      </c>
      <c r="AI245" s="527">
        <v>102</v>
      </c>
      <c r="AJ245" s="390">
        <v>86</v>
      </c>
      <c r="AK245" s="242">
        <f t="shared" si="497"/>
        <v>-15.7</v>
      </c>
      <c r="AL245" s="527">
        <f t="shared" si="469"/>
        <v>13</v>
      </c>
      <c r="AM245" s="390">
        <f t="shared" si="470"/>
        <v>1</v>
      </c>
      <c r="AN245" s="242">
        <f>ROUND(((AM245/AL245-1)*100), 1)</f>
        <v>-92.3</v>
      </c>
      <c r="AO245" s="817">
        <v>115</v>
      </c>
      <c r="AP245" s="819">
        <v>87</v>
      </c>
      <c r="AQ245" s="242">
        <f t="shared" si="499"/>
        <v>-24.3</v>
      </c>
      <c r="AR245" s="817">
        <f t="shared" si="473"/>
        <v>8</v>
      </c>
      <c r="AS245" s="819">
        <f t="shared" si="473"/>
        <v>0</v>
      </c>
      <c r="AT245" s="753">
        <f t="shared" si="474"/>
        <v>-100</v>
      </c>
      <c r="AU245" s="969">
        <v>123</v>
      </c>
      <c r="AV245" s="970">
        <v>87</v>
      </c>
      <c r="AW245" s="753">
        <f t="shared" si="500"/>
        <v>-29.3</v>
      </c>
      <c r="AX245" s="817">
        <f t="shared" si="476"/>
        <v>1</v>
      </c>
      <c r="AY245" s="819">
        <f t="shared" si="477"/>
        <v>10</v>
      </c>
      <c r="AZ245" s="753">
        <f t="shared" si="478"/>
        <v>900</v>
      </c>
      <c r="BA245" s="817">
        <v>124</v>
      </c>
      <c r="BB245" s="819">
        <v>97</v>
      </c>
      <c r="BC245" s="753">
        <f t="shared" si="501"/>
        <v>-21.8</v>
      </c>
      <c r="BD245" s="817">
        <f t="shared" si="480"/>
        <v>45</v>
      </c>
      <c r="BE245" s="819">
        <f t="shared" si="480"/>
        <v>8</v>
      </c>
      <c r="BF245" s="753">
        <f t="shared" si="481"/>
        <v>-82.2</v>
      </c>
      <c r="BG245" s="817">
        <v>169</v>
      </c>
      <c r="BH245" s="819">
        <v>105</v>
      </c>
      <c r="BI245" s="753">
        <f t="shared" si="502"/>
        <v>-37.9</v>
      </c>
      <c r="BJ245" s="817">
        <f t="shared" si="483"/>
        <v>50</v>
      </c>
      <c r="BK245" s="819">
        <f t="shared" si="483"/>
        <v>10</v>
      </c>
      <c r="BL245" s="753">
        <f t="shared" si="484"/>
        <v>-80</v>
      </c>
      <c r="BM245" s="817">
        <v>219</v>
      </c>
      <c r="BN245" s="819">
        <v>115</v>
      </c>
      <c r="BO245" s="753">
        <f t="shared" si="503"/>
        <v>-47.5</v>
      </c>
      <c r="BP245" s="817">
        <f t="shared" si="486"/>
        <v>17</v>
      </c>
      <c r="BQ245" s="819">
        <f t="shared" si="486"/>
        <v>42</v>
      </c>
      <c r="BR245" s="753">
        <f t="shared" si="487"/>
        <v>147.1</v>
      </c>
      <c r="BS245" s="817">
        <v>236</v>
      </c>
      <c r="BT245" s="819">
        <v>157</v>
      </c>
      <c r="BU245" s="753">
        <f t="shared" si="504"/>
        <v>-33.5</v>
      </c>
    </row>
    <row r="246" spans="1:73">
      <c r="A246" s="4"/>
      <c r="B246" s="43" t="s">
        <v>439</v>
      </c>
      <c r="C246" s="188">
        <v>163</v>
      </c>
      <c r="D246" s="188">
        <v>170</v>
      </c>
      <c r="E246" s="188">
        <v>163</v>
      </c>
      <c r="F246" s="188">
        <v>175</v>
      </c>
      <c r="G246" s="188">
        <v>174</v>
      </c>
      <c r="H246" s="188">
        <v>124</v>
      </c>
      <c r="I246" s="362">
        <v>115</v>
      </c>
      <c r="J246" s="44">
        <v>116</v>
      </c>
      <c r="K246" s="383">
        <v>0</v>
      </c>
      <c r="L246" s="390">
        <v>0</v>
      </c>
      <c r="M246" s="177">
        <v>0</v>
      </c>
      <c r="N246" s="383">
        <f t="shared" si="454"/>
        <v>39</v>
      </c>
      <c r="O246" s="390">
        <f t="shared" si="455"/>
        <v>12</v>
      </c>
      <c r="P246" s="242">
        <f>ROUND(((O246/N246-1)*100), 1)</f>
        <v>-69.2</v>
      </c>
      <c r="Q246" s="383">
        <v>39</v>
      </c>
      <c r="R246" s="390">
        <v>12</v>
      </c>
      <c r="S246" s="242">
        <f>ROUND(((R246/Q246-1)*100), 1)</f>
        <v>-69.2</v>
      </c>
      <c r="T246" s="383">
        <f t="shared" si="458"/>
        <v>0</v>
      </c>
      <c r="U246" s="390">
        <f t="shared" si="459"/>
        <v>13</v>
      </c>
      <c r="V246" s="177">
        <v>0</v>
      </c>
      <c r="W246" s="383">
        <v>39</v>
      </c>
      <c r="X246" s="390">
        <v>25</v>
      </c>
      <c r="Y246" s="242">
        <f>ROUND(((X246/W246-1)*100), 1)</f>
        <v>-35.9</v>
      </c>
      <c r="Z246" s="527">
        <f t="shared" si="462"/>
        <v>14</v>
      </c>
      <c r="AA246" s="390">
        <f t="shared" si="463"/>
        <v>0</v>
      </c>
      <c r="AB246" s="242">
        <f>ROUND(((AA246/Z246-1)*100), 1)</f>
        <v>-100</v>
      </c>
      <c r="AC246" s="527">
        <v>53</v>
      </c>
      <c r="AD246" s="390">
        <v>25</v>
      </c>
      <c r="AE246" s="242">
        <f>ROUND(((AD246/AC246-1)*100), 1)</f>
        <v>-52.8</v>
      </c>
      <c r="AF246" s="527">
        <f t="shared" si="466"/>
        <v>15</v>
      </c>
      <c r="AG246" s="390">
        <f t="shared" si="466"/>
        <v>13</v>
      </c>
      <c r="AH246" s="242">
        <f>ROUND(((AG246/AF246-1)*100), 1)</f>
        <v>-13.3</v>
      </c>
      <c r="AI246" s="527">
        <v>68</v>
      </c>
      <c r="AJ246" s="390">
        <v>38</v>
      </c>
      <c r="AK246" s="242">
        <f>ROUND(((AJ246/AI246-1)*100), 1)</f>
        <v>-44.1</v>
      </c>
      <c r="AL246" s="527">
        <f t="shared" si="469"/>
        <v>12</v>
      </c>
      <c r="AM246" s="390">
        <f t="shared" si="470"/>
        <v>12</v>
      </c>
      <c r="AN246" s="242">
        <f>ROUND(((AM246/AL246-1)*100), 1)</f>
        <v>0</v>
      </c>
      <c r="AO246" s="817">
        <v>80</v>
      </c>
      <c r="AP246" s="819">
        <v>50</v>
      </c>
      <c r="AQ246" s="242">
        <f>ROUND(((AP246/AO246-1)*100), 1)</f>
        <v>-37.5</v>
      </c>
      <c r="AR246" s="817">
        <f t="shared" si="473"/>
        <v>0</v>
      </c>
      <c r="AS246" s="819">
        <f t="shared" si="473"/>
        <v>0</v>
      </c>
      <c r="AT246" s="799">
        <v>0</v>
      </c>
      <c r="AU246" s="969">
        <v>80</v>
      </c>
      <c r="AV246" s="970">
        <v>50</v>
      </c>
      <c r="AW246" s="753">
        <f>ROUND(((AV246/AU246-1)*100), 1)</f>
        <v>-37.5</v>
      </c>
      <c r="AX246" s="817">
        <f t="shared" si="476"/>
        <v>11</v>
      </c>
      <c r="AY246" s="819">
        <f t="shared" si="477"/>
        <v>0</v>
      </c>
      <c r="AZ246" s="753">
        <f t="shared" si="478"/>
        <v>-100</v>
      </c>
      <c r="BA246" s="817">
        <v>91</v>
      </c>
      <c r="BB246" s="819">
        <v>50</v>
      </c>
      <c r="BC246" s="753">
        <f>ROUND(((BB246/BA246-1)*100), 1)</f>
        <v>-45.1</v>
      </c>
      <c r="BD246" s="817">
        <f t="shared" si="480"/>
        <v>12</v>
      </c>
      <c r="BE246" s="819">
        <f t="shared" si="480"/>
        <v>0</v>
      </c>
      <c r="BF246" s="753">
        <f t="shared" si="481"/>
        <v>-100</v>
      </c>
      <c r="BG246" s="817">
        <v>103</v>
      </c>
      <c r="BH246" s="819">
        <v>50</v>
      </c>
      <c r="BI246" s="753">
        <f>ROUND(((BH246/BG246-1)*100), 1)</f>
        <v>-51.5</v>
      </c>
      <c r="BJ246" s="817">
        <f t="shared" si="483"/>
        <v>13</v>
      </c>
      <c r="BK246" s="819">
        <f t="shared" si="483"/>
        <v>0</v>
      </c>
      <c r="BL246" s="753">
        <f t="shared" si="484"/>
        <v>-100</v>
      </c>
      <c r="BM246" s="817">
        <v>116</v>
      </c>
      <c r="BN246" s="819">
        <v>50</v>
      </c>
      <c r="BO246" s="753">
        <f>ROUND(((BN246/BM246-1)*100), 1)</f>
        <v>-56.9</v>
      </c>
      <c r="BP246" s="817">
        <f t="shared" si="486"/>
        <v>0</v>
      </c>
      <c r="BQ246" s="819">
        <f t="shared" si="486"/>
        <v>11</v>
      </c>
      <c r="BR246" s="799">
        <v>0</v>
      </c>
      <c r="BS246" s="817">
        <v>116</v>
      </c>
      <c r="BT246" s="819">
        <v>61</v>
      </c>
      <c r="BU246" s="753">
        <f>ROUND(((BT246/BS246-1)*100), 1)</f>
        <v>-47.4</v>
      </c>
    </row>
    <row r="247" spans="1:73">
      <c r="A247" s="4"/>
      <c r="B247" s="43" t="s">
        <v>70</v>
      </c>
      <c r="C247" s="188">
        <v>98</v>
      </c>
      <c r="D247" s="188">
        <v>75</v>
      </c>
      <c r="E247" s="188">
        <v>67</v>
      </c>
      <c r="F247" s="188">
        <v>71</v>
      </c>
      <c r="G247" s="188">
        <v>119</v>
      </c>
      <c r="H247" s="188">
        <v>62</v>
      </c>
      <c r="I247" s="362">
        <v>122</v>
      </c>
      <c r="J247" s="44">
        <v>90</v>
      </c>
      <c r="K247" s="383">
        <v>9</v>
      </c>
      <c r="L247" s="390">
        <v>9</v>
      </c>
      <c r="M247" s="232">
        <f t="shared" ref="M247:M258" si="505">ROUND(((L247/K247-1)*100), 1)</f>
        <v>0</v>
      </c>
      <c r="N247" s="383">
        <f t="shared" si="454"/>
        <v>18</v>
      </c>
      <c r="O247" s="390">
        <f t="shared" si="455"/>
        <v>2</v>
      </c>
      <c r="P247" s="242">
        <f t="shared" ref="P247:P258" si="506">ROUND(((O247/N247-1)*100), 1)</f>
        <v>-88.9</v>
      </c>
      <c r="Q247" s="383">
        <v>27</v>
      </c>
      <c r="R247" s="390">
        <v>11</v>
      </c>
      <c r="S247" s="242">
        <f t="shared" ref="S247:S258" si="507">ROUND(((R247/Q247-1)*100), 1)</f>
        <v>-59.3</v>
      </c>
      <c r="T247" s="383">
        <f t="shared" si="458"/>
        <v>9</v>
      </c>
      <c r="U247" s="390">
        <f t="shared" si="459"/>
        <v>19</v>
      </c>
      <c r="V247" s="242">
        <f t="shared" ref="V247:V257" si="508">ROUND(((U247/T247-1)*100), 1)</f>
        <v>111.1</v>
      </c>
      <c r="W247" s="383">
        <v>36</v>
      </c>
      <c r="X247" s="390">
        <v>30</v>
      </c>
      <c r="Y247" s="242">
        <f t="shared" ref="Y247:Y258" si="509">ROUND(((X247/W247-1)*100), 1)</f>
        <v>-16.7</v>
      </c>
      <c r="Z247" s="527">
        <f t="shared" si="462"/>
        <v>1</v>
      </c>
      <c r="AA247" s="390">
        <f t="shared" si="463"/>
        <v>10</v>
      </c>
      <c r="AB247" s="242">
        <f t="shared" ref="AB247" si="510">ROUND(((AA247/Z247-1)*100), 1)</f>
        <v>900</v>
      </c>
      <c r="AC247" s="527">
        <v>37</v>
      </c>
      <c r="AD247" s="390">
        <v>40</v>
      </c>
      <c r="AE247" s="242">
        <f t="shared" ref="AE247:AE258" si="511">ROUND(((AD247/AC247-1)*100), 1)</f>
        <v>8.1</v>
      </c>
      <c r="AF247" s="527">
        <f t="shared" si="466"/>
        <v>0</v>
      </c>
      <c r="AG247" s="390">
        <f t="shared" si="466"/>
        <v>0</v>
      </c>
      <c r="AH247" s="521">
        <v>0</v>
      </c>
      <c r="AI247" s="527">
        <v>37</v>
      </c>
      <c r="AJ247" s="390">
        <v>40</v>
      </c>
      <c r="AK247" s="242">
        <f t="shared" ref="AK247:AK258" si="512">ROUND(((AJ247/AI247-1)*100), 1)</f>
        <v>8.1</v>
      </c>
      <c r="AL247" s="527">
        <f t="shared" si="469"/>
        <v>19</v>
      </c>
      <c r="AM247" s="390">
        <f t="shared" si="470"/>
        <v>0</v>
      </c>
      <c r="AN247" s="753">
        <f>ROUND(((AM247/AL247-1)*100), 1)</f>
        <v>-100</v>
      </c>
      <c r="AO247" s="817">
        <v>56</v>
      </c>
      <c r="AP247" s="819">
        <v>40</v>
      </c>
      <c r="AQ247" s="242">
        <f t="shared" ref="AQ247:AQ258" si="513">ROUND(((AP247/AO247-1)*100), 1)</f>
        <v>-28.6</v>
      </c>
      <c r="AR247" s="817">
        <f t="shared" si="473"/>
        <v>8</v>
      </c>
      <c r="AS247" s="819">
        <f t="shared" si="473"/>
        <v>9</v>
      </c>
      <c r="AT247" s="753">
        <f t="shared" si="474"/>
        <v>12.5</v>
      </c>
      <c r="AU247" s="969">
        <v>64</v>
      </c>
      <c r="AV247" s="970">
        <v>49</v>
      </c>
      <c r="AW247" s="753">
        <f t="shared" ref="AW247:AW258" si="514">ROUND(((AV247/AU247-1)*100), 1)</f>
        <v>-23.4</v>
      </c>
      <c r="AX247" s="817">
        <f t="shared" si="476"/>
        <v>0</v>
      </c>
      <c r="AY247" s="819">
        <f t="shared" si="477"/>
        <v>18</v>
      </c>
      <c r="AZ247" s="799">
        <v>0</v>
      </c>
      <c r="BA247" s="817">
        <v>64</v>
      </c>
      <c r="BB247" s="819">
        <v>67</v>
      </c>
      <c r="BC247" s="753">
        <f t="shared" ref="BC247:BC258" si="515">ROUND(((BB247/BA247-1)*100), 1)</f>
        <v>4.7</v>
      </c>
      <c r="BD247" s="817">
        <f t="shared" si="480"/>
        <v>0</v>
      </c>
      <c r="BE247" s="819">
        <f t="shared" si="480"/>
        <v>1</v>
      </c>
      <c r="BF247" s="799">
        <v>0</v>
      </c>
      <c r="BG247" s="817">
        <v>64</v>
      </c>
      <c r="BH247" s="819">
        <v>68</v>
      </c>
      <c r="BI247" s="753">
        <f t="shared" ref="BI247:BI258" si="516">ROUND(((BH247/BG247-1)*100), 1)</f>
        <v>6.3</v>
      </c>
      <c r="BJ247" s="817">
        <f t="shared" si="483"/>
        <v>10</v>
      </c>
      <c r="BK247" s="819">
        <f t="shared" si="483"/>
        <v>9</v>
      </c>
      <c r="BL247" s="753">
        <f>ROUND(((BK247/BJ247-1)*100), 1)</f>
        <v>-10</v>
      </c>
      <c r="BM247" s="817">
        <v>74</v>
      </c>
      <c r="BN247" s="819">
        <v>77</v>
      </c>
      <c r="BO247" s="753">
        <f t="shared" ref="BO247:BO258" si="517">ROUND(((BN247/BM247-1)*100), 1)</f>
        <v>4.0999999999999996</v>
      </c>
      <c r="BP247" s="817">
        <f t="shared" si="486"/>
        <v>6</v>
      </c>
      <c r="BQ247" s="819">
        <f t="shared" si="486"/>
        <v>18</v>
      </c>
      <c r="BR247" s="753">
        <f>ROUND(((BQ247/BP247-1)*100), 1)</f>
        <v>200</v>
      </c>
      <c r="BS247" s="817">
        <v>80</v>
      </c>
      <c r="BT247" s="819">
        <v>95</v>
      </c>
      <c r="BU247" s="753">
        <f t="shared" ref="BU247:BU258" si="518">ROUND(((BT247/BS247-1)*100), 1)</f>
        <v>18.8</v>
      </c>
    </row>
    <row r="248" spans="1:73">
      <c r="A248" s="4"/>
      <c r="B248" s="43" t="s">
        <v>438</v>
      </c>
      <c r="C248" s="188">
        <v>34</v>
      </c>
      <c r="D248" s="188">
        <v>0</v>
      </c>
      <c r="E248" s="188">
        <v>11</v>
      </c>
      <c r="F248" s="188">
        <v>80</v>
      </c>
      <c r="G248" s="188">
        <v>187</v>
      </c>
      <c r="H248" s="188">
        <v>193</v>
      </c>
      <c r="I248" s="362">
        <v>128</v>
      </c>
      <c r="J248" s="44">
        <v>41</v>
      </c>
      <c r="K248" s="383">
        <v>6</v>
      </c>
      <c r="L248" s="390">
        <v>9</v>
      </c>
      <c r="M248" s="232">
        <f t="shared" si="505"/>
        <v>50</v>
      </c>
      <c r="N248" s="383">
        <f t="shared" si="454"/>
        <v>0</v>
      </c>
      <c r="O248" s="390">
        <f t="shared" si="455"/>
        <v>0</v>
      </c>
      <c r="P248" s="524">
        <v>0</v>
      </c>
      <c r="Q248" s="383">
        <v>6</v>
      </c>
      <c r="R248" s="390">
        <v>9</v>
      </c>
      <c r="S248" s="242">
        <f t="shared" si="507"/>
        <v>50</v>
      </c>
      <c r="T248" s="383">
        <f t="shared" si="458"/>
        <v>0</v>
      </c>
      <c r="U248" s="390">
        <f t="shared" si="459"/>
        <v>36</v>
      </c>
      <c r="V248" s="177">
        <v>0</v>
      </c>
      <c r="W248" s="383">
        <v>6</v>
      </c>
      <c r="X248" s="390">
        <v>45</v>
      </c>
      <c r="Y248" s="242">
        <f t="shared" si="509"/>
        <v>650</v>
      </c>
      <c r="Z248" s="527">
        <f t="shared" si="462"/>
        <v>18</v>
      </c>
      <c r="AA248" s="390">
        <f t="shared" si="463"/>
        <v>22</v>
      </c>
      <c r="AB248" s="242">
        <f>ROUND(((AA248/Z248-1)*100), 1)</f>
        <v>22.2</v>
      </c>
      <c r="AC248" s="527">
        <v>24</v>
      </c>
      <c r="AD248" s="390">
        <v>67</v>
      </c>
      <c r="AE248" s="242">
        <f t="shared" si="511"/>
        <v>179.2</v>
      </c>
      <c r="AF248" s="527">
        <f t="shared" si="466"/>
        <v>0</v>
      </c>
      <c r="AG248" s="390">
        <f t="shared" si="466"/>
        <v>12</v>
      </c>
      <c r="AH248" s="521">
        <v>0</v>
      </c>
      <c r="AI248" s="527">
        <v>24</v>
      </c>
      <c r="AJ248" s="390">
        <v>79</v>
      </c>
      <c r="AK248" s="242">
        <f t="shared" si="512"/>
        <v>229.2</v>
      </c>
      <c r="AL248" s="817">
        <f t="shared" ref="AL248" si="519">AO248-AI248</f>
        <v>0</v>
      </c>
      <c r="AM248" s="819">
        <f t="shared" ref="AM248" si="520">AP248-AJ248</f>
        <v>0</v>
      </c>
      <c r="AN248" s="521">
        <v>0</v>
      </c>
      <c r="AO248" s="817">
        <v>24</v>
      </c>
      <c r="AP248" s="819">
        <v>79</v>
      </c>
      <c r="AQ248" s="242">
        <f t="shared" si="513"/>
        <v>229.2</v>
      </c>
      <c r="AR248" s="817">
        <f t="shared" si="473"/>
        <v>0</v>
      </c>
      <c r="AS248" s="819">
        <f t="shared" si="473"/>
        <v>0</v>
      </c>
      <c r="AT248" s="799">
        <v>0</v>
      </c>
      <c r="AU248" s="969">
        <v>24</v>
      </c>
      <c r="AV248" s="970">
        <v>79</v>
      </c>
      <c r="AW248" s="753">
        <f t="shared" si="514"/>
        <v>229.2</v>
      </c>
      <c r="AX248" s="817">
        <f t="shared" si="476"/>
        <v>9</v>
      </c>
      <c r="AY248" s="819">
        <f t="shared" si="477"/>
        <v>0</v>
      </c>
      <c r="AZ248" s="753">
        <f t="shared" si="478"/>
        <v>-100</v>
      </c>
      <c r="BA248" s="817">
        <v>33</v>
      </c>
      <c r="BB248" s="819">
        <v>79</v>
      </c>
      <c r="BC248" s="753">
        <f t="shared" si="515"/>
        <v>139.4</v>
      </c>
      <c r="BD248" s="817">
        <f t="shared" si="480"/>
        <v>8</v>
      </c>
      <c r="BE248" s="819">
        <f t="shared" si="480"/>
        <v>0</v>
      </c>
      <c r="BF248" s="753">
        <f t="shared" ref="BF248:BF257" si="521">ROUND(((BE248/BD248-1)*100), 1)</f>
        <v>-100</v>
      </c>
      <c r="BG248" s="817">
        <v>41</v>
      </c>
      <c r="BH248" s="819">
        <v>79</v>
      </c>
      <c r="BI248" s="753">
        <f t="shared" si="516"/>
        <v>92.7</v>
      </c>
      <c r="BJ248" s="817">
        <f t="shared" si="483"/>
        <v>0</v>
      </c>
      <c r="BK248" s="819">
        <f t="shared" si="483"/>
        <v>8</v>
      </c>
      <c r="BL248" s="799">
        <v>0</v>
      </c>
      <c r="BM248" s="817">
        <v>41</v>
      </c>
      <c r="BN248" s="819">
        <v>87</v>
      </c>
      <c r="BO248" s="753">
        <f t="shared" si="517"/>
        <v>112.2</v>
      </c>
      <c r="BP248" s="817">
        <f t="shared" si="486"/>
        <v>0</v>
      </c>
      <c r="BQ248" s="819">
        <f t="shared" si="486"/>
        <v>6</v>
      </c>
      <c r="BR248" s="799">
        <v>0</v>
      </c>
      <c r="BS248" s="817">
        <v>41</v>
      </c>
      <c r="BT248" s="819">
        <v>93</v>
      </c>
      <c r="BU248" s="753">
        <f t="shared" si="518"/>
        <v>126.8</v>
      </c>
    </row>
    <row r="249" spans="1:73">
      <c r="A249" s="4"/>
      <c r="B249" s="43" t="s">
        <v>24</v>
      </c>
      <c r="C249" s="188">
        <f t="shared" ref="C249:L249" si="522">C250-SUM(C224:C248)</f>
        <v>3201</v>
      </c>
      <c r="D249" s="188">
        <f t="shared" si="522"/>
        <v>2471</v>
      </c>
      <c r="E249" s="188">
        <f t="shared" si="522"/>
        <v>2759</v>
      </c>
      <c r="F249" s="188">
        <f t="shared" si="522"/>
        <v>2624</v>
      </c>
      <c r="G249" s="188">
        <f t="shared" si="522"/>
        <v>2131</v>
      </c>
      <c r="H249" s="188">
        <f t="shared" si="522"/>
        <v>1411</v>
      </c>
      <c r="I249" s="362">
        <f t="shared" si="522"/>
        <v>1675</v>
      </c>
      <c r="J249" s="44">
        <f t="shared" si="522"/>
        <v>1843</v>
      </c>
      <c r="K249" s="383">
        <f t="shared" si="522"/>
        <v>183</v>
      </c>
      <c r="L249" s="390">
        <f t="shared" si="522"/>
        <v>276</v>
      </c>
      <c r="M249" s="232">
        <f t="shared" si="505"/>
        <v>50.8</v>
      </c>
      <c r="N249" s="383">
        <f>N250-SUM(N224:N248)</f>
        <v>111</v>
      </c>
      <c r="O249" s="390">
        <f>O250-SUM(O224:O248)</f>
        <v>359</v>
      </c>
      <c r="P249" s="242">
        <f t="shared" si="506"/>
        <v>223.4</v>
      </c>
      <c r="Q249" s="383">
        <f>Q250-SUM(Q224:Q248)</f>
        <v>294</v>
      </c>
      <c r="R249" s="390">
        <f>R250-SUM(R224:R248)</f>
        <v>635</v>
      </c>
      <c r="S249" s="242">
        <f t="shared" si="507"/>
        <v>116</v>
      </c>
      <c r="T249" s="383">
        <f>T250-SUM(T224:T248)</f>
        <v>121</v>
      </c>
      <c r="U249" s="390">
        <f>U250-SUM(U224:U248)</f>
        <v>355</v>
      </c>
      <c r="V249" s="242">
        <f t="shared" si="508"/>
        <v>193.4</v>
      </c>
      <c r="W249" s="383">
        <f>W250-SUM(W224:W248)</f>
        <v>415</v>
      </c>
      <c r="X249" s="390">
        <f>X250-SUM(X224:X248)</f>
        <v>990</v>
      </c>
      <c r="Y249" s="242">
        <f t="shared" si="509"/>
        <v>138.6</v>
      </c>
      <c r="Z249" s="527">
        <f>Z250-SUM(Z224:Z248)</f>
        <v>170</v>
      </c>
      <c r="AA249" s="390">
        <f>AA250-SUM(AA224:AA248)</f>
        <v>376</v>
      </c>
      <c r="AB249" s="242">
        <f t="shared" ref="AB249:AB257" si="523">ROUND(((AA249/Z249-1)*100), 1)</f>
        <v>121.2</v>
      </c>
      <c r="AC249" s="527">
        <f>AC250-SUM(AC224:AC248)</f>
        <v>585</v>
      </c>
      <c r="AD249" s="390">
        <f>AD250-SUM(AD224:AD248)</f>
        <v>1366</v>
      </c>
      <c r="AE249" s="242">
        <f t="shared" si="511"/>
        <v>133.5</v>
      </c>
      <c r="AF249" s="527">
        <f>AF250-SUM(AF224:AF248)</f>
        <v>168</v>
      </c>
      <c r="AG249" s="390">
        <f>AG250-SUM(AG224:AG248)</f>
        <v>229</v>
      </c>
      <c r="AH249" s="242">
        <f t="shared" ref="AH249:AH257" si="524">ROUND(((AG249/AF249-1)*100), 1)</f>
        <v>36.299999999999997</v>
      </c>
      <c r="AI249" s="527">
        <f>AI250-SUM(AI224:AI248)</f>
        <v>753</v>
      </c>
      <c r="AJ249" s="390">
        <f>AJ250-SUM(AJ224:AJ248)</f>
        <v>1595</v>
      </c>
      <c r="AK249" s="242">
        <f t="shared" si="512"/>
        <v>111.8</v>
      </c>
      <c r="AL249" s="527">
        <f>AL250-SUM(AL224:AL248)</f>
        <v>112</v>
      </c>
      <c r="AM249" s="390">
        <f>AM250-SUM(AM224:AM248)</f>
        <v>232</v>
      </c>
      <c r="AN249" s="242">
        <f t="shared" ref="AN249:AN256" si="525">ROUND(((AM249/AL249-1)*100), 1)</f>
        <v>107.1</v>
      </c>
      <c r="AO249" s="817">
        <f>AO250-SUM(AO224:AO248)</f>
        <v>865</v>
      </c>
      <c r="AP249" s="819">
        <f>AP250-SUM(AP224:AP248)</f>
        <v>1827</v>
      </c>
      <c r="AQ249" s="242">
        <f t="shared" si="513"/>
        <v>111.2</v>
      </c>
      <c r="AR249" s="817">
        <f>AR250-SUM(AR224:AR248)</f>
        <v>139</v>
      </c>
      <c r="AS249" s="819">
        <f>AS250-SUM(AS224:AS248)</f>
        <v>211</v>
      </c>
      <c r="AT249" s="753">
        <f t="shared" ref="AT249:AT258" si="526">ROUND(((AS249/AR249-1)*100), 1)</f>
        <v>51.8</v>
      </c>
      <c r="AU249" s="969">
        <f>AU250-SUM(AU224:AU248)</f>
        <v>1004</v>
      </c>
      <c r="AV249" s="970">
        <f>AV250-SUM(AV224:AV248)</f>
        <v>2038</v>
      </c>
      <c r="AW249" s="753">
        <f t="shared" si="514"/>
        <v>103</v>
      </c>
      <c r="AX249" s="817">
        <f>AX250-SUM(AX224:AX248)</f>
        <v>172</v>
      </c>
      <c r="AY249" s="819">
        <f>AY250-SUM(AY224:AY248)</f>
        <v>96</v>
      </c>
      <c r="AZ249" s="753">
        <f t="shared" ref="AZ249:AZ259" si="527">ROUND(((AY249/AX249-1)*100), 1)</f>
        <v>-44.2</v>
      </c>
      <c r="BA249" s="817">
        <f>BA250-SUM(BA224:BA248)</f>
        <v>1176</v>
      </c>
      <c r="BB249" s="819">
        <f>BB250-SUM(BB224:BB248)</f>
        <v>2134</v>
      </c>
      <c r="BC249" s="753">
        <f t="shared" si="515"/>
        <v>81.5</v>
      </c>
      <c r="BD249" s="817">
        <f>BD250-SUM(BD224:BD248)</f>
        <v>158</v>
      </c>
      <c r="BE249" s="819">
        <f>BE250-SUM(BE224:BE248)</f>
        <v>140</v>
      </c>
      <c r="BF249" s="753">
        <f t="shared" si="521"/>
        <v>-11.4</v>
      </c>
      <c r="BG249" s="817">
        <f>BG250-SUM(BG224:BG248)</f>
        <v>1334</v>
      </c>
      <c r="BH249" s="819">
        <f>BH250-SUM(BH224:BH248)</f>
        <v>2274</v>
      </c>
      <c r="BI249" s="753">
        <f t="shared" si="516"/>
        <v>70.5</v>
      </c>
      <c r="BJ249" s="817">
        <f>BJ250-SUM(BJ224:BJ248)</f>
        <v>165</v>
      </c>
      <c r="BK249" s="819">
        <f>BK250-SUM(BK224:BK248)</f>
        <v>193</v>
      </c>
      <c r="BL249" s="753">
        <f t="shared" ref="BL249:BL255" si="528">ROUND(((BK249/BJ249-1)*100), 1)</f>
        <v>17</v>
      </c>
      <c r="BM249" s="817">
        <f>BM250-SUM(BM224:BM248)</f>
        <v>1499</v>
      </c>
      <c r="BN249" s="819">
        <f>BN250-SUM(BN224:BN248)</f>
        <v>2467</v>
      </c>
      <c r="BO249" s="753">
        <f t="shared" si="517"/>
        <v>64.599999999999994</v>
      </c>
      <c r="BP249" s="817">
        <f>BP250-SUM(BP224:BP248)</f>
        <v>137</v>
      </c>
      <c r="BQ249" s="819">
        <f>BQ250-SUM(BQ224:BQ248)</f>
        <v>167</v>
      </c>
      <c r="BR249" s="753">
        <f t="shared" ref="BR249:BR255" si="529">ROUND(((BQ249/BP249-1)*100), 1)</f>
        <v>21.9</v>
      </c>
      <c r="BS249" s="817">
        <f>BS250-SUM(BS224:BS248)</f>
        <v>1636</v>
      </c>
      <c r="BT249" s="819">
        <f>BT250-SUM(BT224:BT248)</f>
        <v>2634</v>
      </c>
      <c r="BU249" s="753">
        <f t="shared" si="518"/>
        <v>61</v>
      </c>
    </row>
    <row r="250" spans="1:73">
      <c r="A250" s="9"/>
      <c r="B250" s="67" t="s">
        <v>108</v>
      </c>
      <c r="C250" s="324">
        <v>50311</v>
      </c>
      <c r="D250" s="324">
        <v>54991</v>
      </c>
      <c r="E250" s="324">
        <v>55735</v>
      </c>
      <c r="F250" s="324">
        <v>55395</v>
      </c>
      <c r="G250" s="324">
        <v>48516</v>
      </c>
      <c r="H250" s="324">
        <v>48036</v>
      </c>
      <c r="I250" s="375">
        <v>44820</v>
      </c>
      <c r="J250" s="46">
        <v>42479</v>
      </c>
      <c r="K250" s="403">
        <v>3667</v>
      </c>
      <c r="L250" s="295">
        <v>3087</v>
      </c>
      <c r="M250" s="233">
        <f t="shared" si="505"/>
        <v>-15.8</v>
      </c>
      <c r="N250" s="403">
        <f t="shared" ref="N250:N264" si="530">Q250-K250</f>
        <v>3373</v>
      </c>
      <c r="O250" s="295">
        <f t="shared" ref="O250:O264" si="531">R250-L250</f>
        <v>3646</v>
      </c>
      <c r="P250" s="243">
        <f t="shared" si="506"/>
        <v>8.1</v>
      </c>
      <c r="Q250" s="403">
        <v>7040</v>
      </c>
      <c r="R250" s="295">
        <v>6733</v>
      </c>
      <c r="S250" s="243">
        <f t="shared" si="507"/>
        <v>-4.4000000000000004</v>
      </c>
      <c r="T250" s="403">
        <f t="shared" ref="T250:T264" si="532">W250-Q250</f>
        <v>3471</v>
      </c>
      <c r="U250" s="295">
        <f t="shared" ref="U250:U264" si="533">X250-R250</f>
        <v>4103</v>
      </c>
      <c r="V250" s="243">
        <f t="shared" si="508"/>
        <v>18.2</v>
      </c>
      <c r="W250" s="403">
        <v>10511</v>
      </c>
      <c r="X250" s="295">
        <v>10836</v>
      </c>
      <c r="Y250" s="243">
        <f t="shared" si="509"/>
        <v>3.1</v>
      </c>
      <c r="Z250" s="403">
        <f t="shared" ref="Z250:Z264" si="534">AC250-W250</f>
        <v>4048</v>
      </c>
      <c r="AA250" s="295">
        <f t="shared" ref="AA250:AA264" si="535">AD250-X250</f>
        <v>3455</v>
      </c>
      <c r="AB250" s="243">
        <f t="shared" si="523"/>
        <v>-14.6</v>
      </c>
      <c r="AC250" s="403">
        <v>14559</v>
      </c>
      <c r="AD250" s="295">
        <v>14291</v>
      </c>
      <c r="AE250" s="243">
        <f t="shared" si="511"/>
        <v>-1.8</v>
      </c>
      <c r="AF250" s="403">
        <f t="shared" ref="AF250:AG264" si="536">AI250-AC250</f>
        <v>3885</v>
      </c>
      <c r="AG250" s="295">
        <f t="shared" si="536"/>
        <v>2721</v>
      </c>
      <c r="AH250" s="243">
        <f t="shared" si="524"/>
        <v>-30</v>
      </c>
      <c r="AI250" s="403">
        <v>18444</v>
      </c>
      <c r="AJ250" s="295">
        <v>17012</v>
      </c>
      <c r="AK250" s="243">
        <f t="shared" si="512"/>
        <v>-7.8</v>
      </c>
      <c r="AL250" s="403">
        <f t="shared" ref="AL250:AL264" si="537">AO250-AI250</f>
        <v>3715</v>
      </c>
      <c r="AM250" s="295">
        <f t="shared" ref="AM250:AM264" si="538">AP250-AJ250</f>
        <v>2883</v>
      </c>
      <c r="AN250" s="243">
        <f t="shared" si="525"/>
        <v>-22.4</v>
      </c>
      <c r="AO250" s="814">
        <v>22159</v>
      </c>
      <c r="AP250" s="808">
        <v>19895</v>
      </c>
      <c r="AQ250" s="243">
        <f t="shared" si="513"/>
        <v>-10.199999999999999</v>
      </c>
      <c r="AR250" s="814">
        <f t="shared" ref="AR250:AS264" si="539">AU250-AO250</f>
        <v>3464</v>
      </c>
      <c r="AS250" s="808">
        <f t="shared" si="539"/>
        <v>3735</v>
      </c>
      <c r="AT250" s="754">
        <f t="shared" si="526"/>
        <v>7.8</v>
      </c>
      <c r="AU250" s="971">
        <v>25623</v>
      </c>
      <c r="AV250" s="972">
        <v>23630</v>
      </c>
      <c r="AW250" s="754">
        <f t="shared" si="514"/>
        <v>-7.8</v>
      </c>
      <c r="AX250" s="814">
        <f t="shared" ref="AX250:AX264" si="540">BA250-AU250</f>
        <v>2902</v>
      </c>
      <c r="AY250" s="808">
        <f t="shared" ref="AY250:AY264" si="541">BB250-AV250</f>
        <v>2118</v>
      </c>
      <c r="AZ250" s="754">
        <f t="shared" si="527"/>
        <v>-27</v>
      </c>
      <c r="BA250" s="814">
        <v>28525</v>
      </c>
      <c r="BB250" s="808">
        <v>25748</v>
      </c>
      <c r="BC250" s="754">
        <f t="shared" si="515"/>
        <v>-9.6999999999999993</v>
      </c>
      <c r="BD250" s="814">
        <f t="shared" ref="BD250:BE264" si="542">BG250-BA250</f>
        <v>3411</v>
      </c>
      <c r="BE250" s="808">
        <f t="shared" si="542"/>
        <v>3376</v>
      </c>
      <c r="BF250" s="754">
        <f t="shared" si="521"/>
        <v>-1</v>
      </c>
      <c r="BG250" s="814">
        <v>31936</v>
      </c>
      <c r="BH250" s="808">
        <v>29124</v>
      </c>
      <c r="BI250" s="754">
        <f t="shared" si="516"/>
        <v>-8.8000000000000007</v>
      </c>
      <c r="BJ250" s="814">
        <f t="shared" ref="BJ250:BK264" si="543">BM250-BG250</f>
        <v>4010</v>
      </c>
      <c r="BK250" s="808">
        <f t="shared" si="543"/>
        <v>3296</v>
      </c>
      <c r="BL250" s="754">
        <f t="shared" si="528"/>
        <v>-17.8</v>
      </c>
      <c r="BM250" s="814">
        <v>35946</v>
      </c>
      <c r="BN250" s="808">
        <v>32420</v>
      </c>
      <c r="BO250" s="754">
        <f t="shared" si="517"/>
        <v>-9.8000000000000007</v>
      </c>
      <c r="BP250" s="814">
        <f t="shared" ref="BP250:BQ264" si="544">BS250-BM250</f>
        <v>2985</v>
      </c>
      <c r="BQ250" s="808">
        <f t="shared" si="544"/>
        <v>3379</v>
      </c>
      <c r="BR250" s="754">
        <f t="shared" si="529"/>
        <v>13.2</v>
      </c>
      <c r="BS250" s="814">
        <v>38931</v>
      </c>
      <c r="BT250" s="808">
        <v>35799</v>
      </c>
      <c r="BU250" s="754">
        <f t="shared" si="518"/>
        <v>-8</v>
      </c>
    </row>
    <row r="251" spans="1:73">
      <c r="A251" s="4"/>
      <c r="B251" s="43" t="s">
        <v>50</v>
      </c>
      <c r="C251" s="188">
        <v>6535</v>
      </c>
      <c r="D251" s="188">
        <v>8584</v>
      </c>
      <c r="E251" s="188">
        <v>10806</v>
      </c>
      <c r="F251" s="188">
        <v>8349</v>
      </c>
      <c r="G251" s="188">
        <v>5185</v>
      </c>
      <c r="H251" s="188">
        <v>7243</v>
      </c>
      <c r="I251" s="362">
        <v>9056</v>
      </c>
      <c r="J251" s="44">
        <v>8574</v>
      </c>
      <c r="K251" s="383">
        <v>681</v>
      </c>
      <c r="L251" s="390">
        <v>803</v>
      </c>
      <c r="M251" s="232">
        <f t="shared" si="505"/>
        <v>17.899999999999999</v>
      </c>
      <c r="N251" s="383">
        <f t="shared" si="530"/>
        <v>541</v>
      </c>
      <c r="O251" s="390">
        <f t="shared" si="531"/>
        <v>495</v>
      </c>
      <c r="P251" s="242">
        <f t="shared" si="506"/>
        <v>-8.5</v>
      </c>
      <c r="Q251" s="383">
        <v>1222</v>
      </c>
      <c r="R251" s="390">
        <v>1298</v>
      </c>
      <c r="S251" s="242">
        <f t="shared" si="507"/>
        <v>6.2</v>
      </c>
      <c r="T251" s="383">
        <f t="shared" si="532"/>
        <v>676</v>
      </c>
      <c r="U251" s="390">
        <f t="shared" si="533"/>
        <v>942</v>
      </c>
      <c r="V251" s="242">
        <f t="shared" si="508"/>
        <v>39.299999999999997</v>
      </c>
      <c r="W251" s="383">
        <v>1898</v>
      </c>
      <c r="X251" s="390">
        <v>2240</v>
      </c>
      <c r="Y251" s="242">
        <f t="shared" si="509"/>
        <v>18</v>
      </c>
      <c r="Z251" s="527">
        <f t="shared" si="534"/>
        <v>821</v>
      </c>
      <c r="AA251" s="390">
        <f t="shared" si="535"/>
        <v>587</v>
      </c>
      <c r="AB251" s="242">
        <f t="shared" si="523"/>
        <v>-28.5</v>
      </c>
      <c r="AC251" s="527">
        <v>2719</v>
      </c>
      <c r="AD251" s="390">
        <v>2827</v>
      </c>
      <c r="AE251" s="242">
        <f t="shared" si="511"/>
        <v>4</v>
      </c>
      <c r="AF251" s="527">
        <f t="shared" si="536"/>
        <v>866</v>
      </c>
      <c r="AG251" s="390">
        <f t="shared" si="536"/>
        <v>694</v>
      </c>
      <c r="AH251" s="242">
        <f t="shared" si="524"/>
        <v>-19.899999999999999</v>
      </c>
      <c r="AI251" s="527">
        <v>3585</v>
      </c>
      <c r="AJ251" s="390">
        <v>3521</v>
      </c>
      <c r="AK251" s="242">
        <f t="shared" si="512"/>
        <v>-1.8</v>
      </c>
      <c r="AL251" s="527">
        <f t="shared" si="537"/>
        <v>917</v>
      </c>
      <c r="AM251" s="390">
        <f t="shared" si="538"/>
        <v>1082</v>
      </c>
      <c r="AN251" s="242">
        <f t="shared" si="525"/>
        <v>18</v>
      </c>
      <c r="AO251" s="817">
        <v>4502</v>
      </c>
      <c r="AP251" s="819">
        <v>4603</v>
      </c>
      <c r="AQ251" s="242">
        <f t="shared" si="513"/>
        <v>2.2000000000000002</v>
      </c>
      <c r="AR251" s="817">
        <f t="shared" si="539"/>
        <v>948</v>
      </c>
      <c r="AS251" s="819">
        <f t="shared" si="539"/>
        <v>821</v>
      </c>
      <c r="AT251" s="753">
        <f t="shared" si="526"/>
        <v>-13.4</v>
      </c>
      <c r="AU251" s="969">
        <v>5450</v>
      </c>
      <c r="AV251" s="970">
        <v>5424</v>
      </c>
      <c r="AW251" s="753">
        <f t="shared" si="514"/>
        <v>-0.5</v>
      </c>
      <c r="AX251" s="817">
        <f t="shared" si="540"/>
        <v>481</v>
      </c>
      <c r="AY251" s="819">
        <f t="shared" si="541"/>
        <v>577</v>
      </c>
      <c r="AZ251" s="753">
        <f t="shared" si="527"/>
        <v>20</v>
      </c>
      <c r="BA251" s="817">
        <v>5931</v>
      </c>
      <c r="BB251" s="819">
        <v>6001</v>
      </c>
      <c r="BC251" s="753">
        <f t="shared" si="515"/>
        <v>1.2</v>
      </c>
      <c r="BD251" s="817">
        <f t="shared" si="542"/>
        <v>624</v>
      </c>
      <c r="BE251" s="819">
        <f t="shared" si="542"/>
        <v>561</v>
      </c>
      <c r="BF251" s="753">
        <f t="shared" si="521"/>
        <v>-10.1</v>
      </c>
      <c r="BG251" s="817">
        <v>6555</v>
      </c>
      <c r="BH251" s="819">
        <v>6562</v>
      </c>
      <c r="BI251" s="753">
        <f t="shared" si="516"/>
        <v>0.1</v>
      </c>
      <c r="BJ251" s="817">
        <f t="shared" si="543"/>
        <v>755</v>
      </c>
      <c r="BK251" s="819">
        <f t="shared" si="543"/>
        <v>570</v>
      </c>
      <c r="BL251" s="753">
        <f t="shared" si="528"/>
        <v>-24.5</v>
      </c>
      <c r="BM251" s="817">
        <v>7310</v>
      </c>
      <c r="BN251" s="819">
        <v>7132</v>
      </c>
      <c r="BO251" s="753">
        <f t="shared" si="517"/>
        <v>-2.4</v>
      </c>
      <c r="BP251" s="817">
        <f t="shared" si="544"/>
        <v>618</v>
      </c>
      <c r="BQ251" s="819">
        <f t="shared" si="544"/>
        <v>629</v>
      </c>
      <c r="BR251" s="753">
        <f t="shared" si="529"/>
        <v>1.8</v>
      </c>
      <c r="BS251" s="817">
        <v>7928</v>
      </c>
      <c r="BT251" s="819">
        <v>7761</v>
      </c>
      <c r="BU251" s="753">
        <f t="shared" si="518"/>
        <v>-2.1</v>
      </c>
    </row>
    <row r="252" spans="1:73">
      <c r="A252" s="4" t="s">
        <v>110</v>
      </c>
      <c r="B252" s="43" t="s">
        <v>397</v>
      </c>
      <c r="C252" s="188">
        <v>247</v>
      </c>
      <c r="D252" s="188">
        <v>918</v>
      </c>
      <c r="E252" s="188">
        <v>1133</v>
      </c>
      <c r="F252" s="188">
        <v>1817</v>
      </c>
      <c r="G252" s="188">
        <v>1671</v>
      </c>
      <c r="H252" s="188">
        <v>3155</v>
      </c>
      <c r="I252" s="362">
        <v>4235</v>
      </c>
      <c r="J252" s="44">
        <v>4841</v>
      </c>
      <c r="K252" s="383">
        <v>374</v>
      </c>
      <c r="L252" s="390">
        <v>609</v>
      </c>
      <c r="M252" s="232">
        <f t="shared" si="505"/>
        <v>62.8</v>
      </c>
      <c r="N252" s="383">
        <f t="shared" si="530"/>
        <v>313</v>
      </c>
      <c r="O252" s="390">
        <f t="shared" si="531"/>
        <v>448</v>
      </c>
      <c r="P252" s="242">
        <f t="shared" si="506"/>
        <v>43.1</v>
      </c>
      <c r="Q252" s="383">
        <v>687</v>
      </c>
      <c r="R252" s="390">
        <v>1057</v>
      </c>
      <c r="S252" s="242">
        <f t="shared" si="507"/>
        <v>53.9</v>
      </c>
      <c r="T252" s="383">
        <f t="shared" si="532"/>
        <v>352</v>
      </c>
      <c r="U252" s="390">
        <f t="shared" si="533"/>
        <v>734</v>
      </c>
      <c r="V252" s="242">
        <f t="shared" si="508"/>
        <v>108.5</v>
      </c>
      <c r="W252" s="383">
        <v>1039</v>
      </c>
      <c r="X252" s="390">
        <v>1791</v>
      </c>
      <c r="Y252" s="242">
        <f t="shared" si="509"/>
        <v>72.400000000000006</v>
      </c>
      <c r="Z252" s="527">
        <f t="shared" si="534"/>
        <v>552</v>
      </c>
      <c r="AA252" s="390">
        <f t="shared" si="535"/>
        <v>799</v>
      </c>
      <c r="AB252" s="242">
        <f t="shared" si="523"/>
        <v>44.7</v>
      </c>
      <c r="AC252" s="527">
        <v>1591</v>
      </c>
      <c r="AD252" s="390">
        <v>2590</v>
      </c>
      <c r="AE252" s="242">
        <f t="shared" si="511"/>
        <v>62.8</v>
      </c>
      <c r="AF252" s="527">
        <f t="shared" si="536"/>
        <v>427</v>
      </c>
      <c r="AG252" s="390">
        <f t="shared" si="536"/>
        <v>702</v>
      </c>
      <c r="AH252" s="242">
        <f t="shared" si="524"/>
        <v>64.400000000000006</v>
      </c>
      <c r="AI252" s="527">
        <v>2018</v>
      </c>
      <c r="AJ252" s="390">
        <v>3292</v>
      </c>
      <c r="AK252" s="242">
        <f t="shared" si="512"/>
        <v>63.1</v>
      </c>
      <c r="AL252" s="527">
        <f t="shared" si="537"/>
        <v>409</v>
      </c>
      <c r="AM252" s="390">
        <f t="shared" si="538"/>
        <v>784</v>
      </c>
      <c r="AN252" s="242">
        <f t="shared" si="525"/>
        <v>91.7</v>
      </c>
      <c r="AO252" s="817">
        <v>2427</v>
      </c>
      <c r="AP252" s="819">
        <v>4076</v>
      </c>
      <c r="AQ252" s="242">
        <f t="shared" si="513"/>
        <v>67.900000000000006</v>
      </c>
      <c r="AR252" s="817">
        <f t="shared" si="539"/>
        <v>336</v>
      </c>
      <c r="AS252" s="819">
        <f t="shared" si="539"/>
        <v>830</v>
      </c>
      <c r="AT252" s="753">
        <f t="shared" si="526"/>
        <v>147</v>
      </c>
      <c r="AU252" s="969">
        <v>2763</v>
      </c>
      <c r="AV252" s="970">
        <v>4906</v>
      </c>
      <c r="AW252" s="753">
        <f t="shared" si="514"/>
        <v>77.599999999999994</v>
      </c>
      <c r="AX252" s="817">
        <f t="shared" si="540"/>
        <v>422</v>
      </c>
      <c r="AY252" s="819">
        <f t="shared" si="541"/>
        <v>819</v>
      </c>
      <c r="AZ252" s="753">
        <f t="shared" si="527"/>
        <v>94.1</v>
      </c>
      <c r="BA252" s="817">
        <v>3185</v>
      </c>
      <c r="BB252" s="819">
        <v>5725</v>
      </c>
      <c r="BC252" s="753">
        <f t="shared" si="515"/>
        <v>79.7</v>
      </c>
      <c r="BD252" s="817">
        <f t="shared" si="542"/>
        <v>455</v>
      </c>
      <c r="BE252" s="819">
        <f t="shared" si="542"/>
        <v>632</v>
      </c>
      <c r="BF252" s="753">
        <f t="shared" si="521"/>
        <v>38.9</v>
      </c>
      <c r="BG252" s="817">
        <v>3640</v>
      </c>
      <c r="BH252" s="819">
        <v>6357</v>
      </c>
      <c r="BI252" s="753">
        <f t="shared" si="516"/>
        <v>74.599999999999994</v>
      </c>
      <c r="BJ252" s="817">
        <f t="shared" si="543"/>
        <v>405</v>
      </c>
      <c r="BK252" s="819">
        <f t="shared" si="543"/>
        <v>794</v>
      </c>
      <c r="BL252" s="753">
        <f t="shared" si="528"/>
        <v>96</v>
      </c>
      <c r="BM252" s="817">
        <v>4045</v>
      </c>
      <c r="BN252" s="819">
        <v>7151</v>
      </c>
      <c r="BO252" s="753">
        <f t="shared" si="517"/>
        <v>76.8</v>
      </c>
      <c r="BP252" s="817">
        <f t="shared" si="544"/>
        <v>516</v>
      </c>
      <c r="BQ252" s="819">
        <f t="shared" si="544"/>
        <v>951</v>
      </c>
      <c r="BR252" s="753">
        <f t="shared" si="529"/>
        <v>84.3</v>
      </c>
      <c r="BS252" s="817">
        <v>4561</v>
      </c>
      <c r="BT252" s="819">
        <v>8102</v>
      </c>
      <c r="BU252" s="753">
        <f t="shared" si="518"/>
        <v>77.599999999999994</v>
      </c>
    </row>
    <row r="253" spans="1:73">
      <c r="A253" s="4"/>
      <c r="B253" s="43" t="s">
        <v>56</v>
      </c>
      <c r="C253" s="188">
        <v>560</v>
      </c>
      <c r="D253" s="188">
        <v>541</v>
      </c>
      <c r="E253" s="188">
        <v>1015</v>
      </c>
      <c r="F253" s="188">
        <v>873</v>
      </c>
      <c r="G253" s="188">
        <v>1936</v>
      </c>
      <c r="H253" s="188">
        <v>1748</v>
      </c>
      <c r="I253" s="362">
        <v>1276</v>
      </c>
      <c r="J253" s="44">
        <v>1382</v>
      </c>
      <c r="K253" s="383">
        <v>177</v>
      </c>
      <c r="L253" s="390">
        <v>123</v>
      </c>
      <c r="M253" s="232">
        <f t="shared" si="505"/>
        <v>-30.5</v>
      </c>
      <c r="N253" s="383">
        <f t="shared" si="530"/>
        <v>148</v>
      </c>
      <c r="O253" s="390">
        <f t="shared" si="531"/>
        <v>114</v>
      </c>
      <c r="P253" s="242">
        <f t="shared" si="506"/>
        <v>-23</v>
      </c>
      <c r="Q253" s="383">
        <v>325</v>
      </c>
      <c r="R253" s="390">
        <v>237</v>
      </c>
      <c r="S253" s="242">
        <f t="shared" si="507"/>
        <v>-27.1</v>
      </c>
      <c r="T253" s="383">
        <f t="shared" si="532"/>
        <v>12</v>
      </c>
      <c r="U253" s="390">
        <f t="shared" si="533"/>
        <v>130</v>
      </c>
      <c r="V253" s="242">
        <f t="shared" si="508"/>
        <v>983.3</v>
      </c>
      <c r="W253" s="383">
        <v>337</v>
      </c>
      <c r="X253" s="390">
        <v>367</v>
      </c>
      <c r="Y253" s="242">
        <f t="shared" si="509"/>
        <v>8.9</v>
      </c>
      <c r="Z253" s="527">
        <f t="shared" si="534"/>
        <v>142</v>
      </c>
      <c r="AA253" s="390">
        <f t="shared" si="535"/>
        <v>105</v>
      </c>
      <c r="AB253" s="242">
        <f t="shared" si="523"/>
        <v>-26.1</v>
      </c>
      <c r="AC253" s="527">
        <v>479</v>
      </c>
      <c r="AD253" s="390">
        <v>472</v>
      </c>
      <c r="AE253" s="242">
        <f t="shared" si="511"/>
        <v>-1.5</v>
      </c>
      <c r="AF253" s="527">
        <f t="shared" si="536"/>
        <v>225</v>
      </c>
      <c r="AG253" s="390">
        <f t="shared" si="536"/>
        <v>0</v>
      </c>
      <c r="AH253" s="242">
        <f t="shared" si="524"/>
        <v>-100</v>
      </c>
      <c r="AI253" s="527">
        <v>704</v>
      </c>
      <c r="AJ253" s="390">
        <v>472</v>
      </c>
      <c r="AK253" s="242">
        <f t="shared" si="512"/>
        <v>-33</v>
      </c>
      <c r="AL253" s="527">
        <f t="shared" si="537"/>
        <v>171</v>
      </c>
      <c r="AM253" s="390">
        <f t="shared" si="538"/>
        <v>35</v>
      </c>
      <c r="AN253" s="242">
        <f t="shared" si="525"/>
        <v>-79.5</v>
      </c>
      <c r="AO253" s="817">
        <v>875</v>
      </c>
      <c r="AP253" s="819">
        <v>507</v>
      </c>
      <c r="AQ253" s="242">
        <f t="shared" si="513"/>
        <v>-42.1</v>
      </c>
      <c r="AR253" s="817">
        <f t="shared" si="539"/>
        <v>180</v>
      </c>
      <c r="AS253" s="819">
        <f t="shared" si="539"/>
        <v>149</v>
      </c>
      <c r="AT253" s="753">
        <f t="shared" si="526"/>
        <v>-17.2</v>
      </c>
      <c r="AU253" s="969">
        <v>1055</v>
      </c>
      <c r="AV253" s="970">
        <v>656</v>
      </c>
      <c r="AW253" s="753">
        <f t="shared" si="514"/>
        <v>-37.799999999999997</v>
      </c>
      <c r="AX253" s="817">
        <f t="shared" si="540"/>
        <v>121</v>
      </c>
      <c r="AY253" s="819">
        <f t="shared" si="541"/>
        <v>107</v>
      </c>
      <c r="AZ253" s="753">
        <f t="shared" si="527"/>
        <v>-11.6</v>
      </c>
      <c r="BA253" s="817">
        <v>1176</v>
      </c>
      <c r="BB253" s="819">
        <v>763</v>
      </c>
      <c r="BC253" s="753">
        <f t="shared" si="515"/>
        <v>-35.1</v>
      </c>
      <c r="BD253" s="817">
        <f t="shared" si="542"/>
        <v>42</v>
      </c>
      <c r="BE253" s="819">
        <f t="shared" si="542"/>
        <v>215</v>
      </c>
      <c r="BF253" s="753">
        <f t="shared" si="521"/>
        <v>411.9</v>
      </c>
      <c r="BG253" s="817">
        <v>1218</v>
      </c>
      <c r="BH253" s="819">
        <v>978</v>
      </c>
      <c r="BI253" s="753">
        <f t="shared" si="516"/>
        <v>-19.7</v>
      </c>
      <c r="BJ253" s="817">
        <f t="shared" si="543"/>
        <v>79</v>
      </c>
      <c r="BK253" s="819">
        <f t="shared" si="543"/>
        <v>70</v>
      </c>
      <c r="BL253" s="753">
        <f t="shared" si="528"/>
        <v>-11.4</v>
      </c>
      <c r="BM253" s="817">
        <v>1297</v>
      </c>
      <c r="BN253" s="819">
        <v>1048</v>
      </c>
      <c r="BO253" s="753">
        <f t="shared" si="517"/>
        <v>-19.2</v>
      </c>
      <c r="BP253" s="817">
        <f t="shared" si="544"/>
        <v>49</v>
      </c>
      <c r="BQ253" s="819">
        <f t="shared" si="544"/>
        <v>215</v>
      </c>
      <c r="BR253" s="753">
        <f t="shared" si="529"/>
        <v>338.8</v>
      </c>
      <c r="BS253" s="817">
        <v>1346</v>
      </c>
      <c r="BT253" s="819">
        <v>1263</v>
      </c>
      <c r="BU253" s="753">
        <f t="shared" si="518"/>
        <v>-6.2</v>
      </c>
    </row>
    <row r="254" spans="1:73">
      <c r="A254" s="4"/>
      <c r="B254" s="43" t="s">
        <v>68</v>
      </c>
      <c r="C254" s="188">
        <v>240</v>
      </c>
      <c r="D254" s="188">
        <v>486</v>
      </c>
      <c r="E254" s="188">
        <v>195</v>
      </c>
      <c r="F254" s="188">
        <v>72</v>
      </c>
      <c r="G254" s="188">
        <v>320</v>
      </c>
      <c r="H254" s="188">
        <v>343</v>
      </c>
      <c r="I254" s="362">
        <v>308</v>
      </c>
      <c r="J254" s="44">
        <v>444</v>
      </c>
      <c r="K254" s="383">
        <v>9</v>
      </c>
      <c r="L254" s="390">
        <v>0</v>
      </c>
      <c r="M254" s="232">
        <f t="shared" si="505"/>
        <v>-100</v>
      </c>
      <c r="N254" s="383">
        <f t="shared" si="530"/>
        <v>57</v>
      </c>
      <c r="O254" s="390">
        <f t="shared" si="531"/>
        <v>57</v>
      </c>
      <c r="P254" s="242">
        <f t="shared" si="506"/>
        <v>0</v>
      </c>
      <c r="Q254" s="383">
        <v>66</v>
      </c>
      <c r="R254" s="390">
        <v>57</v>
      </c>
      <c r="S254" s="242">
        <f t="shared" si="507"/>
        <v>-13.6</v>
      </c>
      <c r="T254" s="383">
        <f t="shared" si="532"/>
        <v>30</v>
      </c>
      <c r="U254" s="390">
        <f t="shared" si="533"/>
        <v>5</v>
      </c>
      <c r="V254" s="242">
        <f t="shared" si="508"/>
        <v>-83.3</v>
      </c>
      <c r="W254" s="383">
        <v>96</v>
      </c>
      <c r="X254" s="390">
        <v>62</v>
      </c>
      <c r="Y254" s="242">
        <f t="shared" si="509"/>
        <v>-35.4</v>
      </c>
      <c r="Z254" s="527">
        <f t="shared" si="534"/>
        <v>38</v>
      </c>
      <c r="AA254" s="390">
        <f t="shared" si="535"/>
        <v>4</v>
      </c>
      <c r="AB254" s="242">
        <f t="shared" si="523"/>
        <v>-89.5</v>
      </c>
      <c r="AC254" s="527">
        <v>134</v>
      </c>
      <c r="AD254" s="390">
        <v>66</v>
      </c>
      <c r="AE254" s="242">
        <f t="shared" si="511"/>
        <v>-50.7</v>
      </c>
      <c r="AF254" s="527">
        <f t="shared" si="536"/>
        <v>13</v>
      </c>
      <c r="AG254" s="390">
        <f t="shared" si="536"/>
        <v>51</v>
      </c>
      <c r="AH254" s="242">
        <f t="shared" si="524"/>
        <v>292.3</v>
      </c>
      <c r="AI254" s="527">
        <v>147</v>
      </c>
      <c r="AJ254" s="390">
        <v>117</v>
      </c>
      <c r="AK254" s="242">
        <f t="shared" si="512"/>
        <v>-20.399999999999999</v>
      </c>
      <c r="AL254" s="527">
        <f t="shared" si="537"/>
        <v>85</v>
      </c>
      <c r="AM254" s="390">
        <f t="shared" si="538"/>
        <v>65</v>
      </c>
      <c r="AN254" s="242">
        <f t="shared" si="525"/>
        <v>-23.5</v>
      </c>
      <c r="AO254" s="817">
        <v>232</v>
      </c>
      <c r="AP254" s="819">
        <v>182</v>
      </c>
      <c r="AQ254" s="242">
        <f t="shared" si="513"/>
        <v>-21.6</v>
      </c>
      <c r="AR254" s="817">
        <f t="shared" si="539"/>
        <v>49</v>
      </c>
      <c r="AS254" s="819">
        <f t="shared" si="539"/>
        <v>25</v>
      </c>
      <c r="AT254" s="753">
        <f t="shared" si="526"/>
        <v>-49</v>
      </c>
      <c r="AU254" s="969">
        <v>281</v>
      </c>
      <c r="AV254" s="970">
        <v>207</v>
      </c>
      <c r="AW254" s="753">
        <f t="shared" si="514"/>
        <v>-26.3</v>
      </c>
      <c r="AX254" s="817">
        <f t="shared" si="540"/>
        <v>20</v>
      </c>
      <c r="AY254" s="819">
        <f t="shared" si="541"/>
        <v>46</v>
      </c>
      <c r="AZ254" s="753">
        <f t="shared" si="527"/>
        <v>130</v>
      </c>
      <c r="BA254" s="817">
        <v>301</v>
      </c>
      <c r="BB254" s="819">
        <v>253</v>
      </c>
      <c r="BC254" s="753">
        <f t="shared" si="515"/>
        <v>-15.9</v>
      </c>
      <c r="BD254" s="817">
        <f t="shared" si="542"/>
        <v>23</v>
      </c>
      <c r="BE254" s="819">
        <f t="shared" si="542"/>
        <v>4</v>
      </c>
      <c r="BF254" s="753">
        <f t="shared" si="521"/>
        <v>-82.6</v>
      </c>
      <c r="BG254" s="817">
        <v>324</v>
      </c>
      <c r="BH254" s="819">
        <v>257</v>
      </c>
      <c r="BI254" s="753">
        <f t="shared" si="516"/>
        <v>-20.7</v>
      </c>
      <c r="BJ254" s="817">
        <f t="shared" si="543"/>
        <v>39</v>
      </c>
      <c r="BK254" s="819">
        <f t="shared" si="543"/>
        <v>12</v>
      </c>
      <c r="BL254" s="753">
        <f t="shared" si="528"/>
        <v>-69.2</v>
      </c>
      <c r="BM254" s="817">
        <v>363</v>
      </c>
      <c r="BN254" s="819">
        <v>269</v>
      </c>
      <c r="BO254" s="753">
        <f t="shared" si="517"/>
        <v>-25.9</v>
      </c>
      <c r="BP254" s="817">
        <f t="shared" si="544"/>
        <v>16</v>
      </c>
      <c r="BQ254" s="819">
        <f t="shared" si="544"/>
        <v>19</v>
      </c>
      <c r="BR254" s="753">
        <f t="shared" si="529"/>
        <v>18.8</v>
      </c>
      <c r="BS254" s="817">
        <v>379</v>
      </c>
      <c r="BT254" s="819">
        <v>288</v>
      </c>
      <c r="BU254" s="753">
        <f t="shared" si="518"/>
        <v>-24</v>
      </c>
    </row>
    <row r="255" spans="1:73">
      <c r="A255" s="4"/>
      <c r="B255" s="43" t="s">
        <v>396</v>
      </c>
      <c r="C255" s="188">
        <v>2</v>
      </c>
      <c r="D255" s="188">
        <v>0</v>
      </c>
      <c r="E255" s="188">
        <v>52</v>
      </c>
      <c r="F255" s="188">
        <v>181</v>
      </c>
      <c r="G255" s="188">
        <v>232</v>
      </c>
      <c r="H255" s="188">
        <v>276</v>
      </c>
      <c r="I255" s="362">
        <v>275</v>
      </c>
      <c r="J255" s="44">
        <v>211</v>
      </c>
      <c r="K255" s="383">
        <v>11</v>
      </c>
      <c r="L255" s="390">
        <v>19</v>
      </c>
      <c r="M255" s="232">
        <f t="shared" si="505"/>
        <v>72.7</v>
      </c>
      <c r="N255" s="383">
        <f t="shared" si="530"/>
        <v>11</v>
      </c>
      <c r="O255" s="390">
        <f t="shared" si="531"/>
        <v>23</v>
      </c>
      <c r="P255" s="242">
        <f t="shared" si="506"/>
        <v>109.1</v>
      </c>
      <c r="Q255" s="383">
        <v>22</v>
      </c>
      <c r="R255" s="390">
        <v>42</v>
      </c>
      <c r="S255" s="242">
        <f t="shared" si="507"/>
        <v>90.9</v>
      </c>
      <c r="T255" s="383">
        <f t="shared" si="532"/>
        <v>11</v>
      </c>
      <c r="U255" s="390">
        <f t="shared" si="533"/>
        <v>19</v>
      </c>
      <c r="V255" s="242">
        <f t="shared" si="508"/>
        <v>72.7</v>
      </c>
      <c r="W255" s="383">
        <v>33</v>
      </c>
      <c r="X255" s="390">
        <v>61</v>
      </c>
      <c r="Y255" s="242">
        <f t="shared" si="509"/>
        <v>84.8</v>
      </c>
      <c r="Z255" s="527">
        <f t="shared" si="534"/>
        <v>10</v>
      </c>
      <c r="AA255" s="390">
        <f t="shared" si="535"/>
        <v>24</v>
      </c>
      <c r="AB255" s="242">
        <f t="shared" si="523"/>
        <v>140</v>
      </c>
      <c r="AC255" s="527">
        <v>43</v>
      </c>
      <c r="AD255" s="390">
        <v>85</v>
      </c>
      <c r="AE255" s="242">
        <f t="shared" si="511"/>
        <v>97.7</v>
      </c>
      <c r="AF255" s="527">
        <f t="shared" si="536"/>
        <v>17</v>
      </c>
      <c r="AG255" s="390">
        <f t="shared" si="536"/>
        <v>11</v>
      </c>
      <c r="AH255" s="242">
        <f t="shared" si="524"/>
        <v>-35.299999999999997</v>
      </c>
      <c r="AI255" s="527">
        <v>60</v>
      </c>
      <c r="AJ255" s="390">
        <v>96</v>
      </c>
      <c r="AK255" s="242">
        <f t="shared" si="512"/>
        <v>60</v>
      </c>
      <c r="AL255" s="527">
        <f t="shared" si="537"/>
        <v>21</v>
      </c>
      <c r="AM255" s="390">
        <f t="shared" si="538"/>
        <v>25</v>
      </c>
      <c r="AN255" s="242">
        <f t="shared" si="525"/>
        <v>19</v>
      </c>
      <c r="AO255" s="817">
        <v>81</v>
      </c>
      <c r="AP255" s="819">
        <v>121</v>
      </c>
      <c r="AQ255" s="242">
        <f t="shared" si="513"/>
        <v>49.4</v>
      </c>
      <c r="AR255" s="817">
        <f t="shared" si="539"/>
        <v>24</v>
      </c>
      <c r="AS255" s="819">
        <f t="shared" si="539"/>
        <v>19</v>
      </c>
      <c r="AT255" s="753">
        <f t="shared" si="526"/>
        <v>-20.8</v>
      </c>
      <c r="AU255" s="969">
        <v>105</v>
      </c>
      <c r="AV255" s="970">
        <v>140</v>
      </c>
      <c r="AW255" s="753">
        <f t="shared" si="514"/>
        <v>33.299999999999997</v>
      </c>
      <c r="AX255" s="817">
        <f t="shared" si="540"/>
        <v>20</v>
      </c>
      <c r="AY255" s="819">
        <f t="shared" si="541"/>
        <v>14</v>
      </c>
      <c r="AZ255" s="753">
        <f t="shared" si="527"/>
        <v>-30</v>
      </c>
      <c r="BA255" s="817">
        <v>125</v>
      </c>
      <c r="BB255" s="819">
        <v>154</v>
      </c>
      <c r="BC255" s="753">
        <f t="shared" si="515"/>
        <v>23.2</v>
      </c>
      <c r="BD255" s="817">
        <f t="shared" si="542"/>
        <v>23</v>
      </c>
      <c r="BE255" s="819">
        <f t="shared" si="542"/>
        <v>14</v>
      </c>
      <c r="BF255" s="753">
        <f t="shared" si="521"/>
        <v>-39.1</v>
      </c>
      <c r="BG255" s="817">
        <v>148</v>
      </c>
      <c r="BH255" s="819">
        <v>168</v>
      </c>
      <c r="BI255" s="753">
        <f t="shared" si="516"/>
        <v>13.5</v>
      </c>
      <c r="BJ255" s="817">
        <f t="shared" si="543"/>
        <v>24</v>
      </c>
      <c r="BK255" s="819">
        <f t="shared" si="543"/>
        <v>14</v>
      </c>
      <c r="BL255" s="753">
        <f t="shared" si="528"/>
        <v>-41.7</v>
      </c>
      <c r="BM255" s="817">
        <v>172</v>
      </c>
      <c r="BN255" s="819">
        <v>182</v>
      </c>
      <c r="BO255" s="753">
        <f t="shared" si="517"/>
        <v>5.8</v>
      </c>
      <c r="BP255" s="817">
        <f t="shared" si="544"/>
        <v>24</v>
      </c>
      <c r="BQ255" s="819">
        <f t="shared" si="544"/>
        <v>12</v>
      </c>
      <c r="BR255" s="753">
        <f t="shared" si="529"/>
        <v>-50</v>
      </c>
      <c r="BS255" s="817">
        <v>196</v>
      </c>
      <c r="BT255" s="819">
        <v>194</v>
      </c>
      <c r="BU255" s="753">
        <f t="shared" si="518"/>
        <v>-1</v>
      </c>
    </row>
    <row r="256" spans="1:73">
      <c r="A256" s="4"/>
      <c r="B256" s="43" t="s">
        <v>53</v>
      </c>
      <c r="C256" s="188">
        <v>79</v>
      </c>
      <c r="D256" s="188">
        <v>392</v>
      </c>
      <c r="E256" s="188">
        <v>140</v>
      </c>
      <c r="F256" s="188">
        <v>261</v>
      </c>
      <c r="G256" s="188">
        <v>526</v>
      </c>
      <c r="H256" s="188">
        <v>231</v>
      </c>
      <c r="I256" s="362">
        <v>120</v>
      </c>
      <c r="J256" s="44">
        <v>207</v>
      </c>
      <c r="K256" s="383">
        <v>11</v>
      </c>
      <c r="L256" s="390">
        <v>2</v>
      </c>
      <c r="M256" s="232">
        <f t="shared" si="505"/>
        <v>-81.8</v>
      </c>
      <c r="N256" s="383">
        <f t="shared" si="530"/>
        <v>149</v>
      </c>
      <c r="O256" s="390">
        <f t="shared" si="531"/>
        <v>1</v>
      </c>
      <c r="P256" s="242">
        <f t="shared" si="506"/>
        <v>-99.3</v>
      </c>
      <c r="Q256" s="383">
        <v>160</v>
      </c>
      <c r="R256" s="390">
        <v>3</v>
      </c>
      <c r="S256" s="242">
        <f t="shared" si="507"/>
        <v>-98.1</v>
      </c>
      <c r="T256" s="383">
        <f t="shared" si="532"/>
        <v>1</v>
      </c>
      <c r="U256" s="390">
        <f t="shared" si="533"/>
        <v>1</v>
      </c>
      <c r="V256" s="242">
        <f t="shared" si="508"/>
        <v>0</v>
      </c>
      <c r="W256" s="383">
        <v>161</v>
      </c>
      <c r="X256" s="390">
        <v>4</v>
      </c>
      <c r="Y256" s="242">
        <f t="shared" si="509"/>
        <v>-97.5</v>
      </c>
      <c r="Z256" s="527">
        <f t="shared" si="534"/>
        <v>7</v>
      </c>
      <c r="AA256" s="390">
        <f t="shared" si="535"/>
        <v>0</v>
      </c>
      <c r="AB256" s="242">
        <f t="shared" si="523"/>
        <v>-100</v>
      </c>
      <c r="AC256" s="527">
        <v>168</v>
      </c>
      <c r="AD256" s="390">
        <v>4</v>
      </c>
      <c r="AE256" s="242">
        <f t="shared" si="511"/>
        <v>-97.6</v>
      </c>
      <c r="AF256" s="527">
        <f t="shared" si="536"/>
        <v>0</v>
      </c>
      <c r="AG256" s="390">
        <f t="shared" si="536"/>
        <v>1</v>
      </c>
      <c r="AH256" s="521">
        <v>0</v>
      </c>
      <c r="AI256" s="527">
        <v>168</v>
      </c>
      <c r="AJ256" s="390">
        <v>5</v>
      </c>
      <c r="AK256" s="242">
        <f t="shared" si="512"/>
        <v>-97</v>
      </c>
      <c r="AL256" s="527">
        <f t="shared" si="537"/>
        <v>3</v>
      </c>
      <c r="AM256" s="390">
        <f t="shared" si="538"/>
        <v>23</v>
      </c>
      <c r="AN256" s="753">
        <f t="shared" si="525"/>
        <v>666.7</v>
      </c>
      <c r="AO256" s="817">
        <v>171</v>
      </c>
      <c r="AP256" s="819">
        <v>28</v>
      </c>
      <c r="AQ256" s="242">
        <f t="shared" si="513"/>
        <v>-83.6</v>
      </c>
      <c r="AR256" s="817">
        <f t="shared" si="539"/>
        <v>3</v>
      </c>
      <c r="AS256" s="819">
        <f t="shared" si="539"/>
        <v>1</v>
      </c>
      <c r="AT256" s="753">
        <f t="shared" si="526"/>
        <v>-66.7</v>
      </c>
      <c r="AU256" s="969">
        <v>174</v>
      </c>
      <c r="AV256" s="970">
        <v>29</v>
      </c>
      <c r="AW256" s="753">
        <f t="shared" si="514"/>
        <v>-83.3</v>
      </c>
      <c r="AX256" s="817">
        <f t="shared" si="540"/>
        <v>2</v>
      </c>
      <c r="AY256" s="819">
        <f t="shared" si="541"/>
        <v>0</v>
      </c>
      <c r="AZ256" s="753">
        <f t="shared" si="527"/>
        <v>-100</v>
      </c>
      <c r="BA256" s="817">
        <v>176</v>
      </c>
      <c r="BB256" s="819">
        <v>29</v>
      </c>
      <c r="BC256" s="753">
        <f t="shared" si="515"/>
        <v>-83.5</v>
      </c>
      <c r="BD256" s="817">
        <f t="shared" si="542"/>
        <v>0</v>
      </c>
      <c r="BE256" s="819">
        <f t="shared" si="542"/>
        <v>1</v>
      </c>
      <c r="BF256" s="799">
        <v>0</v>
      </c>
      <c r="BG256" s="817">
        <v>176</v>
      </c>
      <c r="BH256" s="819">
        <v>30</v>
      </c>
      <c r="BI256" s="753">
        <f t="shared" si="516"/>
        <v>-83</v>
      </c>
      <c r="BJ256" s="817">
        <f t="shared" si="543"/>
        <v>9</v>
      </c>
      <c r="BK256" s="819">
        <f t="shared" si="543"/>
        <v>5</v>
      </c>
      <c r="BL256" s="753">
        <f>ROUND(((BK256/BJ256-1)*100), 1)</f>
        <v>-44.4</v>
      </c>
      <c r="BM256" s="817">
        <v>185</v>
      </c>
      <c r="BN256" s="819">
        <v>35</v>
      </c>
      <c r="BO256" s="753">
        <f t="shared" si="517"/>
        <v>-81.099999999999994</v>
      </c>
      <c r="BP256" s="817">
        <f t="shared" si="544"/>
        <v>19</v>
      </c>
      <c r="BQ256" s="819">
        <f t="shared" si="544"/>
        <v>6</v>
      </c>
      <c r="BR256" s="753">
        <f>ROUND(((BQ256/BP256-1)*100), 1)</f>
        <v>-68.400000000000006</v>
      </c>
      <c r="BS256" s="817">
        <v>204</v>
      </c>
      <c r="BT256" s="819">
        <v>41</v>
      </c>
      <c r="BU256" s="753">
        <f t="shared" si="518"/>
        <v>-79.900000000000006</v>
      </c>
    </row>
    <row r="257" spans="1:73">
      <c r="A257" s="4"/>
      <c r="B257" s="43" t="s">
        <v>385</v>
      </c>
      <c r="C257" s="188">
        <v>28</v>
      </c>
      <c r="D257" s="188">
        <v>41</v>
      </c>
      <c r="E257" s="188">
        <v>16</v>
      </c>
      <c r="F257" s="188">
        <v>4</v>
      </c>
      <c r="G257" s="188">
        <v>32</v>
      </c>
      <c r="H257" s="188">
        <v>188</v>
      </c>
      <c r="I257" s="362">
        <v>105</v>
      </c>
      <c r="J257" s="44">
        <v>159</v>
      </c>
      <c r="K257" s="383">
        <v>8</v>
      </c>
      <c r="L257" s="390">
        <v>22</v>
      </c>
      <c r="M257" s="232">
        <f t="shared" si="505"/>
        <v>175</v>
      </c>
      <c r="N257" s="383">
        <f t="shared" si="530"/>
        <v>10</v>
      </c>
      <c r="O257" s="390">
        <f t="shared" si="531"/>
        <v>20</v>
      </c>
      <c r="P257" s="242">
        <f t="shared" si="506"/>
        <v>100</v>
      </c>
      <c r="Q257" s="383">
        <v>18</v>
      </c>
      <c r="R257" s="390">
        <v>42</v>
      </c>
      <c r="S257" s="242">
        <f t="shared" si="507"/>
        <v>133.30000000000001</v>
      </c>
      <c r="T257" s="383">
        <f t="shared" si="532"/>
        <v>14</v>
      </c>
      <c r="U257" s="390">
        <f t="shared" si="533"/>
        <v>30</v>
      </c>
      <c r="V257" s="242">
        <f t="shared" si="508"/>
        <v>114.3</v>
      </c>
      <c r="W257" s="383">
        <v>32</v>
      </c>
      <c r="X257" s="390">
        <v>72</v>
      </c>
      <c r="Y257" s="242">
        <f t="shared" si="509"/>
        <v>125</v>
      </c>
      <c r="Z257" s="527">
        <f t="shared" si="534"/>
        <v>9</v>
      </c>
      <c r="AA257" s="390">
        <f t="shared" si="535"/>
        <v>31</v>
      </c>
      <c r="AB257" s="242">
        <f t="shared" si="523"/>
        <v>244.4</v>
      </c>
      <c r="AC257" s="527">
        <v>41</v>
      </c>
      <c r="AD257" s="390">
        <v>103</v>
      </c>
      <c r="AE257" s="242">
        <f t="shared" si="511"/>
        <v>151.19999999999999</v>
      </c>
      <c r="AF257" s="527">
        <f t="shared" si="536"/>
        <v>8</v>
      </c>
      <c r="AG257" s="390">
        <f t="shared" si="536"/>
        <v>27</v>
      </c>
      <c r="AH257" s="242">
        <f t="shared" si="524"/>
        <v>237.5</v>
      </c>
      <c r="AI257" s="527">
        <v>49</v>
      </c>
      <c r="AJ257" s="390">
        <v>130</v>
      </c>
      <c r="AK257" s="242">
        <f t="shared" si="512"/>
        <v>165.3</v>
      </c>
      <c r="AL257" s="527">
        <f t="shared" si="537"/>
        <v>14</v>
      </c>
      <c r="AM257" s="390">
        <f t="shared" si="538"/>
        <v>49</v>
      </c>
      <c r="AN257" s="242">
        <f t="shared" ref="AN257:AN258" si="545">ROUND(((AM257/AL257-1)*100), 1)</f>
        <v>250</v>
      </c>
      <c r="AO257" s="817">
        <v>63</v>
      </c>
      <c r="AP257" s="819">
        <v>179</v>
      </c>
      <c r="AQ257" s="242">
        <f t="shared" si="513"/>
        <v>184.1</v>
      </c>
      <c r="AR257" s="817">
        <f t="shared" si="539"/>
        <v>26</v>
      </c>
      <c r="AS257" s="819">
        <f t="shared" si="539"/>
        <v>37</v>
      </c>
      <c r="AT257" s="753">
        <f t="shared" si="526"/>
        <v>42.3</v>
      </c>
      <c r="AU257" s="969">
        <v>89</v>
      </c>
      <c r="AV257" s="970">
        <v>216</v>
      </c>
      <c r="AW257" s="753">
        <f t="shared" si="514"/>
        <v>142.69999999999999</v>
      </c>
      <c r="AX257" s="817">
        <f t="shared" si="540"/>
        <v>13</v>
      </c>
      <c r="AY257" s="819">
        <f t="shared" si="541"/>
        <v>23</v>
      </c>
      <c r="AZ257" s="753">
        <f t="shared" si="527"/>
        <v>76.900000000000006</v>
      </c>
      <c r="BA257" s="817">
        <v>102</v>
      </c>
      <c r="BB257" s="819">
        <v>239</v>
      </c>
      <c r="BC257" s="753">
        <f t="shared" si="515"/>
        <v>134.30000000000001</v>
      </c>
      <c r="BD257" s="817">
        <f t="shared" si="542"/>
        <v>17</v>
      </c>
      <c r="BE257" s="819">
        <f t="shared" si="542"/>
        <v>24</v>
      </c>
      <c r="BF257" s="753">
        <f t="shared" si="521"/>
        <v>41.2</v>
      </c>
      <c r="BG257" s="817">
        <v>119</v>
      </c>
      <c r="BH257" s="819">
        <v>263</v>
      </c>
      <c r="BI257" s="753">
        <f t="shared" si="516"/>
        <v>121</v>
      </c>
      <c r="BJ257" s="817">
        <f t="shared" si="543"/>
        <v>9</v>
      </c>
      <c r="BK257" s="819">
        <f t="shared" si="543"/>
        <v>29</v>
      </c>
      <c r="BL257" s="753">
        <f t="shared" ref="BL257" si="546">ROUND(((BK257/BJ257-1)*100), 1)</f>
        <v>222.2</v>
      </c>
      <c r="BM257" s="817">
        <v>128</v>
      </c>
      <c r="BN257" s="819">
        <v>292</v>
      </c>
      <c r="BO257" s="753">
        <f t="shared" si="517"/>
        <v>128.1</v>
      </c>
      <c r="BP257" s="817">
        <f t="shared" si="544"/>
        <v>17</v>
      </c>
      <c r="BQ257" s="819">
        <f t="shared" si="544"/>
        <v>20</v>
      </c>
      <c r="BR257" s="753">
        <f>ROUND(((BQ257/BP257-1)*100), 1)</f>
        <v>17.600000000000001</v>
      </c>
      <c r="BS257" s="817">
        <v>145</v>
      </c>
      <c r="BT257" s="819">
        <v>312</v>
      </c>
      <c r="BU257" s="753">
        <f t="shared" si="518"/>
        <v>115.2</v>
      </c>
    </row>
    <row r="258" spans="1:73">
      <c r="A258" s="4"/>
      <c r="B258" s="33" t="s">
        <v>440</v>
      </c>
      <c r="C258" s="326">
        <v>0</v>
      </c>
      <c r="D258" s="326">
        <v>1</v>
      </c>
      <c r="E258" s="326">
        <v>0</v>
      </c>
      <c r="F258" s="326">
        <v>4</v>
      </c>
      <c r="G258" s="326">
        <v>0</v>
      </c>
      <c r="H258" s="326">
        <v>5</v>
      </c>
      <c r="I258" s="377">
        <v>68</v>
      </c>
      <c r="J258" s="44">
        <v>73</v>
      </c>
      <c r="K258" s="383">
        <v>1</v>
      </c>
      <c r="L258" s="390">
        <v>0</v>
      </c>
      <c r="M258" s="232">
        <f t="shared" si="505"/>
        <v>-100</v>
      </c>
      <c r="N258" s="383">
        <f t="shared" si="530"/>
        <v>38</v>
      </c>
      <c r="O258" s="390">
        <f t="shared" si="531"/>
        <v>0</v>
      </c>
      <c r="P258" s="242">
        <f t="shared" si="506"/>
        <v>-100</v>
      </c>
      <c r="Q258" s="383">
        <v>39</v>
      </c>
      <c r="R258" s="390">
        <v>0</v>
      </c>
      <c r="S258" s="242">
        <f t="shared" si="507"/>
        <v>-100</v>
      </c>
      <c r="T258" s="383">
        <f t="shared" si="532"/>
        <v>0</v>
      </c>
      <c r="U258" s="390">
        <f t="shared" si="533"/>
        <v>40</v>
      </c>
      <c r="V258" s="177">
        <v>0</v>
      </c>
      <c r="W258" s="383">
        <v>39</v>
      </c>
      <c r="X258" s="390">
        <v>40</v>
      </c>
      <c r="Y258" s="242">
        <f t="shared" si="509"/>
        <v>2.6</v>
      </c>
      <c r="Z258" s="527">
        <f t="shared" si="534"/>
        <v>8</v>
      </c>
      <c r="AA258" s="390">
        <f t="shared" si="535"/>
        <v>0</v>
      </c>
      <c r="AB258" s="242">
        <f>ROUND(((AA258/Z258-1)*100), 1)</f>
        <v>-100</v>
      </c>
      <c r="AC258" s="527">
        <v>47</v>
      </c>
      <c r="AD258" s="390">
        <v>40</v>
      </c>
      <c r="AE258" s="242">
        <f t="shared" si="511"/>
        <v>-14.9</v>
      </c>
      <c r="AF258" s="527">
        <f t="shared" si="536"/>
        <v>0</v>
      </c>
      <c r="AG258" s="390">
        <f t="shared" si="536"/>
        <v>9</v>
      </c>
      <c r="AH258" s="521">
        <v>0</v>
      </c>
      <c r="AI258" s="527">
        <v>47</v>
      </c>
      <c r="AJ258" s="390">
        <v>49</v>
      </c>
      <c r="AK258" s="242">
        <f t="shared" si="512"/>
        <v>4.3</v>
      </c>
      <c r="AL258" s="527">
        <f t="shared" si="537"/>
        <v>4</v>
      </c>
      <c r="AM258" s="390">
        <f t="shared" si="538"/>
        <v>0</v>
      </c>
      <c r="AN258" s="753">
        <f t="shared" si="545"/>
        <v>-100</v>
      </c>
      <c r="AO258" s="817">
        <v>51</v>
      </c>
      <c r="AP258" s="819">
        <v>49</v>
      </c>
      <c r="AQ258" s="242">
        <f t="shared" si="513"/>
        <v>-3.9</v>
      </c>
      <c r="AR258" s="817">
        <f t="shared" si="539"/>
        <v>16</v>
      </c>
      <c r="AS258" s="819">
        <f t="shared" si="539"/>
        <v>0</v>
      </c>
      <c r="AT258" s="753">
        <f t="shared" si="526"/>
        <v>-100</v>
      </c>
      <c r="AU258" s="969">
        <v>67</v>
      </c>
      <c r="AV258" s="970">
        <v>49</v>
      </c>
      <c r="AW258" s="753">
        <f t="shared" si="514"/>
        <v>-26.9</v>
      </c>
      <c r="AX258" s="817">
        <f t="shared" si="540"/>
        <v>0</v>
      </c>
      <c r="AY258" s="819">
        <f t="shared" si="541"/>
        <v>0</v>
      </c>
      <c r="AZ258" s="799">
        <v>0</v>
      </c>
      <c r="BA258" s="817">
        <v>67</v>
      </c>
      <c r="BB258" s="819">
        <v>49</v>
      </c>
      <c r="BC258" s="753">
        <f t="shared" si="515"/>
        <v>-26.9</v>
      </c>
      <c r="BD258" s="817">
        <f t="shared" si="542"/>
        <v>0</v>
      </c>
      <c r="BE258" s="819">
        <f t="shared" si="542"/>
        <v>0</v>
      </c>
      <c r="BF258" s="799">
        <v>0</v>
      </c>
      <c r="BG258" s="817">
        <v>67</v>
      </c>
      <c r="BH258" s="819">
        <v>49</v>
      </c>
      <c r="BI258" s="753">
        <f t="shared" si="516"/>
        <v>-26.9</v>
      </c>
      <c r="BJ258" s="817">
        <f t="shared" si="543"/>
        <v>1</v>
      </c>
      <c r="BK258" s="819">
        <f t="shared" si="543"/>
        <v>0</v>
      </c>
      <c r="BL258" s="753">
        <f>ROUND(((BK258/BJ258-1)*100), 1)</f>
        <v>-100</v>
      </c>
      <c r="BM258" s="817">
        <v>68</v>
      </c>
      <c r="BN258" s="819">
        <v>49</v>
      </c>
      <c r="BO258" s="753">
        <f t="shared" si="517"/>
        <v>-27.9</v>
      </c>
      <c r="BP258" s="817">
        <f t="shared" si="544"/>
        <v>2</v>
      </c>
      <c r="BQ258" s="819">
        <f t="shared" si="544"/>
        <v>1</v>
      </c>
      <c r="BR258" s="753">
        <f>ROUND(((BQ258/BP258-1)*100), 1)</f>
        <v>-50</v>
      </c>
      <c r="BS258" s="817">
        <v>70</v>
      </c>
      <c r="BT258" s="819">
        <v>50</v>
      </c>
      <c r="BU258" s="753">
        <f t="shared" si="518"/>
        <v>-28.6</v>
      </c>
    </row>
    <row r="259" spans="1:73" s="291" customFormat="1">
      <c r="A259" s="433"/>
      <c r="B259" s="33" t="s">
        <v>467</v>
      </c>
      <c r="C259" s="326">
        <v>1</v>
      </c>
      <c r="D259" s="326">
        <v>16</v>
      </c>
      <c r="E259" s="326">
        <v>0</v>
      </c>
      <c r="F259" s="326">
        <v>1</v>
      </c>
      <c r="G259" s="326">
        <v>3</v>
      </c>
      <c r="H259" s="326">
        <v>0</v>
      </c>
      <c r="I259" s="377">
        <v>0</v>
      </c>
      <c r="J259" s="44">
        <v>56</v>
      </c>
      <c r="K259" s="383">
        <v>0</v>
      </c>
      <c r="L259" s="390">
        <v>0</v>
      </c>
      <c r="M259" s="177">
        <v>0</v>
      </c>
      <c r="N259" s="383">
        <f t="shared" si="530"/>
        <v>0</v>
      </c>
      <c r="O259" s="390">
        <f t="shared" si="531"/>
        <v>0</v>
      </c>
      <c r="P259" s="177">
        <v>0</v>
      </c>
      <c r="Q259" s="383">
        <v>0</v>
      </c>
      <c r="R259" s="390">
        <v>0</v>
      </c>
      <c r="S259" s="177">
        <v>0</v>
      </c>
      <c r="T259" s="383">
        <f t="shared" si="532"/>
        <v>0</v>
      </c>
      <c r="U259" s="390">
        <f t="shared" si="533"/>
        <v>0</v>
      </c>
      <c r="V259" s="177">
        <v>0</v>
      </c>
      <c r="W259" s="383">
        <v>0</v>
      </c>
      <c r="X259" s="390">
        <v>0</v>
      </c>
      <c r="Y259" s="177">
        <v>0</v>
      </c>
      <c r="Z259" s="527">
        <f t="shared" si="534"/>
        <v>0</v>
      </c>
      <c r="AA259" s="390">
        <f t="shared" si="535"/>
        <v>0</v>
      </c>
      <c r="AB259" s="521">
        <v>0</v>
      </c>
      <c r="AC259" s="527">
        <v>0</v>
      </c>
      <c r="AD259" s="390">
        <v>0</v>
      </c>
      <c r="AE259" s="521">
        <v>0</v>
      </c>
      <c r="AF259" s="527">
        <f t="shared" si="536"/>
        <v>0</v>
      </c>
      <c r="AG259" s="390">
        <f t="shared" si="536"/>
        <v>0</v>
      </c>
      <c r="AH259" s="521">
        <v>0</v>
      </c>
      <c r="AI259" s="527">
        <v>0</v>
      </c>
      <c r="AJ259" s="390">
        <v>0</v>
      </c>
      <c r="AK259" s="521">
        <v>0</v>
      </c>
      <c r="AL259" s="527">
        <f t="shared" si="537"/>
        <v>0</v>
      </c>
      <c r="AM259" s="390">
        <f t="shared" si="538"/>
        <v>0</v>
      </c>
      <c r="AN259" s="521">
        <v>0</v>
      </c>
      <c r="AO259" s="817">
        <v>0</v>
      </c>
      <c r="AP259" s="819">
        <v>0</v>
      </c>
      <c r="AQ259" s="521">
        <v>0</v>
      </c>
      <c r="AR259" s="817">
        <f t="shared" si="539"/>
        <v>0</v>
      </c>
      <c r="AS259" s="819">
        <f t="shared" si="539"/>
        <v>0</v>
      </c>
      <c r="AT259" s="799">
        <v>0</v>
      </c>
      <c r="AU259" s="969">
        <v>0</v>
      </c>
      <c r="AV259" s="970">
        <v>0</v>
      </c>
      <c r="AW259" s="799">
        <v>0</v>
      </c>
      <c r="AX259" s="817">
        <f t="shared" si="540"/>
        <v>56</v>
      </c>
      <c r="AY259" s="819">
        <f t="shared" si="541"/>
        <v>0</v>
      </c>
      <c r="AZ259" s="753">
        <f t="shared" si="527"/>
        <v>-100</v>
      </c>
      <c r="BA259" s="817">
        <v>56</v>
      </c>
      <c r="BB259" s="819">
        <v>0</v>
      </c>
      <c r="BC259" s="799">
        <v>0</v>
      </c>
      <c r="BD259" s="817">
        <f t="shared" si="542"/>
        <v>0</v>
      </c>
      <c r="BE259" s="819">
        <f t="shared" si="542"/>
        <v>0</v>
      </c>
      <c r="BF259" s="799">
        <v>0</v>
      </c>
      <c r="BG259" s="817">
        <v>56</v>
      </c>
      <c r="BH259" s="819">
        <v>0</v>
      </c>
      <c r="BI259" s="753">
        <f>ROUND(((BH259/BG259-1)*100), 1)</f>
        <v>-100</v>
      </c>
      <c r="BJ259" s="817">
        <f t="shared" si="543"/>
        <v>0</v>
      </c>
      <c r="BK259" s="819">
        <f t="shared" si="543"/>
        <v>0</v>
      </c>
      <c r="BL259" s="799">
        <v>0</v>
      </c>
      <c r="BM259" s="817">
        <v>56</v>
      </c>
      <c r="BN259" s="819">
        <v>0</v>
      </c>
      <c r="BO259" s="753">
        <f>ROUND(((BN259/BM259-1)*100), 1)</f>
        <v>-100</v>
      </c>
      <c r="BP259" s="817">
        <f t="shared" si="544"/>
        <v>0</v>
      </c>
      <c r="BQ259" s="819">
        <f t="shared" si="544"/>
        <v>0</v>
      </c>
      <c r="BR259" s="799">
        <v>0</v>
      </c>
      <c r="BS259" s="817">
        <v>56</v>
      </c>
      <c r="BT259" s="819">
        <v>0</v>
      </c>
      <c r="BU259" s="753">
        <f>ROUND(((BT259/BS259-1)*100), 1)</f>
        <v>-100</v>
      </c>
    </row>
    <row r="260" spans="1:73" s="173" customFormat="1">
      <c r="A260" s="325"/>
      <c r="B260" s="43" t="s">
        <v>54</v>
      </c>
      <c r="C260" s="188">
        <v>869</v>
      </c>
      <c r="D260" s="188">
        <v>567</v>
      </c>
      <c r="E260" s="188">
        <v>501</v>
      </c>
      <c r="F260" s="188">
        <v>557</v>
      </c>
      <c r="G260" s="188">
        <v>703</v>
      </c>
      <c r="H260" s="188">
        <v>311</v>
      </c>
      <c r="I260" s="362">
        <v>115</v>
      </c>
      <c r="J260" s="44">
        <v>50</v>
      </c>
      <c r="K260" s="383">
        <v>9</v>
      </c>
      <c r="L260" s="390">
        <v>8</v>
      </c>
      <c r="M260" s="242">
        <f>ROUND(((L260/K260-1)*100), 1)</f>
        <v>-11.1</v>
      </c>
      <c r="N260" s="383">
        <f t="shared" si="530"/>
        <v>8</v>
      </c>
      <c r="O260" s="390">
        <f t="shared" si="531"/>
        <v>3</v>
      </c>
      <c r="P260" s="242">
        <f>ROUND(((O260/N260-1)*100), 1)</f>
        <v>-62.5</v>
      </c>
      <c r="Q260" s="383">
        <v>17</v>
      </c>
      <c r="R260" s="390">
        <v>11</v>
      </c>
      <c r="S260" s="242">
        <f>ROUND(((R260/Q260-1)*100), 1)</f>
        <v>-35.299999999999997</v>
      </c>
      <c r="T260" s="383">
        <f t="shared" si="532"/>
        <v>5</v>
      </c>
      <c r="U260" s="390">
        <f t="shared" si="533"/>
        <v>10</v>
      </c>
      <c r="V260" s="242">
        <f>ROUND(((U260/T260-1)*100), 1)</f>
        <v>100</v>
      </c>
      <c r="W260" s="383">
        <v>22</v>
      </c>
      <c r="X260" s="390">
        <v>21</v>
      </c>
      <c r="Y260" s="242">
        <f>ROUND(((X260/W260-1)*100), 1)</f>
        <v>-4.5</v>
      </c>
      <c r="Z260" s="527">
        <f t="shared" si="534"/>
        <v>2</v>
      </c>
      <c r="AA260" s="390">
        <f t="shared" si="535"/>
        <v>4</v>
      </c>
      <c r="AB260" s="242">
        <f>ROUND(((AA260/Z260-1)*100), 1)</f>
        <v>100</v>
      </c>
      <c r="AC260" s="527">
        <v>24</v>
      </c>
      <c r="AD260" s="390">
        <v>25</v>
      </c>
      <c r="AE260" s="242">
        <f>ROUND(((AD260/AC260-1)*100), 1)</f>
        <v>4.2</v>
      </c>
      <c r="AF260" s="527">
        <f t="shared" si="536"/>
        <v>3</v>
      </c>
      <c r="AG260" s="390">
        <f t="shared" si="536"/>
        <v>1</v>
      </c>
      <c r="AH260" s="242">
        <f>ROUND(((AG260/AF260-1)*100), 1)</f>
        <v>-66.7</v>
      </c>
      <c r="AI260" s="527">
        <v>27</v>
      </c>
      <c r="AJ260" s="390">
        <v>26</v>
      </c>
      <c r="AK260" s="242">
        <f>ROUND(((AJ260/AI260-1)*100), 1)</f>
        <v>-3.7</v>
      </c>
      <c r="AL260" s="527">
        <f t="shared" si="537"/>
        <v>1</v>
      </c>
      <c r="AM260" s="390">
        <f t="shared" si="538"/>
        <v>19</v>
      </c>
      <c r="AN260" s="242">
        <f>ROUND(((AM260/AL260-1)*100), 1)</f>
        <v>1800</v>
      </c>
      <c r="AO260" s="817">
        <v>28</v>
      </c>
      <c r="AP260" s="819">
        <v>45</v>
      </c>
      <c r="AQ260" s="242">
        <f>ROUND(((AP260/AO260-1)*100), 1)</f>
        <v>60.7</v>
      </c>
      <c r="AR260" s="817">
        <f t="shared" si="539"/>
        <v>2</v>
      </c>
      <c r="AS260" s="819">
        <f t="shared" si="539"/>
        <v>3</v>
      </c>
      <c r="AT260" s="753">
        <f>ROUND(((AS260/AR260-1)*100), 1)</f>
        <v>50</v>
      </c>
      <c r="AU260" s="969">
        <v>30</v>
      </c>
      <c r="AV260" s="970">
        <v>48</v>
      </c>
      <c r="AW260" s="753">
        <f>ROUND(((AV260/AU260-1)*100), 1)</f>
        <v>60</v>
      </c>
      <c r="AX260" s="817">
        <f t="shared" si="540"/>
        <v>6</v>
      </c>
      <c r="AY260" s="819">
        <f t="shared" si="541"/>
        <v>3</v>
      </c>
      <c r="AZ260" s="753">
        <f>ROUND(((AY260/AX260-1)*100), 1)</f>
        <v>-50</v>
      </c>
      <c r="BA260" s="817">
        <v>36</v>
      </c>
      <c r="BB260" s="819">
        <v>51</v>
      </c>
      <c r="BC260" s="753">
        <f>ROUND(((BB260/BA260-1)*100), 1)</f>
        <v>41.7</v>
      </c>
      <c r="BD260" s="817">
        <f t="shared" si="542"/>
        <v>4</v>
      </c>
      <c r="BE260" s="819">
        <f t="shared" si="542"/>
        <v>7</v>
      </c>
      <c r="BF260" s="753">
        <f>ROUND(((BE260/BD260-1)*100), 1)</f>
        <v>75</v>
      </c>
      <c r="BG260" s="817">
        <v>40</v>
      </c>
      <c r="BH260" s="819">
        <v>58</v>
      </c>
      <c r="BI260" s="753">
        <f>ROUND(((BH260/BG260-1)*100), 1)</f>
        <v>45</v>
      </c>
      <c r="BJ260" s="817">
        <f t="shared" si="543"/>
        <v>6</v>
      </c>
      <c r="BK260" s="819">
        <f t="shared" si="543"/>
        <v>2</v>
      </c>
      <c r="BL260" s="753">
        <f>ROUND(((BK260/BJ260-1)*100), 1)</f>
        <v>-66.7</v>
      </c>
      <c r="BM260" s="817">
        <v>46</v>
      </c>
      <c r="BN260" s="819">
        <v>60</v>
      </c>
      <c r="BO260" s="753">
        <f>ROUND(((BN260/BM260-1)*100), 1)</f>
        <v>30.4</v>
      </c>
      <c r="BP260" s="817">
        <f t="shared" si="544"/>
        <v>2</v>
      </c>
      <c r="BQ260" s="819">
        <f t="shared" si="544"/>
        <v>5</v>
      </c>
      <c r="BR260" s="753">
        <f>ROUND(((BQ260/BP260-1)*100), 1)</f>
        <v>150</v>
      </c>
      <c r="BS260" s="817">
        <v>48</v>
      </c>
      <c r="BT260" s="819">
        <v>65</v>
      </c>
      <c r="BU260" s="753">
        <f>ROUND(((BT260/BS260-1)*100), 1)</f>
        <v>35.4</v>
      </c>
    </row>
    <row r="261" spans="1:73">
      <c r="A261" s="4"/>
      <c r="B261" s="43" t="s">
        <v>151</v>
      </c>
      <c r="C261" s="188">
        <v>7</v>
      </c>
      <c r="D261" s="188">
        <v>3</v>
      </c>
      <c r="E261" s="188">
        <v>27</v>
      </c>
      <c r="F261" s="188">
        <v>22</v>
      </c>
      <c r="G261" s="188">
        <v>6</v>
      </c>
      <c r="H261" s="188">
        <v>5</v>
      </c>
      <c r="I261" s="362">
        <v>10</v>
      </c>
      <c r="J261" s="44">
        <v>29</v>
      </c>
      <c r="K261" s="383">
        <v>0</v>
      </c>
      <c r="L261" s="390">
        <v>24</v>
      </c>
      <c r="M261" s="177">
        <v>0</v>
      </c>
      <c r="N261" s="383">
        <f t="shared" si="530"/>
        <v>0</v>
      </c>
      <c r="O261" s="390">
        <f t="shared" si="531"/>
        <v>0</v>
      </c>
      <c r="P261" s="177">
        <v>0</v>
      </c>
      <c r="Q261" s="383">
        <v>0</v>
      </c>
      <c r="R261" s="390">
        <v>24</v>
      </c>
      <c r="S261" s="177">
        <v>0</v>
      </c>
      <c r="T261" s="383">
        <f t="shared" si="532"/>
        <v>0</v>
      </c>
      <c r="U261" s="390">
        <f t="shared" si="533"/>
        <v>28</v>
      </c>
      <c r="V261" s="177">
        <v>0</v>
      </c>
      <c r="W261" s="383">
        <v>0</v>
      </c>
      <c r="X261" s="390">
        <v>52</v>
      </c>
      <c r="Y261" s="177">
        <v>0</v>
      </c>
      <c r="Z261" s="527">
        <f t="shared" si="534"/>
        <v>0</v>
      </c>
      <c r="AA261" s="390">
        <f t="shared" si="535"/>
        <v>4</v>
      </c>
      <c r="AB261" s="521">
        <v>0</v>
      </c>
      <c r="AC261" s="527">
        <v>0</v>
      </c>
      <c r="AD261" s="390">
        <v>56</v>
      </c>
      <c r="AE261" s="521">
        <v>0</v>
      </c>
      <c r="AF261" s="527">
        <f t="shared" si="536"/>
        <v>2</v>
      </c>
      <c r="AG261" s="390">
        <f t="shared" si="536"/>
        <v>11</v>
      </c>
      <c r="AH261" s="242">
        <f t="shared" ref="AH261" si="547">ROUND(((AG261/AF261-1)*100), 1)</f>
        <v>450</v>
      </c>
      <c r="AI261" s="527">
        <v>2</v>
      </c>
      <c r="AJ261" s="390">
        <v>67</v>
      </c>
      <c r="AK261" s="242">
        <f t="shared" ref="AK261" si="548">ROUND(((AJ261/AI261-1)*100), 1)</f>
        <v>3250</v>
      </c>
      <c r="AL261" s="527">
        <f t="shared" si="537"/>
        <v>1</v>
      </c>
      <c r="AM261" s="390">
        <f t="shared" si="538"/>
        <v>0</v>
      </c>
      <c r="AN261" s="242">
        <f t="shared" ref="AN261" si="549">ROUND(((AM261/AL261-1)*100), 1)</f>
        <v>-100</v>
      </c>
      <c r="AO261" s="817">
        <v>3</v>
      </c>
      <c r="AP261" s="819">
        <v>67</v>
      </c>
      <c r="AQ261" s="242">
        <f t="shared" ref="AQ261" si="550">ROUND(((AP261/AO261-1)*100), 1)</f>
        <v>2133.3000000000002</v>
      </c>
      <c r="AR261" s="817">
        <f t="shared" si="539"/>
        <v>0</v>
      </c>
      <c r="AS261" s="819">
        <f t="shared" si="539"/>
        <v>4</v>
      </c>
      <c r="AT261" s="799">
        <v>0</v>
      </c>
      <c r="AU261" s="969">
        <v>3</v>
      </c>
      <c r="AV261" s="970">
        <v>71</v>
      </c>
      <c r="AW261" s="753">
        <f>ROUND(((AV261/AU261-1)*100), 1)</f>
        <v>2266.6999999999998</v>
      </c>
      <c r="AX261" s="817">
        <f t="shared" si="540"/>
        <v>0</v>
      </c>
      <c r="AY261" s="819">
        <f t="shared" si="541"/>
        <v>10</v>
      </c>
      <c r="AZ261" s="799">
        <v>0</v>
      </c>
      <c r="BA261" s="817">
        <v>3</v>
      </c>
      <c r="BB261" s="819">
        <v>81</v>
      </c>
      <c r="BC261" s="753">
        <f>ROUND(((BB261/BA261-1)*100), 1)</f>
        <v>2600</v>
      </c>
      <c r="BD261" s="817">
        <f t="shared" si="542"/>
        <v>1</v>
      </c>
      <c r="BE261" s="819">
        <f t="shared" si="542"/>
        <v>2</v>
      </c>
      <c r="BF261" s="753">
        <f>ROUND(((BE261/BD261-1)*100), 1)</f>
        <v>100</v>
      </c>
      <c r="BG261" s="817">
        <v>4</v>
      </c>
      <c r="BH261" s="819">
        <v>83</v>
      </c>
      <c r="BI261" s="753">
        <f>ROUND(((BH261/BG261-1)*100), 1)</f>
        <v>1975</v>
      </c>
      <c r="BJ261" s="817">
        <f t="shared" si="543"/>
        <v>10</v>
      </c>
      <c r="BK261" s="819">
        <f t="shared" si="543"/>
        <v>10</v>
      </c>
      <c r="BL261" s="753">
        <f>ROUND(((BK261/BJ261-1)*100), 1)</f>
        <v>0</v>
      </c>
      <c r="BM261" s="817">
        <v>14</v>
      </c>
      <c r="BN261" s="819">
        <v>93</v>
      </c>
      <c r="BO261" s="753">
        <f>ROUND(((BN261/BM261-1)*100), 1)</f>
        <v>564.29999999999995</v>
      </c>
      <c r="BP261" s="817">
        <f t="shared" si="544"/>
        <v>14</v>
      </c>
      <c r="BQ261" s="819">
        <f t="shared" si="544"/>
        <v>3</v>
      </c>
      <c r="BR261" s="753">
        <f>ROUND(((BQ261/BP261-1)*100), 1)</f>
        <v>-78.599999999999994</v>
      </c>
      <c r="BS261" s="817">
        <v>28</v>
      </c>
      <c r="BT261" s="819">
        <v>96</v>
      </c>
      <c r="BU261" s="753">
        <f>ROUND(((BT261/BS261-1)*100), 1)</f>
        <v>242.9</v>
      </c>
    </row>
    <row r="262" spans="1:73">
      <c r="A262" s="4"/>
      <c r="B262" s="43" t="s">
        <v>443</v>
      </c>
      <c r="C262" s="188">
        <v>1</v>
      </c>
      <c r="D262" s="188">
        <v>13</v>
      </c>
      <c r="E262" s="188">
        <v>1</v>
      </c>
      <c r="F262" s="188">
        <v>24</v>
      </c>
      <c r="G262" s="188">
        <v>25</v>
      </c>
      <c r="H262" s="188">
        <v>4</v>
      </c>
      <c r="I262" s="362">
        <v>0</v>
      </c>
      <c r="J262" s="44">
        <v>9</v>
      </c>
      <c r="K262" s="383">
        <v>0</v>
      </c>
      <c r="L262" s="390">
        <v>0</v>
      </c>
      <c r="M262" s="177">
        <v>0</v>
      </c>
      <c r="N262" s="383">
        <f t="shared" si="530"/>
        <v>0</v>
      </c>
      <c r="O262" s="390">
        <f t="shared" si="531"/>
        <v>0</v>
      </c>
      <c r="P262" s="177">
        <v>0</v>
      </c>
      <c r="Q262" s="383">
        <v>0</v>
      </c>
      <c r="R262" s="390">
        <v>0</v>
      </c>
      <c r="S262" s="177">
        <v>0</v>
      </c>
      <c r="T262" s="383">
        <f t="shared" si="532"/>
        <v>0</v>
      </c>
      <c r="U262" s="390">
        <f t="shared" si="533"/>
        <v>0</v>
      </c>
      <c r="V262" s="177">
        <v>0</v>
      </c>
      <c r="W262" s="383">
        <v>0</v>
      </c>
      <c r="X262" s="390">
        <v>0</v>
      </c>
      <c r="Y262" s="177">
        <v>0</v>
      </c>
      <c r="Z262" s="527">
        <f t="shared" si="534"/>
        <v>0</v>
      </c>
      <c r="AA262" s="390">
        <f t="shared" si="535"/>
        <v>0</v>
      </c>
      <c r="AB262" s="521">
        <v>0</v>
      </c>
      <c r="AC262" s="527">
        <v>0</v>
      </c>
      <c r="AD262" s="390">
        <v>0</v>
      </c>
      <c r="AE262" s="521">
        <v>0</v>
      </c>
      <c r="AF262" s="527">
        <f t="shared" si="536"/>
        <v>0</v>
      </c>
      <c r="AG262" s="390">
        <f t="shared" si="536"/>
        <v>0</v>
      </c>
      <c r="AH262" s="521">
        <v>0</v>
      </c>
      <c r="AI262" s="527">
        <v>0</v>
      </c>
      <c r="AJ262" s="390">
        <v>0</v>
      </c>
      <c r="AK262" s="521">
        <v>0</v>
      </c>
      <c r="AL262" s="527">
        <f t="shared" si="537"/>
        <v>0</v>
      </c>
      <c r="AM262" s="390">
        <f t="shared" si="538"/>
        <v>0</v>
      </c>
      <c r="AN262" s="521">
        <v>0</v>
      </c>
      <c r="AO262" s="817">
        <v>0</v>
      </c>
      <c r="AP262" s="819">
        <v>0</v>
      </c>
      <c r="AQ262" s="521">
        <v>0</v>
      </c>
      <c r="AR262" s="817">
        <f t="shared" si="539"/>
        <v>0</v>
      </c>
      <c r="AS262" s="819">
        <f t="shared" si="539"/>
        <v>1</v>
      </c>
      <c r="AT262" s="799">
        <v>0</v>
      </c>
      <c r="AU262" s="969">
        <v>0</v>
      </c>
      <c r="AV262" s="970">
        <v>1</v>
      </c>
      <c r="AW262" s="799">
        <v>0</v>
      </c>
      <c r="AX262" s="817">
        <f t="shared" si="540"/>
        <v>0</v>
      </c>
      <c r="AY262" s="819">
        <f t="shared" si="541"/>
        <v>0</v>
      </c>
      <c r="AZ262" s="799">
        <v>0</v>
      </c>
      <c r="BA262" s="817">
        <v>0</v>
      </c>
      <c r="BB262" s="819">
        <v>1</v>
      </c>
      <c r="BC262" s="799">
        <v>0</v>
      </c>
      <c r="BD262" s="817">
        <f t="shared" si="542"/>
        <v>0</v>
      </c>
      <c r="BE262" s="819">
        <f t="shared" si="542"/>
        <v>0</v>
      </c>
      <c r="BF262" s="799">
        <v>0</v>
      </c>
      <c r="BG262" s="817">
        <v>0</v>
      </c>
      <c r="BH262" s="819">
        <v>1</v>
      </c>
      <c r="BI262" s="799">
        <v>0</v>
      </c>
      <c r="BJ262" s="817">
        <f t="shared" si="543"/>
        <v>0</v>
      </c>
      <c r="BK262" s="819">
        <f t="shared" si="543"/>
        <v>0</v>
      </c>
      <c r="BL262" s="799">
        <v>0</v>
      </c>
      <c r="BM262" s="817">
        <v>0</v>
      </c>
      <c r="BN262" s="819">
        <v>1</v>
      </c>
      <c r="BO262" s="799">
        <v>0</v>
      </c>
      <c r="BP262" s="817">
        <f t="shared" si="544"/>
        <v>9</v>
      </c>
      <c r="BQ262" s="819">
        <f t="shared" si="544"/>
        <v>0</v>
      </c>
      <c r="BR262" s="753">
        <f t="shared" ref="BR262" si="551">ROUND(((BQ262/BP262-1)*100), 1)</f>
        <v>-100</v>
      </c>
      <c r="BS262" s="817">
        <v>9</v>
      </c>
      <c r="BT262" s="819">
        <v>1</v>
      </c>
      <c r="BU262" s="753">
        <f t="shared" ref="BU262" si="552">ROUND(((BT262/BS262-1)*100), 1)</f>
        <v>-88.9</v>
      </c>
    </row>
    <row r="263" spans="1:73">
      <c r="A263" s="4"/>
      <c r="B263" s="43" t="s">
        <v>442</v>
      </c>
      <c r="C263" s="188">
        <v>8</v>
      </c>
      <c r="D263" s="188">
        <v>8</v>
      </c>
      <c r="E263" s="188">
        <v>22</v>
      </c>
      <c r="F263" s="188">
        <v>56</v>
      </c>
      <c r="G263" s="188">
        <v>7</v>
      </c>
      <c r="H263" s="188">
        <v>5</v>
      </c>
      <c r="I263" s="362">
        <v>0</v>
      </c>
      <c r="J263" s="44">
        <v>8</v>
      </c>
      <c r="K263" s="383">
        <v>0</v>
      </c>
      <c r="L263" s="390">
        <v>0</v>
      </c>
      <c r="M263" s="177">
        <v>0</v>
      </c>
      <c r="N263" s="383">
        <f t="shared" si="530"/>
        <v>0</v>
      </c>
      <c r="O263" s="390">
        <f t="shared" si="531"/>
        <v>0</v>
      </c>
      <c r="P263" s="177">
        <v>0</v>
      </c>
      <c r="Q263" s="383">
        <v>0</v>
      </c>
      <c r="R263" s="390">
        <v>0</v>
      </c>
      <c r="S263" s="177">
        <v>0</v>
      </c>
      <c r="T263" s="383">
        <f t="shared" si="532"/>
        <v>0</v>
      </c>
      <c r="U263" s="390">
        <f t="shared" si="533"/>
        <v>0</v>
      </c>
      <c r="V263" s="177">
        <v>0</v>
      </c>
      <c r="W263" s="383">
        <v>0</v>
      </c>
      <c r="X263" s="390">
        <v>0</v>
      </c>
      <c r="Y263" s="177">
        <v>0</v>
      </c>
      <c r="Z263" s="527">
        <f t="shared" si="534"/>
        <v>0</v>
      </c>
      <c r="AA263" s="390">
        <f t="shared" si="535"/>
        <v>0</v>
      </c>
      <c r="AB263" s="521">
        <v>0</v>
      </c>
      <c r="AC263" s="527">
        <v>0</v>
      </c>
      <c r="AD263" s="390">
        <v>0</v>
      </c>
      <c r="AE263" s="521">
        <v>0</v>
      </c>
      <c r="AF263" s="527">
        <f t="shared" si="536"/>
        <v>0</v>
      </c>
      <c r="AG263" s="390">
        <f t="shared" si="536"/>
        <v>0</v>
      </c>
      <c r="AH263" s="521">
        <v>0</v>
      </c>
      <c r="AI263" s="527">
        <v>0</v>
      </c>
      <c r="AJ263" s="390">
        <v>0</v>
      </c>
      <c r="AK263" s="521">
        <v>0</v>
      </c>
      <c r="AL263" s="527">
        <f t="shared" si="537"/>
        <v>0</v>
      </c>
      <c r="AM263" s="390">
        <f t="shared" si="538"/>
        <v>0</v>
      </c>
      <c r="AN263" s="521">
        <v>0</v>
      </c>
      <c r="AO263" s="817">
        <v>0</v>
      </c>
      <c r="AP263" s="819">
        <v>0</v>
      </c>
      <c r="AQ263" s="521">
        <v>0</v>
      </c>
      <c r="AR263" s="817">
        <f t="shared" si="539"/>
        <v>1</v>
      </c>
      <c r="AS263" s="819">
        <f t="shared" si="539"/>
        <v>0</v>
      </c>
      <c r="AT263" s="753">
        <f t="shared" ref="AT263" si="553">ROUND(((AS263/AR263-1)*100), 1)</f>
        <v>-100</v>
      </c>
      <c r="AU263" s="969">
        <v>1</v>
      </c>
      <c r="AV263" s="970">
        <v>0</v>
      </c>
      <c r="AW263" s="753">
        <f t="shared" ref="AW263" si="554">ROUND(((AV263/AU263-1)*100), 1)</f>
        <v>-100</v>
      </c>
      <c r="AX263" s="817">
        <f t="shared" si="540"/>
        <v>3</v>
      </c>
      <c r="AY263" s="819">
        <f t="shared" si="541"/>
        <v>0</v>
      </c>
      <c r="AZ263" s="753">
        <f t="shared" ref="AZ263" si="555">ROUND(((AY263/AX263-1)*100), 1)</f>
        <v>-100</v>
      </c>
      <c r="BA263" s="817">
        <v>4</v>
      </c>
      <c r="BB263" s="819">
        <v>0</v>
      </c>
      <c r="BC263" s="753">
        <f t="shared" ref="BC263" si="556">ROUND(((BB263/BA263-1)*100), 1)</f>
        <v>-100</v>
      </c>
      <c r="BD263" s="817">
        <f t="shared" si="542"/>
        <v>0</v>
      </c>
      <c r="BE263" s="819">
        <f t="shared" si="542"/>
        <v>0</v>
      </c>
      <c r="BF263" s="799">
        <v>0</v>
      </c>
      <c r="BG263" s="817">
        <v>4</v>
      </c>
      <c r="BH263" s="819">
        <v>0</v>
      </c>
      <c r="BI263" s="753">
        <f t="shared" ref="BI263" si="557">ROUND(((BH263/BG263-1)*100), 1)</f>
        <v>-100</v>
      </c>
      <c r="BJ263" s="817">
        <f t="shared" si="543"/>
        <v>0</v>
      </c>
      <c r="BK263" s="819">
        <f t="shared" si="543"/>
        <v>0</v>
      </c>
      <c r="BL263" s="799">
        <v>0</v>
      </c>
      <c r="BM263" s="817">
        <v>4</v>
      </c>
      <c r="BN263" s="819">
        <v>0</v>
      </c>
      <c r="BO263" s="753">
        <f t="shared" ref="BO263" si="558">ROUND(((BN263/BM263-1)*100), 1)</f>
        <v>-100</v>
      </c>
      <c r="BP263" s="817">
        <f t="shared" si="544"/>
        <v>0</v>
      </c>
      <c r="BQ263" s="819">
        <f t="shared" si="544"/>
        <v>0</v>
      </c>
      <c r="BR263" s="799">
        <v>0</v>
      </c>
      <c r="BS263" s="817">
        <v>4</v>
      </c>
      <c r="BT263" s="819">
        <v>0</v>
      </c>
      <c r="BU263" s="753">
        <f>ROUND(((BT263/BS263-1)*100), 1)</f>
        <v>-100</v>
      </c>
    </row>
    <row r="264" spans="1:73">
      <c r="A264" s="4"/>
      <c r="B264" s="43" t="s">
        <v>441</v>
      </c>
      <c r="C264" s="188">
        <v>4</v>
      </c>
      <c r="D264" s="188">
        <v>0</v>
      </c>
      <c r="E264" s="188">
        <v>0</v>
      </c>
      <c r="F264" s="188">
        <v>1</v>
      </c>
      <c r="G264" s="188">
        <v>16</v>
      </c>
      <c r="H264" s="188">
        <v>23</v>
      </c>
      <c r="I264" s="362">
        <v>0</v>
      </c>
      <c r="J264" s="44">
        <v>0</v>
      </c>
      <c r="K264" s="383">
        <v>0</v>
      </c>
      <c r="L264" s="390">
        <v>0</v>
      </c>
      <c r="M264" s="177">
        <v>0</v>
      </c>
      <c r="N264" s="383">
        <f t="shared" si="530"/>
        <v>0</v>
      </c>
      <c r="O264" s="390">
        <f t="shared" si="531"/>
        <v>0</v>
      </c>
      <c r="P264" s="177">
        <v>0</v>
      </c>
      <c r="Q264" s="383">
        <v>0</v>
      </c>
      <c r="R264" s="390">
        <v>0</v>
      </c>
      <c r="S264" s="177">
        <v>0</v>
      </c>
      <c r="T264" s="383">
        <f t="shared" si="532"/>
        <v>0</v>
      </c>
      <c r="U264" s="390">
        <f t="shared" si="533"/>
        <v>0</v>
      </c>
      <c r="V264" s="177">
        <v>0</v>
      </c>
      <c r="W264" s="383">
        <v>0</v>
      </c>
      <c r="X264" s="390">
        <v>0</v>
      </c>
      <c r="Y264" s="177">
        <v>0</v>
      </c>
      <c r="Z264" s="527">
        <f t="shared" si="534"/>
        <v>0</v>
      </c>
      <c r="AA264" s="390">
        <f t="shared" si="535"/>
        <v>2</v>
      </c>
      <c r="AB264" s="521">
        <v>0</v>
      </c>
      <c r="AC264" s="527">
        <v>0</v>
      </c>
      <c r="AD264" s="390">
        <v>2</v>
      </c>
      <c r="AE264" s="521">
        <v>0</v>
      </c>
      <c r="AF264" s="527">
        <f t="shared" si="536"/>
        <v>0</v>
      </c>
      <c r="AG264" s="390">
        <f t="shared" si="536"/>
        <v>0</v>
      </c>
      <c r="AH264" s="521">
        <v>0</v>
      </c>
      <c r="AI264" s="527">
        <v>0</v>
      </c>
      <c r="AJ264" s="390">
        <v>2</v>
      </c>
      <c r="AK264" s="521">
        <v>0</v>
      </c>
      <c r="AL264" s="527">
        <f t="shared" si="537"/>
        <v>0</v>
      </c>
      <c r="AM264" s="390">
        <f t="shared" si="538"/>
        <v>0</v>
      </c>
      <c r="AN264" s="521">
        <v>0</v>
      </c>
      <c r="AO264" s="817">
        <v>0</v>
      </c>
      <c r="AP264" s="819">
        <v>2</v>
      </c>
      <c r="AQ264" s="521">
        <v>0</v>
      </c>
      <c r="AR264" s="817">
        <f t="shared" si="539"/>
        <v>0</v>
      </c>
      <c r="AS264" s="819">
        <f t="shared" si="539"/>
        <v>0</v>
      </c>
      <c r="AT264" s="799">
        <v>0</v>
      </c>
      <c r="AU264" s="969">
        <v>0</v>
      </c>
      <c r="AV264" s="970">
        <v>2</v>
      </c>
      <c r="AW264" s="799">
        <v>0</v>
      </c>
      <c r="AX264" s="817">
        <f t="shared" si="540"/>
        <v>0</v>
      </c>
      <c r="AY264" s="819">
        <f t="shared" si="541"/>
        <v>0</v>
      </c>
      <c r="AZ264" s="799">
        <v>0</v>
      </c>
      <c r="BA264" s="817">
        <v>0</v>
      </c>
      <c r="BB264" s="819">
        <v>2</v>
      </c>
      <c r="BC264" s="799">
        <v>0</v>
      </c>
      <c r="BD264" s="817">
        <f t="shared" si="542"/>
        <v>0</v>
      </c>
      <c r="BE264" s="819">
        <f t="shared" si="542"/>
        <v>0</v>
      </c>
      <c r="BF264" s="799">
        <v>0</v>
      </c>
      <c r="BG264" s="817">
        <v>0</v>
      </c>
      <c r="BH264" s="819">
        <v>2</v>
      </c>
      <c r="BI264" s="799">
        <v>0</v>
      </c>
      <c r="BJ264" s="817">
        <f t="shared" si="543"/>
        <v>0</v>
      </c>
      <c r="BK264" s="819">
        <f t="shared" si="543"/>
        <v>0</v>
      </c>
      <c r="BL264" s="799">
        <v>0</v>
      </c>
      <c r="BM264" s="817">
        <v>0</v>
      </c>
      <c r="BN264" s="819">
        <v>2</v>
      </c>
      <c r="BO264" s="799">
        <v>0</v>
      </c>
      <c r="BP264" s="817">
        <f t="shared" si="544"/>
        <v>0</v>
      </c>
      <c r="BQ264" s="819">
        <f t="shared" si="544"/>
        <v>0</v>
      </c>
      <c r="BR264" s="799">
        <v>0</v>
      </c>
      <c r="BS264" s="817">
        <v>0</v>
      </c>
      <c r="BT264" s="819">
        <v>2</v>
      </c>
      <c r="BU264" s="799">
        <v>0</v>
      </c>
    </row>
    <row r="265" spans="1:73">
      <c r="A265" s="4"/>
      <c r="B265" s="43" t="s">
        <v>24</v>
      </c>
      <c r="C265" s="188">
        <f t="shared" ref="C265:L265" si="559">C266-SUM(C251:C264)</f>
        <v>135</v>
      </c>
      <c r="D265" s="188">
        <f t="shared" si="559"/>
        <v>58</v>
      </c>
      <c r="E265" s="188">
        <f t="shared" si="559"/>
        <v>68</v>
      </c>
      <c r="F265" s="188">
        <f t="shared" si="559"/>
        <v>234</v>
      </c>
      <c r="G265" s="188">
        <f t="shared" si="559"/>
        <v>81</v>
      </c>
      <c r="H265" s="188">
        <f t="shared" si="559"/>
        <v>18</v>
      </c>
      <c r="I265" s="362">
        <f t="shared" si="559"/>
        <v>9</v>
      </c>
      <c r="J265" s="44">
        <f>J266-SUM(J251:J264)</f>
        <v>50</v>
      </c>
      <c r="K265" s="383">
        <f t="shared" si="559"/>
        <v>8</v>
      </c>
      <c r="L265" s="390">
        <f t="shared" si="559"/>
        <v>1</v>
      </c>
      <c r="M265" s="232">
        <f>ROUND(((L265/K265-1)*100), 1)</f>
        <v>-87.5</v>
      </c>
      <c r="N265" s="383">
        <f>N266-SUM(N251:N264)</f>
        <v>34</v>
      </c>
      <c r="O265" s="390">
        <f>O266-SUM(O251:O264)</f>
        <v>0</v>
      </c>
      <c r="P265" s="242">
        <f>ROUND(((O265/N265-1)*100), 1)</f>
        <v>-100</v>
      </c>
      <c r="Q265" s="383">
        <f>Q266-SUM(Q251:Q264)</f>
        <v>42</v>
      </c>
      <c r="R265" s="390">
        <f>R266-SUM(R251:R264)</f>
        <v>1</v>
      </c>
      <c r="S265" s="242">
        <f>ROUND(((R265/Q265-1)*100), 1)</f>
        <v>-97.6</v>
      </c>
      <c r="T265" s="383">
        <f>T266-SUM(T251:T264)</f>
        <v>1</v>
      </c>
      <c r="U265" s="390">
        <f>U266-SUM(U251:U264)</f>
        <v>1</v>
      </c>
      <c r="V265" s="242">
        <f>ROUND(((U265/T265-1)*100), 1)</f>
        <v>0</v>
      </c>
      <c r="W265" s="383">
        <f>W266-SUM(W251:W264)</f>
        <v>43</v>
      </c>
      <c r="X265" s="390">
        <f>X266-SUM(X251:X264)</f>
        <v>2</v>
      </c>
      <c r="Y265" s="242">
        <f>ROUND(((X265/W265-1)*100), 1)</f>
        <v>-95.3</v>
      </c>
      <c r="Z265" s="527">
        <f>Z266-SUM(Z251:Z264)</f>
        <v>3</v>
      </c>
      <c r="AA265" s="390">
        <f>AA266-SUM(AA251:AA264)</f>
        <v>2</v>
      </c>
      <c r="AB265" s="242">
        <f>ROUND(((AA265/Z265-1)*100), 1)</f>
        <v>-33.299999999999997</v>
      </c>
      <c r="AC265" s="527">
        <f>AC266-SUM(AC251:AC264)</f>
        <v>46</v>
      </c>
      <c r="AD265" s="390">
        <f>AD266-SUM(AD251:AD264)</f>
        <v>4</v>
      </c>
      <c r="AE265" s="242">
        <f>ROUND(((AD265/AC265-1)*100), 1)</f>
        <v>-91.3</v>
      </c>
      <c r="AF265" s="527">
        <f>AF266-SUM(AF251:AF264)</f>
        <v>1</v>
      </c>
      <c r="AG265" s="390">
        <f>AG266-SUM(AG251:AG264)</f>
        <v>2</v>
      </c>
      <c r="AH265" s="242">
        <f>ROUND(((AG265/AF265-1)*100), 1)</f>
        <v>100</v>
      </c>
      <c r="AI265" s="527">
        <f>AI266-SUM(AI251:AI264)</f>
        <v>47</v>
      </c>
      <c r="AJ265" s="390">
        <f>AJ266-SUM(AJ251:AJ264)</f>
        <v>6</v>
      </c>
      <c r="AK265" s="242">
        <f>ROUND(((AJ265/AI265-1)*100), 1)</f>
        <v>-87.2</v>
      </c>
      <c r="AL265" s="527">
        <f>AL266-SUM(AL251:AL264)</f>
        <v>0</v>
      </c>
      <c r="AM265" s="390">
        <f>AM266-SUM(AM251:AM264)</f>
        <v>1</v>
      </c>
      <c r="AN265" s="800">
        <v>0</v>
      </c>
      <c r="AO265" s="817">
        <f>AO266-SUM(AO251:AO264)</f>
        <v>47</v>
      </c>
      <c r="AP265" s="819">
        <f>AP266-SUM(AP251:AP264)</f>
        <v>7</v>
      </c>
      <c r="AQ265" s="242">
        <f>ROUND(((AP265/AO265-1)*100), 1)</f>
        <v>-85.1</v>
      </c>
      <c r="AR265" s="817">
        <f>AR266-SUM(AR251:AR264)</f>
        <v>3</v>
      </c>
      <c r="AS265" s="819">
        <f>AS266-SUM(AS251:AS264)</f>
        <v>0</v>
      </c>
      <c r="AT265" s="753">
        <f t="shared" ref="AT265" si="560">ROUND(((AS265/AR265-1)*100), 1)</f>
        <v>-100</v>
      </c>
      <c r="AU265" s="969">
        <f>AU266-SUM(AU251:AU264)</f>
        <v>50</v>
      </c>
      <c r="AV265" s="970">
        <f>AV266-SUM(AV251:AV264)</f>
        <v>7</v>
      </c>
      <c r="AW265" s="753">
        <f>ROUND(((AV265/AU265-1)*100), 1)</f>
        <v>-86</v>
      </c>
      <c r="AX265" s="817">
        <f>AX266-SUM(AX251:AX264)</f>
        <v>0</v>
      </c>
      <c r="AY265" s="819">
        <f>AY266-SUM(AY251:AY264)</f>
        <v>4</v>
      </c>
      <c r="AZ265" s="800">
        <v>0</v>
      </c>
      <c r="BA265" s="817">
        <f>BA266-SUM(BA251:BA264)</f>
        <v>50</v>
      </c>
      <c r="BB265" s="819">
        <f>BB266-SUM(BB251:BB264)</f>
        <v>11</v>
      </c>
      <c r="BC265" s="753">
        <f>ROUND(((BB265/BA265-1)*100), 1)</f>
        <v>-78</v>
      </c>
      <c r="BD265" s="817">
        <f>BD266-SUM(BD251:BD264)</f>
        <v>0</v>
      </c>
      <c r="BE265" s="819">
        <f>BE266-SUM(BE251:BE264)</f>
        <v>0</v>
      </c>
      <c r="BF265" s="800">
        <v>0</v>
      </c>
      <c r="BG265" s="817">
        <f>BG266-SUM(BG251:BG264)</f>
        <v>50</v>
      </c>
      <c r="BH265" s="819">
        <f>BH266-SUM(BH251:BH264)</f>
        <v>11</v>
      </c>
      <c r="BI265" s="753">
        <f>ROUND(((BH265/BG265-1)*100), 1)</f>
        <v>-78</v>
      </c>
      <c r="BJ265" s="817">
        <f>BJ266-SUM(BJ251:BJ264)</f>
        <v>0</v>
      </c>
      <c r="BK265" s="819">
        <f>BK266-SUM(BK251:BK264)</f>
        <v>1</v>
      </c>
      <c r="BL265" s="800">
        <v>0</v>
      </c>
      <c r="BM265" s="817">
        <f>BM266-SUM(BM251:BM264)</f>
        <v>50</v>
      </c>
      <c r="BN265" s="819">
        <f>BN266-SUM(BN251:BN264)</f>
        <v>12</v>
      </c>
      <c r="BO265" s="753">
        <f>ROUND(((BN265/BM265-1)*100), 1)</f>
        <v>-76</v>
      </c>
      <c r="BP265" s="817">
        <f>BP266-SUM(BP251:BP264)</f>
        <v>0</v>
      </c>
      <c r="BQ265" s="819">
        <f>BQ266-SUM(BQ251:BQ264)</f>
        <v>0</v>
      </c>
      <c r="BR265" s="800">
        <v>0</v>
      </c>
      <c r="BS265" s="817">
        <f>BS266-SUM(BS251:BS264)</f>
        <v>50</v>
      </c>
      <c r="BT265" s="819">
        <f>BT266-SUM(BT251:BT264)</f>
        <v>12</v>
      </c>
      <c r="BU265" s="753">
        <f>ROUND(((BT265/BS265-1)*100), 1)</f>
        <v>-76</v>
      </c>
    </row>
    <row r="266" spans="1:73">
      <c r="A266" s="9"/>
      <c r="B266" s="67" t="s">
        <v>108</v>
      </c>
      <c r="C266" s="324">
        <v>8716</v>
      </c>
      <c r="D266" s="324">
        <v>11628</v>
      </c>
      <c r="E266" s="324">
        <v>13976</v>
      </c>
      <c r="F266" s="324">
        <v>12456</v>
      </c>
      <c r="G266" s="324">
        <v>10743</v>
      </c>
      <c r="H266" s="324">
        <v>13555</v>
      </c>
      <c r="I266" s="375">
        <v>15577</v>
      </c>
      <c r="J266" s="46">
        <v>16093</v>
      </c>
      <c r="K266" s="403">
        <v>1289</v>
      </c>
      <c r="L266" s="295">
        <v>1611</v>
      </c>
      <c r="M266" s="233">
        <f>ROUND(((L266/K266-1)*100), 1)</f>
        <v>25</v>
      </c>
      <c r="N266" s="403">
        <f>Q266-K266</f>
        <v>1309</v>
      </c>
      <c r="O266" s="295">
        <f>R266-L266</f>
        <v>1161</v>
      </c>
      <c r="P266" s="243">
        <f>ROUND(((O266/N266-1)*100), 1)</f>
        <v>-11.3</v>
      </c>
      <c r="Q266" s="403">
        <v>2598</v>
      </c>
      <c r="R266" s="295">
        <v>2772</v>
      </c>
      <c r="S266" s="243">
        <f>ROUND(((R266/Q266-1)*100), 1)</f>
        <v>6.7</v>
      </c>
      <c r="T266" s="403">
        <f>W266-Q266</f>
        <v>1102</v>
      </c>
      <c r="U266" s="295">
        <f>X266-R266</f>
        <v>1940</v>
      </c>
      <c r="V266" s="243">
        <f>ROUND(((U266/T266-1)*100), 1)</f>
        <v>76</v>
      </c>
      <c r="W266" s="403">
        <v>3700</v>
      </c>
      <c r="X266" s="295">
        <v>4712</v>
      </c>
      <c r="Y266" s="243">
        <f>ROUND(((X266/W266-1)*100), 1)</f>
        <v>27.4</v>
      </c>
      <c r="Z266" s="403">
        <f>AC266-W266</f>
        <v>1592</v>
      </c>
      <c r="AA266" s="295">
        <f>AD266-X266</f>
        <v>1562</v>
      </c>
      <c r="AB266" s="243">
        <f>ROUND(((AA266/Z266-1)*100), 1)</f>
        <v>-1.9</v>
      </c>
      <c r="AC266" s="403">
        <v>5292</v>
      </c>
      <c r="AD266" s="295">
        <v>6274</v>
      </c>
      <c r="AE266" s="243">
        <f>ROUND(((AD266/AC266-1)*100), 1)</f>
        <v>18.600000000000001</v>
      </c>
      <c r="AF266" s="403">
        <f>AI266-AC266</f>
        <v>1562</v>
      </c>
      <c r="AG266" s="295">
        <f>AJ266-AD266</f>
        <v>1509</v>
      </c>
      <c r="AH266" s="243">
        <f>ROUND(((AG266/AF266-1)*100), 1)</f>
        <v>-3.4</v>
      </c>
      <c r="AI266" s="403">
        <v>6854</v>
      </c>
      <c r="AJ266" s="295">
        <v>7783</v>
      </c>
      <c r="AK266" s="243">
        <f>ROUND(((AJ266/AI266-1)*100), 1)</f>
        <v>13.6</v>
      </c>
      <c r="AL266" s="403">
        <f>AO266-AI266</f>
        <v>1626</v>
      </c>
      <c r="AM266" s="295">
        <f>AP266-AJ266</f>
        <v>2083</v>
      </c>
      <c r="AN266" s="243">
        <f>ROUND(((AM266/AL266-1)*100), 1)</f>
        <v>28.1</v>
      </c>
      <c r="AO266" s="814">
        <v>8480</v>
      </c>
      <c r="AP266" s="808">
        <v>9866</v>
      </c>
      <c r="AQ266" s="243">
        <f>ROUND(((AP266/AO266-1)*100), 1)</f>
        <v>16.3</v>
      </c>
      <c r="AR266" s="814">
        <f>AU266-AO266</f>
        <v>1588</v>
      </c>
      <c r="AS266" s="808">
        <f>AV266-AP266</f>
        <v>1890</v>
      </c>
      <c r="AT266" s="754">
        <f>ROUND(((AS266/AR266-1)*100), 1)</f>
        <v>19</v>
      </c>
      <c r="AU266" s="971">
        <v>10068</v>
      </c>
      <c r="AV266" s="972">
        <v>11756</v>
      </c>
      <c r="AW266" s="754">
        <f>ROUND(((AV266/AU266-1)*100), 1)</f>
        <v>16.8</v>
      </c>
      <c r="AX266" s="814">
        <f>BA266-AU266</f>
        <v>1144</v>
      </c>
      <c r="AY266" s="808">
        <f>BB266-AV266</f>
        <v>1603</v>
      </c>
      <c r="AZ266" s="754">
        <f>ROUND(((AY266/AX266-1)*100), 1)</f>
        <v>40.1</v>
      </c>
      <c r="BA266" s="814">
        <v>11212</v>
      </c>
      <c r="BB266" s="808">
        <v>13359</v>
      </c>
      <c r="BC266" s="754">
        <f>ROUND(((BB266/BA266-1)*100), 1)</f>
        <v>19.100000000000001</v>
      </c>
      <c r="BD266" s="814">
        <f>BG266-BA266</f>
        <v>1189</v>
      </c>
      <c r="BE266" s="808">
        <f>BH266-BB266</f>
        <v>1460</v>
      </c>
      <c r="BF266" s="754">
        <f>ROUND(((BE266/BD266-1)*100), 1)</f>
        <v>22.8</v>
      </c>
      <c r="BG266" s="814">
        <v>12401</v>
      </c>
      <c r="BH266" s="808">
        <v>14819</v>
      </c>
      <c r="BI266" s="754">
        <f>ROUND(((BH266/BG266-1)*100), 1)</f>
        <v>19.5</v>
      </c>
      <c r="BJ266" s="814">
        <f>BM266-BG266</f>
        <v>1337</v>
      </c>
      <c r="BK266" s="808">
        <f>BN266-BH266</f>
        <v>1507</v>
      </c>
      <c r="BL266" s="754">
        <f>ROUND(((BK266/BJ266-1)*100), 1)</f>
        <v>12.7</v>
      </c>
      <c r="BM266" s="814">
        <v>13738</v>
      </c>
      <c r="BN266" s="808">
        <v>16326</v>
      </c>
      <c r="BO266" s="754">
        <f>ROUND(((BN266/BM266-1)*100), 1)</f>
        <v>18.8</v>
      </c>
      <c r="BP266" s="814">
        <f>BS266-BM266</f>
        <v>1286</v>
      </c>
      <c r="BQ266" s="808">
        <f>BT266-BN266</f>
        <v>1861</v>
      </c>
      <c r="BR266" s="754">
        <f>ROUND(((BQ266/BP266-1)*100), 1)</f>
        <v>44.7</v>
      </c>
      <c r="BS266" s="814">
        <v>15024</v>
      </c>
      <c r="BT266" s="808">
        <v>18187</v>
      </c>
      <c r="BU266" s="754">
        <f>ROUND(((BT266/BS266-1)*100), 1)</f>
        <v>21.1</v>
      </c>
    </row>
    <row r="267" spans="1:73">
      <c r="A267" s="68" t="s">
        <v>118</v>
      </c>
      <c r="B267" s="292"/>
      <c r="M267" s="227"/>
    </row>
    <row r="268" spans="1:73">
      <c r="A268" s="55"/>
      <c r="B268" s="292"/>
      <c r="M268" s="227"/>
    </row>
    <row r="269" spans="1:73">
      <c r="A269" s="55"/>
      <c r="B269" s="292"/>
      <c r="M269" s="227"/>
    </row>
    <row r="270" spans="1:73">
      <c r="A270" s="55"/>
      <c r="B270" s="292"/>
      <c r="M270" s="227"/>
    </row>
    <row r="271" spans="1:73">
      <c r="A271" s="55"/>
      <c r="B271" s="292"/>
    </row>
    <row r="272" spans="1:73">
      <c r="A272" s="55"/>
      <c r="B272" s="292"/>
    </row>
    <row r="273" spans="1:2">
      <c r="A273" s="55"/>
      <c r="B273" s="292"/>
    </row>
    <row r="274" spans="1:2">
      <c r="A274" s="55"/>
      <c r="B274" s="292"/>
    </row>
    <row r="275" spans="1:2">
      <c r="A275" s="55"/>
      <c r="B275" s="292"/>
    </row>
  </sheetData>
  <sortState ref="B253:M265">
    <sortCondition descending="1" ref="J253:J265"/>
  </sortState>
  <mergeCells count="182">
    <mergeCell ref="BP222:BR222"/>
    <mergeCell ref="BS222:BU222"/>
    <mergeCell ref="BP3:BR3"/>
    <mergeCell ref="BS3:BU3"/>
    <mergeCell ref="BP40:BR40"/>
    <mergeCell ref="BS40:BU40"/>
    <mergeCell ref="BP87:BR87"/>
    <mergeCell ref="BS87:BU87"/>
    <mergeCell ref="BP136:BR136"/>
    <mergeCell ref="BS136:BU136"/>
    <mergeCell ref="BP179:BR179"/>
    <mergeCell ref="BS179:BU179"/>
    <mergeCell ref="BJ222:BL222"/>
    <mergeCell ref="BM222:BO222"/>
    <mergeCell ref="BJ3:BL3"/>
    <mergeCell ref="BM3:BO3"/>
    <mergeCell ref="BJ40:BL40"/>
    <mergeCell ref="BM40:BO40"/>
    <mergeCell ref="BJ87:BL87"/>
    <mergeCell ref="BM87:BO87"/>
    <mergeCell ref="BJ136:BL136"/>
    <mergeCell ref="BM136:BO136"/>
    <mergeCell ref="BJ179:BL179"/>
    <mergeCell ref="BM179:BO179"/>
    <mergeCell ref="BD222:BF222"/>
    <mergeCell ref="BG222:BI222"/>
    <mergeCell ref="BD3:BF3"/>
    <mergeCell ref="BG3:BI3"/>
    <mergeCell ref="BD40:BF40"/>
    <mergeCell ref="BG40:BI40"/>
    <mergeCell ref="BD87:BF87"/>
    <mergeCell ref="BG87:BI87"/>
    <mergeCell ref="BD136:BF136"/>
    <mergeCell ref="BG136:BI136"/>
    <mergeCell ref="BD179:BF179"/>
    <mergeCell ref="BG179:BI179"/>
    <mergeCell ref="AX222:AZ222"/>
    <mergeCell ref="BA222:BC222"/>
    <mergeCell ref="AX3:AZ3"/>
    <mergeCell ref="BA3:BC3"/>
    <mergeCell ref="AX40:AZ40"/>
    <mergeCell ref="BA40:BC40"/>
    <mergeCell ref="AX87:AZ87"/>
    <mergeCell ref="BA87:BC87"/>
    <mergeCell ref="AX136:AZ136"/>
    <mergeCell ref="BA136:BC136"/>
    <mergeCell ref="AX179:AZ179"/>
    <mergeCell ref="BA179:BC179"/>
    <mergeCell ref="AL222:AN222"/>
    <mergeCell ref="AO222:AQ222"/>
    <mergeCell ref="AL3:AN3"/>
    <mergeCell ref="AO3:AQ3"/>
    <mergeCell ref="AL40:AN40"/>
    <mergeCell ref="AO40:AQ40"/>
    <mergeCell ref="AL87:AN87"/>
    <mergeCell ref="AO87:AQ87"/>
    <mergeCell ref="AL136:AN136"/>
    <mergeCell ref="AO136:AQ136"/>
    <mergeCell ref="AL179:AN179"/>
    <mergeCell ref="AO179:AQ179"/>
    <mergeCell ref="Z222:AB222"/>
    <mergeCell ref="AC222:AE222"/>
    <mergeCell ref="Z3:AB3"/>
    <mergeCell ref="AC3:AE3"/>
    <mergeCell ref="Z40:AB40"/>
    <mergeCell ref="AC40:AE40"/>
    <mergeCell ref="Z87:AB87"/>
    <mergeCell ref="AC87:AE87"/>
    <mergeCell ref="Z136:AB136"/>
    <mergeCell ref="AC136:AE136"/>
    <mergeCell ref="Z179:AB179"/>
    <mergeCell ref="AC179:AE179"/>
    <mergeCell ref="J179:J180"/>
    <mergeCell ref="J222:J223"/>
    <mergeCell ref="N222:P222"/>
    <mergeCell ref="Q3:S3"/>
    <mergeCell ref="Q40:S40"/>
    <mergeCell ref="Q87:S87"/>
    <mergeCell ref="Q136:S136"/>
    <mergeCell ref="Q179:S179"/>
    <mergeCell ref="Q222:S222"/>
    <mergeCell ref="N3:P3"/>
    <mergeCell ref="N40:P40"/>
    <mergeCell ref="N87:P87"/>
    <mergeCell ref="N136:P136"/>
    <mergeCell ref="N179:P179"/>
    <mergeCell ref="K87:M87"/>
    <mergeCell ref="K136:M136"/>
    <mergeCell ref="J3:J4"/>
    <mergeCell ref="A1:B1"/>
    <mergeCell ref="A3:B4"/>
    <mergeCell ref="C3:C4"/>
    <mergeCell ref="D3:D4"/>
    <mergeCell ref="E3:E4"/>
    <mergeCell ref="A87:B88"/>
    <mergeCell ref="C87:C88"/>
    <mergeCell ref="K179:M179"/>
    <mergeCell ref="K222:M222"/>
    <mergeCell ref="G3:G4"/>
    <mergeCell ref="H3:H4"/>
    <mergeCell ref="F3:F4"/>
    <mergeCell ref="A38:B38"/>
    <mergeCell ref="A40:B41"/>
    <mergeCell ref="C40:C41"/>
    <mergeCell ref="D40:D41"/>
    <mergeCell ref="E40:E41"/>
    <mergeCell ref="F40:F41"/>
    <mergeCell ref="G136:G137"/>
    <mergeCell ref="K3:M3"/>
    <mergeCell ref="K40:M40"/>
    <mergeCell ref="J87:J88"/>
    <mergeCell ref="J40:J41"/>
    <mergeCell ref="J136:J137"/>
    <mergeCell ref="I3:I4"/>
    <mergeCell ref="A136:B137"/>
    <mergeCell ref="C136:C137"/>
    <mergeCell ref="D136:D137"/>
    <mergeCell ref="E136:E137"/>
    <mergeCell ref="F136:F137"/>
    <mergeCell ref="D87:D88"/>
    <mergeCell ref="E87:E88"/>
    <mergeCell ref="F87:F88"/>
    <mergeCell ref="G87:G88"/>
    <mergeCell ref="H87:H88"/>
    <mergeCell ref="H136:H137"/>
    <mergeCell ref="I136:I137"/>
    <mergeCell ref="I179:I180"/>
    <mergeCell ref="I87:I88"/>
    <mergeCell ref="H40:H41"/>
    <mergeCell ref="I40:I41"/>
    <mergeCell ref="H222:H223"/>
    <mergeCell ref="I222:I223"/>
    <mergeCell ref="G222:G223"/>
    <mergeCell ref="A179:B180"/>
    <mergeCell ref="C179:C180"/>
    <mergeCell ref="D179:D180"/>
    <mergeCell ref="E179:E180"/>
    <mergeCell ref="F179:F180"/>
    <mergeCell ref="G179:G180"/>
    <mergeCell ref="A222:B223"/>
    <mergeCell ref="C222:C223"/>
    <mergeCell ref="D222:D223"/>
    <mergeCell ref="E222:E223"/>
    <mergeCell ref="F222:F223"/>
    <mergeCell ref="H179:H180"/>
    <mergeCell ref="G40:G41"/>
    <mergeCell ref="T136:V136"/>
    <mergeCell ref="W136:Y136"/>
    <mergeCell ref="T179:V179"/>
    <mergeCell ref="W179:Y179"/>
    <mergeCell ref="T222:V222"/>
    <mergeCell ref="W222:Y222"/>
    <mergeCell ref="T3:V3"/>
    <mergeCell ref="W3:Y3"/>
    <mergeCell ref="T40:V40"/>
    <mergeCell ref="W40:Y40"/>
    <mergeCell ref="T87:V87"/>
    <mergeCell ref="W87:Y87"/>
    <mergeCell ref="AF136:AH136"/>
    <mergeCell ref="AI136:AK136"/>
    <mergeCell ref="AF179:AH179"/>
    <mergeCell ref="AI179:AK179"/>
    <mergeCell ref="AF222:AH222"/>
    <mergeCell ref="AI222:AK222"/>
    <mergeCell ref="AF3:AH3"/>
    <mergeCell ref="AI3:AK3"/>
    <mergeCell ref="AF40:AH40"/>
    <mergeCell ref="AI40:AK40"/>
    <mergeCell ref="AF87:AH87"/>
    <mergeCell ref="AI87:AK87"/>
    <mergeCell ref="AR222:AT222"/>
    <mergeCell ref="AU222:AW222"/>
    <mergeCell ref="AR3:AT3"/>
    <mergeCell ref="AU3:AW3"/>
    <mergeCell ref="AR40:AT40"/>
    <mergeCell ref="AU40:AW40"/>
    <mergeCell ref="AR87:AT87"/>
    <mergeCell ref="AU87:AW87"/>
    <mergeCell ref="AR136:AT136"/>
    <mergeCell ref="AU136:AW136"/>
    <mergeCell ref="AR179:AT179"/>
    <mergeCell ref="AU179:AW179"/>
  </mergeCells>
  <phoneticPr fontId="2" type="noConversion"/>
  <printOptions horizontalCentered="1"/>
  <pageMargins left="0.19685039370078741" right="0.19685039370078741" top="0.74803149606299213" bottom="0.55000000000000004" header="0.31496062992125984" footer="0.31496062992125984"/>
  <pageSetup paperSize="9" scale="90" orientation="portrait" r:id="rId1"/>
  <rowBreaks count="5" manualBreakCount="5">
    <brk id="37" max="16383" man="1"/>
    <brk id="84" max="16383" man="1"/>
    <brk id="133" max="16383" man="1"/>
    <brk id="176" max="16383" man="1"/>
    <brk id="219" max="16383" man="1"/>
  </rowBreaks>
  <ignoredErrors>
    <ignoredError sqref="J38 J85 J134 J220 J17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15</vt:i4>
      </vt:variant>
      <vt:variant>
        <vt:lpstr>이름이 지정된 범위</vt:lpstr>
      </vt:variant>
      <vt:variant>
        <vt:i4>5</vt:i4>
      </vt:variant>
    </vt:vector>
  </HeadingPairs>
  <TitlesOfParts>
    <vt:vector size="20" baseType="lpstr">
      <vt:lpstr>월기준</vt:lpstr>
      <vt:lpstr>수출</vt:lpstr>
      <vt:lpstr>수입</vt:lpstr>
      <vt:lpstr>수출입</vt:lpstr>
      <vt:lpstr>수출당월</vt:lpstr>
      <vt:lpstr>국가별수출</vt:lpstr>
      <vt:lpstr>수입당월</vt:lpstr>
      <vt:lpstr>국가별수입</vt:lpstr>
      <vt:lpstr>구리</vt:lpstr>
      <vt:lpstr>납</vt:lpstr>
      <vt:lpstr>아연</vt:lpstr>
      <vt:lpstr>알루미늄①</vt:lpstr>
      <vt:lpstr>알루미늄②</vt:lpstr>
      <vt:lpstr>니켈괴</vt:lpstr>
      <vt:lpstr>마그네슘괴</vt:lpstr>
      <vt:lpstr>납!Print_Titles</vt:lpstr>
      <vt:lpstr>수입!Print_Titles</vt:lpstr>
      <vt:lpstr>수출!Print_Titles</vt:lpstr>
      <vt:lpstr>수출입!Print_Titles</vt:lpstr>
      <vt:lpstr>아연!Print_Titles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김은희</dc:creator>
  <cp:lastModifiedBy>Windows 사용자</cp:lastModifiedBy>
  <cp:lastPrinted>2020-11-27T05:42:22Z</cp:lastPrinted>
  <dcterms:created xsi:type="dcterms:W3CDTF">2018-11-13T06:58:30Z</dcterms:created>
  <dcterms:modified xsi:type="dcterms:W3CDTF">2020-12-31T05:09:46Z</dcterms:modified>
</cp:coreProperties>
</file>